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5" yWindow="5100" windowWidth="25230" windowHeight="5130" tabRatio="934"/>
  </bookViews>
  <sheets>
    <sheet name="Toel. Wijziging NE6R (aug 2016)" sheetId="114" r:id="rId1"/>
    <sheet name="Aanpassing gegevens (aug 2016)" sheetId="113" r:id="rId2"/>
    <sheet name="Import GAW-sheet (na sep 2014)" sheetId="115" r:id="rId3"/>
    <sheet name="Toel. herstel NE6R (sep. 2014)" sheetId="1" r:id="rId4"/>
    <sheet name="Aanpassing gegevens (sep 2014)" sheetId="110" r:id="rId5"/>
    <sheet name="Input (excl. volumes AD)--&gt;" sheetId="35" r:id="rId6"/>
    <sheet name="PRD OPEX (2009-2012)" sheetId="39" r:id="rId7"/>
    <sheet name="PRD Ov.Opbrengsten (2009-2012)" sheetId="40" r:id="rId8"/>
    <sheet name="PRD Volumes TD (2009-2012)" sheetId="41" r:id="rId9"/>
    <sheet name="TAR2013 Tarieven TD" sheetId="42" r:id="rId10"/>
    <sheet name="PRD Volumes DCO (2009-2012)" sheetId="43" r:id="rId11"/>
    <sheet name="Import GAW-sheet" sheetId="7" r:id="rId12"/>
    <sheet name="Data marktmodel" sheetId="12" r:id="rId13"/>
    <sheet name="Data dubieuze debiteuren" sheetId="106" r:id="rId14"/>
    <sheet name="WACC" sheetId="3" r:id="rId15"/>
    <sheet name="CPI" sheetId="16" r:id="rId16"/>
    <sheet name="Input EAV-PAV Tar &amp; Vol --&gt;" sheetId="53" r:id="rId17"/>
    <sheet name="Cogas" sheetId="73" r:id="rId18"/>
    <sheet name="DNWB" sheetId="72" r:id="rId19"/>
    <sheet name="Endinet" sheetId="71" r:id="rId20"/>
    <sheet name="Enexis" sheetId="70" r:id="rId21"/>
    <sheet name="Liander" sheetId="69" r:id="rId22"/>
    <sheet name="RENDO" sheetId="68" r:id="rId23"/>
    <sheet name="Stedin" sheetId="67" r:id="rId24"/>
    <sheet name="Westland" sheetId="66" r:id="rId25"/>
    <sheet name="Standaardisaties --&gt;" sheetId="74" r:id="rId26"/>
    <sheet name="Standaardisatie AD (per RNB)" sheetId="65" r:id="rId27"/>
    <sheet name="Overzicht Vol &amp; Tar AD" sheetId="64" r:id="rId28"/>
    <sheet name="Gestandaardiseerde PAV en EAV" sheetId="34" r:id="rId29"/>
    <sheet name="Standaardisatie volumes TD" sheetId="45" r:id="rId30"/>
    <sheet name="Tussenberekeningen --&gt;" sheetId="62" r:id="rId31"/>
    <sheet name="Berekening vergoedingen EAV" sheetId="48" r:id="rId32"/>
    <sheet name="Berekening operationele kosten" sheetId="17" r:id="rId33"/>
    <sheet name="Berekening kapitaalkosten" sheetId="47" r:id="rId34"/>
    <sheet name="Berekening rekenvolumes" sheetId="30" r:id="rId35"/>
    <sheet name="Berekening kosten dub. deb." sheetId="107" r:id="rId36"/>
    <sheet name="berekeningen --&gt;" sheetId="50" r:id="rId37"/>
    <sheet name="Genormaliseerde totale kosten" sheetId="49" r:id="rId38"/>
    <sheet name="Berekening wegingsfactoren" sheetId="21" r:id="rId39"/>
    <sheet name="Standaardisatie Output" sheetId="20" r:id="rId40"/>
    <sheet name="Productiviteitsverandering" sheetId="26" r:id="rId41"/>
    <sheet name="berekeningen one-off --&gt;" sheetId="60" r:id="rId42"/>
    <sheet name="BeginInkomsten (obv RV&amp;Tar2013)" sheetId="56" r:id="rId43"/>
    <sheet name="Kostenbasis Eff.Kosten 2013" sheetId="59" r:id="rId44"/>
    <sheet name="Efficiënte kosten 2013" sheetId="57" r:id="rId45"/>
    <sheet name="Inschatting kosten 2013" sheetId="58" r:id="rId46"/>
    <sheet name="Toetsen toepassing one-off" sheetId="61" r:id="rId47"/>
    <sheet name="output --&gt;" sheetId="52" r:id="rId48"/>
    <sheet name="X-factorberekening" sheetId="37" r:id="rId49"/>
    <sheet name="Indicatieve TI bedragen '14-'16" sheetId="38" r:id="rId50"/>
    <sheet name="Bijlage 1 - Resultaten" sheetId="108" r:id="rId51"/>
    <sheet name="rekenvolumes --&gt;" sheetId="77" r:id="rId52"/>
    <sheet name="Rekenvolumes Cogas NE6R" sheetId="109" r:id="rId53"/>
    <sheet name="Rekenvolumes DNWB NE6R" sheetId="100" r:id="rId54"/>
    <sheet name="Rekenvolumes Endinet NE6R" sheetId="99" r:id="rId55"/>
    <sheet name="Rekenvolumes Enexis NE6R" sheetId="101" r:id="rId56"/>
    <sheet name="Rekenvolumes Liander NE6R" sheetId="102" r:id="rId57"/>
    <sheet name="Rekenvolumes Rendo NE6R" sheetId="103" r:id="rId58"/>
    <sheet name="Rekenvolumes Stedin NE6R" sheetId="104" r:id="rId59"/>
    <sheet name="Rekenvolumes Westland NE6R" sheetId="105" r:id="rId60"/>
    <sheet name="Blad1" sheetId="111"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cpi2000" localSheetId="1">#REF!</definedName>
    <definedName name="_cpi2000" localSheetId="2">#REF!</definedName>
    <definedName name="_cpi2000" localSheetId="0">#REF!</definedName>
    <definedName name="_cpi2000">#REF!</definedName>
    <definedName name="_CPI2001">'[1]CPI en WACC'!$C$7</definedName>
    <definedName name="_CPI2002">'[1]CPI en WACC'!$C$8</definedName>
    <definedName name="_CPI2003">'[1]CPI en WACC'!$C$9</definedName>
    <definedName name="_CPI2004">'[1]CPI en WACC'!$C$10</definedName>
    <definedName name="_CPI2005">'[1]CPI en WACC'!$C$11</definedName>
    <definedName name="_CPI2006">'[1]CPI en WACC'!$C$12</definedName>
    <definedName name="_CPI2007">'[1]CPI en WACC'!$C$13</definedName>
    <definedName name="_CPI2008">'[1]CPI en WACC'!$C$14</definedName>
    <definedName name="_CPI2009">'[1]CPI en WACC'!$C$15</definedName>
    <definedName name="_CPI2010">'[1]CPI en WACC'!$C$16</definedName>
    <definedName name="_xlnm.Print_Area" localSheetId="50">'Bijlage 1 - Resultaten'!$A$1:$N$42</definedName>
    <definedName name="_xlnm.Print_Area" localSheetId="13">'Data dubieuze debiteuren'!$A$1:$X$151</definedName>
    <definedName name="_xlnm.Print_Area" localSheetId="53">'Rekenvolumes DNWB NE6R'!$B$1:$L$62</definedName>
    <definedName name="_xlnm.Print_Area" localSheetId="54">'Rekenvolumes Endinet NE6R'!$B$1:$L$62</definedName>
    <definedName name="_xlnm.Print_Area" localSheetId="55">'Rekenvolumes Enexis NE6R'!$B$1:$L$62</definedName>
    <definedName name="_xlnm.Print_Area" localSheetId="56">'Rekenvolumes Liander NE6R'!$B$1:$L$62</definedName>
    <definedName name="_xlnm.Print_Area" localSheetId="57">'Rekenvolumes Rendo NE6R'!$B$1:$L$62</definedName>
    <definedName name="_xlnm.Print_Area" localSheetId="58">'Rekenvolumes Stedin NE6R'!$B$1:$L$62</definedName>
    <definedName name="_xlnm.Print_Area" localSheetId="59">'Rekenvolumes Westland NE6R'!$B$1:$L$62</definedName>
    <definedName name="afwijking" localSheetId="1">#REF!</definedName>
    <definedName name="afwijking" localSheetId="2">#REF!</definedName>
    <definedName name="afwijking" localSheetId="0">#REF!</definedName>
    <definedName name="afwijking">#REF!</definedName>
    <definedName name="AS2DocOpenMode" hidden="1">"AS2DocumentEdit"</definedName>
    <definedName name="beta0" localSheetId="1">#REF!</definedName>
    <definedName name="beta0" localSheetId="2">#REF!</definedName>
    <definedName name="beta0" localSheetId="0">#REF!</definedName>
    <definedName name="beta0">#REF!</definedName>
    <definedName name="beta1" localSheetId="1">#REF!</definedName>
    <definedName name="beta1" localSheetId="2">#REF!</definedName>
    <definedName name="beta1" localSheetId="0">#REF!</definedName>
    <definedName name="beta1">#REF!</definedName>
    <definedName name="CODE">[2]Adresgegevens!$D$7</definedName>
    <definedName name="cpi" localSheetId="1">#REF!</definedName>
    <definedName name="cpi" localSheetId="2">#REF!</definedName>
    <definedName name="cpi" localSheetId="0">#REF!</definedName>
    <definedName name="cpi">#REF!</definedName>
    <definedName name="CPI_2005">[3]Database!$D$13</definedName>
    <definedName name="CPIv2000n2001">'[1]CPI en WACC'!$C$22</definedName>
    <definedName name="CPIv2000n2002">'[1]CPI en WACC'!$C$23</definedName>
    <definedName name="CPIv2000n2003">'[1]CPI en WACC'!$C$24</definedName>
    <definedName name="CPIv2000n2004">'[1]CPI en WACC'!$C$25</definedName>
    <definedName name="CPIv2000n2005">'[1]CPI en WACC'!$C$26</definedName>
    <definedName name="CPIv2000n2006">'[1]CPI en WACC'!$C$27</definedName>
    <definedName name="CPIv2000n2007">'[1]CPI en WACC'!$C$28</definedName>
    <definedName name="CPIv2000n2008">'[1]CPI en WACC'!$C$29</definedName>
    <definedName name="CPIv2000n2009">'[1]CPI en WACC'!$C$30</definedName>
    <definedName name="CPIv2001n2002">'[1]CPI en WACC'!$D$23</definedName>
    <definedName name="CPIv2001n2003">'[1]CPI en WACC'!$D$24</definedName>
    <definedName name="CPIv2001n2004">'[1]CPI en WACC'!$D$25</definedName>
    <definedName name="CPIv2001n2005">'[1]CPI en WACC'!$D$26</definedName>
    <definedName name="CPIv2001n2006">'[1]CPI en WACC'!$D$27</definedName>
    <definedName name="CPIv2001n2007">'[1]CPI en WACC'!$D$28</definedName>
    <definedName name="CPIv2001n2008">'[1]CPI en WACC'!$D$29</definedName>
    <definedName name="CPIv2001n2009">'[1]CPI en WACC'!$D$30</definedName>
    <definedName name="CPIv2002n2003">'[1]CPI en WACC'!$E$24</definedName>
    <definedName name="CPIv2002n2004">'[1]CPI en WACC'!$E$25</definedName>
    <definedName name="CPIv2002n2005">'[1]CPI en WACC'!$E$26</definedName>
    <definedName name="CPIv2002n2006">'[1]CPI en WACC'!$E$27</definedName>
    <definedName name="CPIv2002n2007">'[1]CPI en WACC'!$E$28</definedName>
    <definedName name="CPIv2002n2008">'[1]CPI en WACC'!$E$29</definedName>
    <definedName name="CPIv2002n2009">'[1]CPI en WACC'!$E$30</definedName>
    <definedName name="CPIv2003n2004">'[1]CPI en WACC'!$F$25</definedName>
    <definedName name="CPIv2003n2005">'[1]CPI en WACC'!$F$26</definedName>
    <definedName name="CPIv2003n2006">'[1]CPI en WACC'!$F$27</definedName>
    <definedName name="CPIv2003n2007">'[1]CPI en WACC'!$F$28</definedName>
    <definedName name="CPIv2003n2008">'[1]CPI en WACC'!$F$29</definedName>
    <definedName name="CPIv2003n2009">'[1]CPI en WACC'!$F$30</definedName>
    <definedName name="CPIv2004n2005">'[1]CPI en WACC'!$G$26</definedName>
    <definedName name="CPIv2004n2006">'[1]CPI en WACC'!$G$27</definedName>
    <definedName name="CPIv2004n2007">'[1]CPI en WACC'!$G$28</definedName>
    <definedName name="CPIv2004n2008">'[1]CPI en WACC'!$G$29</definedName>
    <definedName name="CPIv2004n2009">'[1]CPI en WACC'!$G$30</definedName>
    <definedName name="CPIv2005n2006">'[1]CPI en WACC'!$H$27</definedName>
    <definedName name="CPIv2005n2007">'[1]CPI en WACC'!$H$28</definedName>
    <definedName name="CPIv2005n2008">'[1]CPI en WACC'!$H$29</definedName>
    <definedName name="CPIv2005n2009">'[1]CPI en WACC'!$H$30</definedName>
    <definedName name="CPIv2006n2007">'[1]CPI en WACC'!$I$28</definedName>
    <definedName name="CPIv2006n2008">'[1]CPI en WACC'!$I$29</definedName>
    <definedName name="CPIv2006n2009">'[1]CPI en WACC'!$I$30</definedName>
    <definedName name="CPIv2007n2008">'[1]CPI en WACC'!$J$29</definedName>
    <definedName name="CPIv2007n2009">'[1]CPI en WACC'!$J$30</definedName>
    <definedName name="CPIv2007n2010">'[1]CPI en WACC'!$J$31</definedName>
    <definedName name="CPIv2008n2009">'[1]CPI en WACC'!$K$30</definedName>
    <definedName name="eur" localSheetId="1">#REF!</definedName>
    <definedName name="eur" localSheetId="2">#REF!</definedName>
    <definedName name="eur" localSheetId="0">#REF!</definedName>
    <definedName name="eur">#REF!</definedName>
    <definedName name="factor" localSheetId="1">#REF!</definedName>
    <definedName name="factor" localSheetId="2">#REF!</definedName>
    <definedName name="factor" localSheetId="0">#REF!</definedName>
    <definedName name="factor">#REF!</definedName>
    <definedName name="fik">[4]cockpit!$B$9</definedName>
    <definedName name="NAAM_NE">'[5]Toegestane Omzet'!$M$1</definedName>
    <definedName name="NAAM_VOL">[2]Adresgegevens!$D$8</definedName>
    <definedName name="omzet_2000_aanpas_kolom" localSheetId="1">#REF!</definedName>
    <definedName name="omzet_2000_aanpas_kolom" localSheetId="2">#REF!</definedName>
    <definedName name="omzet_2000_aanpas_kolom" localSheetId="0">#REF!</definedName>
    <definedName name="omzet_2000_aanpas_kolom">#REF!</definedName>
    <definedName name="omzet_2000_kolom" localSheetId="1">#REF!</definedName>
    <definedName name="omzet_2000_kolom" localSheetId="2">#REF!</definedName>
    <definedName name="omzet_2000_kolom" localSheetId="0">#REF!</definedName>
    <definedName name="omzet_2000_kolom">#REF!</definedName>
    <definedName name="omzet_2001_kolom" localSheetId="1">#REF!</definedName>
    <definedName name="omzet_2001_kolom" localSheetId="2">#REF!</definedName>
    <definedName name="omzet_2001_kolom" localSheetId="0">#REF!</definedName>
    <definedName name="omzet_2001_kolom">#REF!</definedName>
    <definedName name="PB">[2]Adresgegevens!$D$9</definedName>
    <definedName name="PC">[2]Adresgegevens!$D$10</definedName>
    <definedName name="PLAATS">[2]Adresgegevens!$D$11</definedName>
    <definedName name="PR_ME_2000" localSheetId="1">'[5]Toegestane Omzet'!#REF!</definedName>
    <definedName name="PR_ME_2000" localSheetId="2">'[5]Toegestane Omzet'!#REF!</definedName>
    <definedName name="PR_ME_2000" localSheetId="0">'[5]Toegestane Omzet'!#REF!</definedName>
    <definedName name="PR_ME_2000">'[5]Toegestane Omzet'!#REF!</definedName>
    <definedName name="required_x" localSheetId="1">#REF!</definedName>
    <definedName name="required_x" localSheetId="2">#REF!</definedName>
    <definedName name="required_x" localSheetId="0">#REF!</definedName>
    <definedName name="required_x">#REF!</definedName>
    <definedName name="tarief_factor" localSheetId="1">#REF!</definedName>
    <definedName name="tarief_factor" localSheetId="2">#REF!</definedName>
    <definedName name="tarief_factor" localSheetId="0">#REF!</definedName>
    <definedName name="tarief_factor">#REF!</definedName>
    <definedName name="test" localSheetId="1">#REF!</definedName>
    <definedName name="test" localSheetId="2">#REF!</definedName>
    <definedName name="test" localSheetId="0">#REF!</definedName>
    <definedName name="test">#REF!</definedName>
    <definedName name="wacc" localSheetId="1">[6]Data!#REF!</definedName>
    <definedName name="wacc" localSheetId="2">[6]Data!#REF!</definedName>
    <definedName name="wacc" localSheetId="0">[6]Data!#REF!</definedName>
    <definedName name="wacc">[6]Data!#REF!</definedName>
    <definedName name="wacc_exc_tax">[7]constants!$E$3</definedName>
    <definedName name="wacc_inc_tax">[6]constants!$E$4</definedName>
    <definedName name="WACC2009">'[1]CPI en WACC'!$D$15</definedName>
    <definedName name="WACC2011">'[1]CPI en WACC'!$D$17</definedName>
    <definedName name="WACC2011_2013">'[8]CPI&amp;WACC'!$D$14</definedName>
  </definedNames>
  <calcPr calcId="145621"/>
</workbook>
</file>

<file path=xl/calcChain.xml><?xml version="1.0" encoding="utf-8"?>
<calcChain xmlns="http://schemas.openxmlformats.org/spreadsheetml/2006/main">
  <c r="I23" i="113" l="1"/>
  <c r="N137" i="115" l="1"/>
  <c r="L137" i="115"/>
  <c r="I137" i="115"/>
  <c r="H137" i="115"/>
  <c r="G137" i="115"/>
  <c r="N136" i="115"/>
  <c r="L136" i="115"/>
  <c r="I136" i="115"/>
  <c r="H136" i="115"/>
  <c r="G136" i="115"/>
  <c r="N135" i="115"/>
  <c r="M135" i="115"/>
  <c r="L135" i="115"/>
  <c r="K135" i="115"/>
  <c r="J135" i="115"/>
  <c r="I135" i="115"/>
  <c r="H135" i="115"/>
  <c r="G135" i="115"/>
  <c r="F132" i="115"/>
  <c r="F131" i="115"/>
  <c r="F130" i="115"/>
  <c r="F127" i="115"/>
  <c r="F126" i="115"/>
  <c r="F125" i="115"/>
  <c r="F122" i="115"/>
  <c r="F121" i="115"/>
  <c r="F120" i="115"/>
  <c r="M137" i="115"/>
  <c r="K117" i="115"/>
  <c r="K137" i="115" s="1"/>
  <c r="J117" i="115"/>
  <c r="J137" i="115" s="1"/>
  <c r="M136" i="115"/>
  <c r="K116" i="115"/>
  <c r="K136" i="115" s="1"/>
  <c r="J116" i="115"/>
  <c r="J136" i="115" s="1"/>
  <c r="F115" i="115"/>
  <c r="F112" i="115"/>
  <c r="F111" i="115"/>
  <c r="F110" i="115"/>
  <c r="F135" i="115" s="1"/>
  <c r="N104" i="115"/>
  <c r="L104" i="115"/>
  <c r="I104" i="115"/>
  <c r="H104" i="115"/>
  <c r="G104" i="115"/>
  <c r="N103" i="115"/>
  <c r="L103" i="115"/>
  <c r="I103" i="115"/>
  <c r="H103" i="115"/>
  <c r="G103" i="115"/>
  <c r="N102" i="115"/>
  <c r="L102" i="115"/>
  <c r="K102" i="115"/>
  <c r="J102" i="115"/>
  <c r="I102" i="115"/>
  <c r="H102" i="115"/>
  <c r="G102" i="115"/>
  <c r="F99" i="115"/>
  <c r="F98" i="115"/>
  <c r="F97" i="115"/>
  <c r="F94" i="115"/>
  <c r="F93" i="115"/>
  <c r="F92" i="115"/>
  <c r="F89" i="115"/>
  <c r="F88" i="115"/>
  <c r="F87" i="115"/>
  <c r="M104" i="115"/>
  <c r="K84" i="115"/>
  <c r="K104" i="115" s="1"/>
  <c r="J84" i="115"/>
  <c r="J104" i="115" s="1"/>
  <c r="M103" i="115"/>
  <c r="K83" i="115"/>
  <c r="K103" i="115" s="1"/>
  <c r="J83" i="115"/>
  <c r="J103" i="115" s="1"/>
  <c r="M102" i="115"/>
  <c r="F79" i="115"/>
  <c r="F78" i="115"/>
  <c r="F77" i="115"/>
  <c r="N71" i="115"/>
  <c r="M71" i="115"/>
  <c r="L71" i="115"/>
  <c r="I71" i="115"/>
  <c r="H71" i="115"/>
  <c r="G71" i="115"/>
  <c r="N70" i="115"/>
  <c r="M70" i="115"/>
  <c r="L70" i="115"/>
  <c r="J70" i="115"/>
  <c r="I70" i="115"/>
  <c r="H70" i="115"/>
  <c r="G70" i="115"/>
  <c r="N69" i="115"/>
  <c r="M69" i="115"/>
  <c r="L69" i="115"/>
  <c r="K69" i="115"/>
  <c r="J69" i="115"/>
  <c r="I69" i="115"/>
  <c r="H69" i="115"/>
  <c r="G69" i="115"/>
  <c r="F66" i="115"/>
  <c r="F65" i="115"/>
  <c r="F64" i="115"/>
  <c r="F61" i="115"/>
  <c r="F60" i="115"/>
  <c r="F59" i="115"/>
  <c r="F56" i="115"/>
  <c r="F55" i="115"/>
  <c r="F54" i="115"/>
  <c r="K51" i="115"/>
  <c r="K71" i="115" s="1"/>
  <c r="J51" i="115"/>
  <c r="J71" i="115" s="1"/>
  <c r="K50" i="115"/>
  <c r="K70" i="115" s="1"/>
  <c r="J50" i="115"/>
  <c r="F50" i="115"/>
  <c r="F70" i="115" s="1"/>
  <c r="F49" i="115"/>
  <c r="F46" i="115"/>
  <c r="F45" i="115"/>
  <c r="F44" i="115"/>
  <c r="F69" i="115" s="1"/>
  <c r="N37" i="115"/>
  <c r="M37" i="115"/>
  <c r="L37" i="115"/>
  <c r="K37" i="115"/>
  <c r="I37" i="115"/>
  <c r="H37" i="115"/>
  <c r="G37" i="115"/>
  <c r="N36" i="115"/>
  <c r="M36" i="115"/>
  <c r="L36" i="115"/>
  <c r="J36" i="115"/>
  <c r="I36" i="115"/>
  <c r="H36" i="115"/>
  <c r="G36" i="115"/>
  <c r="N35" i="115"/>
  <c r="M35" i="115"/>
  <c r="L35" i="115"/>
  <c r="K35" i="115"/>
  <c r="J35" i="115"/>
  <c r="I35" i="115"/>
  <c r="H35" i="115"/>
  <c r="G35" i="115"/>
  <c r="F32" i="115"/>
  <c r="F31" i="115"/>
  <c r="F30" i="115"/>
  <c r="F27" i="115"/>
  <c r="F26" i="115"/>
  <c r="F25" i="115"/>
  <c r="F22" i="115"/>
  <c r="F21" i="115"/>
  <c r="F20" i="115"/>
  <c r="K17" i="115"/>
  <c r="J17" i="115"/>
  <c r="J37" i="115" s="1"/>
  <c r="K16" i="115"/>
  <c r="K36" i="115" s="1"/>
  <c r="J16" i="115"/>
  <c r="F16" i="115"/>
  <c r="F36" i="115" s="1"/>
  <c r="F15" i="115"/>
  <c r="F12" i="115"/>
  <c r="F11" i="115"/>
  <c r="F10" i="115"/>
  <c r="F35" i="115" s="1"/>
  <c r="F71" i="115" l="1"/>
  <c r="F17" i="115"/>
  <c r="F37" i="115" s="1"/>
  <c r="F51" i="115"/>
  <c r="F82" i="115"/>
  <c r="F102" i="115" s="1"/>
  <c r="F83" i="115"/>
  <c r="F103" i="115" s="1"/>
  <c r="F84" i="115"/>
  <c r="F104" i="115" s="1"/>
  <c r="F116" i="115"/>
  <c r="F136" i="115" s="1"/>
  <c r="F117" i="115"/>
  <c r="F137" i="115" s="1"/>
  <c r="N13" i="38" l="1"/>
  <c r="M13" i="38"/>
  <c r="L13" i="38"/>
  <c r="K13" i="38"/>
  <c r="J13" i="38"/>
  <c r="I13" i="38"/>
  <c r="H13" i="38"/>
  <c r="G13" i="38"/>
  <c r="K23" i="26" l="1"/>
  <c r="J22" i="26"/>
  <c r="I21" i="26"/>
  <c r="I35" i="113" l="1"/>
  <c r="N234" i="40" s="1"/>
  <c r="X43" i="67" l="1"/>
  <c r="W43" i="67"/>
  <c r="P44" i="67"/>
  <c r="O44" i="67"/>
  <c r="P43" i="67"/>
  <c r="O43" i="67"/>
  <c r="L44" i="67"/>
  <c r="K44" i="67"/>
  <c r="L43" i="67"/>
  <c r="K43" i="67"/>
  <c r="H44" i="67"/>
  <c r="G44" i="67"/>
  <c r="H43" i="67"/>
  <c r="G43" i="67"/>
  <c r="D44" i="67"/>
  <c r="C44" i="67"/>
  <c r="D43" i="67"/>
  <c r="C43" i="67"/>
  <c r="P42" i="68"/>
  <c r="X42" i="68"/>
  <c r="X44" i="68"/>
  <c r="W44" i="68"/>
  <c r="X43" i="68"/>
  <c r="W43" i="68"/>
  <c r="W42" i="68"/>
  <c r="P44" i="68"/>
  <c r="O44" i="68"/>
  <c r="P43" i="68"/>
  <c r="O43" i="68"/>
  <c r="O42" i="68"/>
  <c r="L44" i="68"/>
  <c r="K44" i="68"/>
  <c r="L43" i="68"/>
  <c r="K43" i="68"/>
  <c r="L42" i="68"/>
  <c r="K42" i="68"/>
  <c r="H44" i="68"/>
  <c r="G44" i="68"/>
  <c r="H43" i="68"/>
  <c r="G43" i="68"/>
  <c r="H42" i="68"/>
  <c r="G42" i="68"/>
  <c r="C44" i="68"/>
  <c r="D44" i="68"/>
  <c r="D43" i="68"/>
  <c r="C43" i="68"/>
  <c r="D42" i="68"/>
  <c r="C42" i="68"/>
  <c r="X43" i="69"/>
  <c r="W43" i="69"/>
  <c r="X42" i="69"/>
  <c r="W42" i="69"/>
  <c r="H43" i="69"/>
  <c r="G43" i="69"/>
  <c r="H42" i="69"/>
  <c r="G42" i="69"/>
  <c r="P43" i="69"/>
  <c r="O43" i="69"/>
  <c r="P42" i="69"/>
  <c r="O42" i="69"/>
  <c r="L43" i="69"/>
  <c r="K43" i="69"/>
  <c r="L42" i="69"/>
  <c r="K42" i="69"/>
  <c r="D43" i="69"/>
  <c r="C43" i="69"/>
  <c r="D42" i="69"/>
  <c r="C42" i="69"/>
  <c r="X42" i="72"/>
  <c r="W42" i="72"/>
  <c r="X41" i="72"/>
  <c r="W41" i="72"/>
  <c r="P42" i="72"/>
  <c r="O42" i="72"/>
  <c r="P41" i="72"/>
  <c r="O41" i="72"/>
  <c r="L42" i="72"/>
  <c r="K42" i="72"/>
  <c r="L41" i="72"/>
  <c r="K41" i="72"/>
  <c r="H42" i="72"/>
  <c r="G42" i="72"/>
  <c r="H41" i="72"/>
  <c r="G41" i="72"/>
  <c r="D42" i="72"/>
  <c r="C42" i="72"/>
  <c r="D41" i="72"/>
  <c r="C41" i="72"/>
  <c r="K44" i="69" l="1"/>
  <c r="L43" i="73" l="1"/>
  <c r="K43" i="73"/>
  <c r="L42" i="73"/>
  <c r="K42" i="73"/>
  <c r="H43" i="73"/>
  <c r="G43" i="73"/>
  <c r="H42" i="73"/>
  <c r="G42" i="73"/>
  <c r="D43" i="73"/>
  <c r="C43" i="73"/>
  <c r="D42" i="73"/>
  <c r="C42" i="73"/>
  <c r="P43" i="73"/>
  <c r="O43" i="73"/>
  <c r="P42" i="73"/>
  <c r="O42" i="73"/>
  <c r="W42" i="73"/>
  <c r="X42" i="73"/>
  <c r="X43" i="73"/>
  <c r="W43" i="73"/>
  <c r="P97" i="73" l="1"/>
  <c r="P98" i="73"/>
  <c r="P99" i="73"/>
  <c r="P100" i="73"/>
  <c r="P101" i="73"/>
  <c r="P102" i="73"/>
  <c r="P103" i="73"/>
  <c r="P104" i="73"/>
  <c r="P105" i="73"/>
  <c r="P106" i="73"/>
  <c r="P107" i="73"/>
  <c r="P108" i="73"/>
  <c r="P109" i="73"/>
  <c r="P110" i="73"/>
  <c r="P111" i="73"/>
  <c r="P112" i="73"/>
  <c r="P96" i="73"/>
  <c r="P68" i="73"/>
  <c r="P69" i="73"/>
  <c r="P70" i="73"/>
  <c r="P71" i="73"/>
  <c r="P72" i="73"/>
  <c r="P73" i="73"/>
  <c r="P74" i="73"/>
  <c r="P75" i="73"/>
  <c r="P76" i="73"/>
  <c r="P77" i="73"/>
  <c r="P78" i="73"/>
  <c r="P79" i="73"/>
  <c r="P80" i="73"/>
  <c r="P81" i="73"/>
  <c r="P82" i="73"/>
  <c r="P83" i="73"/>
  <c r="P67" i="73"/>
  <c r="L97" i="73"/>
  <c r="L98" i="73"/>
  <c r="L99" i="73"/>
  <c r="L100" i="73"/>
  <c r="L101" i="73"/>
  <c r="L102" i="73"/>
  <c r="L103" i="73"/>
  <c r="L104" i="73"/>
  <c r="L105" i="73"/>
  <c r="L106" i="73"/>
  <c r="L107" i="73"/>
  <c r="L108" i="73"/>
  <c r="L109" i="73"/>
  <c r="L110" i="73"/>
  <c r="L111" i="73"/>
  <c r="L112" i="73"/>
  <c r="L96" i="73"/>
  <c r="K112" i="73"/>
  <c r="J112" i="73"/>
  <c r="J83" i="73"/>
  <c r="K83" i="73"/>
  <c r="L68" i="73"/>
  <c r="L69" i="73"/>
  <c r="L70" i="73"/>
  <c r="L71" i="73"/>
  <c r="L72" i="73"/>
  <c r="L73" i="73"/>
  <c r="L74" i="73"/>
  <c r="L75" i="73"/>
  <c r="L76" i="73"/>
  <c r="L77" i="73"/>
  <c r="L78" i="73"/>
  <c r="L79" i="73"/>
  <c r="L80" i="73"/>
  <c r="L81" i="73"/>
  <c r="L82" i="73"/>
  <c r="L83" i="73"/>
  <c r="L67" i="73"/>
  <c r="G187" i="113"/>
  <c r="G188" i="113"/>
  <c r="G189" i="113"/>
  <c r="G190" i="113"/>
  <c r="G191" i="113"/>
  <c r="G192" i="113"/>
  <c r="G193" i="113"/>
  <c r="G194" i="113"/>
  <c r="G195" i="113"/>
  <c r="G196" i="113"/>
  <c r="G197" i="113"/>
  <c r="G198" i="113"/>
  <c r="G199" i="113"/>
  <c r="G200" i="113"/>
  <c r="G201" i="113"/>
  <c r="G202" i="113"/>
  <c r="G205" i="113"/>
  <c r="G206" i="113"/>
  <c r="G207" i="113"/>
  <c r="G208" i="113"/>
  <c r="G209" i="113"/>
  <c r="G210" i="113"/>
  <c r="G211" i="113"/>
  <c r="G212" i="113"/>
  <c r="G213" i="113"/>
  <c r="G214" i="113"/>
  <c r="G215" i="113"/>
  <c r="G216" i="113"/>
  <c r="G217" i="113"/>
  <c r="G218" i="113"/>
  <c r="G219" i="113"/>
  <c r="G220" i="113"/>
  <c r="G204" i="113"/>
  <c r="G186" i="113"/>
  <c r="G184" i="113"/>
  <c r="G169" i="113"/>
  <c r="G170" i="113"/>
  <c r="G171" i="113"/>
  <c r="G172" i="113"/>
  <c r="G173" i="113"/>
  <c r="G174" i="113"/>
  <c r="G175" i="113"/>
  <c r="G176" i="113"/>
  <c r="G177" i="113"/>
  <c r="G178" i="113"/>
  <c r="G179" i="113"/>
  <c r="G180" i="113"/>
  <c r="G181" i="113"/>
  <c r="G182" i="113"/>
  <c r="G183" i="113"/>
  <c r="G168" i="113"/>
  <c r="G166" i="113"/>
  <c r="G151" i="113"/>
  <c r="G152" i="113"/>
  <c r="G153" i="113"/>
  <c r="G154" i="113"/>
  <c r="G155" i="113"/>
  <c r="G156" i="113"/>
  <c r="G157" i="113"/>
  <c r="G158" i="113"/>
  <c r="G159" i="113"/>
  <c r="G160" i="113"/>
  <c r="G161" i="113"/>
  <c r="G162" i="113"/>
  <c r="G163" i="113"/>
  <c r="G164" i="113"/>
  <c r="G165" i="113"/>
  <c r="G150" i="113"/>
  <c r="K85" i="73" l="1"/>
  <c r="L92" i="73"/>
  <c r="K92" i="73" s="1"/>
  <c r="L119" i="73"/>
  <c r="K119" i="73" s="1"/>
  <c r="X112" i="73"/>
  <c r="X83" i="73"/>
  <c r="G26" i="113" l="1"/>
  <c r="G25" i="113"/>
  <c r="I25" i="113" s="1"/>
  <c r="I76" i="39" s="1"/>
  <c r="G24" i="113"/>
  <c r="I24" i="113" s="1"/>
  <c r="I52" i="39" s="1"/>
  <c r="G23" i="113"/>
  <c r="I26" i="113"/>
  <c r="I100" i="39" s="1"/>
  <c r="I28" i="39"/>
  <c r="H180" i="110" l="1"/>
  <c r="J18" i="39" l="1"/>
  <c r="J37" i="40" l="1"/>
  <c r="J21" i="40"/>
  <c r="J165" i="110"/>
  <c r="J164" i="110"/>
  <c r="H170" i="110" l="1"/>
  <c r="J170" i="110" s="1"/>
  <c r="H173" i="110"/>
  <c r="J205" i="40" s="1"/>
  <c r="H172" i="110"/>
  <c r="J147" i="40" s="1"/>
  <c r="H171" i="110"/>
  <c r="J89" i="40" s="1"/>
  <c r="J172" i="110" l="1"/>
  <c r="J171" i="110"/>
  <c r="J173" i="110"/>
  <c r="J31" i="40"/>
  <c r="M19" i="39" l="1"/>
  <c r="H62" i="39"/>
  <c r="H38" i="39"/>
  <c r="H28" i="39"/>
  <c r="H27" i="39"/>
  <c r="H26" i="39"/>
  <c r="H23" i="39"/>
  <c r="H22" i="39"/>
  <c r="H19" i="39"/>
  <c r="H18" i="39"/>
  <c r="H15" i="39"/>
  <c r="H14" i="39"/>
  <c r="H13" i="39"/>
  <c r="H12" i="39"/>
  <c r="M250" i="64"/>
  <c r="H38" i="110"/>
  <c r="H45" i="110"/>
  <c r="H44" i="110"/>
  <c r="H43" i="110"/>
  <c r="H42" i="110"/>
  <c r="H41" i="110"/>
  <c r="H40" i="110"/>
  <c r="H39" i="110"/>
  <c r="H29" i="110"/>
  <c r="H28" i="110"/>
  <c r="H27" i="110"/>
  <c r="H26" i="110"/>
  <c r="H25" i="110"/>
  <c r="H24" i="110"/>
  <c r="H23" i="110"/>
  <c r="H22" i="110"/>
  <c r="H146" i="110" l="1"/>
  <c r="H145" i="110"/>
  <c r="J64" i="47" s="1"/>
  <c r="J146" i="110" l="1"/>
  <c r="J125" i="47"/>
  <c r="H53" i="110"/>
  <c r="J42" i="39" l="1"/>
  <c r="J163" i="110"/>
  <c r="K12" i="39"/>
  <c r="J53" i="110"/>
  <c r="H20" i="26" l="1"/>
  <c r="G19" i="26"/>
  <c r="H151" i="110" l="1"/>
  <c r="M43" i="39" l="1"/>
  <c r="H157" i="110" l="1"/>
  <c r="J105" i="106" l="1"/>
  <c r="J104" i="106"/>
  <c r="K94" i="106"/>
  <c r="J94" i="106"/>
  <c r="I94" i="106"/>
  <c r="K93" i="106"/>
  <c r="J93" i="106"/>
  <c r="I93" i="106"/>
  <c r="K18" i="39" l="1"/>
  <c r="J180" i="110" l="1"/>
  <c r="J151" i="110"/>
  <c r="F157" i="110" s="1"/>
  <c r="J157" i="110" s="1"/>
  <c r="J145" i="110" l="1"/>
  <c r="J132" i="110" l="1"/>
  <c r="M42" i="39"/>
  <c r="J138" i="110"/>
  <c r="J125" i="110" l="1"/>
  <c r="J124" i="110"/>
  <c r="J121" i="110"/>
  <c r="J120" i="110"/>
  <c r="J119" i="110"/>
  <c r="J116" i="110"/>
  <c r="J115" i="110"/>
  <c r="J112" i="110"/>
  <c r="J111" i="110"/>
  <c r="J108" i="110"/>
  <c r="J107" i="110"/>
  <c r="J106" i="110"/>
  <c r="J105" i="110"/>
  <c r="C85" i="67" l="1"/>
  <c r="D92" i="67" l="1"/>
  <c r="J96" i="110"/>
  <c r="N93" i="107" l="1"/>
  <c r="N78" i="107"/>
  <c r="N92" i="107"/>
  <c r="N149" i="106"/>
  <c r="N148" i="106"/>
  <c r="K31" i="109" l="1"/>
  <c r="K30" i="109"/>
  <c r="K25" i="109"/>
  <c r="K24" i="109"/>
  <c r="K23" i="109"/>
  <c r="K22" i="109"/>
  <c r="K21" i="109"/>
  <c r="K20" i="109"/>
  <c r="K17" i="109"/>
  <c r="K16" i="109"/>
  <c r="K13" i="109"/>
  <c r="K12" i="109"/>
  <c r="K11" i="109"/>
  <c r="K10" i="109"/>
  <c r="J58" i="109"/>
  <c r="F58" i="109"/>
  <c r="J57" i="109"/>
  <c r="F57" i="109"/>
  <c r="J56" i="109"/>
  <c r="F56" i="109"/>
  <c r="J55" i="109"/>
  <c r="F55" i="109"/>
  <c r="J54" i="109"/>
  <c r="F54" i="109"/>
  <c r="J53" i="109"/>
  <c r="F53" i="109"/>
  <c r="J52" i="109"/>
  <c r="F52" i="109"/>
  <c r="J51" i="109"/>
  <c r="F51" i="109"/>
  <c r="J50" i="109"/>
  <c r="F50" i="109"/>
  <c r="J49" i="109"/>
  <c r="F49" i="109"/>
  <c r="J48" i="109"/>
  <c r="F48" i="109"/>
  <c r="J47" i="109"/>
  <c r="F47" i="109"/>
  <c r="J46" i="109"/>
  <c r="F46" i="109"/>
  <c r="J45" i="109"/>
  <c r="F45" i="109"/>
  <c r="J44" i="109"/>
  <c r="F44" i="109"/>
  <c r="J43" i="109"/>
  <c r="F43" i="109"/>
  <c r="J42" i="109"/>
  <c r="F42" i="109"/>
  <c r="G25" i="109"/>
  <c r="G24" i="109"/>
  <c r="G23" i="109"/>
  <c r="G22" i="109"/>
  <c r="G19" i="109"/>
  <c r="G18" i="109"/>
  <c r="G17" i="109"/>
  <c r="G16" i="109"/>
  <c r="C61" i="109"/>
  <c r="C52" i="109"/>
  <c r="B52" i="109"/>
  <c r="C51" i="109"/>
  <c r="B51" i="109"/>
  <c r="C50" i="109"/>
  <c r="B50" i="109"/>
  <c r="C49" i="109"/>
  <c r="B49" i="109"/>
  <c r="C48" i="109"/>
  <c r="B48" i="109"/>
  <c r="C47" i="109"/>
  <c r="B47" i="109"/>
  <c r="C46" i="109"/>
  <c r="B46" i="109"/>
  <c r="C45" i="109"/>
  <c r="B45" i="109"/>
  <c r="C44" i="109"/>
  <c r="B44" i="109"/>
  <c r="C43" i="109"/>
  <c r="B43" i="109"/>
  <c r="C42" i="109"/>
  <c r="B42" i="109"/>
  <c r="C37" i="109"/>
  <c r="C36" i="109"/>
  <c r="C35" i="109"/>
  <c r="C32" i="109"/>
  <c r="C31" i="109"/>
  <c r="C30" i="109"/>
  <c r="C27" i="109"/>
  <c r="C26" i="109"/>
  <c r="C25" i="109"/>
  <c r="C22" i="109"/>
  <c r="C21" i="109"/>
  <c r="C20" i="109"/>
  <c r="C17" i="109"/>
  <c r="C16" i="109"/>
  <c r="C15" i="109"/>
  <c r="C12" i="109"/>
  <c r="C11" i="109"/>
  <c r="C10" i="109"/>
  <c r="H18" i="108" l="1"/>
  <c r="I18" i="108"/>
  <c r="J18" i="108"/>
  <c r="K18" i="108"/>
  <c r="L18" i="108"/>
  <c r="M18" i="108"/>
  <c r="N18" i="108"/>
  <c r="G18" i="108"/>
  <c r="F23" i="108" l="1"/>
  <c r="H38" i="108"/>
  <c r="I38" i="108"/>
  <c r="J38" i="108"/>
  <c r="K38" i="108"/>
  <c r="L38" i="108"/>
  <c r="M38" i="108"/>
  <c r="N38" i="108"/>
  <c r="G38" i="108"/>
  <c r="F38" i="108" l="1"/>
  <c r="C10" i="104" l="1"/>
  <c r="C11" i="104"/>
  <c r="C12" i="104"/>
  <c r="G18" i="64" l="1"/>
  <c r="K57" i="106" l="1"/>
  <c r="G38" i="107" l="1"/>
  <c r="H38" i="107"/>
  <c r="L38" i="107"/>
  <c r="M38" i="107"/>
  <c r="N38" i="107"/>
  <c r="G39" i="107"/>
  <c r="H39" i="107"/>
  <c r="L39" i="107"/>
  <c r="M39" i="107"/>
  <c r="N39" i="107"/>
  <c r="H37" i="107"/>
  <c r="L37" i="107"/>
  <c r="M37" i="107"/>
  <c r="G37" i="107"/>
  <c r="H33" i="107"/>
  <c r="L33" i="107"/>
  <c r="M33" i="107"/>
  <c r="H34" i="107"/>
  <c r="L34" i="107"/>
  <c r="M34" i="107"/>
  <c r="N34" i="107"/>
  <c r="H35" i="107"/>
  <c r="L35" i="107"/>
  <c r="M35" i="107"/>
  <c r="N35" i="107"/>
  <c r="G34" i="107"/>
  <c r="G35" i="107"/>
  <c r="G33" i="107"/>
  <c r="H24" i="107"/>
  <c r="L24" i="107"/>
  <c r="M24" i="107"/>
  <c r="N24" i="107"/>
  <c r="H25" i="107"/>
  <c r="L25" i="107"/>
  <c r="M25" i="107"/>
  <c r="N25" i="107"/>
  <c r="H26" i="107"/>
  <c r="L26" i="107"/>
  <c r="M26" i="107"/>
  <c r="N26" i="107"/>
  <c r="G25" i="107"/>
  <c r="G26" i="107"/>
  <c r="G24" i="107"/>
  <c r="G20" i="107"/>
  <c r="H20" i="107"/>
  <c r="L20" i="107"/>
  <c r="M20" i="107"/>
  <c r="N20" i="107"/>
  <c r="G21" i="107"/>
  <c r="H21" i="107"/>
  <c r="L21" i="107"/>
  <c r="M21" i="107"/>
  <c r="N21" i="107"/>
  <c r="H19" i="107"/>
  <c r="L19" i="107"/>
  <c r="M19" i="107"/>
  <c r="N19" i="107"/>
  <c r="G19" i="107"/>
  <c r="G15" i="107"/>
  <c r="H15" i="107"/>
  <c r="L15" i="107"/>
  <c r="M15" i="107"/>
  <c r="N15" i="107"/>
  <c r="G16" i="107"/>
  <c r="H16" i="107"/>
  <c r="L16" i="107"/>
  <c r="M16" i="107"/>
  <c r="N16" i="107"/>
  <c r="H14" i="107"/>
  <c r="L14" i="107"/>
  <c r="M14" i="107"/>
  <c r="N14" i="107"/>
  <c r="G14" i="107"/>
  <c r="H9" i="107"/>
  <c r="L9" i="107"/>
  <c r="M9" i="107"/>
  <c r="N9" i="107"/>
  <c r="H10" i="107"/>
  <c r="L10" i="107"/>
  <c r="M10" i="107"/>
  <c r="N10" i="107"/>
  <c r="H11" i="107"/>
  <c r="L11" i="107"/>
  <c r="M11" i="107"/>
  <c r="N11" i="107"/>
  <c r="G10" i="107"/>
  <c r="G11" i="107"/>
  <c r="G9" i="107"/>
  <c r="F124" i="106"/>
  <c r="I135" i="106" s="1"/>
  <c r="F123" i="106"/>
  <c r="N141" i="106"/>
  <c r="M141" i="106"/>
  <c r="L141" i="106"/>
  <c r="K141" i="106"/>
  <c r="J141" i="106"/>
  <c r="I141" i="106"/>
  <c r="H141" i="106"/>
  <c r="G141" i="106"/>
  <c r="N135" i="106"/>
  <c r="M135" i="106"/>
  <c r="L135" i="106"/>
  <c r="K135" i="106"/>
  <c r="J135" i="106"/>
  <c r="H135" i="106"/>
  <c r="G135" i="106"/>
  <c r="F125" i="106"/>
  <c r="N143" i="106" s="1"/>
  <c r="N117" i="106"/>
  <c r="N48" i="107" s="1"/>
  <c r="M117" i="106"/>
  <c r="M48" i="107" s="1"/>
  <c r="L117" i="106"/>
  <c r="L48" i="107" s="1"/>
  <c r="K117" i="106"/>
  <c r="K48" i="107" s="1"/>
  <c r="J117" i="106"/>
  <c r="J48" i="107" s="1"/>
  <c r="I117" i="106"/>
  <c r="I48" i="107" s="1"/>
  <c r="H117" i="106"/>
  <c r="H48" i="107" s="1"/>
  <c r="G117" i="106"/>
  <c r="G48" i="107" s="1"/>
  <c r="F116" i="106"/>
  <c r="F115" i="106"/>
  <c r="N112" i="106"/>
  <c r="M112" i="106"/>
  <c r="L112" i="106"/>
  <c r="K112" i="106"/>
  <c r="J112" i="106"/>
  <c r="I112" i="106"/>
  <c r="H112" i="106"/>
  <c r="G112" i="106"/>
  <c r="F111" i="106"/>
  <c r="F110" i="106"/>
  <c r="N106" i="106"/>
  <c r="N47" i="107" s="1"/>
  <c r="M106" i="106"/>
  <c r="M47" i="107" s="1"/>
  <c r="L106" i="106"/>
  <c r="L47" i="107" s="1"/>
  <c r="K106" i="106"/>
  <c r="K47" i="107" s="1"/>
  <c r="J106" i="106"/>
  <c r="J47" i="107" s="1"/>
  <c r="I106" i="106"/>
  <c r="I47" i="107" s="1"/>
  <c r="H106" i="106"/>
  <c r="H47" i="107" s="1"/>
  <c r="G106" i="106"/>
  <c r="G47" i="107" s="1"/>
  <c r="F105" i="106"/>
  <c r="F104" i="106"/>
  <c r="N101" i="106"/>
  <c r="M101" i="106"/>
  <c r="L101" i="106"/>
  <c r="K101" i="106"/>
  <c r="J101" i="106"/>
  <c r="I101" i="106"/>
  <c r="H101" i="106"/>
  <c r="G101" i="106"/>
  <c r="F100" i="106"/>
  <c r="F99" i="106"/>
  <c r="N95" i="106"/>
  <c r="N46" i="107" s="1"/>
  <c r="M95" i="106"/>
  <c r="M46" i="107" s="1"/>
  <c r="L95" i="106"/>
  <c r="L46" i="107" s="1"/>
  <c r="K95" i="106"/>
  <c r="K46" i="107" s="1"/>
  <c r="J95" i="106"/>
  <c r="J46" i="107" s="1"/>
  <c r="I95" i="106"/>
  <c r="I46" i="107" s="1"/>
  <c r="H95" i="106"/>
  <c r="H46" i="107" s="1"/>
  <c r="G95" i="106"/>
  <c r="G46" i="107" s="1"/>
  <c r="F94" i="106"/>
  <c r="F93" i="106"/>
  <c r="N90" i="106"/>
  <c r="M90" i="106"/>
  <c r="L90" i="106"/>
  <c r="K90" i="106"/>
  <c r="J90" i="106"/>
  <c r="I90" i="106"/>
  <c r="H90" i="106"/>
  <c r="G90" i="106"/>
  <c r="F89" i="106"/>
  <c r="F88" i="106"/>
  <c r="K82" i="106"/>
  <c r="K39" i="107" s="1"/>
  <c r="J82" i="106"/>
  <c r="J39" i="107" s="1"/>
  <c r="I82" i="106"/>
  <c r="I39" i="107" s="1"/>
  <c r="K81" i="106"/>
  <c r="K38" i="107" s="1"/>
  <c r="J81" i="106"/>
  <c r="J38" i="107" s="1"/>
  <c r="I81" i="106"/>
  <c r="I38" i="107" s="1"/>
  <c r="N80" i="106"/>
  <c r="N37" i="107" s="1"/>
  <c r="K80" i="106"/>
  <c r="K37" i="107" s="1"/>
  <c r="J80" i="106"/>
  <c r="J37" i="107" s="1"/>
  <c r="I80" i="106"/>
  <c r="I37" i="107" s="1"/>
  <c r="K77" i="106"/>
  <c r="K35" i="107" s="1"/>
  <c r="J77" i="106"/>
  <c r="J35" i="107" s="1"/>
  <c r="I77" i="106"/>
  <c r="I35" i="107" s="1"/>
  <c r="K76" i="106"/>
  <c r="K34" i="107" s="1"/>
  <c r="J76" i="106"/>
  <c r="J34" i="107" s="1"/>
  <c r="I76" i="106"/>
  <c r="I34" i="107" s="1"/>
  <c r="N75" i="106"/>
  <c r="N33" i="107" s="1"/>
  <c r="K75" i="106"/>
  <c r="K33" i="107" s="1"/>
  <c r="J75" i="106"/>
  <c r="J33" i="107" s="1"/>
  <c r="I75" i="106"/>
  <c r="I33" i="107" s="1"/>
  <c r="N65" i="106"/>
  <c r="N30" i="107" s="1"/>
  <c r="M65" i="106"/>
  <c r="M30" i="107" s="1"/>
  <c r="L65" i="106"/>
  <c r="L30" i="107" s="1"/>
  <c r="H65" i="106"/>
  <c r="H30" i="107" s="1"/>
  <c r="G65" i="106"/>
  <c r="G30" i="107" s="1"/>
  <c r="K64" i="106"/>
  <c r="J64" i="106"/>
  <c r="I64" i="106"/>
  <c r="K63" i="106"/>
  <c r="J63" i="106"/>
  <c r="I63" i="106"/>
  <c r="N62" i="106"/>
  <c r="N29" i="107" s="1"/>
  <c r="M62" i="106"/>
  <c r="M29" i="107" s="1"/>
  <c r="L62" i="106"/>
  <c r="L29" i="107" s="1"/>
  <c r="H62" i="106"/>
  <c r="H29" i="107" s="1"/>
  <c r="G62" i="106"/>
  <c r="G29" i="107" s="1"/>
  <c r="K61" i="106"/>
  <c r="J61" i="106"/>
  <c r="I61" i="106"/>
  <c r="K60" i="106"/>
  <c r="J60" i="106"/>
  <c r="I60" i="106"/>
  <c r="N59" i="106"/>
  <c r="N28" i="107" s="1"/>
  <c r="M59" i="106"/>
  <c r="M28" i="107" s="1"/>
  <c r="L59" i="106"/>
  <c r="L28" i="107" s="1"/>
  <c r="H59" i="106"/>
  <c r="H28" i="107" s="1"/>
  <c r="G59" i="106"/>
  <c r="G28" i="107" s="1"/>
  <c r="K58" i="106"/>
  <c r="J58" i="106"/>
  <c r="I58" i="106"/>
  <c r="J57" i="106"/>
  <c r="I57" i="106"/>
  <c r="K54" i="106"/>
  <c r="K26" i="107" s="1"/>
  <c r="J54" i="106"/>
  <c r="J26" i="107" s="1"/>
  <c r="I54" i="106"/>
  <c r="I26" i="107" s="1"/>
  <c r="K53" i="106"/>
  <c r="K25" i="107" s="1"/>
  <c r="J53" i="106"/>
  <c r="J25" i="107" s="1"/>
  <c r="I53" i="106"/>
  <c r="I25" i="107" s="1"/>
  <c r="K52" i="106"/>
  <c r="K24" i="107" s="1"/>
  <c r="J52" i="106"/>
  <c r="J24" i="107" s="1"/>
  <c r="I52" i="106"/>
  <c r="I24" i="107" s="1"/>
  <c r="K43" i="106"/>
  <c r="K21" i="107" s="1"/>
  <c r="J43" i="106"/>
  <c r="J21" i="107" s="1"/>
  <c r="I43" i="106"/>
  <c r="I21" i="107" s="1"/>
  <c r="K42" i="106"/>
  <c r="K20" i="107" s="1"/>
  <c r="J42" i="106"/>
  <c r="J20" i="107" s="1"/>
  <c r="I42" i="106"/>
  <c r="I20" i="107" s="1"/>
  <c r="K41" i="106"/>
  <c r="K19" i="107" s="1"/>
  <c r="J41" i="106"/>
  <c r="J19" i="107" s="1"/>
  <c r="I41" i="106"/>
  <c r="I19" i="107" s="1"/>
  <c r="K32" i="106"/>
  <c r="K16" i="107" s="1"/>
  <c r="J32" i="106"/>
  <c r="J16" i="107" s="1"/>
  <c r="I32" i="106"/>
  <c r="I16" i="107" s="1"/>
  <c r="K31" i="106"/>
  <c r="K15" i="107" s="1"/>
  <c r="J31" i="106"/>
  <c r="J15" i="107" s="1"/>
  <c r="I31" i="106"/>
  <c r="I15" i="107" s="1"/>
  <c r="K30" i="106"/>
  <c r="K14" i="107" s="1"/>
  <c r="J30" i="106"/>
  <c r="J14" i="107" s="1"/>
  <c r="I30" i="106"/>
  <c r="I14" i="107" s="1"/>
  <c r="K21" i="106"/>
  <c r="K11" i="107" s="1"/>
  <c r="J21" i="106"/>
  <c r="J11" i="107" s="1"/>
  <c r="I21" i="106"/>
  <c r="I11" i="107" s="1"/>
  <c r="K20" i="106"/>
  <c r="K10" i="107" s="1"/>
  <c r="J20" i="106"/>
  <c r="J10" i="107" s="1"/>
  <c r="I20" i="106"/>
  <c r="I10" i="107" s="1"/>
  <c r="K19" i="106"/>
  <c r="K9" i="107" s="1"/>
  <c r="J19" i="106"/>
  <c r="J9" i="107" s="1"/>
  <c r="I19" i="106"/>
  <c r="I9" i="107" s="1"/>
  <c r="F112" i="106" l="1"/>
  <c r="F90" i="106"/>
  <c r="G42" i="107"/>
  <c r="I42" i="107"/>
  <c r="K42" i="107"/>
  <c r="M42" i="107"/>
  <c r="F101" i="106"/>
  <c r="G43" i="107"/>
  <c r="I43" i="107"/>
  <c r="K43" i="107"/>
  <c r="M43" i="107"/>
  <c r="F106" i="106"/>
  <c r="H44" i="107"/>
  <c r="J44" i="107"/>
  <c r="J79" i="107" s="1"/>
  <c r="L44" i="107"/>
  <c r="N44" i="107"/>
  <c r="N83" i="107" s="1"/>
  <c r="H42" i="107"/>
  <c r="J42" i="107"/>
  <c r="J81" i="107" s="1"/>
  <c r="L42" i="107"/>
  <c r="N42" i="107"/>
  <c r="H43" i="107"/>
  <c r="J43" i="107"/>
  <c r="J78" i="107" s="1"/>
  <c r="L43" i="107"/>
  <c r="N43" i="107"/>
  <c r="G44" i="107"/>
  <c r="I44" i="107"/>
  <c r="I79" i="107" s="1"/>
  <c r="K44" i="107"/>
  <c r="M44" i="107"/>
  <c r="N144" i="106"/>
  <c r="N81" i="107"/>
  <c r="N79" i="107"/>
  <c r="I81" i="107"/>
  <c r="I78" i="107"/>
  <c r="N129" i="106"/>
  <c r="N130" i="106" s="1"/>
  <c r="H127" i="106"/>
  <c r="H128" i="106" s="1"/>
  <c r="J127" i="106"/>
  <c r="L127" i="106"/>
  <c r="L128" i="106" s="1"/>
  <c r="N127" i="106"/>
  <c r="G129" i="106"/>
  <c r="I129" i="106"/>
  <c r="K129" i="106"/>
  <c r="M129" i="106"/>
  <c r="G127" i="106"/>
  <c r="G128" i="106" s="1"/>
  <c r="I127" i="106"/>
  <c r="I128" i="106" s="1"/>
  <c r="K127" i="106"/>
  <c r="K128" i="106" s="1"/>
  <c r="M127" i="106"/>
  <c r="M128" i="106" s="1"/>
  <c r="F129" i="106"/>
  <c r="H129" i="106"/>
  <c r="J129" i="106"/>
  <c r="L129" i="106"/>
  <c r="I59" i="106"/>
  <c r="I28" i="107" s="1"/>
  <c r="K59" i="106"/>
  <c r="K28" i="107" s="1"/>
  <c r="J59" i="106"/>
  <c r="J28" i="107" s="1"/>
  <c r="I62" i="106"/>
  <c r="I29" i="107" s="1"/>
  <c r="K62" i="106"/>
  <c r="K29" i="107" s="1"/>
  <c r="J65" i="106"/>
  <c r="J30" i="107" s="1"/>
  <c r="J62" i="106"/>
  <c r="J29" i="107" s="1"/>
  <c r="I65" i="106"/>
  <c r="I30" i="107" s="1"/>
  <c r="K65" i="106"/>
  <c r="K30" i="107" s="1"/>
  <c r="F95" i="106"/>
  <c r="F117" i="106"/>
  <c r="J128" i="106"/>
  <c r="N128" i="106"/>
  <c r="I130" i="106"/>
  <c r="M130" i="106"/>
  <c r="G136" i="106"/>
  <c r="I136" i="106"/>
  <c r="K136" i="106"/>
  <c r="M136" i="106"/>
  <c r="H136" i="106"/>
  <c r="J136" i="106"/>
  <c r="L136" i="106"/>
  <c r="N136" i="106"/>
  <c r="G134" i="106"/>
  <c r="I134" i="106"/>
  <c r="K134" i="106"/>
  <c r="M134" i="106"/>
  <c r="G143" i="106"/>
  <c r="I143" i="106"/>
  <c r="K143" i="106"/>
  <c r="M143" i="106"/>
  <c r="H134" i="106"/>
  <c r="J134" i="106"/>
  <c r="L134" i="106"/>
  <c r="N134" i="106"/>
  <c r="H143" i="106"/>
  <c r="J143" i="106"/>
  <c r="L143" i="106"/>
  <c r="N150" i="106" l="1"/>
  <c r="N58" i="107" s="1"/>
  <c r="N67" i="107" s="1"/>
  <c r="N53" i="107"/>
  <c r="N71" i="107"/>
  <c r="N97" i="107" s="1"/>
  <c r="H144" i="106"/>
  <c r="H137" i="106"/>
  <c r="G144" i="106"/>
  <c r="G137" i="106"/>
  <c r="J144" i="106"/>
  <c r="M144" i="106"/>
  <c r="I144" i="106"/>
  <c r="M131" i="106"/>
  <c r="N77" i="107"/>
  <c r="N82" i="107"/>
  <c r="J83" i="107"/>
  <c r="I82" i="107"/>
  <c r="I83" i="107"/>
  <c r="I77" i="107"/>
  <c r="L144" i="106"/>
  <c r="L137" i="106"/>
  <c r="K144" i="106"/>
  <c r="K137" i="106"/>
  <c r="J82" i="107"/>
  <c r="J77" i="107"/>
  <c r="L130" i="106"/>
  <c r="H130" i="106"/>
  <c r="I131" i="106"/>
  <c r="J130" i="106"/>
  <c r="K130" i="106"/>
  <c r="G130" i="106"/>
  <c r="H131" i="106"/>
  <c r="L131" i="106"/>
  <c r="N137" i="106"/>
  <c r="J137" i="106"/>
  <c r="M137" i="106"/>
  <c r="I137" i="106"/>
  <c r="N131" i="106"/>
  <c r="M149" i="106" l="1"/>
  <c r="M57" i="107" s="1"/>
  <c r="M52" i="107"/>
  <c r="I149" i="106"/>
  <c r="I57" i="107" s="1"/>
  <c r="I70" i="107" s="1"/>
  <c r="I96" i="107" s="1"/>
  <c r="I52" i="107"/>
  <c r="J149" i="106"/>
  <c r="J57" i="107" s="1"/>
  <c r="J66" i="107" s="1"/>
  <c r="J52" i="107"/>
  <c r="L148" i="106"/>
  <c r="L56" i="107" s="1"/>
  <c r="L51" i="107"/>
  <c r="I148" i="106"/>
  <c r="I56" i="107" s="1"/>
  <c r="I51" i="107"/>
  <c r="K150" i="106"/>
  <c r="K58" i="107" s="1"/>
  <c r="K53" i="107"/>
  <c r="L150" i="106"/>
  <c r="L58" i="107" s="1"/>
  <c r="L53" i="107"/>
  <c r="I150" i="106"/>
  <c r="I58" i="107" s="1"/>
  <c r="I67" i="107" s="1"/>
  <c r="I93" i="107" s="1"/>
  <c r="I53" i="107"/>
  <c r="J150" i="106"/>
  <c r="J58" i="107" s="1"/>
  <c r="J67" i="107" s="1"/>
  <c r="J106" i="107" s="1"/>
  <c r="J53" i="107"/>
  <c r="G150" i="106"/>
  <c r="G58" i="107" s="1"/>
  <c r="G53" i="107"/>
  <c r="H150" i="106"/>
  <c r="H58" i="107" s="1"/>
  <c r="H53" i="107"/>
  <c r="N56" i="107"/>
  <c r="N65" i="107" s="1"/>
  <c r="N51" i="107"/>
  <c r="N57" i="107"/>
  <c r="N70" i="107" s="1"/>
  <c r="N96" i="107" s="1"/>
  <c r="N52" i="107"/>
  <c r="H148" i="106"/>
  <c r="H56" i="107" s="1"/>
  <c r="H51" i="107"/>
  <c r="K149" i="106"/>
  <c r="K57" i="107" s="1"/>
  <c r="K52" i="107"/>
  <c r="L149" i="106"/>
  <c r="L57" i="107" s="1"/>
  <c r="L52" i="107"/>
  <c r="M148" i="106"/>
  <c r="M56" i="107" s="1"/>
  <c r="M51" i="107"/>
  <c r="M150" i="106"/>
  <c r="M58" i="107" s="1"/>
  <c r="M53" i="107"/>
  <c r="G149" i="106"/>
  <c r="G57" i="107" s="1"/>
  <c r="G52" i="107"/>
  <c r="H149" i="106"/>
  <c r="H57" i="107" s="1"/>
  <c r="H52" i="107"/>
  <c r="N69" i="107"/>
  <c r="N95" i="107" s="1"/>
  <c r="K96" i="107"/>
  <c r="K97" i="107"/>
  <c r="L96" i="107"/>
  <c r="L97" i="107"/>
  <c r="M95" i="107"/>
  <c r="I71" i="107"/>
  <c r="I97" i="107" s="1"/>
  <c r="M97" i="107"/>
  <c r="J71" i="107"/>
  <c r="G96" i="107"/>
  <c r="G92" i="107"/>
  <c r="G97" i="107"/>
  <c r="H96" i="107"/>
  <c r="H97" i="107"/>
  <c r="M96" i="107"/>
  <c r="H95" i="107"/>
  <c r="I66" i="107"/>
  <c r="L95" i="107"/>
  <c r="G131" i="106"/>
  <c r="K131" i="106"/>
  <c r="J131" i="106"/>
  <c r="J70" i="107" l="1"/>
  <c r="J96" i="107" s="1"/>
  <c r="N66" i="107"/>
  <c r="J148" i="106"/>
  <c r="J56" i="107" s="1"/>
  <c r="J65" i="107" s="1"/>
  <c r="J91" i="107" s="1"/>
  <c r="J51" i="107"/>
  <c r="G148" i="106"/>
  <c r="G56" i="107" s="1"/>
  <c r="G51" i="107"/>
  <c r="K148" i="106"/>
  <c r="K56" i="107" s="1"/>
  <c r="K51" i="107"/>
  <c r="I69" i="107"/>
  <c r="I95" i="107" s="1"/>
  <c r="I65" i="107"/>
  <c r="I91" i="107" s="1"/>
  <c r="J92" i="107"/>
  <c r="I92" i="107"/>
  <c r="M92" i="107"/>
  <c r="H91" i="107"/>
  <c r="H93" i="107"/>
  <c r="H92" i="107"/>
  <c r="G93" i="107"/>
  <c r="M93" i="107"/>
  <c r="M91" i="107"/>
  <c r="L93" i="107"/>
  <c r="L92" i="107"/>
  <c r="K92" i="107"/>
  <c r="N91" i="107"/>
  <c r="L91" i="107"/>
  <c r="J114" i="107"/>
  <c r="K93" i="107"/>
  <c r="J69" i="107"/>
  <c r="J95" i="107" s="1"/>
  <c r="K95" i="107"/>
  <c r="G95" i="107"/>
  <c r="M60" i="39"/>
  <c r="M36" i="39"/>
  <c r="M12" i="39"/>
  <c r="G91" i="107" l="1"/>
  <c r="K91" i="107"/>
  <c r="K84" i="39"/>
  <c r="K60" i="39"/>
  <c r="K36" i="39" l="1"/>
  <c r="J43" i="100" l="1"/>
  <c r="J44" i="100"/>
  <c r="J45" i="100"/>
  <c r="J46" i="100"/>
  <c r="J47" i="100"/>
  <c r="J48" i="100"/>
  <c r="J49" i="100"/>
  <c r="J50" i="100"/>
  <c r="J51" i="100"/>
  <c r="J52" i="100"/>
  <c r="J42" i="100"/>
  <c r="J43" i="105" l="1"/>
  <c r="J44" i="105"/>
  <c r="J45" i="105"/>
  <c r="J46" i="105"/>
  <c r="J47" i="105"/>
  <c r="J48" i="105"/>
  <c r="J49" i="105"/>
  <c r="J50" i="105"/>
  <c r="J51" i="105"/>
  <c r="J52" i="105"/>
  <c r="J53" i="105"/>
  <c r="J54" i="105"/>
  <c r="J55" i="105"/>
  <c r="J56" i="105"/>
  <c r="J57" i="105"/>
  <c r="J58" i="105"/>
  <c r="J42" i="105"/>
  <c r="F43" i="105"/>
  <c r="F44" i="105"/>
  <c r="F45" i="105"/>
  <c r="F46" i="105"/>
  <c r="F47" i="105"/>
  <c r="F48" i="105"/>
  <c r="F49" i="105"/>
  <c r="F50" i="105"/>
  <c r="F51" i="105"/>
  <c r="F52" i="105"/>
  <c r="F53" i="105"/>
  <c r="F54" i="105"/>
  <c r="F55" i="105"/>
  <c r="F56" i="105"/>
  <c r="F57" i="105"/>
  <c r="F58" i="105"/>
  <c r="F42" i="105"/>
  <c r="B61" i="105"/>
  <c r="B43" i="105"/>
  <c r="B44" i="105"/>
  <c r="B45" i="105"/>
  <c r="B46" i="105"/>
  <c r="B47" i="105"/>
  <c r="B48" i="105"/>
  <c r="B49" i="105"/>
  <c r="B50" i="105"/>
  <c r="B51" i="105"/>
  <c r="B52" i="105"/>
  <c r="B53" i="105"/>
  <c r="B54" i="105"/>
  <c r="B55" i="105"/>
  <c r="B56" i="105"/>
  <c r="B57" i="105"/>
  <c r="B58" i="105"/>
  <c r="B42" i="105"/>
  <c r="J43" i="104"/>
  <c r="J44" i="104"/>
  <c r="J45" i="104"/>
  <c r="J46" i="104"/>
  <c r="J47" i="104"/>
  <c r="J48" i="104"/>
  <c r="J49" i="104"/>
  <c r="J50" i="104"/>
  <c r="J51" i="104"/>
  <c r="J52" i="104"/>
  <c r="J53" i="104"/>
  <c r="J42" i="104"/>
  <c r="F43" i="104"/>
  <c r="F44" i="104"/>
  <c r="F45" i="104"/>
  <c r="F46" i="104"/>
  <c r="F47" i="104"/>
  <c r="F48" i="104"/>
  <c r="F49" i="104"/>
  <c r="F50" i="104"/>
  <c r="F51" i="104"/>
  <c r="F52" i="104"/>
  <c r="F53" i="104"/>
  <c r="F42" i="104"/>
  <c r="B61" i="104"/>
  <c r="B43" i="104"/>
  <c r="B44" i="104"/>
  <c r="B45" i="104"/>
  <c r="B46" i="104"/>
  <c r="B47" i="104"/>
  <c r="B48" i="104"/>
  <c r="B42" i="104"/>
  <c r="J43" i="103"/>
  <c r="J44" i="103"/>
  <c r="J45" i="103"/>
  <c r="J46" i="103"/>
  <c r="J47" i="103"/>
  <c r="J48" i="103"/>
  <c r="J49" i="103"/>
  <c r="J50" i="103"/>
  <c r="J51" i="103"/>
  <c r="J52" i="103"/>
  <c r="J53" i="103"/>
  <c r="J54" i="103"/>
  <c r="J55" i="103"/>
  <c r="J56" i="103"/>
  <c r="J57" i="103"/>
  <c r="J42" i="103"/>
  <c r="F43" i="103"/>
  <c r="F44" i="103"/>
  <c r="F45" i="103"/>
  <c r="F46" i="103"/>
  <c r="F47" i="103"/>
  <c r="F48" i="103"/>
  <c r="F49" i="103"/>
  <c r="F50" i="103"/>
  <c r="F51" i="103"/>
  <c r="F52" i="103"/>
  <c r="F53" i="103"/>
  <c r="F54" i="103"/>
  <c r="F55" i="103"/>
  <c r="F56" i="103"/>
  <c r="F57" i="103"/>
  <c r="F42" i="103"/>
  <c r="B61" i="103"/>
  <c r="B43" i="103"/>
  <c r="C43" i="103"/>
  <c r="B44" i="103"/>
  <c r="C44" i="103"/>
  <c r="B45" i="103"/>
  <c r="B46" i="103"/>
  <c r="B47" i="103"/>
  <c r="B48" i="103"/>
  <c r="B49" i="103"/>
  <c r="B50" i="103"/>
  <c r="B51" i="103"/>
  <c r="C42" i="103"/>
  <c r="B42" i="103"/>
  <c r="J43" i="102"/>
  <c r="J44" i="102"/>
  <c r="J45" i="102"/>
  <c r="J46" i="102"/>
  <c r="J47" i="102"/>
  <c r="J48" i="102"/>
  <c r="J49" i="102"/>
  <c r="J50" i="102"/>
  <c r="J51" i="102"/>
  <c r="J52" i="102"/>
  <c r="J42" i="102"/>
  <c r="F43" i="102"/>
  <c r="F44" i="102"/>
  <c r="F45" i="102"/>
  <c r="F46" i="102"/>
  <c r="F47" i="102"/>
  <c r="F48" i="102"/>
  <c r="F49" i="102"/>
  <c r="F50" i="102"/>
  <c r="F51" i="102"/>
  <c r="F52" i="102"/>
  <c r="F42" i="102"/>
  <c r="B61" i="102"/>
  <c r="B43" i="102"/>
  <c r="B44" i="102"/>
  <c r="B45" i="102"/>
  <c r="B46" i="102"/>
  <c r="B47" i="102"/>
  <c r="B48" i="102"/>
  <c r="B49" i="102"/>
  <c r="B50" i="102"/>
  <c r="B51" i="102"/>
  <c r="B52" i="102"/>
  <c r="B42" i="102"/>
  <c r="J43" i="101"/>
  <c r="J44" i="101"/>
  <c r="J45" i="101"/>
  <c r="J46" i="101"/>
  <c r="J47" i="101"/>
  <c r="J48" i="101"/>
  <c r="J49" i="101"/>
  <c r="J50" i="101"/>
  <c r="J51" i="101"/>
  <c r="J52" i="101"/>
  <c r="J53" i="101"/>
  <c r="J54" i="101"/>
  <c r="J42" i="101"/>
  <c r="F43" i="101"/>
  <c r="F44" i="101"/>
  <c r="F45" i="101"/>
  <c r="F46" i="101"/>
  <c r="F47" i="101"/>
  <c r="F48" i="101"/>
  <c r="F49" i="101"/>
  <c r="F50" i="101"/>
  <c r="F51" i="101"/>
  <c r="F52" i="101"/>
  <c r="F53" i="101"/>
  <c r="F54" i="101"/>
  <c r="F42" i="101"/>
  <c r="B62" i="101"/>
  <c r="B61" i="101"/>
  <c r="B43" i="101"/>
  <c r="B44" i="101"/>
  <c r="B45" i="101"/>
  <c r="B46" i="101"/>
  <c r="B47" i="101"/>
  <c r="B48" i="101"/>
  <c r="B49" i="101"/>
  <c r="B50" i="101"/>
  <c r="C42" i="101"/>
  <c r="B42" i="101"/>
  <c r="J43" i="99"/>
  <c r="J44" i="99"/>
  <c r="J45" i="99"/>
  <c r="J46" i="99"/>
  <c r="J47" i="99"/>
  <c r="J48" i="99"/>
  <c r="J49" i="99"/>
  <c r="J50" i="99"/>
  <c r="J51" i="99"/>
  <c r="J52" i="99"/>
  <c r="J42" i="99"/>
  <c r="F43" i="99"/>
  <c r="F44" i="99"/>
  <c r="F45" i="99"/>
  <c r="F46" i="99"/>
  <c r="F47" i="99"/>
  <c r="F48" i="99"/>
  <c r="F49" i="99"/>
  <c r="F50" i="99"/>
  <c r="F51" i="99"/>
  <c r="F52" i="99"/>
  <c r="F42" i="99"/>
  <c r="B61" i="99"/>
  <c r="C43" i="99"/>
  <c r="C48" i="99"/>
  <c r="C42" i="99"/>
  <c r="B43" i="99"/>
  <c r="B44" i="99"/>
  <c r="B45" i="99"/>
  <c r="B46" i="99"/>
  <c r="B47" i="99"/>
  <c r="B48" i="99"/>
  <c r="B49" i="99"/>
  <c r="B50" i="99"/>
  <c r="B51" i="99"/>
  <c r="B42" i="99"/>
  <c r="B61" i="100"/>
  <c r="F43" i="100"/>
  <c r="F44" i="100"/>
  <c r="F45" i="100"/>
  <c r="F46" i="100"/>
  <c r="F47" i="100"/>
  <c r="F48" i="100"/>
  <c r="F49" i="100"/>
  <c r="F50" i="100"/>
  <c r="F51" i="100"/>
  <c r="F52" i="100"/>
  <c r="F42" i="100"/>
  <c r="C44" i="100"/>
  <c r="C42" i="100"/>
  <c r="B43" i="100"/>
  <c r="B44" i="100"/>
  <c r="B45" i="100"/>
  <c r="B46" i="100"/>
  <c r="B47" i="100"/>
  <c r="B48" i="100"/>
  <c r="B49" i="100"/>
  <c r="B50" i="100"/>
  <c r="B42" i="100"/>
  <c r="P119" i="73" l="1"/>
  <c r="O119" i="73" s="1"/>
  <c r="R36" i="65" s="1"/>
  <c r="G201" i="64" s="1"/>
  <c r="G201" i="34" s="1"/>
  <c r="H119" i="73"/>
  <c r="G119" i="73" s="1"/>
  <c r="D119" i="73"/>
  <c r="C119" i="73" s="1"/>
  <c r="P118" i="73"/>
  <c r="O118" i="73" s="1"/>
  <c r="R35" i="65" s="1"/>
  <c r="G200" i="64" s="1"/>
  <c r="G200" i="34" s="1"/>
  <c r="L118" i="73"/>
  <c r="K118" i="73" s="1"/>
  <c r="O35" i="65" s="1"/>
  <c r="G144" i="64" s="1"/>
  <c r="G144" i="34" s="1"/>
  <c r="H118" i="73"/>
  <c r="G118" i="73" s="1"/>
  <c r="D118" i="73"/>
  <c r="C118" i="73" s="1"/>
  <c r="P117" i="73"/>
  <c r="O117" i="73" s="1"/>
  <c r="R34" i="65" s="1"/>
  <c r="G199" i="64" s="1"/>
  <c r="G199" i="34" s="1"/>
  <c r="L117" i="73"/>
  <c r="K117" i="73" s="1"/>
  <c r="O34" i="65" s="1"/>
  <c r="G143" i="64" s="1"/>
  <c r="G143" i="34" s="1"/>
  <c r="H117" i="73"/>
  <c r="G117" i="73" s="1"/>
  <c r="D117" i="73"/>
  <c r="C117" i="73" s="1"/>
  <c r="P116" i="73"/>
  <c r="O116" i="73" s="1"/>
  <c r="R33" i="65" s="1"/>
  <c r="G198" i="64" s="1"/>
  <c r="G198" i="34" s="1"/>
  <c r="L116" i="73"/>
  <c r="K116" i="73" s="1"/>
  <c r="O33" i="65" s="1"/>
  <c r="G142" i="64" s="1"/>
  <c r="G142" i="34" s="1"/>
  <c r="H116" i="73"/>
  <c r="G116" i="73" s="1"/>
  <c r="D116" i="73"/>
  <c r="C116" i="73" s="1"/>
  <c r="P115" i="73"/>
  <c r="O115" i="73" s="1"/>
  <c r="L115" i="73"/>
  <c r="K115" i="73" s="1"/>
  <c r="K120" i="73" s="1"/>
  <c r="H115" i="73"/>
  <c r="G115" i="73" s="1"/>
  <c r="G120" i="73" s="1"/>
  <c r="D115" i="73"/>
  <c r="C115" i="73" s="1"/>
  <c r="C120" i="73" s="1"/>
  <c r="K58" i="109"/>
  <c r="W112" i="73"/>
  <c r="X111" i="73"/>
  <c r="K57" i="109" s="1"/>
  <c r="W111" i="73"/>
  <c r="X110" i="73"/>
  <c r="K56" i="109" s="1"/>
  <c r="W110" i="73"/>
  <c r="X109" i="73"/>
  <c r="K55" i="109" s="1"/>
  <c r="W109" i="73"/>
  <c r="X108" i="73"/>
  <c r="K54" i="109" s="1"/>
  <c r="W108" i="73"/>
  <c r="X107" i="73"/>
  <c r="K53" i="109" s="1"/>
  <c r="W107" i="73"/>
  <c r="X106" i="73"/>
  <c r="K52" i="109" s="1"/>
  <c r="W106" i="73"/>
  <c r="X105" i="73"/>
  <c r="K51" i="109" s="1"/>
  <c r="W105" i="73"/>
  <c r="X104" i="73"/>
  <c r="K50" i="109" s="1"/>
  <c r="W104" i="73"/>
  <c r="X103" i="73"/>
  <c r="K49" i="109" s="1"/>
  <c r="W103" i="73"/>
  <c r="X102" i="73"/>
  <c r="K48" i="109" s="1"/>
  <c r="W102" i="73"/>
  <c r="X101" i="73"/>
  <c r="K47" i="109" s="1"/>
  <c r="W101" i="73"/>
  <c r="X100" i="73"/>
  <c r="K46" i="109" s="1"/>
  <c r="W100" i="73"/>
  <c r="X99" i="73"/>
  <c r="K45" i="109" s="1"/>
  <c r="W99" i="73"/>
  <c r="X98" i="73"/>
  <c r="K44" i="109" s="1"/>
  <c r="W98" i="73"/>
  <c r="X97" i="73"/>
  <c r="K43" i="109" s="1"/>
  <c r="W97" i="73"/>
  <c r="X96" i="73"/>
  <c r="K42" i="109" s="1"/>
  <c r="W96" i="73"/>
  <c r="P92" i="73"/>
  <c r="O92" i="73" s="1"/>
  <c r="R28" i="65" s="1"/>
  <c r="G194" i="64" s="1"/>
  <c r="G194" i="34" s="1"/>
  <c r="O28" i="65"/>
  <c r="G138" i="64" s="1"/>
  <c r="G138" i="34" s="1"/>
  <c r="H92" i="73"/>
  <c r="G92" i="73" s="1"/>
  <c r="L28" i="65" s="1"/>
  <c r="D92" i="73"/>
  <c r="C92" i="73" s="1"/>
  <c r="I28" i="65" s="1"/>
  <c r="P91" i="73"/>
  <c r="O91" i="73" s="1"/>
  <c r="R27" i="65" s="1"/>
  <c r="G193" i="64" s="1"/>
  <c r="G193" i="34" s="1"/>
  <c r="L91" i="73"/>
  <c r="K91" i="73" s="1"/>
  <c r="O27" i="65" s="1"/>
  <c r="G137" i="64" s="1"/>
  <c r="G137" i="34" s="1"/>
  <c r="H91" i="73"/>
  <c r="G91" i="73" s="1"/>
  <c r="L27" i="65" s="1"/>
  <c r="D91" i="73"/>
  <c r="C91" i="73" s="1"/>
  <c r="I27" i="65" s="1"/>
  <c r="P90" i="73"/>
  <c r="O90" i="73" s="1"/>
  <c r="R26" i="65" s="1"/>
  <c r="G192" i="64" s="1"/>
  <c r="G192" i="34" s="1"/>
  <c r="L90" i="73"/>
  <c r="K90" i="73" s="1"/>
  <c r="O26" i="65" s="1"/>
  <c r="G136" i="64" s="1"/>
  <c r="G136" i="34" s="1"/>
  <c r="H90" i="73"/>
  <c r="G90" i="73" s="1"/>
  <c r="L26" i="65" s="1"/>
  <c r="D90" i="73"/>
  <c r="C90" i="73" s="1"/>
  <c r="I26" i="65" s="1"/>
  <c r="P89" i="73"/>
  <c r="O89" i="73" s="1"/>
  <c r="R25" i="65" s="1"/>
  <c r="G191" i="64" s="1"/>
  <c r="G191" i="34" s="1"/>
  <c r="L89" i="73"/>
  <c r="K89" i="73" s="1"/>
  <c r="O25" i="65" s="1"/>
  <c r="G135" i="64" s="1"/>
  <c r="G135" i="34" s="1"/>
  <c r="H89" i="73"/>
  <c r="G89" i="73" s="1"/>
  <c r="L25" i="65" s="1"/>
  <c r="D89" i="73"/>
  <c r="C89" i="73" s="1"/>
  <c r="I25" i="65" s="1"/>
  <c r="P88" i="73"/>
  <c r="O88" i="73" s="1"/>
  <c r="L88" i="73"/>
  <c r="K88" i="73" s="1"/>
  <c r="H88" i="73"/>
  <c r="G88" i="73" s="1"/>
  <c r="D88" i="73"/>
  <c r="C88" i="73" s="1"/>
  <c r="S85" i="73"/>
  <c r="O85" i="73"/>
  <c r="G85" i="73"/>
  <c r="C85" i="73"/>
  <c r="G58" i="109"/>
  <c r="W83" i="73"/>
  <c r="X82" i="73"/>
  <c r="G57" i="109" s="1"/>
  <c r="W82" i="73"/>
  <c r="X81" i="73"/>
  <c r="G56" i="109" s="1"/>
  <c r="W81" i="73"/>
  <c r="X80" i="73"/>
  <c r="G55" i="109" s="1"/>
  <c r="W80" i="73"/>
  <c r="X79" i="73"/>
  <c r="G54" i="109" s="1"/>
  <c r="W79" i="73"/>
  <c r="X78" i="73"/>
  <c r="G53" i="109" s="1"/>
  <c r="W78" i="73"/>
  <c r="X77" i="73"/>
  <c r="G52" i="109" s="1"/>
  <c r="W77" i="73"/>
  <c r="X76" i="73"/>
  <c r="G51" i="109" s="1"/>
  <c r="W76" i="73"/>
  <c r="X75" i="73"/>
  <c r="G50" i="109" s="1"/>
  <c r="W75" i="73"/>
  <c r="X74" i="73"/>
  <c r="G49" i="109" s="1"/>
  <c r="W74" i="73"/>
  <c r="X73" i="73"/>
  <c r="G48" i="109" s="1"/>
  <c r="W73" i="73"/>
  <c r="X72" i="73"/>
  <c r="G47" i="109" s="1"/>
  <c r="W72" i="73"/>
  <c r="X71" i="73"/>
  <c r="G46" i="109" s="1"/>
  <c r="W71" i="73"/>
  <c r="X70" i="73"/>
  <c r="G45" i="109" s="1"/>
  <c r="W70" i="73"/>
  <c r="X69" i="73"/>
  <c r="G44" i="109" s="1"/>
  <c r="W69" i="73"/>
  <c r="X68" i="73"/>
  <c r="G43" i="109" s="1"/>
  <c r="W68" i="73"/>
  <c r="X67" i="73"/>
  <c r="G42" i="109" s="1"/>
  <c r="W67" i="73"/>
  <c r="B54" i="73"/>
  <c r="P48" i="73"/>
  <c r="O48" i="73"/>
  <c r="L48" i="73"/>
  <c r="K48" i="73"/>
  <c r="H48" i="73"/>
  <c r="G48" i="73"/>
  <c r="D48" i="73"/>
  <c r="C48" i="73"/>
  <c r="X44" i="73"/>
  <c r="W44" i="73"/>
  <c r="P44" i="73"/>
  <c r="O44" i="73"/>
  <c r="P41" i="73"/>
  <c r="O41" i="73"/>
  <c r="L41" i="73"/>
  <c r="K41" i="73"/>
  <c r="H41" i="73"/>
  <c r="G41" i="73"/>
  <c r="D41" i="73"/>
  <c r="C41" i="73"/>
  <c r="P40" i="73"/>
  <c r="O40" i="73"/>
  <c r="L40" i="73"/>
  <c r="K40" i="73"/>
  <c r="H40" i="73"/>
  <c r="G40" i="73"/>
  <c r="D40" i="73"/>
  <c r="C40" i="73"/>
  <c r="W39" i="73"/>
  <c r="P39" i="73"/>
  <c r="O39" i="73"/>
  <c r="L39" i="73"/>
  <c r="K39" i="73"/>
  <c r="K45" i="73" s="1"/>
  <c r="H39" i="73"/>
  <c r="G39" i="73"/>
  <c r="G45" i="73" s="1"/>
  <c r="D39" i="73"/>
  <c r="C39" i="73"/>
  <c r="C45" i="73" s="1"/>
  <c r="S34" i="73"/>
  <c r="O34" i="73"/>
  <c r="K34" i="73"/>
  <c r="G34" i="73"/>
  <c r="C34" i="73"/>
  <c r="X32" i="73"/>
  <c r="X31" i="73"/>
  <c r="W31" i="73"/>
  <c r="S28" i="73"/>
  <c r="O28" i="73"/>
  <c r="K28" i="73"/>
  <c r="G28" i="73"/>
  <c r="C28" i="73"/>
  <c r="X26" i="73"/>
  <c r="X25" i="73"/>
  <c r="X24" i="73"/>
  <c r="X23" i="73"/>
  <c r="X22" i="73"/>
  <c r="X21" i="73"/>
  <c r="F2" i="73"/>
  <c r="C2" i="73"/>
  <c r="B2" i="73"/>
  <c r="P119" i="72"/>
  <c r="L119" i="72"/>
  <c r="K119" i="72"/>
  <c r="H119" i="72"/>
  <c r="G119" i="72"/>
  <c r="D119" i="72"/>
  <c r="C119" i="72"/>
  <c r="P118" i="72"/>
  <c r="O119" i="72" s="1"/>
  <c r="L118" i="72"/>
  <c r="K118" i="72"/>
  <c r="H118" i="72"/>
  <c r="G118" i="72"/>
  <c r="D118" i="72"/>
  <c r="C118" i="72"/>
  <c r="P117" i="72"/>
  <c r="O117" i="72" s="1"/>
  <c r="L117" i="72"/>
  <c r="K117" i="72"/>
  <c r="H117" i="72"/>
  <c r="G117" i="72"/>
  <c r="D117" i="72"/>
  <c r="C117" i="72"/>
  <c r="P116" i="72"/>
  <c r="O116" i="72" s="1"/>
  <c r="L116" i="72"/>
  <c r="K116" i="72"/>
  <c r="H116" i="72"/>
  <c r="G116" i="72"/>
  <c r="D116" i="72"/>
  <c r="C116" i="72"/>
  <c r="P115" i="72"/>
  <c r="O115" i="72"/>
  <c r="L115" i="72"/>
  <c r="K115" i="72"/>
  <c r="K120" i="72" s="1"/>
  <c r="H115" i="72"/>
  <c r="G115" i="72"/>
  <c r="D115" i="72"/>
  <c r="C115" i="72"/>
  <c r="C120" i="72" s="1"/>
  <c r="X106" i="72"/>
  <c r="K52" i="100" s="1"/>
  <c r="W106" i="72"/>
  <c r="X105" i="72"/>
  <c r="K51" i="100" s="1"/>
  <c r="W105" i="72"/>
  <c r="X104" i="72"/>
  <c r="W104" i="72"/>
  <c r="X103" i="72"/>
  <c r="K49" i="100" s="1"/>
  <c r="W103" i="72"/>
  <c r="X102" i="72"/>
  <c r="W102" i="72"/>
  <c r="X101" i="72"/>
  <c r="K47" i="100" s="1"/>
  <c r="W101" i="72"/>
  <c r="X100" i="72"/>
  <c r="K46" i="100" s="1"/>
  <c r="W100" i="72"/>
  <c r="X99" i="72"/>
  <c r="K45" i="100" s="1"/>
  <c r="W99" i="72"/>
  <c r="X98" i="72"/>
  <c r="W98" i="72"/>
  <c r="X97" i="72"/>
  <c r="W97" i="72"/>
  <c r="X96" i="72"/>
  <c r="W96" i="72"/>
  <c r="W115" i="72" s="1"/>
  <c r="P92" i="72"/>
  <c r="O92" i="72"/>
  <c r="L92" i="72"/>
  <c r="K92" i="72"/>
  <c r="H92" i="72"/>
  <c r="G92" i="72"/>
  <c r="D92" i="72"/>
  <c r="C92" i="72"/>
  <c r="P91" i="72"/>
  <c r="O91" i="72"/>
  <c r="L91" i="72"/>
  <c r="K91" i="72"/>
  <c r="H91" i="72"/>
  <c r="G91" i="72"/>
  <c r="D91" i="72"/>
  <c r="C91" i="72"/>
  <c r="P90" i="72"/>
  <c r="O90" i="72"/>
  <c r="L90" i="72"/>
  <c r="K90" i="72"/>
  <c r="H90" i="72"/>
  <c r="G90" i="72"/>
  <c r="D90" i="72"/>
  <c r="C90" i="72"/>
  <c r="P89" i="72"/>
  <c r="O89" i="72"/>
  <c r="L89" i="72"/>
  <c r="K89" i="72"/>
  <c r="H89" i="72"/>
  <c r="G89" i="72"/>
  <c r="D89" i="72"/>
  <c r="C89" i="72"/>
  <c r="P88" i="72"/>
  <c r="O88" i="72"/>
  <c r="O93" i="72" s="1"/>
  <c r="L88" i="72"/>
  <c r="K88" i="72"/>
  <c r="K93" i="72" s="1"/>
  <c r="H88" i="72"/>
  <c r="G88" i="72"/>
  <c r="G93" i="72" s="1"/>
  <c r="D88" i="72"/>
  <c r="C88" i="72"/>
  <c r="C93" i="72" s="1"/>
  <c r="S85" i="72"/>
  <c r="O85" i="72"/>
  <c r="K85" i="72"/>
  <c r="G85" i="72"/>
  <c r="C85" i="72"/>
  <c r="X77" i="72"/>
  <c r="G52" i="100" s="1"/>
  <c r="W77" i="72"/>
  <c r="X76" i="72"/>
  <c r="G51" i="100" s="1"/>
  <c r="W76" i="72"/>
  <c r="X75" i="72"/>
  <c r="W75" i="72"/>
  <c r="X74" i="72"/>
  <c r="G49" i="100" s="1"/>
  <c r="W74" i="72"/>
  <c r="X73" i="72"/>
  <c r="W73" i="72"/>
  <c r="X72" i="72"/>
  <c r="G47" i="100" s="1"/>
  <c r="W72" i="72"/>
  <c r="X71" i="72"/>
  <c r="G46" i="100" s="1"/>
  <c r="W71" i="72"/>
  <c r="X70" i="72"/>
  <c r="G45" i="100" s="1"/>
  <c r="W70" i="72"/>
  <c r="X69" i="72"/>
  <c r="W69" i="72"/>
  <c r="X68" i="72"/>
  <c r="W68" i="72"/>
  <c r="X67" i="72"/>
  <c r="W67" i="72"/>
  <c r="B54" i="72"/>
  <c r="P48" i="72"/>
  <c r="O48" i="72"/>
  <c r="L48" i="72"/>
  <c r="K48" i="72"/>
  <c r="H48" i="72"/>
  <c r="G48" i="72"/>
  <c r="D48" i="72"/>
  <c r="C48" i="72"/>
  <c r="P44" i="72"/>
  <c r="O44" i="72"/>
  <c r="L44" i="72"/>
  <c r="K44" i="72"/>
  <c r="H44" i="72"/>
  <c r="G44" i="72"/>
  <c r="D44" i="72"/>
  <c r="C44" i="72"/>
  <c r="P43" i="72"/>
  <c r="O43" i="72"/>
  <c r="L43" i="72"/>
  <c r="K43" i="72"/>
  <c r="H43" i="72"/>
  <c r="G43" i="72"/>
  <c r="D43" i="72"/>
  <c r="C43" i="72"/>
  <c r="P40" i="72"/>
  <c r="O40" i="72"/>
  <c r="L40" i="72"/>
  <c r="K40" i="72"/>
  <c r="H40" i="72"/>
  <c r="G40" i="72"/>
  <c r="D40" i="72"/>
  <c r="C40" i="72"/>
  <c r="W39" i="72"/>
  <c r="P39" i="72"/>
  <c r="O39" i="72"/>
  <c r="O45" i="72" s="1"/>
  <c r="L39" i="72"/>
  <c r="K39" i="72"/>
  <c r="K45" i="72" s="1"/>
  <c r="H39" i="72"/>
  <c r="G39" i="72"/>
  <c r="G45" i="72" s="1"/>
  <c r="D39" i="72"/>
  <c r="C39" i="72"/>
  <c r="C45" i="72" s="1"/>
  <c r="S34" i="72"/>
  <c r="O34" i="72"/>
  <c r="K34" i="72"/>
  <c r="G34" i="72"/>
  <c r="C34" i="72"/>
  <c r="X32" i="72"/>
  <c r="X31" i="72"/>
  <c r="W31" i="72"/>
  <c r="S28" i="72"/>
  <c r="O28" i="72"/>
  <c r="K28" i="72"/>
  <c r="G28" i="72"/>
  <c r="C28" i="72"/>
  <c r="X23" i="72"/>
  <c r="W23" i="72"/>
  <c r="X22" i="72"/>
  <c r="W22" i="72"/>
  <c r="X21" i="72"/>
  <c r="W21" i="72"/>
  <c r="X20" i="72"/>
  <c r="C47" i="100" s="1"/>
  <c r="W20" i="72"/>
  <c r="X19" i="72"/>
  <c r="W19" i="72"/>
  <c r="X18" i="72"/>
  <c r="W18" i="72"/>
  <c r="X16" i="72"/>
  <c r="C43" i="100" s="1"/>
  <c r="W16" i="72"/>
  <c r="W44" i="72" s="1"/>
  <c r="V47" i="65" s="1"/>
  <c r="F2" i="72"/>
  <c r="C2" i="72"/>
  <c r="B2" i="72"/>
  <c r="P119" i="71"/>
  <c r="O119" i="71"/>
  <c r="L119" i="71"/>
  <c r="K119" i="71"/>
  <c r="H119" i="71"/>
  <c r="G119" i="71"/>
  <c r="D119" i="71"/>
  <c r="C119" i="71"/>
  <c r="P118" i="71"/>
  <c r="O118" i="71"/>
  <c r="L118" i="71"/>
  <c r="K118" i="71"/>
  <c r="H118" i="71"/>
  <c r="G118" i="71"/>
  <c r="D118" i="71"/>
  <c r="C118" i="71"/>
  <c r="P117" i="71"/>
  <c r="O117" i="71"/>
  <c r="L117" i="71"/>
  <c r="K117" i="71"/>
  <c r="H117" i="71"/>
  <c r="G117" i="71"/>
  <c r="D117" i="71"/>
  <c r="C117" i="71"/>
  <c r="P116" i="71"/>
  <c r="O116" i="71"/>
  <c r="L116" i="71"/>
  <c r="K116" i="71"/>
  <c r="H116" i="71"/>
  <c r="G116" i="71"/>
  <c r="D116" i="71"/>
  <c r="C116" i="71"/>
  <c r="P115" i="71"/>
  <c r="O115" i="71"/>
  <c r="L115" i="71"/>
  <c r="K115" i="71"/>
  <c r="H115" i="71"/>
  <c r="G115" i="71"/>
  <c r="G120" i="71" s="1"/>
  <c r="D115" i="71"/>
  <c r="C115" i="71"/>
  <c r="C120" i="71" s="1"/>
  <c r="X106" i="71"/>
  <c r="K52" i="99" s="1"/>
  <c r="W106" i="71"/>
  <c r="X105" i="71"/>
  <c r="K51" i="99" s="1"/>
  <c r="W105" i="71"/>
  <c r="X104" i="71"/>
  <c r="K50" i="99" s="1"/>
  <c r="W104" i="71"/>
  <c r="X103" i="71"/>
  <c r="W103" i="71"/>
  <c r="X102" i="71"/>
  <c r="K48" i="99" s="1"/>
  <c r="W102" i="71"/>
  <c r="X101" i="71"/>
  <c r="K47" i="99" s="1"/>
  <c r="W101" i="71"/>
  <c r="X100" i="71"/>
  <c r="W100" i="71"/>
  <c r="X99" i="71"/>
  <c r="K45" i="99" s="1"/>
  <c r="W99" i="71"/>
  <c r="X98" i="71"/>
  <c r="W98" i="71"/>
  <c r="X97" i="71"/>
  <c r="W97" i="71"/>
  <c r="X96" i="71"/>
  <c r="W96" i="71"/>
  <c r="W115" i="71" s="1"/>
  <c r="P92" i="71"/>
  <c r="O92" i="71"/>
  <c r="L92" i="71"/>
  <c r="K92" i="71"/>
  <c r="H92" i="71"/>
  <c r="G92" i="71"/>
  <c r="D92" i="71"/>
  <c r="C92" i="71"/>
  <c r="P91" i="71"/>
  <c r="O91" i="71"/>
  <c r="L91" i="71"/>
  <c r="K91" i="71"/>
  <c r="H91" i="71"/>
  <c r="G91" i="71"/>
  <c r="D91" i="71"/>
  <c r="C91" i="71"/>
  <c r="P90" i="71"/>
  <c r="O90" i="71"/>
  <c r="L90" i="71"/>
  <c r="K90" i="71"/>
  <c r="H90" i="71"/>
  <c r="G90" i="71"/>
  <c r="D90" i="71"/>
  <c r="C90" i="71"/>
  <c r="P89" i="71"/>
  <c r="O89" i="71"/>
  <c r="L89" i="71"/>
  <c r="K89" i="71"/>
  <c r="H89" i="71"/>
  <c r="G89" i="71"/>
  <c r="D89" i="71"/>
  <c r="C89" i="71"/>
  <c r="P88" i="71"/>
  <c r="O88" i="71"/>
  <c r="O93" i="71" s="1"/>
  <c r="L88" i="71"/>
  <c r="K88" i="71"/>
  <c r="K93" i="71" s="1"/>
  <c r="H88" i="71"/>
  <c r="G88" i="71"/>
  <c r="G93" i="71" s="1"/>
  <c r="D88" i="71"/>
  <c r="C88" i="71"/>
  <c r="C93" i="71" s="1"/>
  <c r="S85" i="71"/>
  <c r="O85" i="71"/>
  <c r="K85" i="71"/>
  <c r="G85" i="71"/>
  <c r="C85" i="71"/>
  <c r="X77" i="71"/>
  <c r="G52" i="99" s="1"/>
  <c r="W77" i="71"/>
  <c r="X76" i="71"/>
  <c r="G51" i="99" s="1"/>
  <c r="W76" i="71"/>
  <c r="X75" i="71"/>
  <c r="G50" i="99" s="1"/>
  <c r="W75" i="71"/>
  <c r="X74" i="71"/>
  <c r="W74" i="71"/>
  <c r="X73" i="71"/>
  <c r="G48" i="99" s="1"/>
  <c r="W73" i="71"/>
  <c r="X72" i="71"/>
  <c r="G47" i="99" s="1"/>
  <c r="W72" i="71"/>
  <c r="X71" i="71"/>
  <c r="W71" i="71"/>
  <c r="X70" i="71"/>
  <c r="G45" i="99" s="1"/>
  <c r="W70" i="71"/>
  <c r="X69" i="71"/>
  <c r="W69" i="71"/>
  <c r="X68" i="71"/>
  <c r="W68" i="71"/>
  <c r="X67" i="71"/>
  <c r="W67" i="71"/>
  <c r="W88" i="71" s="1"/>
  <c r="B54" i="71"/>
  <c r="P48" i="71"/>
  <c r="O48" i="71"/>
  <c r="L48" i="71"/>
  <c r="K48" i="71"/>
  <c r="H48" i="71"/>
  <c r="G48" i="71"/>
  <c r="D48" i="71"/>
  <c r="C48" i="71"/>
  <c r="P44" i="71"/>
  <c r="O44" i="71"/>
  <c r="L44" i="71"/>
  <c r="K44" i="71"/>
  <c r="H44" i="71"/>
  <c r="G44" i="71"/>
  <c r="D44" i="71"/>
  <c r="C44" i="71"/>
  <c r="P43" i="71"/>
  <c r="O43" i="71"/>
  <c r="L43" i="71"/>
  <c r="K43" i="71"/>
  <c r="H43" i="71"/>
  <c r="G43" i="71"/>
  <c r="D43" i="71"/>
  <c r="C43" i="71"/>
  <c r="P42" i="71"/>
  <c r="O42" i="71"/>
  <c r="L42" i="71"/>
  <c r="K42" i="71"/>
  <c r="H42" i="71"/>
  <c r="G42" i="71"/>
  <c r="D42" i="71"/>
  <c r="C42" i="71"/>
  <c r="P41" i="71"/>
  <c r="O41" i="71"/>
  <c r="L41" i="71"/>
  <c r="K41" i="71"/>
  <c r="H41" i="71"/>
  <c r="G41" i="71"/>
  <c r="D41" i="71"/>
  <c r="C41" i="71"/>
  <c r="P40" i="71"/>
  <c r="O40" i="71"/>
  <c r="L40" i="71"/>
  <c r="K40" i="71"/>
  <c r="H40" i="71"/>
  <c r="G40" i="71"/>
  <c r="D40" i="71"/>
  <c r="C40" i="71"/>
  <c r="P39" i="71"/>
  <c r="O39" i="71"/>
  <c r="O45" i="71" s="1"/>
  <c r="L39" i="71"/>
  <c r="K39" i="71"/>
  <c r="K45" i="71" s="1"/>
  <c r="H39" i="71"/>
  <c r="G39" i="71"/>
  <c r="G45" i="71" s="1"/>
  <c r="D39" i="71"/>
  <c r="C39" i="71"/>
  <c r="C45" i="71" s="1"/>
  <c r="S34" i="71"/>
  <c r="O34" i="71"/>
  <c r="K34" i="71"/>
  <c r="G34" i="71"/>
  <c r="C34" i="71"/>
  <c r="X31" i="71"/>
  <c r="C61" i="99" s="1"/>
  <c r="W31" i="71"/>
  <c r="S28" i="71"/>
  <c r="O28" i="71"/>
  <c r="K28" i="71"/>
  <c r="G28" i="71"/>
  <c r="C28" i="71"/>
  <c r="X24" i="71"/>
  <c r="W24" i="71"/>
  <c r="W39" i="71" s="1"/>
  <c r="X23" i="71"/>
  <c r="W23" i="71"/>
  <c r="W40" i="71" s="1"/>
  <c r="X22" i="71"/>
  <c r="W22" i="71"/>
  <c r="W41" i="71" s="1"/>
  <c r="X20" i="71"/>
  <c r="W20" i="71"/>
  <c r="W42" i="71" s="1"/>
  <c r="X19" i="71"/>
  <c r="W19" i="71"/>
  <c r="W43" i="71" s="1"/>
  <c r="X18" i="71"/>
  <c r="C45" i="99" s="1"/>
  <c r="W18" i="71"/>
  <c r="X17" i="71"/>
  <c r="W17" i="71"/>
  <c r="W44" i="71" s="1"/>
  <c r="F2" i="71"/>
  <c r="C2" i="71"/>
  <c r="B2" i="71"/>
  <c r="P119" i="70"/>
  <c r="O119" i="70"/>
  <c r="L119" i="70"/>
  <c r="K119" i="70"/>
  <c r="H119" i="70"/>
  <c r="G119" i="70"/>
  <c r="D119" i="70"/>
  <c r="C119" i="70"/>
  <c r="P118" i="70"/>
  <c r="O118" i="70"/>
  <c r="L118" i="70"/>
  <c r="K118" i="70"/>
  <c r="H118" i="70"/>
  <c r="G118" i="70"/>
  <c r="D118" i="70"/>
  <c r="C118" i="70"/>
  <c r="P117" i="70"/>
  <c r="O117" i="70"/>
  <c r="L117" i="70"/>
  <c r="K117" i="70"/>
  <c r="H117" i="70"/>
  <c r="G117" i="70"/>
  <c r="D117" i="70"/>
  <c r="C117" i="70"/>
  <c r="P116" i="70"/>
  <c r="O116" i="70"/>
  <c r="L116" i="70"/>
  <c r="K116" i="70"/>
  <c r="H116" i="70"/>
  <c r="G116" i="70"/>
  <c r="D116" i="70"/>
  <c r="C116" i="70"/>
  <c r="P115" i="70"/>
  <c r="O115" i="70"/>
  <c r="O120" i="70" s="1"/>
  <c r="L115" i="70"/>
  <c r="K115" i="70"/>
  <c r="K120" i="70" s="1"/>
  <c r="H115" i="70"/>
  <c r="G115" i="70"/>
  <c r="G120" i="70" s="1"/>
  <c r="D115" i="70"/>
  <c r="C115" i="70"/>
  <c r="C120" i="70" s="1"/>
  <c r="X108" i="70"/>
  <c r="K54" i="101" s="1"/>
  <c r="W108" i="70"/>
  <c r="X107" i="70"/>
  <c r="K53" i="101" s="1"/>
  <c r="W107" i="70"/>
  <c r="X106" i="70"/>
  <c r="W106" i="70"/>
  <c r="W119" i="70" s="1"/>
  <c r="X105" i="70"/>
  <c r="K51" i="101" s="1"/>
  <c r="W105" i="70"/>
  <c r="X104" i="70"/>
  <c r="K50" i="101" s="1"/>
  <c r="W104" i="70"/>
  <c r="X103" i="70"/>
  <c r="W103" i="70"/>
  <c r="W118" i="70" s="1"/>
  <c r="X102" i="70"/>
  <c r="K48" i="101" s="1"/>
  <c r="W102" i="70"/>
  <c r="X101" i="70"/>
  <c r="K47" i="101" s="1"/>
  <c r="W101" i="70"/>
  <c r="X100" i="70"/>
  <c r="K46" i="101" s="1"/>
  <c r="W100" i="70"/>
  <c r="X99" i="70"/>
  <c r="W99" i="70"/>
  <c r="W117" i="70" s="1"/>
  <c r="X98" i="70"/>
  <c r="K44" i="101" s="1"/>
  <c r="W98" i="70"/>
  <c r="X97" i="70"/>
  <c r="W97" i="70"/>
  <c r="W116" i="70" s="1"/>
  <c r="X96" i="70"/>
  <c r="W96" i="70"/>
  <c r="W115" i="70" s="1"/>
  <c r="P92" i="70"/>
  <c r="O92" i="70"/>
  <c r="L92" i="70"/>
  <c r="K92" i="70"/>
  <c r="H92" i="70"/>
  <c r="G92" i="70"/>
  <c r="D92" i="70"/>
  <c r="C92" i="70"/>
  <c r="P91" i="70"/>
  <c r="O91" i="70"/>
  <c r="L91" i="70"/>
  <c r="K91" i="70"/>
  <c r="H91" i="70"/>
  <c r="G91" i="70"/>
  <c r="D91" i="70"/>
  <c r="C91" i="70"/>
  <c r="P90" i="70"/>
  <c r="O90" i="70"/>
  <c r="L90" i="70"/>
  <c r="K90" i="70"/>
  <c r="H90" i="70"/>
  <c r="G90" i="70"/>
  <c r="D90" i="70"/>
  <c r="C90" i="70"/>
  <c r="P89" i="70"/>
  <c r="O89" i="70"/>
  <c r="L89" i="70"/>
  <c r="K89" i="70"/>
  <c r="H89" i="70"/>
  <c r="G89" i="70"/>
  <c r="D89" i="70"/>
  <c r="C89" i="70"/>
  <c r="P88" i="70"/>
  <c r="O88" i="70"/>
  <c r="L88" i="70"/>
  <c r="K88" i="70"/>
  <c r="K93" i="70" s="1"/>
  <c r="H88" i="70"/>
  <c r="G88" i="70"/>
  <c r="D88" i="70"/>
  <c r="C88" i="70"/>
  <c r="C93" i="70" s="1"/>
  <c r="S85" i="70"/>
  <c r="O85" i="70"/>
  <c r="K85" i="70"/>
  <c r="G85" i="70"/>
  <c r="C85" i="70"/>
  <c r="X79" i="70"/>
  <c r="G54" i="101" s="1"/>
  <c r="W79" i="70"/>
  <c r="X78" i="70"/>
  <c r="G53" i="101" s="1"/>
  <c r="W78" i="70"/>
  <c r="X77" i="70"/>
  <c r="W77" i="70"/>
  <c r="X76" i="70"/>
  <c r="G51" i="101" s="1"/>
  <c r="W76" i="70"/>
  <c r="X75" i="70"/>
  <c r="G50" i="101" s="1"/>
  <c r="W75" i="70"/>
  <c r="X74" i="70"/>
  <c r="W74" i="70"/>
  <c r="X73" i="70"/>
  <c r="G48" i="101" s="1"/>
  <c r="W73" i="70"/>
  <c r="X72" i="70"/>
  <c r="G47" i="101" s="1"/>
  <c r="W72" i="70"/>
  <c r="X71" i="70"/>
  <c r="G46" i="101" s="1"/>
  <c r="W71" i="70"/>
  <c r="X70" i="70"/>
  <c r="W70" i="70"/>
  <c r="X69" i="70"/>
  <c r="G44" i="101" s="1"/>
  <c r="W69" i="70"/>
  <c r="X68" i="70"/>
  <c r="W68" i="70"/>
  <c r="X67" i="70"/>
  <c r="W67" i="70"/>
  <c r="W88" i="70" s="1"/>
  <c r="B54" i="70"/>
  <c r="P48" i="70"/>
  <c r="O48" i="70"/>
  <c r="L48" i="70"/>
  <c r="K48" i="70"/>
  <c r="H48" i="70"/>
  <c r="G48" i="70"/>
  <c r="D48" i="70"/>
  <c r="C48" i="70"/>
  <c r="P44" i="70"/>
  <c r="O44" i="70"/>
  <c r="L44" i="70"/>
  <c r="K44" i="70"/>
  <c r="H44" i="70"/>
  <c r="G44" i="70"/>
  <c r="D44" i="70"/>
  <c r="C44" i="70"/>
  <c r="P43" i="70"/>
  <c r="O43" i="70"/>
  <c r="L43" i="70"/>
  <c r="K43" i="70"/>
  <c r="H43" i="70"/>
  <c r="G43" i="70"/>
  <c r="D43" i="70"/>
  <c r="C43" i="70"/>
  <c r="P42" i="70"/>
  <c r="O42" i="70"/>
  <c r="L42" i="70"/>
  <c r="K42" i="70"/>
  <c r="H42" i="70"/>
  <c r="G42" i="70"/>
  <c r="D42" i="70"/>
  <c r="C42" i="70"/>
  <c r="P41" i="70"/>
  <c r="O41" i="70"/>
  <c r="L41" i="70"/>
  <c r="K41" i="70"/>
  <c r="H41" i="70"/>
  <c r="G41" i="70"/>
  <c r="D41" i="70"/>
  <c r="C41" i="70"/>
  <c r="P40" i="70"/>
  <c r="O40" i="70"/>
  <c r="L40" i="70"/>
  <c r="K40" i="70"/>
  <c r="H40" i="70"/>
  <c r="G40" i="70"/>
  <c r="D40" i="70"/>
  <c r="C40" i="70"/>
  <c r="P39" i="70"/>
  <c r="O39" i="70"/>
  <c r="L39" i="70"/>
  <c r="K39" i="70"/>
  <c r="K45" i="70" s="1"/>
  <c r="H39" i="70"/>
  <c r="G39" i="70"/>
  <c r="D39" i="70"/>
  <c r="C39" i="70"/>
  <c r="C45" i="70" s="1"/>
  <c r="S34" i="70"/>
  <c r="O34" i="70"/>
  <c r="K34" i="70"/>
  <c r="G34" i="70"/>
  <c r="C34" i="70"/>
  <c r="X32" i="70"/>
  <c r="X31" i="70"/>
  <c r="S28" i="70"/>
  <c r="O28" i="70"/>
  <c r="K28" i="70"/>
  <c r="G28" i="70"/>
  <c r="C28" i="70"/>
  <c r="X23" i="70"/>
  <c r="W23" i="70"/>
  <c r="W39" i="70" s="1"/>
  <c r="X22" i="70"/>
  <c r="W22" i="70"/>
  <c r="W40" i="70" s="1"/>
  <c r="X21" i="70"/>
  <c r="W21" i="70"/>
  <c r="W41" i="70" s="1"/>
  <c r="X20" i="70"/>
  <c r="C47" i="101" s="1"/>
  <c r="W20" i="70"/>
  <c r="X19" i="70"/>
  <c r="W19" i="70"/>
  <c r="W42" i="70" s="1"/>
  <c r="X18" i="70"/>
  <c r="W18" i="70"/>
  <c r="W43" i="70" s="1"/>
  <c r="X17" i="70"/>
  <c r="C44" i="101" s="1"/>
  <c r="W17" i="70"/>
  <c r="X16" i="70"/>
  <c r="W16" i="70"/>
  <c r="W44" i="70" s="1"/>
  <c r="F2" i="70"/>
  <c r="C2" i="70"/>
  <c r="B2" i="70"/>
  <c r="P119" i="69"/>
  <c r="O119" i="69"/>
  <c r="L119" i="69"/>
  <c r="K119" i="69"/>
  <c r="H119" i="69"/>
  <c r="G119" i="69"/>
  <c r="D119" i="69"/>
  <c r="C119" i="69"/>
  <c r="P118" i="69"/>
  <c r="O118" i="69"/>
  <c r="L118" i="69"/>
  <c r="K118" i="69"/>
  <c r="H118" i="69"/>
  <c r="G118" i="69"/>
  <c r="D118" i="69"/>
  <c r="C118" i="69"/>
  <c r="P117" i="69"/>
  <c r="O117" i="69"/>
  <c r="L117" i="69"/>
  <c r="K117" i="69"/>
  <c r="H117" i="69"/>
  <c r="G117" i="69"/>
  <c r="D117" i="69"/>
  <c r="C117" i="69"/>
  <c r="P116" i="69"/>
  <c r="O116" i="69"/>
  <c r="L116" i="69"/>
  <c r="K116" i="69"/>
  <c r="H116" i="69"/>
  <c r="G116" i="69"/>
  <c r="D116" i="69"/>
  <c r="C116" i="69"/>
  <c r="W115" i="69"/>
  <c r="P115" i="69"/>
  <c r="O115" i="69"/>
  <c r="L115" i="69"/>
  <c r="K115" i="69"/>
  <c r="K120" i="69" s="1"/>
  <c r="H115" i="69"/>
  <c r="G115" i="69"/>
  <c r="D115" i="69"/>
  <c r="C115" i="69"/>
  <c r="C120" i="69" s="1"/>
  <c r="X106" i="69"/>
  <c r="X105" i="69"/>
  <c r="K51" i="102" s="1"/>
  <c r="X104" i="69"/>
  <c r="K50" i="102" s="1"/>
  <c r="X103" i="69"/>
  <c r="K49" i="102" s="1"/>
  <c r="X102" i="69"/>
  <c r="X101" i="69"/>
  <c r="K47" i="102" s="1"/>
  <c r="X100" i="69"/>
  <c r="X99" i="69"/>
  <c r="X98" i="69"/>
  <c r="X97" i="69"/>
  <c r="X96" i="69"/>
  <c r="P92" i="69"/>
  <c r="O92" i="69"/>
  <c r="L92" i="69"/>
  <c r="K92" i="69"/>
  <c r="H92" i="69"/>
  <c r="G92" i="69"/>
  <c r="D92" i="69"/>
  <c r="C92" i="69"/>
  <c r="P91" i="69"/>
  <c r="O91" i="69"/>
  <c r="L91" i="69"/>
  <c r="K91" i="69"/>
  <c r="H91" i="69"/>
  <c r="G91" i="69"/>
  <c r="D91" i="69"/>
  <c r="C91" i="69"/>
  <c r="P90" i="69"/>
  <c r="O90" i="69"/>
  <c r="L90" i="69"/>
  <c r="K90" i="69"/>
  <c r="H90" i="69"/>
  <c r="G90" i="69"/>
  <c r="D90" i="69"/>
  <c r="C90" i="69"/>
  <c r="P89" i="69"/>
  <c r="O89" i="69"/>
  <c r="L89" i="69"/>
  <c r="K89" i="69"/>
  <c r="H89" i="69"/>
  <c r="G89" i="69"/>
  <c r="D89" i="69"/>
  <c r="C89" i="69"/>
  <c r="P88" i="69"/>
  <c r="O93" i="69" s="1"/>
  <c r="O88" i="69"/>
  <c r="L88" i="69"/>
  <c r="K88" i="69"/>
  <c r="H88" i="69"/>
  <c r="G93" i="69" s="1"/>
  <c r="G88" i="69"/>
  <c r="D88" i="69"/>
  <c r="C88" i="69"/>
  <c r="S85" i="69"/>
  <c r="O85" i="69"/>
  <c r="K85" i="69"/>
  <c r="G85" i="69"/>
  <c r="C85" i="69"/>
  <c r="X77" i="69"/>
  <c r="W77" i="69"/>
  <c r="W88" i="69" s="1"/>
  <c r="X76" i="69"/>
  <c r="G51" i="102" s="1"/>
  <c r="W76" i="69"/>
  <c r="X75" i="69"/>
  <c r="G50" i="102" s="1"/>
  <c r="W75" i="69"/>
  <c r="X74" i="69"/>
  <c r="G49" i="102" s="1"/>
  <c r="W74" i="69"/>
  <c r="X73" i="69"/>
  <c r="W73" i="69"/>
  <c r="W92" i="69" s="1"/>
  <c r="X72" i="69"/>
  <c r="G47" i="102" s="1"/>
  <c r="W72" i="69"/>
  <c r="X71" i="69"/>
  <c r="G46" i="102" s="1"/>
  <c r="W71" i="69"/>
  <c r="X70" i="69"/>
  <c r="W70" i="69"/>
  <c r="W91" i="69" s="1"/>
  <c r="X69" i="69"/>
  <c r="G44" i="102" s="1"/>
  <c r="W69" i="69"/>
  <c r="X68" i="69"/>
  <c r="W68" i="69"/>
  <c r="W90" i="69" s="1"/>
  <c r="X67" i="69"/>
  <c r="W67" i="69"/>
  <c r="W85" i="69" s="1"/>
  <c r="B54" i="69"/>
  <c r="P48" i="69"/>
  <c r="O48" i="69"/>
  <c r="L48" i="69"/>
  <c r="K48" i="69"/>
  <c r="H48" i="69"/>
  <c r="G48" i="69"/>
  <c r="D48" i="69"/>
  <c r="C48" i="69"/>
  <c r="P44" i="69"/>
  <c r="O44" i="69"/>
  <c r="L44" i="69"/>
  <c r="H44" i="69"/>
  <c r="G44" i="69"/>
  <c r="D44" i="69"/>
  <c r="C44" i="69"/>
  <c r="P41" i="69"/>
  <c r="O41" i="69"/>
  <c r="L41" i="69"/>
  <c r="K41" i="69"/>
  <c r="H41" i="69"/>
  <c r="G41" i="69"/>
  <c r="D41" i="69"/>
  <c r="C41" i="69"/>
  <c r="P40" i="69"/>
  <c r="O40" i="69"/>
  <c r="L40" i="69"/>
  <c r="K40" i="69"/>
  <c r="H40" i="69"/>
  <c r="G40" i="69"/>
  <c r="D40" i="69"/>
  <c r="C40" i="69"/>
  <c r="P39" i="69"/>
  <c r="O39" i="69"/>
  <c r="O45" i="69" s="1"/>
  <c r="L39" i="69"/>
  <c r="K39" i="69"/>
  <c r="K45" i="69" s="1"/>
  <c r="H39" i="69"/>
  <c r="G39" i="69"/>
  <c r="G45" i="69" s="1"/>
  <c r="D39" i="69"/>
  <c r="C39" i="69"/>
  <c r="C45" i="69" s="1"/>
  <c r="S34" i="69"/>
  <c r="O34" i="69"/>
  <c r="K34" i="69"/>
  <c r="G34" i="69"/>
  <c r="C34" i="69"/>
  <c r="X32" i="69"/>
  <c r="X31" i="69"/>
  <c r="W31" i="69"/>
  <c r="S28" i="69"/>
  <c r="O28" i="69"/>
  <c r="K28" i="69"/>
  <c r="G28" i="69"/>
  <c r="C28" i="69"/>
  <c r="X25" i="69"/>
  <c r="W25" i="69"/>
  <c r="X24" i="69"/>
  <c r="C51" i="102" s="1"/>
  <c r="W24" i="69"/>
  <c r="X23" i="69"/>
  <c r="W23" i="69"/>
  <c r="X22" i="69"/>
  <c r="C49" i="102" s="1"/>
  <c r="W22" i="69"/>
  <c r="X21" i="69"/>
  <c r="W21" i="69"/>
  <c r="X20" i="69"/>
  <c r="C47" i="102" s="1"/>
  <c r="W20" i="69"/>
  <c r="X19" i="69"/>
  <c r="C46" i="102" s="1"/>
  <c r="W19" i="69"/>
  <c r="X18" i="69"/>
  <c r="W18" i="69"/>
  <c r="X17" i="69"/>
  <c r="C44" i="102" s="1"/>
  <c r="W17" i="69"/>
  <c r="X16" i="69"/>
  <c r="W16" i="69"/>
  <c r="X15" i="69"/>
  <c r="W15" i="69"/>
  <c r="F2" i="69"/>
  <c r="C2" i="69"/>
  <c r="B2" i="69"/>
  <c r="P119" i="68"/>
  <c r="O119" i="68"/>
  <c r="L119" i="68"/>
  <c r="K119" i="68"/>
  <c r="H119" i="68"/>
  <c r="G119" i="68"/>
  <c r="D119" i="68"/>
  <c r="C119" i="68"/>
  <c r="P118" i="68"/>
  <c r="O118" i="68"/>
  <c r="L118" i="68"/>
  <c r="K118" i="68"/>
  <c r="H118" i="68"/>
  <c r="G118" i="68"/>
  <c r="D118" i="68"/>
  <c r="C118" i="68"/>
  <c r="P117" i="68"/>
  <c r="O117" i="68"/>
  <c r="L117" i="68"/>
  <c r="K117" i="68"/>
  <c r="H117" i="68"/>
  <c r="G117" i="68"/>
  <c r="D117" i="68"/>
  <c r="C117" i="68"/>
  <c r="P116" i="68"/>
  <c r="O116" i="68"/>
  <c r="L116" i="68"/>
  <c r="K116" i="68"/>
  <c r="H116" i="68"/>
  <c r="G116" i="68"/>
  <c r="D116" i="68"/>
  <c r="C116" i="68"/>
  <c r="P115" i="68"/>
  <c r="O115" i="68"/>
  <c r="L115" i="68"/>
  <c r="K115" i="68"/>
  <c r="K120" i="68" s="1"/>
  <c r="H115" i="68"/>
  <c r="G115" i="68"/>
  <c r="D115" i="68"/>
  <c r="C115" i="68"/>
  <c r="C120" i="68" s="1"/>
  <c r="X111" i="68"/>
  <c r="K57" i="103" s="1"/>
  <c r="W111" i="68"/>
  <c r="X110" i="68"/>
  <c r="K56" i="103" s="1"/>
  <c r="W110" i="68"/>
  <c r="X109" i="68"/>
  <c r="K55" i="103" s="1"/>
  <c r="W109" i="68"/>
  <c r="X108" i="68"/>
  <c r="W108" i="68"/>
  <c r="X107" i="68"/>
  <c r="K53" i="103" s="1"/>
  <c r="W107" i="68"/>
  <c r="X106" i="68"/>
  <c r="K52" i="103" s="1"/>
  <c r="W106" i="68"/>
  <c r="X105" i="68"/>
  <c r="K51" i="103" s="1"/>
  <c r="W105" i="68"/>
  <c r="X104" i="68"/>
  <c r="K50" i="103" s="1"/>
  <c r="W104" i="68"/>
  <c r="X103" i="68"/>
  <c r="K49" i="103" s="1"/>
  <c r="W103" i="68"/>
  <c r="X102" i="68"/>
  <c r="W102" i="68"/>
  <c r="X101" i="68"/>
  <c r="K47" i="103" s="1"/>
  <c r="W101" i="68"/>
  <c r="X100" i="68"/>
  <c r="K46" i="103" s="1"/>
  <c r="W100" i="68"/>
  <c r="X99" i="68"/>
  <c r="K45" i="103" s="1"/>
  <c r="W99" i="68"/>
  <c r="X98" i="68"/>
  <c r="W98" i="68"/>
  <c r="X97" i="68"/>
  <c r="W97" i="68"/>
  <c r="W116" i="68" s="1"/>
  <c r="X96" i="68"/>
  <c r="W96" i="68"/>
  <c r="W115" i="68" s="1"/>
  <c r="P92" i="68"/>
  <c r="O92" i="68"/>
  <c r="L92" i="68"/>
  <c r="K92" i="68"/>
  <c r="H92" i="68"/>
  <c r="G92" i="68"/>
  <c r="D92" i="68"/>
  <c r="C92" i="68"/>
  <c r="P91" i="68"/>
  <c r="O91" i="68"/>
  <c r="L91" i="68"/>
  <c r="K91" i="68"/>
  <c r="H91" i="68"/>
  <c r="G91" i="68"/>
  <c r="D91" i="68"/>
  <c r="C91" i="68"/>
  <c r="P90" i="68"/>
  <c r="O90" i="68"/>
  <c r="L90" i="68"/>
  <c r="K90" i="68"/>
  <c r="H90" i="68"/>
  <c r="G90" i="68"/>
  <c r="D90" i="68"/>
  <c r="C90" i="68"/>
  <c r="P89" i="68"/>
  <c r="O89" i="68"/>
  <c r="L89" i="68"/>
  <c r="K89" i="68"/>
  <c r="H89" i="68"/>
  <c r="G89" i="68"/>
  <c r="D89" i="68"/>
  <c r="C89" i="68"/>
  <c r="P88" i="68"/>
  <c r="O88" i="68"/>
  <c r="O93" i="68" s="1"/>
  <c r="L88" i="68"/>
  <c r="K88" i="68"/>
  <c r="K93" i="68" s="1"/>
  <c r="H88" i="68"/>
  <c r="G88" i="68"/>
  <c r="G93" i="68" s="1"/>
  <c r="D88" i="68"/>
  <c r="C88" i="68"/>
  <c r="C93" i="68" s="1"/>
  <c r="S85" i="68"/>
  <c r="O85" i="68"/>
  <c r="K85" i="68"/>
  <c r="G85" i="68"/>
  <c r="C85" i="68"/>
  <c r="X82" i="68"/>
  <c r="G57" i="103" s="1"/>
  <c r="W82" i="68"/>
  <c r="X81" i="68"/>
  <c r="G56" i="103" s="1"/>
  <c r="W81" i="68"/>
  <c r="X80" i="68"/>
  <c r="G55" i="103" s="1"/>
  <c r="W80" i="68"/>
  <c r="X79" i="68"/>
  <c r="W79" i="68"/>
  <c r="X78" i="68"/>
  <c r="G53" i="103" s="1"/>
  <c r="W78" i="68"/>
  <c r="X77" i="68"/>
  <c r="G52" i="103" s="1"/>
  <c r="W77" i="68"/>
  <c r="X76" i="68"/>
  <c r="G51" i="103" s="1"/>
  <c r="W76" i="68"/>
  <c r="X75" i="68"/>
  <c r="G50" i="103" s="1"/>
  <c r="W75" i="68"/>
  <c r="X74" i="68"/>
  <c r="G49" i="103" s="1"/>
  <c r="W74" i="68"/>
  <c r="X73" i="68"/>
  <c r="W73" i="68"/>
  <c r="X72" i="68"/>
  <c r="G47" i="103" s="1"/>
  <c r="W72" i="68"/>
  <c r="X71" i="68"/>
  <c r="G46" i="103" s="1"/>
  <c r="W71" i="68"/>
  <c r="X70" i="68"/>
  <c r="G45" i="103" s="1"/>
  <c r="W70" i="68"/>
  <c r="X69" i="68"/>
  <c r="W69" i="68"/>
  <c r="X68" i="68"/>
  <c r="W68" i="68"/>
  <c r="W89" i="68" s="1"/>
  <c r="X67" i="68"/>
  <c r="W67" i="68"/>
  <c r="W88" i="68" s="1"/>
  <c r="B54" i="68"/>
  <c r="P48" i="68"/>
  <c r="O48" i="68"/>
  <c r="L48" i="68"/>
  <c r="K48" i="68"/>
  <c r="H48" i="68"/>
  <c r="G48" i="68"/>
  <c r="D48" i="68"/>
  <c r="C48" i="68"/>
  <c r="P41" i="68"/>
  <c r="O41" i="68"/>
  <c r="L41" i="68"/>
  <c r="K41" i="68"/>
  <c r="H41" i="68"/>
  <c r="G41" i="68"/>
  <c r="D41" i="68"/>
  <c r="C41" i="68"/>
  <c r="P40" i="68"/>
  <c r="O40" i="68"/>
  <c r="L40" i="68"/>
  <c r="K40" i="68"/>
  <c r="H40" i="68"/>
  <c r="G40" i="68"/>
  <c r="D40" i="68"/>
  <c r="C40" i="68"/>
  <c r="P39" i="68"/>
  <c r="O39" i="68"/>
  <c r="O45" i="68" s="1"/>
  <c r="L39" i="68"/>
  <c r="K39" i="68"/>
  <c r="K45" i="68" s="1"/>
  <c r="H39" i="68"/>
  <c r="G39" i="68"/>
  <c r="G45" i="68" s="1"/>
  <c r="D39" i="68"/>
  <c r="C39" i="68"/>
  <c r="C45" i="68" s="1"/>
  <c r="S34" i="68"/>
  <c r="O34" i="68"/>
  <c r="K34" i="68"/>
  <c r="G34" i="68"/>
  <c r="C34" i="68"/>
  <c r="X32" i="68"/>
  <c r="X31" i="68"/>
  <c r="S28" i="68"/>
  <c r="O28" i="68"/>
  <c r="K28" i="68"/>
  <c r="G28" i="68"/>
  <c r="C28" i="68"/>
  <c r="X24" i="68"/>
  <c r="W24" i="68"/>
  <c r="W39" i="68" s="1"/>
  <c r="X23" i="68"/>
  <c r="W23" i="68"/>
  <c r="W40" i="68" s="1"/>
  <c r="X22" i="68"/>
  <c r="W22" i="68"/>
  <c r="W41" i="68" s="1"/>
  <c r="X21" i="68"/>
  <c r="C48" i="103" s="1"/>
  <c r="W21" i="68"/>
  <c r="X20" i="68"/>
  <c r="W20" i="68"/>
  <c r="X19" i="68"/>
  <c r="C46" i="103" s="1"/>
  <c r="W19" i="68"/>
  <c r="X18" i="68"/>
  <c r="W18" i="68"/>
  <c r="F2" i="68"/>
  <c r="C2" i="68"/>
  <c r="B2" i="68"/>
  <c r="P119" i="67"/>
  <c r="O119" i="67"/>
  <c r="L119" i="67"/>
  <c r="K119" i="67"/>
  <c r="H119" i="67"/>
  <c r="G119" i="67"/>
  <c r="D119" i="67"/>
  <c r="C119" i="67"/>
  <c r="P118" i="67"/>
  <c r="O118" i="67"/>
  <c r="L118" i="67"/>
  <c r="K118" i="67"/>
  <c r="H118" i="67"/>
  <c r="G118" i="67"/>
  <c r="D118" i="67"/>
  <c r="C118" i="67"/>
  <c r="P117" i="67"/>
  <c r="O117" i="67"/>
  <c r="L117" i="67"/>
  <c r="K117" i="67"/>
  <c r="H117" i="67"/>
  <c r="G117" i="67"/>
  <c r="D117" i="67"/>
  <c r="C117" i="67"/>
  <c r="P116" i="67"/>
  <c r="O116" i="67"/>
  <c r="L116" i="67"/>
  <c r="K116" i="67"/>
  <c r="H116" i="67"/>
  <c r="G116" i="67"/>
  <c r="D116" i="67"/>
  <c r="C116" i="67"/>
  <c r="P115" i="67"/>
  <c r="O115" i="67"/>
  <c r="L115" i="67"/>
  <c r="K115" i="67"/>
  <c r="H115" i="67"/>
  <c r="G115" i="67"/>
  <c r="D115" i="67"/>
  <c r="C115" i="67"/>
  <c r="X107" i="67"/>
  <c r="K53" i="104" s="1"/>
  <c r="W107" i="67"/>
  <c r="X106" i="67"/>
  <c r="K52" i="104" s="1"/>
  <c r="W106" i="67"/>
  <c r="X105" i="67"/>
  <c r="K51" i="104" s="1"/>
  <c r="W105" i="67"/>
  <c r="X104" i="67"/>
  <c r="W104" i="67"/>
  <c r="X103" i="67"/>
  <c r="K49" i="104" s="1"/>
  <c r="W103" i="67"/>
  <c r="X102" i="67"/>
  <c r="K48" i="104" s="1"/>
  <c r="W102" i="67"/>
  <c r="X101" i="67"/>
  <c r="W101" i="67"/>
  <c r="X100" i="67"/>
  <c r="K46" i="104" s="1"/>
  <c r="W100" i="67"/>
  <c r="X99" i="67"/>
  <c r="K45" i="104" s="1"/>
  <c r="W99" i="67"/>
  <c r="X98" i="67"/>
  <c r="W98" i="67"/>
  <c r="X97" i="67"/>
  <c r="W97" i="67"/>
  <c r="X96" i="67"/>
  <c r="W96" i="67"/>
  <c r="W115" i="67" s="1"/>
  <c r="P92" i="67"/>
  <c r="O92" i="67"/>
  <c r="L92" i="67"/>
  <c r="K92" i="67"/>
  <c r="O213" i="65" s="1"/>
  <c r="M138" i="64" s="1"/>
  <c r="M138" i="34" s="1"/>
  <c r="H92" i="67"/>
  <c r="G92" i="67"/>
  <c r="C92" i="67"/>
  <c r="P91" i="67"/>
  <c r="O91" i="67"/>
  <c r="L91" i="67"/>
  <c r="K91" i="67"/>
  <c r="H91" i="67"/>
  <c r="G91" i="67"/>
  <c r="D91" i="67"/>
  <c r="C91" i="67"/>
  <c r="P90" i="67"/>
  <c r="O90" i="67"/>
  <c r="L90" i="67"/>
  <c r="K90" i="67"/>
  <c r="H90" i="67"/>
  <c r="G90" i="67"/>
  <c r="D90" i="67"/>
  <c r="C90" i="67"/>
  <c r="P89" i="67"/>
  <c r="O89" i="67"/>
  <c r="L89" i="67"/>
  <c r="K89" i="67"/>
  <c r="H89" i="67"/>
  <c r="G89" i="67"/>
  <c r="D89" i="67"/>
  <c r="C89" i="67"/>
  <c r="P88" i="67"/>
  <c r="O93" i="67" s="1"/>
  <c r="O88" i="67"/>
  <c r="L88" i="67"/>
  <c r="K88" i="67"/>
  <c r="H88" i="67"/>
  <c r="G93" i="67" s="1"/>
  <c r="G88" i="67"/>
  <c r="D88" i="67"/>
  <c r="C88" i="67"/>
  <c r="S85" i="67"/>
  <c r="O85" i="67"/>
  <c r="K85" i="67"/>
  <c r="G85" i="67"/>
  <c r="X78" i="67"/>
  <c r="G53" i="104" s="1"/>
  <c r="W78" i="67"/>
  <c r="X77" i="67"/>
  <c r="G52" i="104" s="1"/>
  <c r="W77" i="67"/>
  <c r="X76" i="67"/>
  <c r="G51" i="104" s="1"/>
  <c r="W76" i="67"/>
  <c r="X75" i="67"/>
  <c r="W75" i="67"/>
  <c r="X74" i="67"/>
  <c r="G49" i="104" s="1"/>
  <c r="W74" i="67"/>
  <c r="X73" i="67"/>
  <c r="G48" i="104" s="1"/>
  <c r="W73" i="67"/>
  <c r="X72" i="67"/>
  <c r="W72" i="67"/>
  <c r="W91" i="67" s="1"/>
  <c r="X71" i="67"/>
  <c r="G46" i="104" s="1"/>
  <c r="W71" i="67"/>
  <c r="X70" i="67"/>
  <c r="G45" i="104" s="1"/>
  <c r="W70" i="67"/>
  <c r="X69" i="67"/>
  <c r="W69" i="67"/>
  <c r="W90" i="67" s="1"/>
  <c r="X68" i="67"/>
  <c r="W68" i="67"/>
  <c r="W89" i="67" s="1"/>
  <c r="X67" i="67"/>
  <c r="W67" i="67"/>
  <c r="W88" i="67" s="1"/>
  <c r="B54" i="67"/>
  <c r="P48" i="67"/>
  <c r="O48" i="67"/>
  <c r="L48" i="67"/>
  <c r="K48" i="67"/>
  <c r="H48" i="67"/>
  <c r="G48" i="67"/>
  <c r="D48" i="67"/>
  <c r="C48" i="67"/>
  <c r="P42" i="67"/>
  <c r="O42" i="67"/>
  <c r="L42" i="67"/>
  <c r="K42" i="67"/>
  <c r="H42" i="67"/>
  <c r="G42" i="67"/>
  <c r="D42" i="67"/>
  <c r="C42" i="67"/>
  <c r="P41" i="67"/>
  <c r="O41" i="67"/>
  <c r="L41" i="67"/>
  <c r="K41" i="67"/>
  <c r="H41" i="67"/>
  <c r="G41" i="67"/>
  <c r="D41" i="67"/>
  <c r="C41" i="67"/>
  <c r="P40" i="67"/>
  <c r="O40" i="67"/>
  <c r="L40" i="67"/>
  <c r="K40" i="67"/>
  <c r="H40" i="67"/>
  <c r="G40" i="67"/>
  <c r="D40" i="67"/>
  <c r="C40" i="67"/>
  <c r="P39" i="67"/>
  <c r="O45" i="67" s="1"/>
  <c r="O39" i="67"/>
  <c r="L39" i="67"/>
  <c r="K39" i="67"/>
  <c r="H39" i="67"/>
  <c r="G45" i="67" s="1"/>
  <c r="G39" i="67"/>
  <c r="D39" i="67"/>
  <c r="C39" i="67"/>
  <c r="S34" i="67"/>
  <c r="O34" i="67"/>
  <c r="K34" i="67"/>
  <c r="G34" i="67"/>
  <c r="C34" i="67"/>
  <c r="X31" i="67"/>
  <c r="S28" i="67"/>
  <c r="O28" i="67"/>
  <c r="K28" i="67"/>
  <c r="G28" i="67"/>
  <c r="C28" i="67"/>
  <c r="X21" i="67"/>
  <c r="W21" i="67"/>
  <c r="X20" i="67"/>
  <c r="C47" i="104" s="1"/>
  <c r="W20" i="67"/>
  <c r="X19" i="67"/>
  <c r="W19" i="67"/>
  <c r="X18" i="67"/>
  <c r="W18" i="67"/>
  <c r="W42" i="67" s="1"/>
  <c r="X17" i="67"/>
  <c r="W17" i="67"/>
  <c r="W41" i="67" s="1"/>
  <c r="X16" i="67"/>
  <c r="W16" i="67"/>
  <c r="W40" i="67" s="1"/>
  <c r="X15" i="67"/>
  <c r="W15" i="67"/>
  <c r="W39" i="67" s="1"/>
  <c r="F2" i="67"/>
  <c r="C2" i="67"/>
  <c r="B2" i="67"/>
  <c r="P122" i="66"/>
  <c r="O122" i="66"/>
  <c r="L122" i="66"/>
  <c r="K122" i="66"/>
  <c r="H122" i="66"/>
  <c r="G122" i="66"/>
  <c r="D122" i="66"/>
  <c r="C122" i="66"/>
  <c r="P121" i="66"/>
  <c r="O121" i="66"/>
  <c r="L121" i="66"/>
  <c r="K121" i="66"/>
  <c r="H121" i="66"/>
  <c r="G121" i="66"/>
  <c r="D121" i="66"/>
  <c r="C121" i="66"/>
  <c r="P120" i="66"/>
  <c r="O120" i="66"/>
  <c r="L120" i="66"/>
  <c r="K120" i="66"/>
  <c r="H120" i="66"/>
  <c r="G120" i="66"/>
  <c r="D120" i="66"/>
  <c r="C120" i="66"/>
  <c r="P119" i="66"/>
  <c r="O119" i="66"/>
  <c r="L119" i="66"/>
  <c r="K119" i="66"/>
  <c r="H119" i="66"/>
  <c r="G119" i="66"/>
  <c r="D119" i="66"/>
  <c r="C119" i="66"/>
  <c r="P118" i="66"/>
  <c r="O118" i="66"/>
  <c r="O123" i="66" s="1"/>
  <c r="L118" i="66"/>
  <c r="K118" i="66"/>
  <c r="K123" i="66" s="1"/>
  <c r="H118" i="66"/>
  <c r="G118" i="66"/>
  <c r="G123" i="66" s="1"/>
  <c r="D118" i="66"/>
  <c r="C118" i="66"/>
  <c r="C123" i="66" s="1"/>
  <c r="X115" i="66"/>
  <c r="W115" i="66"/>
  <c r="W118" i="66" s="1"/>
  <c r="X114" i="66"/>
  <c r="W114" i="66"/>
  <c r="W119" i="66" s="1"/>
  <c r="X113" i="66"/>
  <c r="K56" i="105" s="1"/>
  <c r="W113" i="66"/>
  <c r="X112" i="66"/>
  <c r="K55" i="105" s="1"/>
  <c r="W112" i="66"/>
  <c r="X111" i="66"/>
  <c r="K54" i="105" s="1"/>
  <c r="W111" i="66"/>
  <c r="X110" i="66"/>
  <c r="W110" i="66"/>
  <c r="W120" i="66" s="1"/>
  <c r="X109" i="66"/>
  <c r="K52" i="105" s="1"/>
  <c r="W109" i="66"/>
  <c r="X108" i="66"/>
  <c r="K51" i="105" s="1"/>
  <c r="W108" i="66"/>
  <c r="X107" i="66"/>
  <c r="K50" i="105" s="1"/>
  <c r="W107" i="66"/>
  <c r="X106" i="66"/>
  <c r="K49" i="105" s="1"/>
  <c r="W106" i="66"/>
  <c r="X105" i="66"/>
  <c r="K48" i="105" s="1"/>
  <c r="W105" i="66"/>
  <c r="X104" i="66"/>
  <c r="K47" i="105" s="1"/>
  <c r="W104" i="66"/>
  <c r="X103" i="66"/>
  <c r="W103" i="66"/>
  <c r="W121" i="66" s="1"/>
  <c r="X102" i="66"/>
  <c r="K45" i="105" s="1"/>
  <c r="W102" i="66"/>
  <c r="X101" i="66"/>
  <c r="K44" i="105" s="1"/>
  <c r="W101" i="66"/>
  <c r="X100" i="66"/>
  <c r="K43" i="105" s="1"/>
  <c r="W100" i="66"/>
  <c r="X99" i="66"/>
  <c r="W99" i="66"/>
  <c r="W122" i="66" s="1"/>
  <c r="P95" i="66"/>
  <c r="O95" i="66"/>
  <c r="L95" i="66"/>
  <c r="K95" i="66"/>
  <c r="H95" i="66"/>
  <c r="G95" i="66"/>
  <c r="D95" i="66"/>
  <c r="C95" i="66"/>
  <c r="P94" i="66"/>
  <c r="O94" i="66"/>
  <c r="L94" i="66"/>
  <c r="K94" i="66"/>
  <c r="H94" i="66"/>
  <c r="G94" i="66"/>
  <c r="D94" i="66"/>
  <c r="C94" i="66"/>
  <c r="P93" i="66"/>
  <c r="O93" i="66"/>
  <c r="L93" i="66"/>
  <c r="K93" i="66"/>
  <c r="H93" i="66"/>
  <c r="G93" i="66"/>
  <c r="D93" i="66"/>
  <c r="C93" i="66"/>
  <c r="P92" i="66"/>
  <c r="O92" i="66"/>
  <c r="L92" i="66"/>
  <c r="K92" i="66"/>
  <c r="H92" i="66"/>
  <c r="G92" i="66"/>
  <c r="D92" i="66"/>
  <c r="C92" i="66"/>
  <c r="P91" i="66"/>
  <c r="O91" i="66"/>
  <c r="L91" i="66"/>
  <c r="K91" i="66"/>
  <c r="K96" i="66" s="1"/>
  <c r="H91" i="66"/>
  <c r="G91" i="66"/>
  <c r="D91" i="66"/>
  <c r="C91" i="66"/>
  <c r="C96" i="66" s="1"/>
  <c r="S88" i="66"/>
  <c r="O88" i="66"/>
  <c r="K88" i="66"/>
  <c r="G88" i="66"/>
  <c r="C88" i="66"/>
  <c r="X86" i="66"/>
  <c r="W86" i="66"/>
  <c r="W91" i="66" s="1"/>
  <c r="X85" i="66"/>
  <c r="W85" i="66"/>
  <c r="X84" i="66"/>
  <c r="G56" i="105" s="1"/>
  <c r="W84" i="66"/>
  <c r="X83" i="66"/>
  <c r="G55" i="105" s="1"/>
  <c r="W83" i="66"/>
  <c r="X82" i="66"/>
  <c r="G54" i="105" s="1"/>
  <c r="W82" i="66"/>
  <c r="X81" i="66"/>
  <c r="W81" i="66"/>
  <c r="X80" i="66"/>
  <c r="G52" i="105" s="1"/>
  <c r="W80" i="66"/>
  <c r="X79" i="66"/>
  <c r="G51" i="105" s="1"/>
  <c r="W79" i="66"/>
  <c r="X78" i="66"/>
  <c r="G50" i="105" s="1"/>
  <c r="W78" i="66"/>
  <c r="X77" i="66"/>
  <c r="G49" i="105" s="1"/>
  <c r="W77" i="66"/>
  <c r="X76" i="66"/>
  <c r="G48" i="105" s="1"/>
  <c r="W76" i="66"/>
  <c r="X75" i="66"/>
  <c r="G47" i="105" s="1"/>
  <c r="W75" i="66"/>
  <c r="X74" i="66"/>
  <c r="W74" i="66"/>
  <c r="X73" i="66"/>
  <c r="G45" i="105" s="1"/>
  <c r="W73" i="66"/>
  <c r="X72" i="66"/>
  <c r="G44" i="105" s="1"/>
  <c r="W72" i="66"/>
  <c r="X71" i="66"/>
  <c r="G43" i="105" s="1"/>
  <c r="W71" i="66"/>
  <c r="X70" i="66"/>
  <c r="W70" i="66"/>
  <c r="P51" i="66"/>
  <c r="O51" i="66"/>
  <c r="L51" i="66"/>
  <c r="K51" i="66"/>
  <c r="H51" i="66"/>
  <c r="G51" i="66"/>
  <c r="D51" i="66"/>
  <c r="C51" i="66"/>
  <c r="P47" i="66"/>
  <c r="O47" i="66"/>
  <c r="L47" i="66"/>
  <c r="K47" i="66"/>
  <c r="H47" i="66"/>
  <c r="G47" i="66"/>
  <c r="D47" i="66"/>
  <c r="C47" i="66"/>
  <c r="P46" i="66"/>
  <c r="O46" i="66"/>
  <c r="L46" i="66"/>
  <c r="K46" i="66"/>
  <c r="H46" i="66"/>
  <c r="G46" i="66"/>
  <c r="D46" i="66"/>
  <c r="C46" i="66"/>
  <c r="P45" i="66"/>
  <c r="O45" i="66"/>
  <c r="L45" i="66"/>
  <c r="K45" i="66"/>
  <c r="H45" i="66"/>
  <c r="G45" i="66"/>
  <c r="D45" i="66"/>
  <c r="C45" i="66"/>
  <c r="P44" i="66"/>
  <c r="O44" i="66"/>
  <c r="L44" i="66"/>
  <c r="K44" i="66"/>
  <c r="H44" i="66"/>
  <c r="G44" i="66"/>
  <c r="D44" i="66"/>
  <c r="C44" i="66"/>
  <c r="P43" i="66"/>
  <c r="O43" i="66"/>
  <c r="L43" i="66"/>
  <c r="K43" i="66"/>
  <c r="H43" i="66"/>
  <c r="G43" i="66"/>
  <c r="D43" i="66"/>
  <c r="C43" i="66"/>
  <c r="P42" i="66"/>
  <c r="O48" i="66" s="1"/>
  <c r="O42" i="66"/>
  <c r="L42" i="66"/>
  <c r="K42" i="66"/>
  <c r="H42" i="66"/>
  <c r="G48" i="66" s="1"/>
  <c r="G42" i="66"/>
  <c r="D42" i="66"/>
  <c r="C42" i="66"/>
  <c r="S37" i="66"/>
  <c r="O37" i="66"/>
  <c r="K37" i="66"/>
  <c r="G37" i="66"/>
  <c r="C37" i="66"/>
  <c r="X34" i="66"/>
  <c r="W34" i="66"/>
  <c r="S31" i="66"/>
  <c r="O31" i="66"/>
  <c r="K31" i="66"/>
  <c r="G31" i="66"/>
  <c r="C31" i="66"/>
  <c r="X30" i="66"/>
  <c r="W30" i="66"/>
  <c r="W42" i="66" s="1"/>
  <c r="X29" i="66"/>
  <c r="W29" i="66"/>
  <c r="W43" i="66" s="1"/>
  <c r="X28" i="66"/>
  <c r="C56" i="105" s="1"/>
  <c r="W28" i="66"/>
  <c r="X27" i="66"/>
  <c r="C55" i="105" s="1"/>
  <c r="W27" i="66"/>
  <c r="X26" i="66"/>
  <c r="C54" i="105" s="1"/>
  <c r="W26" i="66"/>
  <c r="X25" i="66"/>
  <c r="W25" i="66"/>
  <c r="W44" i="66" s="1"/>
  <c r="V230" i="65" s="1"/>
  <c r="N237" i="64" s="1"/>
  <c r="N237" i="34" s="1"/>
  <c r="X24" i="66"/>
  <c r="C52" i="105" s="1"/>
  <c r="W24" i="66"/>
  <c r="X23" i="66"/>
  <c r="C51" i="105" s="1"/>
  <c r="W23" i="66"/>
  <c r="X22" i="66"/>
  <c r="C50" i="105" s="1"/>
  <c r="W22" i="66"/>
  <c r="X21" i="66"/>
  <c r="C49" i="105" s="1"/>
  <c r="W21" i="66"/>
  <c r="X20" i="66"/>
  <c r="C48" i="105" s="1"/>
  <c r="W20" i="66"/>
  <c r="X19" i="66"/>
  <c r="C47" i="105" s="1"/>
  <c r="W19" i="66"/>
  <c r="X18" i="66"/>
  <c r="W18" i="66"/>
  <c r="W45" i="66" s="1"/>
  <c r="X17" i="66"/>
  <c r="C45" i="105" s="1"/>
  <c r="W17" i="66"/>
  <c r="X16" i="66"/>
  <c r="C44" i="105" s="1"/>
  <c r="W16" i="66"/>
  <c r="X15" i="66"/>
  <c r="W15" i="66"/>
  <c r="W46" i="66" s="1"/>
  <c r="V232" i="65" s="1"/>
  <c r="N239" i="64" s="1"/>
  <c r="N239" i="34" s="1"/>
  <c r="X14" i="66"/>
  <c r="W14" i="66"/>
  <c r="V253" i="65"/>
  <c r="N257" i="64" s="1"/>
  <c r="N257" i="34" s="1"/>
  <c r="S253" i="65"/>
  <c r="R253" i="65"/>
  <c r="P253" i="65"/>
  <c r="O253" i="65"/>
  <c r="M253" i="65"/>
  <c r="L253" i="65"/>
  <c r="J253" i="65"/>
  <c r="I253" i="65"/>
  <c r="V252" i="65"/>
  <c r="N256" i="64" s="1"/>
  <c r="N256" i="34" s="1"/>
  <c r="S252" i="65"/>
  <c r="R252" i="65"/>
  <c r="P252" i="65"/>
  <c r="O252" i="65"/>
  <c r="M252" i="65"/>
  <c r="L252" i="65"/>
  <c r="J252" i="65"/>
  <c r="I252" i="65"/>
  <c r="V251" i="65"/>
  <c r="N255" i="64" s="1"/>
  <c r="N255" i="34" s="1"/>
  <c r="S251" i="65"/>
  <c r="R251" i="65"/>
  <c r="P251" i="65"/>
  <c r="O251" i="65"/>
  <c r="M251" i="65"/>
  <c r="L251" i="65"/>
  <c r="J251" i="65"/>
  <c r="I251" i="65"/>
  <c r="V250" i="65"/>
  <c r="N254" i="64" s="1"/>
  <c r="N254" i="34" s="1"/>
  <c r="S250" i="65"/>
  <c r="R250" i="65"/>
  <c r="P250" i="65"/>
  <c r="O250" i="65"/>
  <c r="M250" i="65"/>
  <c r="L250" i="65"/>
  <c r="J250" i="65"/>
  <c r="I250" i="65"/>
  <c r="V249" i="65"/>
  <c r="S249" i="65"/>
  <c r="R249" i="65"/>
  <c r="P249" i="65"/>
  <c r="O249" i="65"/>
  <c r="M249" i="65"/>
  <c r="L249" i="65"/>
  <c r="J249" i="65"/>
  <c r="I249" i="65"/>
  <c r="S244" i="65"/>
  <c r="R244" i="65"/>
  <c r="P244" i="65"/>
  <c r="O244" i="65"/>
  <c r="M244" i="65"/>
  <c r="L244" i="65"/>
  <c r="J244" i="65"/>
  <c r="I244" i="65"/>
  <c r="S243" i="65"/>
  <c r="R243" i="65"/>
  <c r="P243" i="65"/>
  <c r="O243" i="65"/>
  <c r="M243" i="65"/>
  <c r="L243" i="65"/>
  <c r="J243" i="65"/>
  <c r="I243" i="65"/>
  <c r="S242" i="65"/>
  <c r="R242" i="65"/>
  <c r="P242" i="65"/>
  <c r="O242" i="65"/>
  <c r="M242" i="65"/>
  <c r="L242" i="65"/>
  <c r="J242" i="65"/>
  <c r="I242" i="65"/>
  <c r="S241" i="65"/>
  <c r="R241" i="65"/>
  <c r="P241" i="65"/>
  <c r="O241" i="65"/>
  <c r="M241" i="65"/>
  <c r="L241" i="65"/>
  <c r="J241" i="65"/>
  <c r="I241" i="65"/>
  <c r="V240" i="65"/>
  <c r="S240" i="65"/>
  <c r="R240" i="65"/>
  <c r="P240" i="65"/>
  <c r="O240" i="65"/>
  <c r="M240" i="65"/>
  <c r="L240" i="65"/>
  <c r="J240" i="65"/>
  <c r="I240" i="65"/>
  <c r="S235" i="65"/>
  <c r="R235" i="65"/>
  <c r="P235" i="65"/>
  <c r="O235" i="65"/>
  <c r="M235" i="65"/>
  <c r="L235" i="65"/>
  <c r="J235" i="65"/>
  <c r="I235" i="65"/>
  <c r="S233" i="65"/>
  <c r="R233" i="65"/>
  <c r="P233" i="65"/>
  <c r="O233" i="65"/>
  <c r="M233" i="65"/>
  <c r="L233" i="65"/>
  <c r="J233" i="65"/>
  <c r="I233" i="65"/>
  <c r="S232" i="65"/>
  <c r="R232" i="65"/>
  <c r="P232" i="65"/>
  <c r="O232" i="65"/>
  <c r="M232" i="65"/>
  <c r="L232" i="65"/>
  <c r="J232" i="65"/>
  <c r="I232" i="65"/>
  <c r="V231" i="65"/>
  <c r="S231" i="65"/>
  <c r="R231" i="65"/>
  <c r="P231" i="65"/>
  <c r="O231" i="65"/>
  <c r="M231" i="65"/>
  <c r="L231" i="65"/>
  <c r="J231" i="65"/>
  <c r="I231" i="65"/>
  <c r="S230" i="65"/>
  <c r="R230" i="65"/>
  <c r="P230" i="65"/>
  <c r="O230" i="65"/>
  <c r="M230" i="65"/>
  <c r="L230" i="65"/>
  <c r="J230" i="65"/>
  <c r="I230" i="65"/>
  <c r="V229" i="65"/>
  <c r="S229" i="65"/>
  <c r="R229" i="65"/>
  <c r="P229" i="65"/>
  <c r="O229" i="65"/>
  <c r="M229" i="65"/>
  <c r="L229" i="65"/>
  <c r="J229" i="65"/>
  <c r="I229" i="65"/>
  <c r="V228" i="65"/>
  <c r="S228" i="65"/>
  <c r="R228" i="65"/>
  <c r="P228" i="65"/>
  <c r="O228" i="65"/>
  <c r="M228" i="65"/>
  <c r="L228" i="65"/>
  <c r="J228" i="65"/>
  <c r="I228" i="65"/>
  <c r="S222" i="65"/>
  <c r="R222" i="65"/>
  <c r="P222" i="65"/>
  <c r="O222" i="65"/>
  <c r="M222" i="65"/>
  <c r="L222" i="65"/>
  <c r="J222" i="65"/>
  <c r="I222" i="65"/>
  <c r="S221" i="65"/>
  <c r="R221" i="65"/>
  <c r="P221" i="65"/>
  <c r="O221" i="65"/>
  <c r="M221" i="65"/>
  <c r="L221" i="65"/>
  <c r="J221" i="65"/>
  <c r="I221" i="65"/>
  <c r="S220" i="65"/>
  <c r="R220" i="65"/>
  <c r="P220" i="65"/>
  <c r="O220" i="65"/>
  <c r="M220" i="65"/>
  <c r="L220" i="65"/>
  <c r="J220" i="65"/>
  <c r="I220" i="65"/>
  <c r="S219" i="65"/>
  <c r="R219" i="65"/>
  <c r="P219" i="65"/>
  <c r="O219" i="65"/>
  <c r="M219" i="65"/>
  <c r="L219" i="65"/>
  <c r="J219" i="65"/>
  <c r="I219" i="65"/>
  <c r="V218" i="65"/>
  <c r="S218" i="65"/>
  <c r="R218" i="65"/>
  <c r="P218" i="65"/>
  <c r="O218" i="65"/>
  <c r="M218" i="65"/>
  <c r="L218" i="65"/>
  <c r="J218" i="65"/>
  <c r="I218" i="65"/>
  <c r="S213" i="65"/>
  <c r="R213" i="65"/>
  <c r="P213" i="65"/>
  <c r="M166" i="64" s="1"/>
  <c r="M166" i="34" s="1"/>
  <c r="M213" i="65"/>
  <c r="L213" i="65"/>
  <c r="J213" i="65"/>
  <c r="M54" i="64" s="1"/>
  <c r="M54" i="34" s="1"/>
  <c r="I213" i="65"/>
  <c r="V212" i="65"/>
  <c r="S212" i="65"/>
  <c r="R212" i="65"/>
  <c r="P212" i="65"/>
  <c r="O212" i="65"/>
  <c r="M212" i="65"/>
  <c r="L212" i="65"/>
  <c r="J212" i="65"/>
  <c r="I212" i="65"/>
  <c r="V211" i="65"/>
  <c r="S211" i="65"/>
  <c r="R211" i="65"/>
  <c r="P211" i="65"/>
  <c r="O211" i="65"/>
  <c r="M211" i="65"/>
  <c r="L211" i="65"/>
  <c r="J211" i="65"/>
  <c r="I211" i="65"/>
  <c r="V210" i="65"/>
  <c r="S210" i="65"/>
  <c r="R210" i="65"/>
  <c r="P210" i="65"/>
  <c r="O210" i="65"/>
  <c r="M210" i="65"/>
  <c r="L210" i="65"/>
  <c r="J210" i="65"/>
  <c r="I210" i="65"/>
  <c r="V209" i="65"/>
  <c r="S209" i="65"/>
  <c r="R209" i="65"/>
  <c r="P209" i="65"/>
  <c r="O209" i="65"/>
  <c r="M209" i="65"/>
  <c r="L209" i="65"/>
  <c r="J209" i="65"/>
  <c r="I209" i="65"/>
  <c r="S204" i="65"/>
  <c r="R204" i="65"/>
  <c r="P204" i="65"/>
  <c r="O204" i="65"/>
  <c r="M204" i="65"/>
  <c r="L204" i="65"/>
  <c r="J204" i="65"/>
  <c r="I204" i="65"/>
  <c r="S202" i="65"/>
  <c r="R202" i="65"/>
  <c r="P202" i="65"/>
  <c r="O202" i="65"/>
  <c r="M202" i="65"/>
  <c r="L202" i="65"/>
  <c r="J202" i="65"/>
  <c r="I202" i="65"/>
  <c r="V201" i="65"/>
  <c r="S201" i="65"/>
  <c r="R201" i="65"/>
  <c r="P201" i="65"/>
  <c r="O201" i="65"/>
  <c r="M127" i="64" s="1"/>
  <c r="M127" i="34" s="1"/>
  <c r="M201" i="65"/>
  <c r="L201" i="65"/>
  <c r="J201" i="65"/>
  <c r="I201" i="65"/>
  <c r="V200" i="65"/>
  <c r="S200" i="65"/>
  <c r="R200" i="65"/>
  <c r="P200" i="65"/>
  <c r="O200" i="65"/>
  <c r="M200" i="65"/>
  <c r="L200" i="65"/>
  <c r="J200" i="65"/>
  <c r="I200" i="65"/>
  <c r="V199" i="65"/>
  <c r="S199" i="65"/>
  <c r="R199" i="65"/>
  <c r="P199" i="65"/>
  <c r="O199" i="65"/>
  <c r="M199" i="65"/>
  <c r="L199" i="65"/>
  <c r="J199" i="65"/>
  <c r="I199" i="65"/>
  <c r="V198" i="65"/>
  <c r="S198" i="65"/>
  <c r="R198" i="65"/>
  <c r="P198" i="65"/>
  <c r="O198" i="65"/>
  <c r="M198" i="65"/>
  <c r="L198" i="65"/>
  <c r="J198" i="65"/>
  <c r="I198" i="65"/>
  <c r="V197" i="65"/>
  <c r="S197" i="65"/>
  <c r="R197" i="65"/>
  <c r="P197" i="65"/>
  <c r="O197" i="65"/>
  <c r="M197" i="65"/>
  <c r="L197" i="65"/>
  <c r="J197" i="65"/>
  <c r="I197" i="65"/>
  <c r="S191" i="65"/>
  <c r="R191" i="65"/>
  <c r="P191" i="65"/>
  <c r="O191" i="65"/>
  <c r="M191" i="65"/>
  <c r="L191" i="65"/>
  <c r="J191" i="65"/>
  <c r="I191" i="65"/>
  <c r="S190" i="65"/>
  <c r="R190" i="65"/>
  <c r="P190" i="65"/>
  <c r="O190" i="65"/>
  <c r="M190" i="65"/>
  <c r="L190" i="65"/>
  <c r="J190" i="65"/>
  <c r="I190" i="65"/>
  <c r="S189" i="65"/>
  <c r="R189" i="65"/>
  <c r="P189" i="65"/>
  <c r="O189" i="65"/>
  <c r="M189" i="65"/>
  <c r="L189" i="65"/>
  <c r="J189" i="65"/>
  <c r="I189" i="65"/>
  <c r="V188" i="65"/>
  <c r="L254" i="64" s="1"/>
  <c r="L254" i="34" s="1"/>
  <c r="S188" i="65"/>
  <c r="R188" i="65"/>
  <c r="P188" i="65"/>
  <c r="O188" i="65"/>
  <c r="M188" i="65"/>
  <c r="L188" i="65"/>
  <c r="J188" i="65"/>
  <c r="I188" i="65"/>
  <c r="V187" i="65"/>
  <c r="S187" i="65"/>
  <c r="R187" i="65"/>
  <c r="P187" i="65"/>
  <c r="O187" i="65"/>
  <c r="M187" i="65"/>
  <c r="L187" i="65"/>
  <c r="J187" i="65"/>
  <c r="I187" i="65"/>
  <c r="S182" i="65"/>
  <c r="R182" i="65"/>
  <c r="P182" i="65"/>
  <c r="O182" i="65"/>
  <c r="M182" i="65"/>
  <c r="L182" i="65"/>
  <c r="J182" i="65"/>
  <c r="I182" i="65"/>
  <c r="S181" i="65"/>
  <c r="R181" i="65"/>
  <c r="P181" i="65"/>
  <c r="O181" i="65"/>
  <c r="M181" i="65"/>
  <c r="L181" i="65"/>
  <c r="J181" i="65"/>
  <c r="I181" i="65"/>
  <c r="S180" i="65"/>
  <c r="R180" i="65"/>
  <c r="P180" i="65"/>
  <c r="O180" i="65"/>
  <c r="M180" i="65"/>
  <c r="L180" i="65"/>
  <c r="J180" i="65"/>
  <c r="I180" i="65"/>
  <c r="V179" i="65"/>
  <c r="S179" i="65"/>
  <c r="R179" i="65"/>
  <c r="P179" i="65"/>
  <c r="O179" i="65"/>
  <c r="M179" i="65"/>
  <c r="L179" i="65"/>
  <c r="J179" i="65"/>
  <c r="I179" i="65"/>
  <c r="V178" i="65"/>
  <c r="S178" i="65"/>
  <c r="R178" i="65"/>
  <c r="P178" i="65"/>
  <c r="O178" i="65"/>
  <c r="M178" i="65"/>
  <c r="L178" i="65"/>
  <c r="J178" i="65"/>
  <c r="I178" i="65"/>
  <c r="S173" i="65"/>
  <c r="R173" i="65"/>
  <c r="P173" i="65"/>
  <c r="O173" i="65"/>
  <c r="M173" i="65"/>
  <c r="L173" i="65"/>
  <c r="J173" i="65"/>
  <c r="I173" i="65"/>
  <c r="W171" i="65"/>
  <c r="V171" i="65"/>
  <c r="S171" i="65"/>
  <c r="R171" i="65"/>
  <c r="P171" i="65"/>
  <c r="O171" i="65"/>
  <c r="M171" i="65"/>
  <c r="L171" i="65"/>
  <c r="J171" i="65"/>
  <c r="I171" i="65"/>
  <c r="V170" i="65"/>
  <c r="S170" i="65"/>
  <c r="R170" i="65"/>
  <c r="P170" i="65"/>
  <c r="O170" i="65"/>
  <c r="M170" i="65"/>
  <c r="L170" i="65"/>
  <c r="J170" i="65"/>
  <c r="I170" i="65"/>
  <c r="V169" i="65"/>
  <c r="S169" i="65"/>
  <c r="R169" i="65"/>
  <c r="P169" i="65"/>
  <c r="O169" i="65"/>
  <c r="M169" i="65"/>
  <c r="L169" i="65"/>
  <c r="J169" i="65"/>
  <c r="I169" i="65"/>
  <c r="V168" i="65"/>
  <c r="S168" i="65"/>
  <c r="R168" i="65"/>
  <c r="P168" i="65"/>
  <c r="O168" i="65"/>
  <c r="M168" i="65"/>
  <c r="L168" i="65"/>
  <c r="J168" i="65"/>
  <c r="I168" i="65"/>
  <c r="V167" i="65"/>
  <c r="S167" i="65"/>
  <c r="R167" i="65"/>
  <c r="P167" i="65"/>
  <c r="O167" i="65"/>
  <c r="M167" i="65"/>
  <c r="L167" i="65"/>
  <c r="J167" i="65"/>
  <c r="I167" i="65"/>
  <c r="V166" i="65"/>
  <c r="S166" i="65"/>
  <c r="R166" i="65"/>
  <c r="P166" i="65"/>
  <c r="O166" i="65"/>
  <c r="M166" i="65"/>
  <c r="L166" i="65"/>
  <c r="J166" i="65"/>
  <c r="I166" i="65"/>
  <c r="S160" i="65"/>
  <c r="R160" i="65"/>
  <c r="P160" i="65"/>
  <c r="O160" i="65"/>
  <c r="M160" i="65"/>
  <c r="L160" i="65"/>
  <c r="J160" i="65"/>
  <c r="I160" i="65"/>
  <c r="S159" i="65"/>
  <c r="R159" i="65"/>
  <c r="P159" i="65"/>
  <c r="O159" i="65"/>
  <c r="M159" i="65"/>
  <c r="L159" i="65"/>
  <c r="J159" i="65"/>
  <c r="I159" i="65"/>
  <c r="S158" i="65"/>
  <c r="R158" i="65"/>
  <c r="P158" i="65"/>
  <c r="O158" i="65"/>
  <c r="M158" i="65"/>
  <c r="L158" i="65"/>
  <c r="J158" i="65"/>
  <c r="I158" i="65"/>
  <c r="S157" i="65"/>
  <c r="R157" i="65"/>
  <c r="P157" i="65"/>
  <c r="O157" i="65"/>
  <c r="M157" i="65"/>
  <c r="L157" i="65"/>
  <c r="J157" i="65"/>
  <c r="I157" i="65"/>
  <c r="V156" i="65"/>
  <c r="S156" i="65"/>
  <c r="R156" i="65"/>
  <c r="P156" i="65"/>
  <c r="O156" i="65"/>
  <c r="M156" i="65"/>
  <c r="L156" i="65"/>
  <c r="J156" i="65"/>
  <c r="I156" i="65"/>
  <c r="V151" i="65"/>
  <c r="S151" i="65"/>
  <c r="R151" i="65"/>
  <c r="P151" i="65"/>
  <c r="O151" i="65"/>
  <c r="M151" i="65"/>
  <c r="L151" i="65"/>
  <c r="J151" i="65"/>
  <c r="I151" i="65"/>
  <c r="V150" i="65"/>
  <c r="S150" i="65"/>
  <c r="R150" i="65"/>
  <c r="P150" i="65"/>
  <c r="O150" i="65"/>
  <c r="M150" i="65"/>
  <c r="L150" i="65"/>
  <c r="J150" i="65"/>
  <c r="I150" i="65"/>
  <c r="V149" i="65"/>
  <c r="S149" i="65"/>
  <c r="R149" i="65"/>
  <c r="P149" i="65"/>
  <c r="O149" i="65"/>
  <c r="M149" i="65"/>
  <c r="L149" i="65"/>
  <c r="J149" i="65"/>
  <c r="I149" i="65"/>
  <c r="S148" i="65"/>
  <c r="R148" i="65"/>
  <c r="P148" i="65"/>
  <c r="O148" i="65"/>
  <c r="M148" i="65"/>
  <c r="L148" i="65"/>
  <c r="J148" i="65"/>
  <c r="I148" i="65"/>
  <c r="V147" i="65"/>
  <c r="S147" i="65"/>
  <c r="R147" i="65"/>
  <c r="P147" i="65"/>
  <c r="O147" i="65"/>
  <c r="M147" i="65"/>
  <c r="L147" i="65"/>
  <c r="J147" i="65"/>
  <c r="I147" i="65"/>
  <c r="S142" i="65"/>
  <c r="R142" i="65"/>
  <c r="P142" i="65"/>
  <c r="O142" i="65"/>
  <c r="M142" i="65"/>
  <c r="L142" i="65"/>
  <c r="J142" i="65"/>
  <c r="I142" i="65"/>
  <c r="S140" i="65"/>
  <c r="R140" i="65"/>
  <c r="P140" i="65"/>
  <c r="O140" i="65"/>
  <c r="M140" i="65"/>
  <c r="L140" i="65"/>
  <c r="J140" i="65"/>
  <c r="I140" i="65"/>
  <c r="S139" i="65"/>
  <c r="R139" i="65"/>
  <c r="P139" i="65"/>
  <c r="O139" i="65"/>
  <c r="M139" i="65"/>
  <c r="L139" i="65"/>
  <c r="J139" i="65"/>
  <c r="I139" i="65"/>
  <c r="S138" i="65"/>
  <c r="R138" i="65"/>
  <c r="P138" i="65"/>
  <c r="O138" i="65"/>
  <c r="M138" i="65"/>
  <c r="L138" i="65"/>
  <c r="J138" i="65"/>
  <c r="I138" i="65"/>
  <c r="S137" i="65"/>
  <c r="R137" i="65"/>
  <c r="P137" i="65"/>
  <c r="O137" i="65"/>
  <c r="M137" i="65"/>
  <c r="L137" i="65"/>
  <c r="J137" i="65"/>
  <c r="I137" i="65"/>
  <c r="S136" i="65"/>
  <c r="R136" i="65"/>
  <c r="P136" i="65"/>
  <c r="O136" i="65"/>
  <c r="M136" i="65"/>
  <c r="L136" i="65"/>
  <c r="J136" i="65"/>
  <c r="I136" i="65"/>
  <c r="S135" i="65"/>
  <c r="R135" i="65"/>
  <c r="P135" i="65"/>
  <c r="O135" i="65"/>
  <c r="M135" i="65"/>
  <c r="L135" i="65"/>
  <c r="J135" i="65"/>
  <c r="I135" i="65"/>
  <c r="V129" i="65"/>
  <c r="J257" i="64" s="1"/>
  <c r="J257" i="34" s="1"/>
  <c r="S129" i="65"/>
  <c r="R129" i="65"/>
  <c r="P129" i="65"/>
  <c r="O129" i="65"/>
  <c r="M129" i="65"/>
  <c r="L129" i="65"/>
  <c r="J129" i="65"/>
  <c r="I129" i="65"/>
  <c r="V128" i="65"/>
  <c r="J256" i="64" s="1"/>
  <c r="J256" i="34" s="1"/>
  <c r="S128" i="65"/>
  <c r="R128" i="65"/>
  <c r="P128" i="65"/>
  <c r="O128" i="65"/>
  <c r="M128" i="65"/>
  <c r="L128" i="65"/>
  <c r="J128" i="65"/>
  <c r="I128" i="65"/>
  <c r="V127" i="65"/>
  <c r="J255" i="64" s="1"/>
  <c r="J255" i="34" s="1"/>
  <c r="S127" i="65"/>
  <c r="R127" i="65"/>
  <c r="P127" i="65"/>
  <c r="O127" i="65"/>
  <c r="M127" i="65"/>
  <c r="L127" i="65"/>
  <c r="J127" i="65"/>
  <c r="I127" i="65"/>
  <c r="V126" i="65"/>
  <c r="J254" i="64" s="1"/>
  <c r="J254" i="34" s="1"/>
  <c r="S126" i="65"/>
  <c r="R126" i="65"/>
  <c r="P126" i="65"/>
  <c r="O126" i="65"/>
  <c r="M126" i="65"/>
  <c r="L126" i="65"/>
  <c r="J126" i="65"/>
  <c r="I126" i="65"/>
  <c r="V125" i="65"/>
  <c r="S125" i="65"/>
  <c r="R125" i="65"/>
  <c r="P125" i="65"/>
  <c r="O125" i="65"/>
  <c r="M125" i="65"/>
  <c r="L125" i="65"/>
  <c r="J125" i="65"/>
  <c r="I125" i="65"/>
  <c r="S120" i="65"/>
  <c r="R120" i="65"/>
  <c r="P120" i="65"/>
  <c r="O120" i="65"/>
  <c r="M120" i="65"/>
  <c r="L120" i="65"/>
  <c r="J120" i="65"/>
  <c r="I120" i="65"/>
  <c r="S119" i="65"/>
  <c r="R119" i="65"/>
  <c r="P119" i="65"/>
  <c r="O119" i="65"/>
  <c r="M119" i="65"/>
  <c r="L119" i="65"/>
  <c r="J119" i="65"/>
  <c r="I119" i="65"/>
  <c r="S118" i="65"/>
  <c r="R118" i="65"/>
  <c r="P118" i="65"/>
  <c r="O118" i="65"/>
  <c r="M118" i="65"/>
  <c r="L118" i="65"/>
  <c r="J118" i="65"/>
  <c r="I118" i="65"/>
  <c r="S117" i="65"/>
  <c r="R117" i="65"/>
  <c r="P117" i="65"/>
  <c r="O117" i="65"/>
  <c r="M117" i="65"/>
  <c r="L117" i="65"/>
  <c r="J117" i="65"/>
  <c r="I117" i="65"/>
  <c r="V116" i="65"/>
  <c r="S116" i="65"/>
  <c r="R116" i="65"/>
  <c r="P116" i="65"/>
  <c r="O116" i="65"/>
  <c r="M116" i="65"/>
  <c r="L116" i="65"/>
  <c r="J116" i="65"/>
  <c r="I116" i="65"/>
  <c r="S111" i="65"/>
  <c r="R111" i="65"/>
  <c r="P111" i="65"/>
  <c r="O111" i="65"/>
  <c r="M111" i="65"/>
  <c r="L111" i="65"/>
  <c r="J111" i="65"/>
  <c r="I111" i="65"/>
  <c r="V109" i="65"/>
  <c r="S109" i="65"/>
  <c r="R109" i="65"/>
  <c r="P109" i="65"/>
  <c r="O109" i="65"/>
  <c r="M109" i="65"/>
  <c r="L109" i="65"/>
  <c r="J109" i="65"/>
  <c r="I109" i="65"/>
  <c r="V108" i="65"/>
  <c r="S108" i="65"/>
  <c r="R108" i="65"/>
  <c r="P108" i="65"/>
  <c r="O108" i="65"/>
  <c r="M108" i="65"/>
  <c r="L108" i="65"/>
  <c r="J108" i="65"/>
  <c r="I108" i="65"/>
  <c r="V107" i="65"/>
  <c r="S107" i="65"/>
  <c r="R107" i="65"/>
  <c r="P107" i="65"/>
  <c r="O107" i="65"/>
  <c r="M107" i="65"/>
  <c r="L107" i="65"/>
  <c r="J107" i="65"/>
  <c r="I107" i="65"/>
  <c r="V106" i="65"/>
  <c r="S106" i="65"/>
  <c r="R106" i="65"/>
  <c r="P106" i="65"/>
  <c r="O106" i="65"/>
  <c r="M106" i="65"/>
  <c r="L106" i="65"/>
  <c r="J106" i="65"/>
  <c r="I106" i="65"/>
  <c r="V105" i="65"/>
  <c r="S105" i="65"/>
  <c r="R105" i="65"/>
  <c r="P105" i="65"/>
  <c r="O105" i="65"/>
  <c r="M105" i="65"/>
  <c r="L105" i="65"/>
  <c r="J105" i="65"/>
  <c r="I105" i="65"/>
  <c r="V104" i="65"/>
  <c r="S104" i="65"/>
  <c r="R104" i="65"/>
  <c r="P104" i="65"/>
  <c r="O104" i="65"/>
  <c r="M104" i="65"/>
  <c r="L104" i="65"/>
  <c r="J104" i="65"/>
  <c r="I104" i="65"/>
  <c r="S98" i="65"/>
  <c r="R98" i="65"/>
  <c r="P98" i="65"/>
  <c r="O98" i="65"/>
  <c r="M98" i="65"/>
  <c r="L98" i="65"/>
  <c r="J98" i="65"/>
  <c r="I98" i="65"/>
  <c r="S97" i="65"/>
  <c r="R97" i="65"/>
  <c r="P97" i="65"/>
  <c r="O97" i="65"/>
  <c r="M97" i="65"/>
  <c r="L97" i="65"/>
  <c r="J97" i="65"/>
  <c r="I97" i="65"/>
  <c r="S96" i="65"/>
  <c r="R96" i="65"/>
  <c r="P96" i="65"/>
  <c r="O96" i="65"/>
  <c r="M96" i="65"/>
  <c r="L96" i="65"/>
  <c r="J96" i="65"/>
  <c r="I96" i="65"/>
  <c r="S95" i="65"/>
  <c r="R95" i="65"/>
  <c r="P95" i="65"/>
  <c r="O95" i="65"/>
  <c r="M95" i="65"/>
  <c r="L95" i="65"/>
  <c r="J95" i="65"/>
  <c r="I95" i="65"/>
  <c r="V94" i="65"/>
  <c r="S94" i="65"/>
  <c r="R94" i="65"/>
  <c r="P94" i="65"/>
  <c r="O94" i="65"/>
  <c r="M94" i="65"/>
  <c r="L94" i="65"/>
  <c r="J94" i="65"/>
  <c r="I94" i="65"/>
  <c r="S89" i="65"/>
  <c r="R89" i="65"/>
  <c r="P89" i="65"/>
  <c r="O89" i="65"/>
  <c r="M89" i="65"/>
  <c r="L89" i="65"/>
  <c r="J89" i="65"/>
  <c r="I89" i="65"/>
  <c r="S88" i="65"/>
  <c r="R88" i="65"/>
  <c r="P88" i="65"/>
  <c r="O88" i="65"/>
  <c r="M88" i="65"/>
  <c r="L88" i="65"/>
  <c r="J88" i="65"/>
  <c r="I88" i="65"/>
  <c r="S87" i="65"/>
  <c r="R87" i="65"/>
  <c r="P87" i="65"/>
  <c r="O87" i="65"/>
  <c r="M87" i="65"/>
  <c r="L87" i="65"/>
  <c r="J87" i="65"/>
  <c r="I87" i="65"/>
  <c r="S86" i="65"/>
  <c r="R86" i="65"/>
  <c r="P86" i="65"/>
  <c r="O86" i="65"/>
  <c r="M86" i="65"/>
  <c r="L86" i="65"/>
  <c r="J86" i="65"/>
  <c r="I86" i="65"/>
  <c r="V85" i="65"/>
  <c r="S85" i="65"/>
  <c r="R85" i="65"/>
  <c r="P85" i="65"/>
  <c r="O85" i="65"/>
  <c r="M85" i="65"/>
  <c r="L85" i="65"/>
  <c r="J85" i="65"/>
  <c r="I85" i="65"/>
  <c r="S80" i="65"/>
  <c r="R80" i="65"/>
  <c r="P80" i="65"/>
  <c r="O80" i="65"/>
  <c r="M80" i="65"/>
  <c r="L80" i="65"/>
  <c r="J80" i="65"/>
  <c r="I80" i="65"/>
  <c r="V78" i="65"/>
  <c r="S78" i="65"/>
  <c r="R78" i="65"/>
  <c r="P78" i="65"/>
  <c r="O78" i="65"/>
  <c r="M78" i="65"/>
  <c r="L78" i="65"/>
  <c r="J78" i="65"/>
  <c r="I78" i="65"/>
  <c r="V77" i="65"/>
  <c r="S77" i="65"/>
  <c r="R77" i="65"/>
  <c r="P77" i="65"/>
  <c r="O77" i="65"/>
  <c r="M77" i="65"/>
  <c r="L77" i="65"/>
  <c r="J77" i="65"/>
  <c r="I77" i="65"/>
  <c r="V76" i="65"/>
  <c r="S76" i="65"/>
  <c r="R76" i="65"/>
  <c r="P76" i="65"/>
  <c r="O76" i="65"/>
  <c r="M76" i="65"/>
  <c r="L76" i="65"/>
  <c r="J76" i="65"/>
  <c r="I76" i="65"/>
  <c r="V75" i="65"/>
  <c r="S75" i="65"/>
  <c r="R75" i="65"/>
  <c r="P75" i="65"/>
  <c r="O75" i="65"/>
  <c r="M75" i="65"/>
  <c r="L75" i="65"/>
  <c r="J75" i="65"/>
  <c r="I75" i="65"/>
  <c r="V74" i="65"/>
  <c r="S74" i="65"/>
  <c r="R74" i="65"/>
  <c r="P74" i="65"/>
  <c r="O74" i="65"/>
  <c r="M74" i="65"/>
  <c r="L74" i="65"/>
  <c r="J74" i="65"/>
  <c r="I74" i="65"/>
  <c r="V73" i="65"/>
  <c r="S73" i="65"/>
  <c r="R73" i="65"/>
  <c r="P73" i="65"/>
  <c r="O73" i="65"/>
  <c r="M73" i="65"/>
  <c r="L73" i="65"/>
  <c r="J73" i="65"/>
  <c r="I73" i="65"/>
  <c r="S67" i="65"/>
  <c r="R67" i="65"/>
  <c r="P67" i="65"/>
  <c r="O67" i="65"/>
  <c r="M67" i="65"/>
  <c r="L67" i="65"/>
  <c r="J67" i="65"/>
  <c r="I67" i="65"/>
  <c r="S66" i="65"/>
  <c r="P66" i="65"/>
  <c r="O66" i="65"/>
  <c r="M66" i="65"/>
  <c r="L66" i="65"/>
  <c r="J66" i="65"/>
  <c r="I66" i="65"/>
  <c r="S65" i="65"/>
  <c r="R65" i="65"/>
  <c r="P65" i="65"/>
  <c r="O65" i="65"/>
  <c r="M65" i="65"/>
  <c r="L65" i="65"/>
  <c r="J65" i="65"/>
  <c r="I65" i="65"/>
  <c r="S64" i="65"/>
  <c r="R64" i="65"/>
  <c r="P64" i="65"/>
  <c r="O64" i="65"/>
  <c r="M64" i="65"/>
  <c r="L64" i="65"/>
  <c r="J64" i="65"/>
  <c r="I64" i="65"/>
  <c r="V63" i="65"/>
  <c r="S63" i="65"/>
  <c r="R63" i="65"/>
  <c r="P63" i="65"/>
  <c r="O63" i="65"/>
  <c r="M63" i="65"/>
  <c r="L63" i="65"/>
  <c r="J63" i="65"/>
  <c r="I63" i="65"/>
  <c r="S58" i="65"/>
  <c r="R58" i="65"/>
  <c r="P58" i="65"/>
  <c r="O58" i="65"/>
  <c r="M58" i="65"/>
  <c r="L58" i="65"/>
  <c r="J58" i="65"/>
  <c r="I58" i="65"/>
  <c r="S57" i="65"/>
  <c r="R57" i="65"/>
  <c r="P57" i="65"/>
  <c r="O57" i="65"/>
  <c r="M57" i="65"/>
  <c r="L57" i="65"/>
  <c r="J57" i="65"/>
  <c r="I57" i="65"/>
  <c r="S56" i="65"/>
  <c r="R56" i="65"/>
  <c r="P56" i="65"/>
  <c r="O56" i="65"/>
  <c r="M56" i="65"/>
  <c r="L56" i="65"/>
  <c r="J56" i="65"/>
  <c r="I56" i="65"/>
  <c r="S55" i="65"/>
  <c r="R55" i="65"/>
  <c r="P55" i="65"/>
  <c r="O55" i="65"/>
  <c r="M55" i="65"/>
  <c r="L55" i="65"/>
  <c r="J55" i="65"/>
  <c r="I55" i="65"/>
  <c r="S54" i="65"/>
  <c r="R54" i="65"/>
  <c r="P54" i="65"/>
  <c r="O54" i="65"/>
  <c r="M54" i="65"/>
  <c r="L54" i="65"/>
  <c r="J54" i="65"/>
  <c r="I54" i="65"/>
  <c r="S49" i="65"/>
  <c r="R49" i="65"/>
  <c r="P49" i="65"/>
  <c r="O49" i="65"/>
  <c r="M49" i="65"/>
  <c r="L49" i="65"/>
  <c r="J49" i="65"/>
  <c r="I49" i="65"/>
  <c r="S47" i="65"/>
  <c r="R47" i="65"/>
  <c r="P47" i="65"/>
  <c r="O47" i="65"/>
  <c r="M47" i="65"/>
  <c r="L47" i="65"/>
  <c r="J47" i="65"/>
  <c r="I47" i="65"/>
  <c r="S46" i="65"/>
  <c r="R46" i="65"/>
  <c r="P46" i="65"/>
  <c r="O46" i="65"/>
  <c r="M46" i="65"/>
  <c r="L46" i="65"/>
  <c r="J46" i="65"/>
  <c r="I46" i="65"/>
  <c r="S45" i="65"/>
  <c r="R45" i="65"/>
  <c r="P45" i="65"/>
  <c r="O45" i="65"/>
  <c r="M45" i="65"/>
  <c r="L45" i="65"/>
  <c r="J45" i="65"/>
  <c r="I45" i="65"/>
  <c r="S44" i="65"/>
  <c r="R44" i="65"/>
  <c r="P44" i="65"/>
  <c r="O44" i="65"/>
  <c r="M44" i="65"/>
  <c r="L44" i="65"/>
  <c r="J44" i="65"/>
  <c r="I44" i="65"/>
  <c r="S43" i="65"/>
  <c r="R43" i="65"/>
  <c r="P43" i="65"/>
  <c r="O43" i="65"/>
  <c r="M43" i="65"/>
  <c r="L43" i="65"/>
  <c r="J43" i="65"/>
  <c r="I43" i="65"/>
  <c r="V42" i="65"/>
  <c r="S42" i="65"/>
  <c r="R42" i="65"/>
  <c r="P42" i="65"/>
  <c r="O42" i="65"/>
  <c r="M42" i="65"/>
  <c r="L42" i="65"/>
  <c r="J42" i="65"/>
  <c r="I42" i="65"/>
  <c r="P36" i="65"/>
  <c r="G173" i="64" s="1"/>
  <c r="G173" i="34" s="1"/>
  <c r="O36" i="65"/>
  <c r="G145" i="64" s="1"/>
  <c r="G145" i="34" s="1"/>
  <c r="M36" i="65"/>
  <c r="L36" i="65"/>
  <c r="J36" i="65"/>
  <c r="I36" i="65"/>
  <c r="S35" i="65"/>
  <c r="G228" i="64" s="1"/>
  <c r="G228" i="34" s="1"/>
  <c r="M35" i="65"/>
  <c r="L35" i="65"/>
  <c r="J35" i="65"/>
  <c r="I35" i="65"/>
  <c r="S34" i="65"/>
  <c r="G227" i="64" s="1"/>
  <c r="G227" i="34" s="1"/>
  <c r="M34" i="65"/>
  <c r="L34" i="65"/>
  <c r="J34" i="65"/>
  <c r="I34" i="65"/>
  <c r="S33" i="65"/>
  <c r="G226" i="64" s="1"/>
  <c r="G226" i="34" s="1"/>
  <c r="M33" i="65"/>
  <c r="L33" i="65"/>
  <c r="J33" i="65"/>
  <c r="I33" i="65"/>
  <c r="S32" i="65"/>
  <c r="G225" i="64" s="1"/>
  <c r="G225" i="34" s="1"/>
  <c r="M32" i="65"/>
  <c r="L32" i="65"/>
  <c r="J32" i="65"/>
  <c r="I32" i="65"/>
  <c r="S28" i="65"/>
  <c r="G222" i="64" s="1"/>
  <c r="G222" i="34" s="1"/>
  <c r="P28" i="65"/>
  <c r="M28" i="65"/>
  <c r="J28" i="65"/>
  <c r="S27" i="65"/>
  <c r="G221" i="64" s="1"/>
  <c r="G221" i="34" s="1"/>
  <c r="M27" i="65"/>
  <c r="J27" i="65"/>
  <c r="S26" i="65"/>
  <c r="G220" i="64" s="1"/>
  <c r="G220" i="34" s="1"/>
  <c r="M26" i="65"/>
  <c r="J26" i="65"/>
  <c r="S25" i="65"/>
  <c r="G219" i="64" s="1"/>
  <c r="G219" i="34" s="1"/>
  <c r="M25" i="65"/>
  <c r="J25" i="65"/>
  <c r="S24" i="65"/>
  <c r="G218" i="64" s="1"/>
  <c r="G218" i="34" s="1"/>
  <c r="M24" i="65"/>
  <c r="J24" i="65"/>
  <c r="S19" i="65"/>
  <c r="R19" i="65"/>
  <c r="P19" i="65"/>
  <c r="O19" i="65"/>
  <c r="M19" i="65"/>
  <c r="L19" i="65"/>
  <c r="J19" i="65"/>
  <c r="I19" i="65"/>
  <c r="W17" i="65"/>
  <c r="V17" i="65"/>
  <c r="S17" i="65"/>
  <c r="R17" i="65"/>
  <c r="P17" i="65"/>
  <c r="O17" i="65"/>
  <c r="M17" i="65"/>
  <c r="L17" i="65"/>
  <c r="J17" i="65"/>
  <c r="I17" i="65"/>
  <c r="V16" i="65"/>
  <c r="S16" i="65"/>
  <c r="R16" i="65"/>
  <c r="P16" i="65"/>
  <c r="O16" i="65"/>
  <c r="G127" i="64" s="1"/>
  <c r="G127" i="34" s="1"/>
  <c r="M16" i="65"/>
  <c r="L16" i="65"/>
  <c r="J16" i="65"/>
  <c r="I16" i="65"/>
  <c r="S15" i="65"/>
  <c r="R15" i="65"/>
  <c r="P15" i="65"/>
  <c r="O15" i="65"/>
  <c r="G126" i="64" s="1"/>
  <c r="G126" i="34" s="1"/>
  <c r="M15" i="65"/>
  <c r="L15" i="65"/>
  <c r="J15" i="65"/>
  <c r="I15" i="65"/>
  <c r="S14" i="65"/>
  <c r="R14" i="65"/>
  <c r="P14" i="65"/>
  <c r="O14" i="65"/>
  <c r="M14" i="65"/>
  <c r="L14" i="65"/>
  <c r="J14" i="65"/>
  <c r="I14" i="65"/>
  <c r="S13" i="65"/>
  <c r="R13" i="65"/>
  <c r="P13" i="65"/>
  <c r="O13" i="65"/>
  <c r="M13" i="65"/>
  <c r="L13" i="65"/>
  <c r="J13" i="65"/>
  <c r="I13" i="65"/>
  <c r="V12" i="65"/>
  <c r="S12" i="65"/>
  <c r="R12" i="65"/>
  <c r="P12" i="65"/>
  <c r="O12" i="65"/>
  <c r="M12" i="65"/>
  <c r="L12" i="65"/>
  <c r="J12" i="65"/>
  <c r="I12" i="65"/>
  <c r="G11" i="64" s="1"/>
  <c r="G11" i="34" s="1"/>
  <c r="L268" i="64"/>
  <c r="L268" i="34" s="1"/>
  <c r="L117" i="30" s="1"/>
  <c r="G268" i="64"/>
  <c r="G268" i="34" s="1"/>
  <c r="N253" i="64"/>
  <c r="N253" i="34" s="1"/>
  <c r="M253" i="64"/>
  <c r="M253" i="34" s="1"/>
  <c r="L253" i="64"/>
  <c r="L253" i="34" s="1"/>
  <c r="K253" i="64"/>
  <c r="K253" i="34" s="1"/>
  <c r="J253" i="64"/>
  <c r="J253" i="34" s="1"/>
  <c r="I253" i="64"/>
  <c r="I253" i="34" s="1"/>
  <c r="H253" i="64"/>
  <c r="H253" i="34" s="1"/>
  <c r="K250" i="64"/>
  <c r="K250" i="34" s="1"/>
  <c r="M249" i="64"/>
  <c r="M249" i="34" s="1"/>
  <c r="K249" i="64"/>
  <c r="K249" i="34" s="1"/>
  <c r="M248" i="64"/>
  <c r="M248" i="34" s="1"/>
  <c r="K248" i="64"/>
  <c r="K248" i="34" s="1"/>
  <c r="M247" i="64"/>
  <c r="M247" i="34" s="1"/>
  <c r="L247" i="64"/>
  <c r="L247" i="34" s="1"/>
  <c r="N246" i="64"/>
  <c r="N246" i="34" s="1"/>
  <c r="M246" i="64"/>
  <c r="M246" i="34" s="1"/>
  <c r="L246" i="64"/>
  <c r="L246" i="34" s="1"/>
  <c r="K246" i="64"/>
  <c r="K246" i="34" s="1"/>
  <c r="J246" i="64"/>
  <c r="J246" i="34" s="1"/>
  <c r="I246" i="64"/>
  <c r="I246" i="34" s="1"/>
  <c r="L240" i="64"/>
  <c r="L240" i="34" s="1"/>
  <c r="J240" i="64"/>
  <c r="J240" i="34" s="1"/>
  <c r="I240" i="64"/>
  <c r="I240" i="34" s="1"/>
  <c r="H240" i="64"/>
  <c r="H240" i="34" s="1"/>
  <c r="G240" i="64"/>
  <c r="G240" i="34" s="1"/>
  <c r="M239" i="64"/>
  <c r="M239" i="34" s="1"/>
  <c r="L239" i="64"/>
  <c r="L239" i="34" s="1"/>
  <c r="J239" i="64"/>
  <c r="J239" i="34" s="1"/>
  <c r="I239" i="64"/>
  <c r="I239" i="34" s="1"/>
  <c r="G239" i="64"/>
  <c r="G239" i="34" s="1"/>
  <c r="N238" i="64"/>
  <c r="N238" i="34" s="1"/>
  <c r="M238" i="64"/>
  <c r="M238" i="34" s="1"/>
  <c r="L238" i="64"/>
  <c r="L238" i="34" s="1"/>
  <c r="J238" i="64"/>
  <c r="J238" i="34" s="1"/>
  <c r="I238" i="64"/>
  <c r="I238" i="34" s="1"/>
  <c r="M237" i="64"/>
  <c r="M237" i="34" s="1"/>
  <c r="L237" i="64"/>
  <c r="L237" i="34" s="1"/>
  <c r="J237" i="64"/>
  <c r="J237" i="34" s="1"/>
  <c r="I237" i="64"/>
  <c r="I237" i="34" s="1"/>
  <c r="N236" i="64"/>
  <c r="N236" i="34" s="1"/>
  <c r="M236" i="64"/>
  <c r="M236" i="34" s="1"/>
  <c r="L236" i="64"/>
  <c r="L236" i="34" s="1"/>
  <c r="J236" i="64"/>
  <c r="J236" i="34" s="1"/>
  <c r="I236" i="64"/>
  <c r="I236" i="34" s="1"/>
  <c r="N235" i="64"/>
  <c r="N235" i="34" s="1"/>
  <c r="M235" i="64"/>
  <c r="M235" i="34" s="1"/>
  <c r="L235" i="64"/>
  <c r="L235" i="34" s="1"/>
  <c r="J235" i="64"/>
  <c r="J235" i="34" s="1"/>
  <c r="I235" i="64"/>
  <c r="I235" i="34" s="1"/>
  <c r="H235" i="64"/>
  <c r="H235" i="34" s="1"/>
  <c r="G235" i="64"/>
  <c r="G235" i="34" s="1"/>
  <c r="N229" i="64"/>
  <c r="N229" i="34" s="1"/>
  <c r="M229" i="64"/>
  <c r="M229" i="34" s="1"/>
  <c r="L229" i="64"/>
  <c r="L229" i="34" s="1"/>
  <c r="K229" i="64"/>
  <c r="K229" i="34" s="1"/>
  <c r="J229" i="64"/>
  <c r="J229" i="34" s="1"/>
  <c r="I229" i="64"/>
  <c r="I229" i="34" s="1"/>
  <c r="H229" i="64"/>
  <c r="H229" i="34" s="1"/>
  <c r="N228" i="64"/>
  <c r="N228" i="34" s="1"/>
  <c r="M228" i="64"/>
  <c r="M228" i="34" s="1"/>
  <c r="L228" i="64"/>
  <c r="L228" i="34" s="1"/>
  <c r="K228" i="64"/>
  <c r="K228" i="34" s="1"/>
  <c r="J228" i="64"/>
  <c r="J228" i="34" s="1"/>
  <c r="I228" i="64"/>
  <c r="I228" i="34" s="1"/>
  <c r="H228" i="64"/>
  <c r="H228" i="34" s="1"/>
  <c r="N227" i="64"/>
  <c r="N227" i="34" s="1"/>
  <c r="M227" i="64"/>
  <c r="M227" i="34" s="1"/>
  <c r="L227" i="64"/>
  <c r="L227" i="34" s="1"/>
  <c r="K227" i="64"/>
  <c r="K227" i="34" s="1"/>
  <c r="J227" i="64"/>
  <c r="J227" i="34" s="1"/>
  <c r="I227" i="64"/>
  <c r="I227" i="34" s="1"/>
  <c r="H227" i="64"/>
  <c r="H227" i="34" s="1"/>
  <c r="N226" i="64"/>
  <c r="N226" i="34" s="1"/>
  <c r="M226" i="64"/>
  <c r="M226" i="34" s="1"/>
  <c r="L226" i="64"/>
  <c r="L226" i="34" s="1"/>
  <c r="K226" i="64"/>
  <c r="K226" i="34" s="1"/>
  <c r="J226" i="64"/>
  <c r="J226" i="34" s="1"/>
  <c r="I226" i="64"/>
  <c r="I226" i="34" s="1"/>
  <c r="H226" i="64"/>
  <c r="H226" i="34" s="1"/>
  <c r="N225" i="64"/>
  <c r="N225" i="34" s="1"/>
  <c r="M225" i="64"/>
  <c r="M225" i="34" s="1"/>
  <c r="L225" i="64"/>
  <c r="L225" i="34" s="1"/>
  <c r="K225" i="64"/>
  <c r="K225" i="34" s="1"/>
  <c r="J225" i="64"/>
  <c r="J225" i="34" s="1"/>
  <c r="I225" i="64"/>
  <c r="I225" i="34" s="1"/>
  <c r="H225" i="64"/>
  <c r="H225" i="34" s="1"/>
  <c r="N222" i="64"/>
  <c r="N222" i="34" s="1"/>
  <c r="M222" i="64"/>
  <c r="M222" i="34" s="1"/>
  <c r="L222" i="64"/>
  <c r="L222" i="34" s="1"/>
  <c r="K222" i="64"/>
  <c r="K222" i="34" s="1"/>
  <c r="J222" i="64"/>
  <c r="J222" i="34" s="1"/>
  <c r="I222" i="64"/>
  <c r="I222" i="34" s="1"/>
  <c r="H222" i="64"/>
  <c r="H222" i="34" s="1"/>
  <c r="N221" i="64"/>
  <c r="N221" i="34" s="1"/>
  <c r="M221" i="64"/>
  <c r="M221" i="34" s="1"/>
  <c r="L221" i="64"/>
  <c r="L221" i="34" s="1"/>
  <c r="K221" i="64"/>
  <c r="K221" i="34" s="1"/>
  <c r="J221" i="64"/>
  <c r="J221" i="34" s="1"/>
  <c r="I221" i="64"/>
  <c r="I221" i="34" s="1"/>
  <c r="H221" i="64"/>
  <c r="H221" i="34" s="1"/>
  <c r="N220" i="64"/>
  <c r="N220" i="34" s="1"/>
  <c r="M220" i="64"/>
  <c r="M220" i="34" s="1"/>
  <c r="L220" i="64"/>
  <c r="L220" i="34" s="1"/>
  <c r="K220" i="64"/>
  <c r="K220" i="34" s="1"/>
  <c r="J220" i="64"/>
  <c r="J220" i="34" s="1"/>
  <c r="I220" i="64"/>
  <c r="I220" i="34" s="1"/>
  <c r="H220" i="64"/>
  <c r="H220" i="34" s="1"/>
  <c r="N219" i="64"/>
  <c r="N219" i="34" s="1"/>
  <c r="M219" i="64"/>
  <c r="M219" i="34" s="1"/>
  <c r="L219" i="64"/>
  <c r="L219" i="34" s="1"/>
  <c r="K219" i="64"/>
  <c r="K219" i="34" s="1"/>
  <c r="J219" i="64"/>
  <c r="J219" i="34" s="1"/>
  <c r="I219" i="64"/>
  <c r="I219" i="34" s="1"/>
  <c r="H219" i="64"/>
  <c r="H219" i="34" s="1"/>
  <c r="N218" i="64"/>
  <c r="N218" i="34" s="1"/>
  <c r="M218" i="64"/>
  <c r="M218" i="34" s="1"/>
  <c r="L218" i="64"/>
  <c r="L218" i="34" s="1"/>
  <c r="K218" i="64"/>
  <c r="K218" i="34" s="1"/>
  <c r="J218" i="64"/>
  <c r="J218" i="34" s="1"/>
  <c r="I218" i="64"/>
  <c r="I218" i="34" s="1"/>
  <c r="H218" i="64"/>
  <c r="H218" i="34" s="1"/>
  <c r="N214" i="64"/>
  <c r="N214" i="34" s="1"/>
  <c r="M214" i="64"/>
  <c r="M214" i="34" s="1"/>
  <c r="L214" i="64"/>
  <c r="L214" i="34" s="1"/>
  <c r="K214" i="64"/>
  <c r="K214" i="34" s="1"/>
  <c r="J214" i="64"/>
  <c r="J214" i="34" s="1"/>
  <c r="I214" i="64"/>
  <c r="I214" i="34" s="1"/>
  <c r="H214" i="64"/>
  <c r="H214" i="34" s="1"/>
  <c r="G214" i="64"/>
  <c r="G214" i="34" s="1"/>
  <c r="N212" i="64"/>
  <c r="N212" i="34" s="1"/>
  <c r="M212" i="64"/>
  <c r="M212" i="34" s="1"/>
  <c r="L212" i="64"/>
  <c r="L212" i="34" s="1"/>
  <c r="K212" i="64"/>
  <c r="K212" i="34" s="1"/>
  <c r="J212" i="64"/>
  <c r="J212" i="34" s="1"/>
  <c r="I212" i="64"/>
  <c r="I212" i="34" s="1"/>
  <c r="H212" i="64"/>
  <c r="H212" i="34" s="1"/>
  <c r="G212" i="64"/>
  <c r="G212" i="34" s="1"/>
  <c r="N211" i="64"/>
  <c r="N211" i="34" s="1"/>
  <c r="M211" i="64"/>
  <c r="M211" i="34" s="1"/>
  <c r="L211" i="64"/>
  <c r="L211" i="34" s="1"/>
  <c r="K211" i="64"/>
  <c r="K211" i="34" s="1"/>
  <c r="J211" i="64"/>
  <c r="J211" i="34" s="1"/>
  <c r="I211" i="64"/>
  <c r="I211" i="34" s="1"/>
  <c r="H211" i="64"/>
  <c r="H211" i="34" s="1"/>
  <c r="G211" i="64"/>
  <c r="G211" i="34" s="1"/>
  <c r="N210" i="64"/>
  <c r="N210" i="34" s="1"/>
  <c r="M210" i="64"/>
  <c r="M210" i="34" s="1"/>
  <c r="L210" i="64"/>
  <c r="L210" i="34" s="1"/>
  <c r="K210" i="64"/>
  <c r="K210" i="34" s="1"/>
  <c r="J210" i="64"/>
  <c r="J210" i="34" s="1"/>
  <c r="I210" i="64"/>
  <c r="I210" i="34" s="1"/>
  <c r="H210" i="64"/>
  <c r="H210" i="34" s="1"/>
  <c r="G210" i="64"/>
  <c r="G210" i="34" s="1"/>
  <c r="N209" i="64"/>
  <c r="N209" i="34" s="1"/>
  <c r="M209" i="64"/>
  <c r="M209" i="34" s="1"/>
  <c r="L209" i="64"/>
  <c r="L209" i="34" s="1"/>
  <c r="K209" i="64"/>
  <c r="K209" i="34" s="1"/>
  <c r="J209" i="64"/>
  <c r="J209" i="34" s="1"/>
  <c r="I209" i="64"/>
  <c r="I209" i="34" s="1"/>
  <c r="H209" i="64"/>
  <c r="H209" i="34" s="1"/>
  <c r="G209" i="64"/>
  <c r="G209" i="34" s="1"/>
  <c r="N208" i="64"/>
  <c r="N208" i="34" s="1"/>
  <c r="M208" i="64"/>
  <c r="M208" i="34" s="1"/>
  <c r="L208" i="64"/>
  <c r="L208" i="34" s="1"/>
  <c r="K208" i="64"/>
  <c r="K208" i="34" s="1"/>
  <c r="J208" i="64"/>
  <c r="J208" i="34" s="1"/>
  <c r="I208" i="64"/>
  <c r="I208" i="34" s="1"/>
  <c r="H208" i="64"/>
  <c r="H208" i="34" s="1"/>
  <c r="G208" i="64"/>
  <c r="G208" i="34" s="1"/>
  <c r="N207" i="64"/>
  <c r="N207" i="34" s="1"/>
  <c r="M207" i="64"/>
  <c r="M207" i="34" s="1"/>
  <c r="L207" i="64"/>
  <c r="L207" i="34" s="1"/>
  <c r="K207" i="64"/>
  <c r="K207" i="34" s="1"/>
  <c r="J207" i="64"/>
  <c r="J207" i="34" s="1"/>
  <c r="I207" i="64"/>
  <c r="I207" i="34" s="1"/>
  <c r="H207" i="64"/>
  <c r="H207" i="34" s="1"/>
  <c r="G207" i="64"/>
  <c r="G207" i="34" s="1"/>
  <c r="N201" i="64"/>
  <c r="N201" i="34" s="1"/>
  <c r="M201" i="64"/>
  <c r="M201" i="34" s="1"/>
  <c r="L201" i="64"/>
  <c r="L201" i="34" s="1"/>
  <c r="K201" i="64"/>
  <c r="K201" i="34" s="1"/>
  <c r="J201" i="64"/>
  <c r="J201" i="34" s="1"/>
  <c r="I201" i="64"/>
  <c r="I201" i="34" s="1"/>
  <c r="H201" i="64"/>
  <c r="H201" i="34" s="1"/>
  <c r="N200" i="64"/>
  <c r="N200" i="34" s="1"/>
  <c r="M200" i="64"/>
  <c r="M200" i="34" s="1"/>
  <c r="L200" i="64"/>
  <c r="L200" i="34" s="1"/>
  <c r="K200" i="64"/>
  <c r="K200" i="34" s="1"/>
  <c r="J200" i="64"/>
  <c r="J200" i="34" s="1"/>
  <c r="I200" i="64"/>
  <c r="I200" i="34" s="1"/>
  <c r="N199" i="64"/>
  <c r="N199" i="34" s="1"/>
  <c r="M199" i="64"/>
  <c r="M199" i="34" s="1"/>
  <c r="L199" i="64"/>
  <c r="L199" i="34" s="1"/>
  <c r="K199" i="64"/>
  <c r="K199" i="34" s="1"/>
  <c r="J199" i="64"/>
  <c r="J199" i="34" s="1"/>
  <c r="I199" i="64"/>
  <c r="I199" i="34" s="1"/>
  <c r="H199" i="64"/>
  <c r="H199" i="34" s="1"/>
  <c r="N198" i="64"/>
  <c r="N198" i="34" s="1"/>
  <c r="M198" i="64"/>
  <c r="M198" i="34" s="1"/>
  <c r="L198" i="64"/>
  <c r="L198" i="34" s="1"/>
  <c r="K198" i="64"/>
  <c r="K198" i="34" s="1"/>
  <c r="J198" i="64"/>
  <c r="J198" i="34" s="1"/>
  <c r="I198" i="64"/>
  <c r="I198" i="34" s="1"/>
  <c r="H198" i="64"/>
  <c r="H198" i="34" s="1"/>
  <c r="N197" i="64"/>
  <c r="N197" i="34" s="1"/>
  <c r="M197" i="64"/>
  <c r="M197" i="34" s="1"/>
  <c r="L197" i="64"/>
  <c r="L197" i="34" s="1"/>
  <c r="K197" i="64"/>
  <c r="K197" i="34" s="1"/>
  <c r="J197" i="64"/>
  <c r="J197" i="34" s="1"/>
  <c r="I197" i="64"/>
  <c r="I197" i="34" s="1"/>
  <c r="H197" i="64"/>
  <c r="H197" i="34" s="1"/>
  <c r="N194" i="64"/>
  <c r="N194" i="34" s="1"/>
  <c r="M194" i="64"/>
  <c r="M194" i="34" s="1"/>
  <c r="L194" i="64"/>
  <c r="L194" i="34" s="1"/>
  <c r="K194" i="64"/>
  <c r="K194" i="34" s="1"/>
  <c r="J194" i="64"/>
  <c r="J194" i="34" s="1"/>
  <c r="I194" i="64"/>
  <c r="I194" i="34" s="1"/>
  <c r="H194" i="64"/>
  <c r="H194" i="34" s="1"/>
  <c r="N193" i="64"/>
  <c r="N193" i="34" s="1"/>
  <c r="M193" i="64"/>
  <c r="M193" i="34" s="1"/>
  <c r="L193" i="64"/>
  <c r="L193" i="34" s="1"/>
  <c r="K193" i="64"/>
  <c r="K193" i="34" s="1"/>
  <c r="J193" i="64"/>
  <c r="J193" i="34" s="1"/>
  <c r="I193" i="64"/>
  <c r="I193" i="34" s="1"/>
  <c r="H193" i="64"/>
  <c r="H193" i="34" s="1"/>
  <c r="N192" i="64"/>
  <c r="N192" i="34" s="1"/>
  <c r="M192" i="64"/>
  <c r="M192" i="34" s="1"/>
  <c r="L192" i="64"/>
  <c r="L192" i="34" s="1"/>
  <c r="K192" i="64"/>
  <c r="K192" i="34" s="1"/>
  <c r="J192" i="64"/>
  <c r="J192" i="34" s="1"/>
  <c r="I192" i="64"/>
  <c r="I192" i="34" s="1"/>
  <c r="H192" i="64"/>
  <c r="H192" i="34" s="1"/>
  <c r="N191" i="64"/>
  <c r="N191" i="34" s="1"/>
  <c r="M191" i="64"/>
  <c r="M191" i="34" s="1"/>
  <c r="L191" i="64"/>
  <c r="L191" i="34" s="1"/>
  <c r="K191" i="64"/>
  <c r="K191" i="34" s="1"/>
  <c r="J191" i="64"/>
  <c r="J191" i="34" s="1"/>
  <c r="I191" i="64"/>
  <c r="I191" i="34" s="1"/>
  <c r="H191" i="64"/>
  <c r="H191" i="34" s="1"/>
  <c r="N190" i="64"/>
  <c r="N190" i="34" s="1"/>
  <c r="M190" i="64"/>
  <c r="M190" i="34" s="1"/>
  <c r="L190" i="64"/>
  <c r="L190" i="34" s="1"/>
  <c r="K190" i="64"/>
  <c r="K190" i="34" s="1"/>
  <c r="J190" i="64"/>
  <c r="J190" i="34" s="1"/>
  <c r="I190" i="64"/>
  <c r="I190" i="34" s="1"/>
  <c r="H190" i="64"/>
  <c r="H190" i="34" s="1"/>
  <c r="N186" i="64"/>
  <c r="N186" i="34" s="1"/>
  <c r="M186" i="64"/>
  <c r="M186" i="34" s="1"/>
  <c r="L186" i="64"/>
  <c r="L186" i="34" s="1"/>
  <c r="K186" i="64"/>
  <c r="K186" i="34" s="1"/>
  <c r="J186" i="64"/>
  <c r="J186" i="34" s="1"/>
  <c r="I186" i="64"/>
  <c r="I186" i="34" s="1"/>
  <c r="H186" i="64"/>
  <c r="H186" i="34" s="1"/>
  <c r="G186" i="64"/>
  <c r="G186" i="34" s="1"/>
  <c r="N184" i="64"/>
  <c r="N184" i="34" s="1"/>
  <c r="M184" i="64"/>
  <c r="M184" i="34" s="1"/>
  <c r="L184" i="64"/>
  <c r="L184" i="34" s="1"/>
  <c r="K184" i="64"/>
  <c r="K184" i="34" s="1"/>
  <c r="J184" i="64"/>
  <c r="J184" i="34" s="1"/>
  <c r="I184" i="64"/>
  <c r="I184" i="34" s="1"/>
  <c r="H184" i="64"/>
  <c r="H184" i="34" s="1"/>
  <c r="G184" i="64"/>
  <c r="G184" i="34" s="1"/>
  <c r="N183" i="64"/>
  <c r="N183" i="34" s="1"/>
  <c r="M183" i="64"/>
  <c r="M183" i="34" s="1"/>
  <c r="L183" i="64"/>
  <c r="L183" i="34" s="1"/>
  <c r="K183" i="64"/>
  <c r="K183" i="34" s="1"/>
  <c r="J183" i="64"/>
  <c r="J183" i="34" s="1"/>
  <c r="I183" i="64"/>
  <c r="I183" i="34" s="1"/>
  <c r="H183" i="64"/>
  <c r="H183" i="34" s="1"/>
  <c r="G183" i="64"/>
  <c r="G183" i="34" s="1"/>
  <c r="N182" i="64"/>
  <c r="N182" i="34" s="1"/>
  <c r="M182" i="64"/>
  <c r="M182" i="34" s="1"/>
  <c r="L182" i="64"/>
  <c r="L182" i="34" s="1"/>
  <c r="K182" i="64"/>
  <c r="K182" i="34" s="1"/>
  <c r="J182" i="64"/>
  <c r="J182" i="34" s="1"/>
  <c r="I182" i="64"/>
  <c r="I182" i="34" s="1"/>
  <c r="H182" i="64"/>
  <c r="H182" i="34" s="1"/>
  <c r="G182" i="64"/>
  <c r="G182" i="34" s="1"/>
  <c r="N181" i="64"/>
  <c r="N181" i="34" s="1"/>
  <c r="M181" i="64"/>
  <c r="M181" i="34" s="1"/>
  <c r="L181" i="64"/>
  <c r="L181" i="34" s="1"/>
  <c r="K181" i="64"/>
  <c r="K181" i="34" s="1"/>
  <c r="J181" i="64"/>
  <c r="J181" i="34" s="1"/>
  <c r="I181" i="64"/>
  <c r="I181" i="34" s="1"/>
  <c r="H181" i="64"/>
  <c r="H181" i="34" s="1"/>
  <c r="G181" i="64"/>
  <c r="G181" i="34" s="1"/>
  <c r="N180" i="64"/>
  <c r="N180" i="34" s="1"/>
  <c r="M180" i="64"/>
  <c r="M180" i="34" s="1"/>
  <c r="L180" i="64"/>
  <c r="L180" i="34" s="1"/>
  <c r="K180" i="64"/>
  <c r="K180" i="34" s="1"/>
  <c r="J180" i="64"/>
  <c r="J180" i="34" s="1"/>
  <c r="I180" i="64"/>
  <c r="I180" i="34" s="1"/>
  <c r="H180" i="64"/>
  <c r="H180" i="34" s="1"/>
  <c r="G180" i="64"/>
  <c r="G180" i="34" s="1"/>
  <c r="N179" i="64"/>
  <c r="N179" i="34" s="1"/>
  <c r="M179" i="64"/>
  <c r="M179" i="34" s="1"/>
  <c r="L179" i="64"/>
  <c r="L179" i="34" s="1"/>
  <c r="K179" i="64"/>
  <c r="K179" i="34" s="1"/>
  <c r="J179" i="64"/>
  <c r="J179" i="34" s="1"/>
  <c r="I179" i="64"/>
  <c r="I179" i="34" s="1"/>
  <c r="H179" i="64"/>
  <c r="H179" i="34" s="1"/>
  <c r="G179" i="64"/>
  <c r="G179" i="34" s="1"/>
  <c r="N173" i="64"/>
  <c r="N173" i="34" s="1"/>
  <c r="M173" i="64"/>
  <c r="M173" i="34" s="1"/>
  <c r="L173" i="64"/>
  <c r="L173" i="34" s="1"/>
  <c r="K173" i="64"/>
  <c r="K173" i="34" s="1"/>
  <c r="J173" i="64"/>
  <c r="J173" i="34" s="1"/>
  <c r="I173" i="64"/>
  <c r="I173" i="34" s="1"/>
  <c r="H173" i="64"/>
  <c r="H173" i="34" s="1"/>
  <c r="N172" i="64"/>
  <c r="N172" i="34" s="1"/>
  <c r="M172" i="64"/>
  <c r="M172" i="34" s="1"/>
  <c r="L172" i="64"/>
  <c r="L172" i="34" s="1"/>
  <c r="K172" i="64"/>
  <c r="K172" i="34" s="1"/>
  <c r="J172" i="64"/>
  <c r="J172" i="34" s="1"/>
  <c r="I172" i="64"/>
  <c r="I172" i="34" s="1"/>
  <c r="H172" i="64"/>
  <c r="H172" i="34" s="1"/>
  <c r="N171" i="64"/>
  <c r="N171" i="34" s="1"/>
  <c r="M171" i="64"/>
  <c r="M171" i="34" s="1"/>
  <c r="L171" i="64"/>
  <c r="L171" i="34" s="1"/>
  <c r="K171" i="64"/>
  <c r="K171" i="34" s="1"/>
  <c r="J171" i="64"/>
  <c r="J171" i="34" s="1"/>
  <c r="I171" i="64"/>
  <c r="I171" i="34" s="1"/>
  <c r="H171" i="64"/>
  <c r="H171" i="34" s="1"/>
  <c r="N170" i="64"/>
  <c r="N170" i="34" s="1"/>
  <c r="M170" i="64"/>
  <c r="M170" i="34" s="1"/>
  <c r="L170" i="64"/>
  <c r="L170" i="34" s="1"/>
  <c r="K170" i="64"/>
  <c r="K170" i="34" s="1"/>
  <c r="J170" i="64"/>
  <c r="J170" i="34" s="1"/>
  <c r="I170" i="64"/>
  <c r="I170" i="34" s="1"/>
  <c r="H170" i="64"/>
  <c r="H170" i="34" s="1"/>
  <c r="N169" i="64"/>
  <c r="N169" i="34" s="1"/>
  <c r="M169" i="64"/>
  <c r="M169" i="34" s="1"/>
  <c r="L169" i="64"/>
  <c r="L169" i="34" s="1"/>
  <c r="K169" i="64"/>
  <c r="K169" i="34" s="1"/>
  <c r="J169" i="64"/>
  <c r="J169" i="34" s="1"/>
  <c r="I169" i="64"/>
  <c r="I169" i="34" s="1"/>
  <c r="H169" i="64"/>
  <c r="H169" i="34" s="1"/>
  <c r="N166" i="64"/>
  <c r="N166" i="34" s="1"/>
  <c r="L166" i="64"/>
  <c r="L166" i="34" s="1"/>
  <c r="K166" i="64"/>
  <c r="K166" i="34" s="1"/>
  <c r="J166" i="64"/>
  <c r="J166" i="34" s="1"/>
  <c r="I166" i="64"/>
  <c r="I166" i="34" s="1"/>
  <c r="H166" i="64"/>
  <c r="H166" i="34" s="1"/>
  <c r="G166" i="64"/>
  <c r="G166" i="34" s="1"/>
  <c r="N165" i="64"/>
  <c r="N165" i="34" s="1"/>
  <c r="M165" i="64"/>
  <c r="M165" i="34" s="1"/>
  <c r="L165" i="64"/>
  <c r="L165" i="34" s="1"/>
  <c r="K165" i="64"/>
  <c r="K165" i="34" s="1"/>
  <c r="J165" i="64"/>
  <c r="J165" i="34" s="1"/>
  <c r="I165" i="64"/>
  <c r="I165" i="34" s="1"/>
  <c r="H165" i="64"/>
  <c r="H165" i="34" s="1"/>
  <c r="N164" i="64"/>
  <c r="N164" i="34" s="1"/>
  <c r="M164" i="64"/>
  <c r="M164" i="34" s="1"/>
  <c r="L164" i="64"/>
  <c r="L164" i="34" s="1"/>
  <c r="K164" i="64"/>
  <c r="K164" i="34" s="1"/>
  <c r="J164" i="64"/>
  <c r="J164" i="34" s="1"/>
  <c r="I164" i="64"/>
  <c r="I164" i="34" s="1"/>
  <c r="H164" i="64"/>
  <c r="H164" i="34" s="1"/>
  <c r="N163" i="64"/>
  <c r="N163" i="34" s="1"/>
  <c r="M163" i="64"/>
  <c r="M163" i="34" s="1"/>
  <c r="L163" i="64"/>
  <c r="L163" i="34" s="1"/>
  <c r="K163" i="64"/>
  <c r="K163" i="34" s="1"/>
  <c r="J163" i="64"/>
  <c r="J163" i="34" s="1"/>
  <c r="I163" i="64"/>
  <c r="I163" i="34" s="1"/>
  <c r="H163" i="64"/>
  <c r="H163" i="34" s="1"/>
  <c r="N162" i="64"/>
  <c r="N162" i="34" s="1"/>
  <c r="M162" i="64"/>
  <c r="M162" i="34" s="1"/>
  <c r="L162" i="64"/>
  <c r="L162" i="34" s="1"/>
  <c r="K162" i="64"/>
  <c r="K162" i="34" s="1"/>
  <c r="J162" i="64"/>
  <c r="J162" i="34" s="1"/>
  <c r="I162" i="64"/>
  <c r="I162" i="34" s="1"/>
  <c r="H162" i="64"/>
  <c r="H162" i="34" s="1"/>
  <c r="N158" i="64"/>
  <c r="N158" i="34" s="1"/>
  <c r="M158" i="64"/>
  <c r="M158" i="34" s="1"/>
  <c r="L158" i="64"/>
  <c r="L158" i="34" s="1"/>
  <c r="K158" i="64"/>
  <c r="K158" i="34" s="1"/>
  <c r="J158" i="64"/>
  <c r="J158" i="34" s="1"/>
  <c r="I158" i="64"/>
  <c r="I158" i="34" s="1"/>
  <c r="H158" i="64"/>
  <c r="H158" i="34" s="1"/>
  <c r="G158" i="64"/>
  <c r="G158" i="34" s="1"/>
  <c r="N156" i="64"/>
  <c r="N156" i="34" s="1"/>
  <c r="M156" i="64"/>
  <c r="M156" i="34" s="1"/>
  <c r="L156" i="64"/>
  <c r="L156" i="34" s="1"/>
  <c r="K156" i="64"/>
  <c r="K156" i="34" s="1"/>
  <c r="J156" i="64"/>
  <c r="J156" i="34" s="1"/>
  <c r="I156" i="64"/>
  <c r="I156" i="34" s="1"/>
  <c r="H156" i="64"/>
  <c r="H156" i="34" s="1"/>
  <c r="G156" i="64"/>
  <c r="G156" i="34" s="1"/>
  <c r="N155" i="64"/>
  <c r="N155" i="34" s="1"/>
  <c r="M155" i="64"/>
  <c r="M155" i="34" s="1"/>
  <c r="L155" i="64"/>
  <c r="L155" i="34" s="1"/>
  <c r="K155" i="64"/>
  <c r="K155" i="34" s="1"/>
  <c r="J155" i="64"/>
  <c r="J155" i="34" s="1"/>
  <c r="I155" i="64"/>
  <c r="I155" i="34" s="1"/>
  <c r="H155" i="64"/>
  <c r="H155" i="34" s="1"/>
  <c r="G155" i="64"/>
  <c r="G155" i="34" s="1"/>
  <c r="N154" i="64"/>
  <c r="N154" i="34" s="1"/>
  <c r="M154" i="64"/>
  <c r="M154" i="34" s="1"/>
  <c r="L154" i="64"/>
  <c r="L154" i="34" s="1"/>
  <c r="K154" i="64"/>
  <c r="K154" i="34" s="1"/>
  <c r="J154" i="64"/>
  <c r="J154" i="34" s="1"/>
  <c r="I154" i="64"/>
  <c r="I154" i="34" s="1"/>
  <c r="H154" i="64"/>
  <c r="H154" i="34" s="1"/>
  <c r="G154" i="64"/>
  <c r="G154" i="34" s="1"/>
  <c r="N153" i="64"/>
  <c r="N153" i="34" s="1"/>
  <c r="M153" i="64"/>
  <c r="M153" i="34" s="1"/>
  <c r="L153" i="64"/>
  <c r="L153" i="34" s="1"/>
  <c r="K153" i="64"/>
  <c r="K153" i="34" s="1"/>
  <c r="J153" i="64"/>
  <c r="J153" i="34" s="1"/>
  <c r="I153" i="64"/>
  <c r="I153" i="34" s="1"/>
  <c r="H153" i="64"/>
  <c r="H153" i="34" s="1"/>
  <c r="G153" i="64"/>
  <c r="G153" i="34" s="1"/>
  <c r="N152" i="64"/>
  <c r="N152" i="34" s="1"/>
  <c r="M152" i="64"/>
  <c r="M152" i="34" s="1"/>
  <c r="L152" i="64"/>
  <c r="L152" i="34" s="1"/>
  <c r="K152" i="64"/>
  <c r="K152" i="34" s="1"/>
  <c r="J152" i="64"/>
  <c r="J152" i="34" s="1"/>
  <c r="I152" i="64"/>
  <c r="I152" i="34" s="1"/>
  <c r="H152" i="64"/>
  <c r="H152" i="34" s="1"/>
  <c r="G152" i="64"/>
  <c r="G152" i="34" s="1"/>
  <c r="N151" i="64"/>
  <c r="N151" i="34" s="1"/>
  <c r="M151" i="64"/>
  <c r="M151" i="34" s="1"/>
  <c r="L151" i="64"/>
  <c r="L151" i="34" s="1"/>
  <c r="K151" i="64"/>
  <c r="K151" i="34" s="1"/>
  <c r="J151" i="64"/>
  <c r="J151" i="34" s="1"/>
  <c r="I151" i="64"/>
  <c r="I151" i="34" s="1"/>
  <c r="H151" i="64"/>
  <c r="H151" i="34" s="1"/>
  <c r="G151" i="64"/>
  <c r="G151" i="34" s="1"/>
  <c r="N145" i="64"/>
  <c r="N145" i="34" s="1"/>
  <c r="M145" i="64"/>
  <c r="M145" i="34" s="1"/>
  <c r="L145" i="64"/>
  <c r="L145" i="34" s="1"/>
  <c r="K145" i="64"/>
  <c r="K145" i="34" s="1"/>
  <c r="J145" i="64"/>
  <c r="J145" i="34" s="1"/>
  <c r="I145" i="64"/>
  <c r="I145" i="34" s="1"/>
  <c r="H145" i="64"/>
  <c r="H145" i="34" s="1"/>
  <c r="N144" i="64"/>
  <c r="N144" i="34" s="1"/>
  <c r="M144" i="64"/>
  <c r="M144" i="34" s="1"/>
  <c r="L144" i="64"/>
  <c r="L144" i="34" s="1"/>
  <c r="K144" i="64"/>
  <c r="K144" i="34" s="1"/>
  <c r="J144" i="64"/>
  <c r="J144" i="34" s="1"/>
  <c r="I144" i="64"/>
  <c r="I144" i="34" s="1"/>
  <c r="H144" i="64"/>
  <c r="H144" i="34" s="1"/>
  <c r="N143" i="64"/>
  <c r="N143" i="34" s="1"/>
  <c r="M143" i="64"/>
  <c r="M143" i="34" s="1"/>
  <c r="L143" i="64"/>
  <c r="L143" i="34" s="1"/>
  <c r="K143" i="64"/>
  <c r="K143" i="34" s="1"/>
  <c r="J143" i="64"/>
  <c r="J143" i="34" s="1"/>
  <c r="I143" i="64"/>
  <c r="I143" i="34" s="1"/>
  <c r="H143" i="64"/>
  <c r="H143" i="34" s="1"/>
  <c r="N142" i="64"/>
  <c r="N142" i="34" s="1"/>
  <c r="M142" i="64"/>
  <c r="M142" i="34" s="1"/>
  <c r="L142" i="64"/>
  <c r="L142" i="34" s="1"/>
  <c r="K142" i="64"/>
  <c r="K142" i="34" s="1"/>
  <c r="J142" i="64"/>
  <c r="J142" i="34" s="1"/>
  <c r="I142" i="64"/>
  <c r="I142" i="34" s="1"/>
  <c r="H142" i="64"/>
  <c r="H142" i="34" s="1"/>
  <c r="N141" i="64"/>
  <c r="N141" i="34" s="1"/>
  <c r="M141" i="64"/>
  <c r="M141" i="34" s="1"/>
  <c r="L141" i="64"/>
  <c r="L141" i="34" s="1"/>
  <c r="K141" i="64"/>
  <c r="K141" i="34" s="1"/>
  <c r="J141" i="64"/>
  <c r="J141" i="34" s="1"/>
  <c r="I141" i="64"/>
  <c r="I141" i="34" s="1"/>
  <c r="H141" i="64"/>
  <c r="H141" i="34" s="1"/>
  <c r="N138" i="64"/>
  <c r="N138" i="34" s="1"/>
  <c r="L138" i="64"/>
  <c r="L138" i="34" s="1"/>
  <c r="K138" i="64"/>
  <c r="K138" i="34" s="1"/>
  <c r="J138" i="64"/>
  <c r="J138" i="34" s="1"/>
  <c r="I138" i="64"/>
  <c r="I138" i="34" s="1"/>
  <c r="H138" i="64"/>
  <c r="H138" i="34" s="1"/>
  <c r="N137" i="64"/>
  <c r="N137" i="34" s="1"/>
  <c r="M137" i="64"/>
  <c r="M137" i="34" s="1"/>
  <c r="L137" i="64"/>
  <c r="L137" i="34" s="1"/>
  <c r="K137" i="64"/>
  <c r="K137" i="34" s="1"/>
  <c r="J137" i="64"/>
  <c r="J137" i="34" s="1"/>
  <c r="I137" i="64"/>
  <c r="I137" i="34" s="1"/>
  <c r="H137" i="64"/>
  <c r="H137" i="34" s="1"/>
  <c r="N136" i="64"/>
  <c r="N136" i="34" s="1"/>
  <c r="M136" i="64"/>
  <c r="M136" i="34" s="1"/>
  <c r="L136" i="64"/>
  <c r="L136" i="34" s="1"/>
  <c r="K136" i="64"/>
  <c r="K136" i="34" s="1"/>
  <c r="J136" i="64"/>
  <c r="J136" i="34" s="1"/>
  <c r="I136" i="64"/>
  <c r="I136" i="34" s="1"/>
  <c r="H136" i="64"/>
  <c r="H136" i="34" s="1"/>
  <c r="N135" i="64"/>
  <c r="N135" i="34" s="1"/>
  <c r="M135" i="64"/>
  <c r="M135" i="34" s="1"/>
  <c r="L135" i="64"/>
  <c r="L135" i="34" s="1"/>
  <c r="K135" i="64"/>
  <c r="K135" i="34" s="1"/>
  <c r="J135" i="64"/>
  <c r="J135" i="34" s="1"/>
  <c r="I135" i="64"/>
  <c r="I135" i="34" s="1"/>
  <c r="H135" i="64"/>
  <c r="H135" i="34" s="1"/>
  <c r="N134" i="64"/>
  <c r="N134" i="34" s="1"/>
  <c r="M134" i="64"/>
  <c r="M134" i="34" s="1"/>
  <c r="L134" i="64"/>
  <c r="L134" i="34" s="1"/>
  <c r="K134" i="64"/>
  <c r="K134" i="34" s="1"/>
  <c r="J134" i="64"/>
  <c r="J134" i="34" s="1"/>
  <c r="I134" i="64"/>
  <c r="I134" i="34" s="1"/>
  <c r="H134" i="64"/>
  <c r="H134" i="34" s="1"/>
  <c r="N130" i="64"/>
  <c r="N130" i="34" s="1"/>
  <c r="M130" i="64"/>
  <c r="M130" i="34" s="1"/>
  <c r="L130" i="64"/>
  <c r="L130" i="34" s="1"/>
  <c r="K130" i="64"/>
  <c r="K130" i="34" s="1"/>
  <c r="J130" i="64"/>
  <c r="J130" i="34" s="1"/>
  <c r="I130" i="64"/>
  <c r="I130" i="34" s="1"/>
  <c r="H130" i="64"/>
  <c r="H130" i="34" s="1"/>
  <c r="G130" i="64"/>
  <c r="G130" i="34" s="1"/>
  <c r="N128" i="64"/>
  <c r="N128" i="34" s="1"/>
  <c r="M128" i="64"/>
  <c r="M128" i="34" s="1"/>
  <c r="L128" i="64"/>
  <c r="L128" i="34" s="1"/>
  <c r="K128" i="64"/>
  <c r="K128" i="34" s="1"/>
  <c r="J128" i="64"/>
  <c r="J128" i="34" s="1"/>
  <c r="I128" i="64"/>
  <c r="I128" i="34" s="1"/>
  <c r="H128" i="64"/>
  <c r="H128" i="34" s="1"/>
  <c r="G128" i="64"/>
  <c r="G128" i="34" s="1"/>
  <c r="N127" i="64"/>
  <c r="N127" i="34" s="1"/>
  <c r="L127" i="64"/>
  <c r="L127" i="34" s="1"/>
  <c r="K127" i="64"/>
  <c r="K127" i="34" s="1"/>
  <c r="J127" i="64"/>
  <c r="J127" i="34" s="1"/>
  <c r="I127" i="64"/>
  <c r="I127" i="34" s="1"/>
  <c r="H127" i="64"/>
  <c r="H127" i="34" s="1"/>
  <c r="N126" i="64"/>
  <c r="N126" i="34" s="1"/>
  <c r="M126" i="64"/>
  <c r="M126" i="34" s="1"/>
  <c r="L126" i="64"/>
  <c r="L126" i="34" s="1"/>
  <c r="K126" i="64"/>
  <c r="K126" i="34" s="1"/>
  <c r="J126" i="64"/>
  <c r="J126" i="34" s="1"/>
  <c r="I126" i="64"/>
  <c r="I126" i="34" s="1"/>
  <c r="H126" i="64"/>
  <c r="H126" i="34" s="1"/>
  <c r="N125" i="64"/>
  <c r="N125" i="34" s="1"/>
  <c r="M125" i="64"/>
  <c r="M125" i="34" s="1"/>
  <c r="L125" i="64"/>
  <c r="L125" i="34" s="1"/>
  <c r="K125" i="64"/>
  <c r="K125" i="34" s="1"/>
  <c r="J125" i="64"/>
  <c r="J125" i="34" s="1"/>
  <c r="I125" i="64"/>
  <c r="I125" i="34" s="1"/>
  <c r="H125" i="64"/>
  <c r="H125" i="34" s="1"/>
  <c r="G125" i="64"/>
  <c r="G125" i="34" s="1"/>
  <c r="N124" i="64"/>
  <c r="N124" i="34" s="1"/>
  <c r="M124" i="64"/>
  <c r="M124" i="34" s="1"/>
  <c r="L124" i="64"/>
  <c r="L124" i="34" s="1"/>
  <c r="K124" i="64"/>
  <c r="K124" i="34" s="1"/>
  <c r="J124" i="64"/>
  <c r="J124" i="34" s="1"/>
  <c r="I124" i="64"/>
  <c r="I124" i="34" s="1"/>
  <c r="H124" i="64"/>
  <c r="H124" i="34" s="1"/>
  <c r="G124" i="64"/>
  <c r="G124" i="34" s="1"/>
  <c r="N123" i="64"/>
  <c r="N123" i="34" s="1"/>
  <c r="M123" i="64"/>
  <c r="M123" i="34" s="1"/>
  <c r="L123" i="64"/>
  <c r="L123" i="34" s="1"/>
  <c r="K123" i="64"/>
  <c r="K123" i="34" s="1"/>
  <c r="J123" i="64"/>
  <c r="J123" i="34" s="1"/>
  <c r="I123" i="64"/>
  <c r="I123" i="34" s="1"/>
  <c r="H123" i="64"/>
  <c r="H123" i="34" s="1"/>
  <c r="G123" i="64"/>
  <c r="G123" i="34" s="1"/>
  <c r="N117" i="64"/>
  <c r="N117" i="34" s="1"/>
  <c r="M117" i="64"/>
  <c r="M117" i="34" s="1"/>
  <c r="L117" i="64"/>
  <c r="L117" i="34" s="1"/>
  <c r="K117" i="64"/>
  <c r="K117" i="34" s="1"/>
  <c r="J117" i="64"/>
  <c r="J117" i="34" s="1"/>
  <c r="I117" i="64"/>
  <c r="I117" i="34" s="1"/>
  <c r="H117" i="64"/>
  <c r="H117" i="34" s="1"/>
  <c r="G117" i="64"/>
  <c r="G117" i="34" s="1"/>
  <c r="N116" i="64"/>
  <c r="N116" i="34" s="1"/>
  <c r="M116" i="64"/>
  <c r="M116" i="34" s="1"/>
  <c r="L116" i="64"/>
  <c r="L116" i="34" s="1"/>
  <c r="K116" i="64"/>
  <c r="K116" i="34" s="1"/>
  <c r="J116" i="64"/>
  <c r="J116" i="34" s="1"/>
  <c r="I116" i="64"/>
  <c r="I116" i="34" s="1"/>
  <c r="H116" i="64"/>
  <c r="H116" i="34" s="1"/>
  <c r="G116" i="64"/>
  <c r="G116" i="34" s="1"/>
  <c r="N115" i="64"/>
  <c r="N115" i="34" s="1"/>
  <c r="M115" i="64"/>
  <c r="M115" i="34" s="1"/>
  <c r="L115" i="64"/>
  <c r="L115" i="34" s="1"/>
  <c r="K115" i="64"/>
  <c r="K115" i="34" s="1"/>
  <c r="J115" i="64"/>
  <c r="J115" i="34" s="1"/>
  <c r="I115" i="64"/>
  <c r="I115" i="34" s="1"/>
  <c r="H115" i="64"/>
  <c r="H115" i="34" s="1"/>
  <c r="G115" i="64"/>
  <c r="G115" i="34" s="1"/>
  <c r="N114" i="64"/>
  <c r="N114" i="34" s="1"/>
  <c r="M114" i="64"/>
  <c r="M114" i="34" s="1"/>
  <c r="L114" i="64"/>
  <c r="L114" i="34" s="1"/>
  <c r="K114" i="64"/>
  <c r="K114" i="34" s="1"/>
  <c r="J114" i="64"/>
  <c r="J114" i="34" s="1"/>
  <c r="I114" i="64"/>
  <c r="I114" i="34" s="1"/>
  <c r="H114" i="64"/>
  <c r="H114" i="34" s="1"/>
  <c r="G114" i="64"/>
  <c r="G114" i="34" s="1"/>
  <c r="N113" i="64"/>
  <c r="N113" i="34" s="1"/>
  <c r="M113" i="64"/>
  <c r="M113" i="34" s="1"/>
  <c r="L113" i="64"/>
  <c r="L113" i="34" s="1"/>
  <c r="K113" i="64"/>
  <c r="K113" i="34" s="1"/>
  <c r="J113" i="64"/>
  <c r="J113" i="34" s="1"/>
  <c r="I113" i="64"/>
  <c r="I113" i="34" s="1"/>
  <c r="H113" i="64"/>
  <c r="H113" i="34" s="1"/>
  <c r="G113" i="64"/>
  <c r="G113" i="34" s="1"/>
  <c r="N110" i="64"/>
  <c r="N110" i="34" s="1"/>
  <c r="M110" i="64"/>
  <c r="M110" i="34" s="1"/>
  <c r="L110" i="64"/>
  <c r="L110" i="34" s="1"/>
  <c r="K110" i="64"/>
  <c r="K110" i="34" s="1"/>
  <c r="J110" i="64"/>
  <c r="J110" i="34" s="1"/>
  <c r="I110" i="64"/>
  <c r="I110" i="34" s="1"/>
  <c r="H110" i="64"/>
  <c r="H110" i="34" s="1"/>
  <c r="G110" i="64"/>
  <c r="G110" i="34" s="1"/>
  <c r="N109" i="64"/>
  <c r="N109" i="34" s="1"/>
  <c r="M109" i="64"/>
  <c r="M109" i="34" s="1"/>
  <c r="L109" i="64"/>
  <c r="L109" i="34" s="1"/>
  <c r="K109" i="64"/>
  <c r="K109" i="34" s="1"/>
  <c r="J109" i="64"/>
  <c r="J109" i="34" s="1"/>
  <c r="I109" i="64"/>
  <c r="I109" i="34" s="1"/>
  <c r="H109" i="64"/>
  <c r="H109" i="34" s="1"/>
  <c r="G109" i="64"/>
  <c r="G109" i="34" s="1"/>
  <c r="N108" i="64"/>
  <c r="N108" i="34" s="1"/>
  <c r="M108" i="64"/>
  <c r="M108" i="34" s="1"/>
  <c r="L108" i="64"/>
  <c r="L108" i="34" s="1"/>
  <c r="K108" i="64"/>
  <c r="K108" i="34" s="1"/>
  <c r="J108" i="64"/>
  <c r="J108" i="34" s="1"/>
  <c r="I108" i="64"/>
  <c r="I108" i="34" s="1"/>
  <c r="H108" i="64"/>
  <c r="H108" i="34" s="1"/>
  <c r="G108" i="64"/>
  <c r="G108" i="34" s="1"/>
  <c r="N107" i="64"/>
  <c r="N107" i="34" s="1"/>
  <c r="M107" i="64"/>
  <c r="M107" i="34" s="1"/>
  <c r="L107" i="64"/>
  <c r="L107" i="34" s="1"/>
  <c r="K107" i="64"/>
  <c r="K107" i="34" s="1"/>
  <c r="J107" i="64"/>
  <c r="J107" i="34" s="1"/>
  <c r="I107" i="64"/>
  <c r="I107" i="34" s="1"/>
  <c r="H107" i="64"/>
  <c r="H107" i="34" s="1"/>
  <c r="G107" i="64"/>
  <c r="G107" i="34" s="1"/>
  <c r="N106" i="64"/>
  <c r="N106" i="34" s="1"/>
  <c r="M106" i="64"/>
  <c r="M106" i="34" s="1"/>
  <c r="L106" i="64"/>
  <c r="L106" i="34" s="1"/>
  <c r="K106" i="64"/>
  <c r="K106" i="34" s="1"/>
  <c r="J106" i="64"/>
  <c r="J106" i="34" s="1"/>
  <c r="I106" i="64"/>
  <c r="I106" i="34" s="1"/>
  <c r="H106" i="64"/>
  <c r="H106" i="34" s="1"/>
  <c r="G106" i="64"/>
  <c r="G106" i="34" s="1"/>
  <c r="N102" i="64"/>
  <c r="N102" i="34" s="1"/>
  <c r="M102" i="64"/>
  <c r="M102" i="34" s="1"/>
  <c r="L102" i="64"/>
  <c r="L102" i="34" s="1"/>
  <c r="K102" i="64"/>
  <c r="K102" i="34" s="1"/>
  <c r="J102" i="64"/>
  <c r="J102" i="34" s="1"/>
  <c r="I102" i="64"/>
  <c r="I102" i="34" s="1"/>
  <c r="H102" i="64"/>
  <c r="H102" i="34" s="1"/>
  <c r="G102" i="64"/>
  <c r="G102" i="34" s="1"/>
  <c r="N100" i="64"/>
  <c r="N100" i="34" s="1"/>
  <c r="M100" i="64"/>
  <c r="M100" i="34" s="1"/>
  <c r="L100" i="64"/>
  <c r="L100" i="34" s="1"/>
  <c r="K100" i="64"/>
  <c r="K100" i="34" s="1"/>
  <c r="J100" i="64"/>
  <c r="J100" i="34" s="1"/>
  <c r="I100" i="64"/>
  <c r="I100" i="34" s="1"/>
  <c r="H100" i="64"/>
  <c r="H100" i="34" s="1"/>
  <c r="G100" i="64"/>
  <c r="G100" i="34" s="1"/>
  <c r="N99" i="64"/>
  <c r="N99" i="34" s="1"/>
  <c r="M99" i="64"/>
  <c r="M99" i="34" s="1"/>
  <c r="L99" i="64"/>
  <c r="L99" i="34" s="1"/>
  <c r="K99" i="64"/>
  <c r="K99" i="34" s="1"/>
  <c r="J99" i="64"/>
  <c r="J99" i="34" s="1"/>
  <c r="I99" i="64"/>
  <c r="I99" i="34" s="1"/>
  <c r="H99" i="64"/>
  <c r="H99" i="34" s="1"/>
  <c r="G99" i="64"/>
  <c r="G99" i="34" s="1"/>
  <c r="N98" i="64"/>
  <c r="N98" i="34" s="1"/>
  <c r="M98" i="64"/>
  <c r="M98" i="34" s="1"/>
  <c r="L98" i="64"/>
  <c r="L98" i="34" s="1"/>
  <c r="K98" i="64"/>
  <c r="K98" i="34" s="1"/>
  <c r="J98" i="64"/>
  <c r="J98" i="34" s="1"/>
  <c r="I98" i="64"/>
  <c r="I98" i="34" s="1"/>
  <c r="H98" i="64"/>
  <c r="H98" i="34" s="1"/>
  <c r="G98" i="64"/>
  <c r="G98" i="34" s="1"/>
  <c r="N97" i="64"/>
  <c r="N97" i="34" s="1"/>
  <c r="M97" i="64"/>
  <c r="M97" i="34" s="1"/>
  <c r="L97" i="64"/>
  <c r="L97" i="34" s="1"/>
  <c r="K97" i="64"/>
  <c r="K97" i="34" s="1"/>
  <c r="J97" i="64"/>
  <c r="J97" i="34" s="1"/>
  <c r="I97" i="64"/>
  <c r="I97" i="34" s="1"/>
  <c r="H97" i="64"/>
  <c r="H97" i="34" s="1"/>
  <c r="G97" i="64"/>
  <c r="G97" i="34" s="1"/>
  <c r="N96" i="64"/>
  <c r="N96" i="34" s="1"/>
  <c r="M96" i="64"/>
  <c r="M96" i="34" s="1"/>
  <c r="L96" i="64"/>
  <c r="L96" i="34" s="1"/>
  <c r="K96" i="64"/>
  <c r="K96" i="34" s="1"/>
  <c r="J96" i="64"/>
  <c r="J96" i="34" s="1"/>
  <c r="I96" i="64"/>
  <c r="I96" i="34" s="1"/>
  <c r="H96" i="64"/>
  <c r="H96" i="34" s="1"/>
  <c r="G96" i="64"/>
  <c r="G96" i="34" s="1"/>
  <c r="N95" i="64"/>
  <c r="N95" i="34" s="1"/>
  <c r="M95" i="64"/>
  <c r="M95" i="34" s="1"/>
  <c r="L95" i="64"/>
  <c r="L95" i="34" s="1"/>
  <c r="K95" i="64"/>
  <c r="K95" i="34" s="1"/>
  <c r="J95" i="64"/>
  <c r="J95" i="34" s="1"/>
  <c r="I95" i="64"/>
  <c r="I95" i="34" s="1"/>
  <c r="H95" i="64"/>
  <c r="H95" i="34" s="1"/>
  <c r="G95" i="64"/>
  <c r="G95" i="34" s="1"/>
  <c r="N89" i="64"/>
  <c r="N89" i="34" s="1"/>
  <c r="M89" i="64"/>
  <c r="M89" i="34" s="1"/>
  <c r="L89" i="64"/>
  <c r="L89" i="34" s="1"/>
  <c r="K89" i="64"/>
  <c r="K89" i="34" s="1"/>
  <c r="J89" i="64"/>
  <c r="J89" i="34" s="1"/>
  <c r="I89" i="64"/>
  <c r="I89" i="34" s="1"/>
  <c r="H89" i="64"/>
  <c r="H89" i="34" s="1"/>
  <c r="G89" i="64"/>
  <c r="G89" i="34" s="1"/>
  <c r="N88" i="64"/>
  <c r="N88" i="34" s="1"/>
  <c r="M88" i="64"/>
  <c r="M88" i="34" s="1"/>
  <c r="L88" i="64"/>
  <c r="L88" i="34" s="1"/>
  <c r="K88" i="64"/>
  <c r="K88" i="34" s="1"/>
  <c r="J88" i="64"/>
  <c r="J88" i="34" s="1"/>
  <c r="I88" i="64"/>
  <c r="I88" i="34" s="1"/>
  <c r="H88" i="64"/>
  <c r="H88" i="34" s="1"/>
  <c r="G88" i="64"/>
  <c r="G88" i="34" s="1"/>
  <c r="N87" i="64"/>
  <c r="N87" i="34" s="1"/>
  <c r="M87" i="64"/>
  <c r="M87" i="34" s="1"/>
  <c r="L87" i="64"/>
  <c r="L87" i="34" s="1"/>
  <c r="K87" i="64"/>
  <c r="K87" i="34" s="1"/>
  <c r="J87" i="64"/>
  <c r="J87" i="34" s="1"/>
  <c r="I87" i="64"/>
  <c r="I87" i="34" s="1"/>
  <c r="H87" i="64"/>
  <c r="H87" i="34" s="1"/>
  <c r="G87" i="64"/>
  <c r="G87" i="34" s="1"/>
  <c r="N86" i="64"/>
  <c r="N86" i="34" s="1"/>
  <c r="M86" i="64"/>
  <c r="M86" i="34" s="1"/>
  <c r="L86" i="64"/>
  <c r="L86" i="34" s="1"/>
  <c r="K86" i="64"/>
  <c r="K86" i="34" s="1"/>
  <c r="J86" i="64"/>
  <c r="J86" i="34" s="1"/>
  <c r="I86" i="64"/>
  <c r="I86" i="34" s="1"/>
  <c r="H86" i="64"/>
  <c r="H86" i="34" s="1"/>
  <c r="G86" i="64"/>
  <c r="G86" i="34" s="1"/>
  <c r="N85" i="64"/>
  <c r="N85" i="34" s="1"/>
  <c r="M85" i="64"/>
  <c r="M85" i="34" s="1"/>
  <c r="L85" i="64"/>
  <c r="L85" i="34" s="1"/>
  <c r="K85" i="64"/>
  <c r="K85" i="34" s="1"/>
  <c r="J85" i="64"/>
  <c r="J85" i="34" s="1"/>
  <c r="I85" i="64"/>
  <c r="I85" i="34" s="1"/>
  <c r="H85" i="64"/>
  <c r="H85" i="34" s="1"/>
  <c r="G85" i="64"/>
  <c r="G85" i="34" s="1"/>
  <c r="N82" i="64"/>
  <c r="N82" i="34" s="1"/>
  <c r="M82" i="64"/>
  <c r="M82" i="34" s="1"/>
  <c r="L82" i="64"/>
  <c r="L82" i="34" s="1"/>
  <c r="K82" i="64"/>
  <c r="K82" i="34" s="1"/>
  <c r="J82" i="64"/>
  <c r="J82" i="34" s="1"/>
  <c r="I82" i="64"/>
  <c r="I82" i="34" s="1"/>
  <c r="H82" i="64"/>
  <c r="H82" i="34" s="1"/>
  <c r="G82" i="64"/>
  <c r="G82" i="34" s="1"/>
  <c r="N81" i="64"/>
  <c r="N81" i="34" s="1"/>
  <c r="M81" i="64"/>
  <c r="M81" i="34" s="1"/>
  <c r="L81" i="64"/>
  <c r="L81" i="34" s="1"/>
  <c r="K81" i="64"/>
  <c r="K81" i="34" s="1"/>
  <c r="J81" i="64"/>
  <c r="J81" i="34" s="1"/>
  <c r="I81" i="64"/>
  <c r="I81" i="34" s="1"/>
  <c r="H81" i="64"/>
  <c r="H81" i="34" s="1"/>
  <c r="G81" i="64"/>
  <c r="G81" i="34" s="1"/>
  <c r="N80" i="64"/>
  <c r="N80" i="34" s="1"/>
  <c r="M80" i="64"/>
  <c r="M80" i="34" s="1"/>
  <c r="L80" i="64"/>
  <c r="L80" i="34" s="1"/>
  <c r="K80" i="64"/>
  <c r="K80" i="34" s="1"/>
  <c r="J80" i="64"/>
  <c r="J80" i="34" s="1"/>
  <c r="I80" i="64"/>
  <c r="I80" i="34" s="1"/>
  <c r="H80" i="64"/>
  <c r="H80" i="34" s="1"/>
  <c r="G80" i="64"/>
  <c r="G80" i="34" s="1"/>
  <c r="N79" i="64"/>
  <c r="N79" i="34" s="1"/>
  <c r="M79" i="64"/>
  <c r="M79" i="34" s="1"/>
  <c r="L79" i="64"/>
  <c r="L79" i="34" s="1"/>
  <c r="K79" i="64"/>
  <c r="K79" i="34" s="1"/>
  <c r="J79" i="64"/>
  <c r="J79" i="34" s="1"/>
  <c r="I79" i="64"/>
  <c r="I79" i="34" s="1"/>
  <c r="H79" i="64"/>
  <c r="H79" i="34" s="1"/>
  <c r="G79" i="64"/>
  <c r="G79" i="34" s="1"/>
  <c r="N78" i="64"/>
  <c r="N78" i="34" s="1"/>
  <c r="M78" i="64"/>
  <c r="M78" i="34" s="1"/>
  <c r="L78" i="64"/>
  <c r="L78" i="34" s="1"/>
  <c r="K78" i="64"/>
  <c r="K78" i="34" s="1"/>
  <c r="J78" i="64"/>
  <c r="J78" i="34" s="1"/>
  <c r="I78" i="64"/>
  <c r="I78" i="34" s="1"/>
  <c r="H78" i="64"/>
  <c r="H78" i="34" s="1"/>
  <c r="N74" i="64"/>
  <c r="N74" i="34" s="1"/>
  <c r="M74" i="64"/>
  <c r="M74" i="34" s="1"/>
  <c r="L74" i="64"/>
  <c r="L74" i="34" s="1"/>
  <c r="K74" i="64"/>
  <c r="K74" i="34" s="1"/>
  <c r="J74" i="64"/>
  <c r="J74" i="34" s="1"/>
  <c r="I74" i="64"/>
  <c r="I74" i="34" s="1"/>
  <c r="H74" i="64"/>
  <c r="H74" i="34" s="1"/>
  <c r="G74" i="64"/>
  <c r="G74" i="34" s="1"/>
  <c r="N72" i="64"/>
  <c r="N72" i="34" s="1"/>
  <c r="M72" i="64"/>
  <c r="M72" i="34" s="1"/>
  <c r="L72" i="64"/>
  <c r="L72" i="34" s="1"/>
  <c r="K72" i="64"/>
  <c r="K72" i="34" s="1"/>
  <c r="J72" i="64"/>
  <c r="J72" i="34" s="1"/>
  <c r="I72" i="64"/>
  <c r="I72" i="34" s="1"/>
  <c r="H72" i="64"/>
  <c r="H72" i="34" s="1"/>
  <c r="G72" i="64"/>
  <c r="G72" i="34" s="1"/>
  <c r="N71" i="64"/>
  <c r="N71" i="34" s="1"/>
  <c r="M71" i="64"/>
  <c r="M71" i="34" s="1"/>
  <c r="L71" i="64"/>
  <c r="L71" i="34" s="1"/>
  <c r="K71" i="64"/>
  <c r="K71" i="34" s="1"/>
  <c r="J71" i="64"/>
  <c r="J71" i="34" s="1"/>
  <c r="I71" i="64"/>
  <c r="I71" i="34" s="1"/>
  <c r="H71" i="64"/>
  <c r="H71" i="34" s="1"/>
  <c r="G71" i="64"/>
  <c r="G71" i="34" s="1"/>
  <c r="N70" i="64"/>
  <c r="N70" i="34" s="1"/>
  <c r="M70" i="64"/>
  <c r="M70" i="34" s="1"/>
  <c r="L70" i="64"/>
  <c r="L70" i="34" s="1"/>
  <c r="K70" i="64"/>
  <c r="K70" i="34" s="1"/>
  <c r="J70" i="64"/>
  <c r="J70" i="34" s="1"/>
  <c r="I70" i="64"/>
  <c r="I70" i="34" s="1"/>
  <c r="H70" i="64"/>
  <c r="H70" i="34" s="1"/>
  <c r="G70" i="64"/>
  <c r="G70" i="34" s="1"/>
  <c r="N69" i="64"/>
  <c r="N69" i="34" s="1"/>
  <c r="M69" i="64"/>
  <c r="M69" i="34" s="1"/>
  <c r="L69" i="64"/>
  <c r="L69" i="34" s="1"/>
  <c r="K69" i="64"/>
  <c r="K69" i="34" s="1"/>
  <c r="J69" i="64"/>
  <c r="J69" i="34" s="1"/>
  <c r="I69" i="64"/>
  <c r="I69" i="34" s="1"/>
  <c r="H69" i="64"/>
  <c r="H69" i="34" s="1"/>
  <c r="G69" i="64"/>
  <c r="G69" i="34" s="1"/>
  <c r="N68" i="64"/>
  <c r="N68" i="34" s="1"/>
  <c r="M68" i="64"/>
  <c r="M68" i="34" s="1"/>
  <c r="L68" i="64"/>
  <c r="L68" i="34" s="1"/>
  <c r="K68" i="64"/>
  <c r="K68" i="34" s="1"/>
  <c r="J68" i="64"/>
  <c r="J68" i="34" s="1"/>
  <c r="I68" i="64"/>
  <c r="I68" i="34" s="1"/>
  <c r="H68" i="64"/>
  <c r="H68" i="34" s="1"/>
  <c r="G68" i="64"/>
  <c r="G68" i="34" s="1"/>
  <c r="N67" i="64"/>
  <c r="N67" i="34" s="1"/>
  <c r="M67" i="64"/>
  <c r="M67" i="34" s="1"/>
  <c r="L67" i="64"/>
  <c r="L67" i="34" s="1"/>
  <c r="K67" i="64"/>
  <c r="K67" i="34" s="1"/>
  <c r="J67" i="64"/>
  <c r="J67" i="34" s="1"/>
  <c r="I67" i="64"/>
  <c r="I67" i="34" s="1"/>
  <c r="H67" i="64"/>
  <c r="H67" i="34" s="1"/>
  <c r="G67" i="64"/>
  <c r="G67" i="34" s="1"/>
  <c r="N61" i="64"/>
  <c r="N61" i="34" s="1"/>
  <c r="M61" i="64"/>
  <c r="M61" i="34" s="1"/>
  <c r="L61" i="64"/>
  <c r="L61" i="34" s="1"/>
  <c r="K61" i="64"/>
  <c r="K61" i="34" s="1"/>
  <c r="J61" i="64"/>
  <c r="J61" i="34" s="1"/>
  <c r="I61" i="64"/>
  <c r="I61" i="34" s="1"/>
  <c r="H61" i="64"/>
  <c r="H61" i="34" s="1"/>
  <c r="G61" i="64"/>
  <c r="G61" i="34" s="1"/>
  <c r="N60" i="64"/>
  <c r="N60" i="34" s="1"/>
  <c r="M60" i="64"/>
  <c r="M60" i="34" s="1"/>
  <c r="L60" i="64"/>
  <c r="L60" i="34" s="1"/>
  <c r="K60" i="64"/>
  <c r="K60" i="34" s="1"/>
  <c r="J60" i="64"/>
  <c r="J60" i="34" s="1"/>
  <c r="I60" i="64"/>
  <c r="I60" i="34" s="1"/>
  <c r="H60" i="64"/>
  <c r="H60" i="34" s="1"/>
  <c r="G60" i="64"/>
  <c r="G60" i="34" s="1"/>
  <c r="N59" i="64"/>
  <c r="N59" i="34" s="1"/>
  <c r="M59" i="64"/>
  <c r="M59" i="34" s="1"/>
  <c r="L59" i="64"/>
  <c r="L59" i="34" s="1"/>
  <c r="K59" i="64"/>
  <c r="K59" i="34" s="1"/>
  <c r="J59" i="64"/>
  <c r="J59" i="34" s="1"/>
  <c r="I59" i="64"/>
  <c r="I59" i="34" s="1"/>
  <c r="H59" i="64"/>
  <c r="H59" i="34" s="1"/>
  <c r="G59" i="64"/>
  <c r="G59" i="34" s="1"/>
  <c r="N58" i="64"/>
  <c r="N58" i="34" s="1"/>
  <c r="M58" i="64"/>
  <c r="M58" i="34" s="1"/>
  <c r="L58" i="64"/>
  <c r="L58" i="34" s="1"/>
  <c r="K58" i="64"/>
  <c r="K58" i="34" s="1"/>
  <c r="J58" i="64"/>
  <c r="J58" i="34" s="1"/>
  <c r="I58" i="64"/>
  <c r="I58" i="34" s="1"/>
  <c r="H58" i="64"/>
  <c r="H58" i="34" s="1"/>
  <c r="G58" i="64"/>
  <c r="G58" i="34" s="1"/>
  <c r="N57" i="64"/>
  <c r="N57" i="34" s="1"/>
  <c r="M57" i="64"/>
  <c r="M57" i="34" s="1"/>
  <c r="L57" i="64"/>
  <c r="L57" i="34" s="1"/>
  <c r="K57" i="64"/>
  <c r="K57" i="34" s="1"/>
  <c r="J57" i="64"/>
  <c r="J57" i="34" s="1"/>
  <c r="I57" i="64"/>
  <c r="I57" i="34" s="1"/>
  <c r="H57" i="64"/>
  <c r="H57" i="34" s="1"/>
  <c r="G57" i="64"/>
  <c r="G57" i="34" s="1"/>
  <c r="N54" i="64"/>
  <c r="N54" i="34" s="1"/>
  <c r="L54" i="64"/>
  <c r="L54" i="34" s="1"/>
  <c r="K54" i="64"/>
  <c r="K54" i="34" s="1"/>
  <c r="J54" i="64"/>
  <c r="J54" i="34" s="1"/>
  <c r="I54" i="64"/>
  <c r="I54" i="34" s="1"/>
  <c r="H54" i="64"/>
  <c r="H54" i="34" s="1"/>
  <c r="G54" i="64"/>
  <c r="G54" i="34" s="1"/>
  <c r="N53" i="64"/>
  <c r="N53" i="34" s="1"/>
  <c r="M53" i="64"/>
  <c r="M53" i="34" s="1"/>
  <c r="L53" i="64"/>
  <c r="L53" i="34" s="1"/>
  <c r="K53" i="64"/>
  <c r="K53" i="34" s="1"/>
  <c r="J53" i="64"/>
  <c r="J53" i="34" s="1"/>
  <c r="I53" i="64"/>
  <c r="I53" i="34" s="1"/>
  <c r="H53" i="64"/>
  <c r="H53" i="34" s="1"/>
  <c r="G53" i="64"/>
  <c r="G53" i="34" s="1"/>
  <c r="N52" i="64"/>
  <c r="N52" i="34" s="1"/>
  <c r="M52" i="64"/>
  <c r="M52" i="34" s="1"/>
  <c r="L52" i="64"/>
  <c r="L52" i="34" s="1"/>
  <c r="K52" i="64"/>
  <c r="K52" i="34" s="1"/>
  <c r="J52" i="64"/>
  <c r="J52" i="34" s="1"/>
  <c r="I52" i="64"/>
  <c r="I52" i="34" s="1"/>
  <c r="H52" i="64"/>
  <c r="H52" i="34" s="1"/>
  <c r="G52" i="64"/>
  <c r="G52" i="34" s="1"/>
  <c r="N51" i="64"/>
  <c r="N51" i="34" s="1"/>
  <c r="M51" i="64"/>
  <c r="M51" i="34" s="1"/>
  <c r="L51" i="64"/>
  <c r="L51" i="34" s="1"/>
  <c r="K51" i="64"/>
  <c r="K51" i="34" s="1"/>
  <c r="J51" i="64"/>
  <c r="J51" i="34" s="1"/>
  <c r="I51" i="64"/>
  <c r="I51" i="34" s="1"/>
  <c r="H51" i="64"/>
  <c r="H51" i="34" s="1"/>
  <c r="G51" i="64"/>
  <c r="G51" i="34" s="1"/>
  <c r="N50" i="64"/>
  <c r="N50" i="34" s="1"/>
  <c r="M50" i="64"/>
  <c r="M50" i="34" s="1"/>
  <c r="L50" i="64"/>
  <c r="L50" i="34" s="1"/>
  <c r="K50" i="64"/>
  <c r="K50" i="34" s="1"/>
  <c r="J50" i="64"/>
  <c r="J50" i="34" s="1"/>
  <c r="I50" i="64"/>
  <c r="I50" i="34" s="1"/>
  <c r="H50" i="64"/>
  <c r="H50" i="34" s="1"/>
  <c r="G50" i="64"/>
  <c r="G50" i="34" s="1"/>
  <c r="N46" i="64"/>
  <c r="N46" i="34" s="1"/>
  <c r="M46" i="64"/>
  <c r="M46" i="34" s="1"/>
  <c r="L46" i="64"/>
  <c r="L46" i="34" s="1"/>
  <c r="K46" i="64"/>
  <c r="K46" i="34" s="1"/>
  <c r="J46" i="64"/>
  <c r="J46" i="34" s="1"/>
  <c r="I46" i="64"/>
  <c r="I46" i="34" s="1"/>
  <c r="H46" i="64"/>
  <c r="H46" i="34" s="1"/>
  <c r="G46" i="64"/>
  <c r="G46" i="34" s="1"/>
  <c r="N44" i="64"/>
  <c r="N44" i="34" s="1"/>
  <c r="M44" i="64"/>
  <c r="M44" i="34" s="1"/>
  <c r="L44" i="64"/>
  <c r="L44" i="34" s="1"/>
  <c r="K44" i="64"/>
  <c r="K44" i="34" s="1"/>
  <c r="J44" i="64"/>
  <c r="J44" i="34" s="1"/>
  <c r="I44" i="64"/>
  <c r="I44" i="34" s="1"/>
  <c r="H44" i="64"/>
  <c r="H44" i="34" s="1"/>
  <c r="G44" i="64"/>
  <c r="G44" i="34" s="1"/>
  <c r="N43" i="64"/>
  <c r="N43" i="34" s="1"/>
  <c r="M43" i="64"/>
  <c r="M43" i="34" s="1"/>
  <c r="L43" i="64"/>
  <c r="L43" i="34" s="1"/>
  <c r="K43" i="64"/>
  <c r="K43" i="34" s="1"/>
  <c r="J43" i="64"/>
  <c r="J43" i="34" s="1"/>
  <c r="I43" i="64"/>
  <c r="I43" i="34" s="1"/>
  <c r="H43" i="64"/>
  <c r="H43" i="34" s="1"/>
  <c r="G43" i="64"/>
  <c r="G43" i="34" s="1"/>
  <c r="N42" i="64"/>
  <c r="N42" i="34" s="1"/>
  <c r="M42" i="64"/>
  <c r="M42" i="34" s="1"/>
  <c r="L42" i="64"/>
  <c r="L42" i="34" s="1"/>
  <c r="K42" i="64"/>
  <c r="K42" i="34" s="1"/>
  <c r="J42" i="64"/>
  <c r="J42" i="34" s="1"/>
  <c r="I42" i="64"/>
  <c r="I42" i="34" s="1"/>
  <c r="H42" i="64"/>
  <c r="H42" i="34" s="1"/>
  <c r="G42" i="64"/>
  <c r="G42" i="34" s="1"/>
  <c r="N41" i="64"/>
  <c r="N41" i="34" s="1"/>
  <c r="M41" i="64"/>
  <c r="M41" i="34" s="1"/>
  <c r="L41" i="64"/>
  <c r="L41" i="34" s="1"/>
  <c r="K41" i="64"/>
  <c r="K41" i="34" s="1"/>
  <c r="J41" i="64"/>
  <c r="J41" i="34" s="1"/>
  <c r="I41" i="64"/>
  <c r="I41" i="34" s="1"/>
  <c r="H41" i="64"/>
  <c r="H41" i="34" s="1"/>
  <c r="G41" i="64"/>
  <c r="G41" i="34" s="1"/>
  <c r="N40" i="64"/>
  <c r="N40" i="34" s="1"/>
  <c r="M40" i="64"/>
  <c r="M40" i="34" s="1"/>
  <c r="L40" i="64"/>
  <c r="L40" i="34" s="1"/>
  <c r="K40" i="64"/>
  <c r="K40" i="34" s="1"/>
  <c r="J40" i="64"/>
  <c r="J40" i="34" s="1"/>
  <c r="I40" i="64"/>
  <c r="I40" i="34" s="1"/>
  <c r="H40" i="64"/>
  <c r="H40" i="34" s="1"/>
  <c r="G40" i="64"/>
  <c r="G40" i="34" s="1"/>
  <c r="N39" i="64"/>
  <c r="N39" i="34" s="1"/>
  <c r="M39" i="64"/>
  <c r="M39" i="34" s="1"/>
  <c r="L39" i="64"/>
  <c r="L39" i="34" s="1"/>
  <c r="K39" i="64"/>
  <c r="K39" i="34" s="1"/>
  <c r="J39" i="64"/>
  <c r="J39" i="34" s="1"/>
  <c r="I39" i="64"/>
  <c r="I39" i="34" s="1"/>
  <c r="H39" i="64"/>
  <c r="H39" i="34" s="1"/>
  <c r="G39" i="64"/>
  <c r="G39" i="34" s="1"/>
  <c r="N33" i="64"/>
  <c r="N33" i="34" s="1"/>
  <c r="M33" i="64"/>
  <c r="M33" i="34" s="1"/>
  <c r="L33" i="64"/>
  <c r="L33" i="34" s="1"/>
  <c r="K33" i="64"/>
  <c r="K33" i="34" s="1"/>
  <c r="J33" i="64"/>
  <c r="J33" i="34" s="1"/>
  <c r="I33" i="64"/>
  <c r="I33" i="34" s="1"/>
  <c r="H33" i="64"/>
  <c r="H33" i="34" s="1"/>
  <c r="G33" i="64"/>
  <c r="G33" i="34" s="1"/>
  <c r="N32" i="64"/>
  <c r="N32" i="34" s="1"/>
  <c r="M32" i="64"/>
  <c r="M32" i="34" s="1"/>
  <c r="L32" i="64"/>
  <c r="L32" i="34" s="1"/>
  <c r="K32" i="64"/>
  <c r="K32" i="34" s="1"/>
  <c r="J32" i="64"/>
  <c r="J32" i="34" s="1"/>
  <c r="I32" i="64"/>
  <c r="I32" i="34" s="1"/>
  <c r="H32" i="64"/>
  <c r="H32" i="34" s="1"/>
  <c r="G32" i="64"/>
  <c r="G32" i="34" s="1"/>
  <c r="N31" i="64"/>
  <c r="N31" i="34" s="1"/>
  <c r="M31" i="64"/>
  <c r="M31" i="34" s="1"/>
  <c r="L31" i="64"/>
  <c r="L31" i="34" s="1"/>
  <c r="K31" i="64"/>
  <c r="K31" i="34" s="1"/>
  <c r="J31" i="64"/>
  <c r="J31" i="34" s="1"/>
  <c r="I31" i="64"/>
  <c r="I31" i="34" s="1"/>
  <c r="H31" i="64"/>
  <c r="H31" i="34" s="1"/>
  <c r="G31" i="64"/>
  <c r="G31" i="34" s="1"/>
  <c r="N30" i="64"/>
  <c r="N30" i="34" s="1"/>
  <c r="M30" i="64"/>
  <c r="M30" i="34" s="1"/>
  <c r="L30" i="64"/>
  <c r="L30" i="34" s="1"/>
  <c r="K30" i="64"/>
  <c r="K30" i="34" s="1"/>
  <c r="J30" i="64"/>
  <c r="J30" i="34" s="1"/>
  <c r="I30" i="64"/>
  <c r="I30" i="34" s="1"/>
  <c r="H30" i="64"/>
  <c r="H30" i="34" s="1"/>
  <c r="G30" i="64"/>
  <c r="G30" i="34" s="1"/>
  <c r="N29" i="64"/>
  <c r="N29" i="34" s="1"/>
  <c r="M29" i="64"/>
  <c r="M29" i="34" s="1"/>
  <c r="L29" i="64"/>
  <c r="L29" i="34" s="1"/>
  <c r="K29" i="64"/>
  <c r="K29" i="34" s="1"/>
  <c r="J29" i="64"/>
  <c r="J29" i="34" s="1"/>
  <c r="I29" i="64"/>
  <c r="I29" i="34" s="1"/>
  <c r="H29" i="64"/>
  <c r="H29" i="34" s="1"/>
  <c r="G29" i="64"/>
  <c r="G29" i="34" s="1"/>
  <c r="N26" i="64"/>
  <c r="N26" i="34" s="1"/>
  <c r="M26" i="64"/>
  <c r="M26" i="34" s="1"/>
  <c r="L26" i="64"/>
  <c r="L26" i="34" s="1"/>
  <c r="K26" i="64"/>
  <c r="K26" i="34" s="1"/>
  <c r="J26" i="64"/>
  <c r="J26" i="34" s="1"/>
  <c r="I26" i="64"/>
  <c r="I26" i="34" s="1"/>
  <c r="H26" i="64"/>
  <c r="H26" i="34" s="1"/>
  <c r="G26" i="64"/>
  <c r="G26" i="34" s="1"/>
  <c r="N25" i="64"/>
  <c r="N25" i="34" s="1"/>
  <c r="M25" i="64"/>
  <c r="M25" i="34" s="1"/>
  <c r="L25" i="64"/>
  <c r="L25" i="34" s="1"/>
  <c r="K25" i="64"/>
  <c r="K25" i="34" s="1"/>
  <c r="J25" i="64"/>
  <c r="J25" i="34" s="1"/>
  <c r="I25" i="64"/>
  <c r="I25" i="34" s="1"/>
  <c r="H25" i="64"/>
  <c r="H25" i="34" s="1"/>
  <c r="G25" i="64"/>
  <c r="G25" i="34" s="1"/>
  <c r="N24" i="64"/>
  <c r="N24" i="34" s="1"/>
  <c r="M24" i="64"/>
  <c r="M24" i="34" s="1"/>
  <c r="L24" i="64"/>
  <c r="L24" i="34" s="1"/>
  <c r="K24" i="64"/>
  <c r="K24" i="34" s="1"/>
  <c r="J24" i="64"/>
  <c r="J24" i="34" s="1"/>
  <c r="I24" i="64"/>
  <c r="I24" i="34" s="1"/>
  <c r="H24" i="64"/>
  <c r="H24" i="34" s="1"/>
  <c r="G24" i="64"/>
  <c r="G24" i="34" s="1"/>
  <c r="N23" i="64"/>
  <c r="N23" i="34" s="1"/>
  <c r="M23" i="64"/>
  <c r="M23" i="34" s="1"/>
  <c r="L23" i="64"/>
  <c r="L23" i="34" s="1"/>
  <c r="K23" i="64"/>
  <c r="K23" i="34" s="1"/>
  <c r="J23" i="64"/>
  <c r="J23" i="34" s="1"/>
  <c r="I23" i="64"/>
  <c r="I23" i="34" s="1"/>
  <c r="H23" i="64"/>
  <c r="H23" i="34" s="1"/>
  <c r="G23" i="64"/>
  <c r="G23" i="34" s="1"/>
  <c r="N22" i="64"/>
  <c r="N22" i="34" s="1"/>
  <c r="M22" i="64"/>
  <c r="M22" i="34" s="1"/>
  <c r="L22" i="64"/>
  <c r="L22" i="34" s="1"/>
  <c r="K22" i="64"/>
  <c r="K22" i="34" s="1"/>
  <c r="J22" i="64"/>
  <c r="J22" i="34" s="1"/>
  <c r="I22" i="64"/>
  <c r="I22" i="34" s="1"/>
  <c r="H22" i="64"/>
  <c r="H22" i="34" s="1"/>
  <c r="N18" i="64"/>
  <c r="N18" i="34" s="1"/>
  <c r="M18" i="64"/>
  <c r="M18" i="34" s="1"/>
  <c r="L18" i="64"/>
  <c r="L18" i="34" s="1"/>
  <c r="K18" i="64"/>
  <c r="K18" i="34" s="1"/>
  <c r="J18" i="64"/>
  <c r="J18" i="34" s="1"/>
  <c r="I18" i="64"/>
  <c r="I18" i="34" s="1"/>
  <c r="H18" i="64"/>
  <c r="H18" i="34" s="1"/>
  <c r="G18" i="34"/>
  <c r="N16" i="64"/>
  <c r="N16" i="34" s="1"/>
  <c r="M16" i="64"/>
  <c r="M16" i="34" s="1"/>
  <c r="L16" i="64"/>
  <c r="L16" i="34" s="1"/>
  <c r="K16" i="64"/>
  <c r="K16" i="34" s="1"/>
  <c r="J16" i="64"/>
  <c r="J16" i="34" s="1"/>
  <c r="I16" i="64"/>
  <c r="I16" i="34" s="1"/>
  <c r="H16" i="64"/>
  <c r="H16" i="34" s="1"/>
  <c r="G16" i="64"/>
  <c r="G16" i="34" s="1"/>
  <c r="N15" i="64"/>
  <c r="N15" i="34" s="1"/>
  <c r="M15" i="64"/>
  <c r="M15" i="34" s="1"/>
  <c r="L15" i="64"/>
  <c r="L15" i="34" s="1"/>
  <c r="K15" i="64"/>
  <c r="K15" i="34" s="1"/>
  <c r="J15" i="64"/>
  <c r="J15" i="34" s="1"/>
  <c r="I15" i="64"/>
  <c r="I15" i="34" s="1"/>
  <c r="H15" i="64"/>
  <c r="H15" i="34" s="1"/>
  <c r="G15" i="64"/>
  <c r="G15" i="34" s="1"/>
  <c r="N14" i="64"/>
  <c r="N14" i="34" s="1"/>
  <c r="M14" i="64"/>
  <c r="M14" i="34" s="1"/>
  <c r="L14" i="64"/>
  <c r="L14" i="34" s="1"/>
  <c r="K14" i="64"/>
  <c r="K14" i="34" s="1"/>
  <c r="J14" i="64"/>
  <c r="J14" i="34" s="1"/>
  <c r="I14" i="64"/>
  <c r="I14" i="34" s="1"/>
  <c r="H14" i="64"/>
  <c r="H14" i="34" s="1"/>
  <c r="G14" i="64"/>
  <c r="G14" i="34" s="1"/>
  <c r="N13" i="64"/>
  <c r="N13" i="34" s="1"/>
  <c r="M13" i="64"/>
  <c r="M13" i="34" s="1"/>
  <c r="L13" i="64"/>
  <c r="L13" i="34" s="1"/>
  <c r="K13" i="64"/>
  <c r="K13" i="34" s="1"/>
  <c r="J13" i="64"/>
  <c r="J13" i="34" s="1"/>
  <c r="I13" i="64"/>
  <c r="I13" i="34" s="1"/>
  <c r="H13" i="64"/>
  <c r="H13" i="34" s="1"/>
  <c r="G13" i="64"/>
  <c r="G13" i="34" s="1"/>
  <c r="N12" i="64"/>
  <c r="N12" i="34" s="1"/>
  <c r="M12" i="64"/>
  <c r="M12" i="34" s="1"/>
  <c r="L12" i="64"/>
  <c r="L12" i="34" s="1"/>
  <c r="K12" i="64"/>
  <c r="K12" i="34" s="1"/>
  <c r="J12" i="64"/>
  <c r="J12" i="34" s="1"/>
  <c r="I12" i="64"/>
  <c r="I12" i="34" s="1"/>
  <c r="H12" i="64"/>
  <c r="H12" i="34" s="1"/>
  <c r="G12" i="64"/>
  <c r="G12" i="34" s="1"/>
  <c r="N11" i="64"/>
  <c r="N11" i="34" s="1"/>
  <c r="M11" i="64"/>
  <c r="M11" i="34" s="1"/>
  <c r="L11" i="64"/>
  <c r="L11" i="34" s="1"/>
  <c r="K11" i="64"/>
  <c r="K11" i="34" s="1"/>
  <c r="J11" i="64"/>
  <c r="J11" i="34" s="1"/>
  <c r="I11" i="64"/>
  <c r="I11" i="34" s="1"/>
  <c r="H11" i="64"/>
  <c r="H11" i="34" s="1"/>
  <c r="X44" i="67" l="1"/>
  <c r="W44" i="67"/>
  <c r="V202" i="65" s="1"/>
  <c r="M240" i="64" s="1"/>
  <c r="M240" i="34" s="1"/>
  <c r="P24" i="65"/>
  <c r="G162" i="64" s="1"/>
  <c r="G162" i="34" s="1"/>
  <c r="P25" i="65"/>
  <c r="G163" i="64" s="1"/>
  <c r="G163" i="34" s="1"/>
  <c r="P26" i="65"/>
  <c r="G164" i="64" s="1"/>
  <c r="G164" i="34" s="1"/>
  <c r="P27" i="65"/>
  <c r="G165" i="64" s="1"/>
  <c r="G165" i="34" s="1"/>
  <c r="O32" i="65"/>
  <c r="G141" i="64" s="1"/>
  <c r="G141" i="34" s="1"/>
  <c r="P33" i="65"/>
  <c r="G170" i="64" s="1"/>
  <c r="G170" i="34" s="1"/>
  <c r="P35" i="65"/>
  <c r="G172" i="64" s="1"/>
  <c r="G172" i="34" s="1"/>
  <c r="P32" i="65"/>
  <c r="G169" i="64" s="1"/>
  <c r="G169" i="34" s="1"/>
  <c r="P34" i="65"/>
  <c r="G171" i="64" s="1"/>
  <c r="G171" i="34" s="1"/>
  <c r="S36" i="65"/>
  <c r="G229" i="64" s="1"/>
  <c r="G229" i="34" s="1"/>
  <c r="O120" i="73"/>
  <c r="R32" i="65"/>
  <c r="G197" i="64" s="1"/>
  <c r="G197" i="34" s="1"/>
  <c r="W85" i="73"/>
  <c r="W92" i="67"/>
  <c r="V213" i="65" s="1"/>
  <c r="M250" i="34" s="1"/>
  <c r="G117" i="30"/>
  <c r="C93" i="73"/>
  <c r="I24" i="65"/>
  <c r="G22" i="64" s="1"/>
  <c r="G22" i="34" s="1"/>
  <c r="K93" i="73"/>
  <c r="O24" i="65"/>
  <c r="G134" i="64" s="1"/>
  <c r="G134" i="34" s="1"/>
  <c r="G93" i="73"/>
  <c r="L24" i="65"/>
  <c r="G78" i="64" s="1"/>
  <c r="G78" i="34" s="1"/>
  <c r="O93" i="73"/>
  <c r="R24" i="65"/>
  <c r="G190" i="64" s="1"/>
  <c r="G190" i="34" s="1"/>
  <c r="X51" i="66"/>
  <c r="W235" i="65" s="1"/>
  <c r="N270" i="64" s="1"/>
  <c r="N270" i="34" s="1"/>
  <c r="N119" i="30" s="1"/>
  <c r="C61" i="105"/>
  <c r="C48" i="66"/>
  <c r="K48" i="66"/>
  <c r="W88" i="66"/>
  <c r="W94" i="66"/>
  <c r="V243" i="65" s="1"/>
  <c r="N249" i="64" s="1"/>
  <c r="N249" i="34" s="1"/>
  <c r="W93" i="66"/>
  <c r="V242" i="65" s="1"/>
  <c r="N248" i="64" s="1"/>
  <c r="N248" i="34" s="1"/>
  <c r="W92" i="66"/>
  <c r="V241" i="65" s="1"/>
  <c r="N247" i="64" s="1"/>
  <c r="N247" i="34" s="1"/>
  <c r="G96" i="66"/>
  <c r="O96" i="66"/>
  <c r="X122" i="66"/>
  <c r="W253" i="65" s="1"/>
  <c r="N285" i="64" s="1"/>
  <c r="N285" i="34" s="1"/>
  <c r="N134" i="30" s="1"/>
  <c r="K42" i="105"/>
  <c r="X121" i="66"/>
  <c r="W252" i="65" s="1"/>
  <c r="N284" i="64" s="1"/>
  <c r="N284" i="34" s="1"/>
  <c r="N133" i="30" s="1"/>
  <c r="K46" i="105"/>
  <c r="X120" i="66"/>
  <c r="W251" i="65" s="1"/>
  <c r="N283" i="64" s="1"/>
  <c r="N283" i="34" s="1"/>
  <c r="N132" i="30" s="1"/>
  <c r="K53" i="105"/>
  <c r="X119" i="66"/>
  <c r="W250" i="65" s="1"/>
  <c r="N282" i="64" s="1"/>
  <c r="N282" i="34" s="1"/>
  <c r="N131" i="30" s="1"/>
  <c r="K57" i="105"/>
  <c r="X118" i="66"/>
  <c r="W249" i="65" s="1"/>
  <c r="N281" i="64" s="1"/>
  <c r="N281" i="34" s="1"/>
  <c r="N130" i="30" s="1"/>
  <c r="K58" i="105"/>
  <c r="X115" i="67"/>
  <c r="W218" i="65" s="1"/>
  <c r="M281" i="64" s="1"/>
  <c r="M281" i="34" s="1"/>
  <c r="M130" i="30" s="1"/>
  <c r="K42" i="104"/>
  <c r="X116" i="67"/>
  <c r="W219" i="65" s="1"/>
  <c r="M282" i="64" s="1"/>
  <c r="M282" i="34" s="1"/>
  <c r="M131" i="30" s="1"/>
  <c r="K43" i="104"/>
  <c r="X117" i="67"/>
  <c r="W220" i="65" s="1"/>
  <c r="M283" i="64" s="1"/>
  <c r="M283" i="34" s="1"/>
  <c r="M132" i="30" s="1"/>
  <c r="K44" i="104"/>
  <c r="X118" i="67"/>
  <c r="W221" i="65" s="1"/>
  <c r="M284" i="64" s="1"/>
  <c r="M284" i="34" s="1"/>
  <c r="M133" i="30" s="1"/>
  <c r="K47" i="104"/>
  <c r="X119" i="67"/>
  <c r="W222" i="65" s="1"/>
  <c r="M285" i="64" s="1"/>
  <c r="M285" i="34" s="1"/>
  <c r="M134" i="30" s="1"/>
  <c r="K50" i="104"/>
  <c r="X88" i="68"/>
  <c r="W178" i="65" s="1"/>
  <c r="L274" i="64" s="1"/>
  <c r="L274" i="34" s="1"/>
  <c r="L123" i="30" s="1"/>
  <c r="G42" i="103"/>
  <c r="X89" i="68"/>
  <c r="W179" i="65" s="1"/>
  <c r="L275" i="64" s="1"/>
  <c r="L275" i="34" s="1"/>
  <c r="L124" i="30" s="1"/>
  <c r="G43" i="103"/>
  <c r="X90" i="68"/>
  <c r="W180" i="65" s="1"/>
  <c r="L276" i="64" s="1"/>
  <c r="L276" i="34" s="1"/>
  <c r="L125" i="30" s="1"/>
  <c r="G44" i="103"/>
  <c r="X91" i="68"/>
  <c r="W181" i="65" s="1"/>
  <c r="L277" i="64" s="1"/>
  <c r="L277" i="34" s="1"/>
  <c r="L126" i="30" s="1"/>
  <c r="G48" i="103"/>
  <c r="X92" i="68"/>
  <c r="W182" i="65" s="1"/>
  <c r="L278" i="64" s="1"/>
  <c r="L278" i="34" s="1"/>
  <c r="L127" i="30" s="1"/>
  <c r="G54" i="103"/>
  <c r="X40" i="69"/>
  <c r="W136" i="65" s="1"/>
  <c r="K264" i="64" s="1"/>
  <c r="K264" i="34" s="1"/>
  <c r="K113" i="30" s="1"/>
  <c r="C42" i="102"/>
  <c r="X41" i="69"/>
  <c r="W137" i="65" s="1"/>
  <c r="K265" i="64" s="1"/>
  <c r="K265" i="34" s="1"/>
  <c r="K114" i="30" s="1"/>
  <c r="C43" i="102"/>
  <c r="W138" i="65"/>
  <c r="K266" i="64" s="1"/>
  <c r="K266" i="34" s="1"/>
  <c r="K115" i="30" s="1"/>
  <c r="C45" i="102"/>
  <c r="W139" i="65"/>
  <c r="K267" i="64" s="1"/>
  <c r="K267" i="34" s="1"/>
  <c r="K116" i="30" s="1"/>
  <c r="C48" i="102"/>
  <c r="X44" i="69"/>
  <c r="W140" i="65" s="1"/>
  <c r="K268" i="64" s="1"/>
  <c r="K268" i="34" s="1"/>
  <c r="K117" i="30" s="1"/>
  <c r="C50" i="102"/>
  <c r="X39" i="69"/>
  <c r="W135" i="65" s="1"/>
  <c r="K263" i="64" s="1"/>
  <c r="K263" i="34" s="1"/>
  <c r="K112" i="30" s="1"/>
  <c r="C52" i="102"/>
  <c r="X89" i="69"/>
  <c r="W148" i="65" s="1"/>
  <c r="K275" i="64" s="1"/>
  <c r="K275" i="34" s="1"/>
  <c r="K124" i="30" s="1"/>
  <c r="G42" i="102"/>
  <c r="X90" i="69"/>
  <c r="W149" i="65" s="1"/>
  <c r="K276" i="64" s="1"/>
  <c r="K276" i="34" s="1"/>
  <c r="K125" i="30" s="1"/>
  <c r="G43" i="102"/>
  <c r="X91" i="69"/>
  <c r="W150" i="65" s="1"/>
  <c r="K277" i="64" s="1"/>
  <c r="K277" i="34" s="1"/>
  <c r="K126" i="30" s="1"/>
  <c r="G45" i="102"/>
  <c r="X92" i="69"/>
  <c r="W151" i="65" s="1"/>
  <c r="K278" i="64" s="1"/>
  <c r="K278" i="34" s="1"/>
  <c r="K127" i="30" s="1"/>
  <c r="G48" i="102"/>
  <c r="X88" i="69"/>
  <c r="W147" i="65" s="1"/>
  <c r="K274" i="64" s="1"/>
  <c r="K274" i="34" s="1"/>
  <c r="K123" i="30" s="1"/>
  <c r="G52" i="102"/>
  <c r="C93" i="69"/>
  <c r="K93" i="69"/>
  <c r="X116" i="69"/>
  <c r="W157" i="65" s="1"/>
  <c r="K282" i="64" s="1"/>
  <c r="K282" i="34" s="1"/>
  <c r="K131" i="30" s="1"/>
  <c r="K42" i="102"/>
  <c r="X117" i="69"/>
  <c r="W158" i="65" s="1"/>
  <c r="K283" i="64" s="1"/>
  <c r="K283" i="34" s="1"/>
  <c r="K132" i="30" s="1"/>
  <c r="K44" i="102"/>
  <c r="X118" i="69"/>
  <c r="W159" i="65" s="1"/>
  <c r="K284" i="64" s="1"/>
  <c r="K284" i="34" s="1"/>
  <c r="K133" i="30" s="1"/>
  <c r="K46" i="102"/>
  <c r="X119" i="69"/>
  <c r="W160" i="65" s="1"/>
  <c r="K285" i="64" s="1"/>
  <c r="K285" i="34" s="1"/>
  <c r="K134" i="30" s="1"/>
  <c r="K48" i="102"/>
  <c r="X115" i="69"/>
  <c r="W156" i="65" s="1"/>
  <c r="K281" i="64" s="1"/>
  <c r="K281" i="34" s="1"/>
  <c r="K130" i="30" s="1"/>
  <c r="K52" i="102"/>
  <c r="G120" i="69"/>
  <c r="O120" i="69"/>
  <c r="X44" i="70"/>
  <c r="W109" i="65" s="1"/>
  <c r="J268" i="64" s="1"/>
  <c r="J268" i="34" s="1"/>
  <c r="J117" i="30" s="1"/>
  <c r="C43" i="101"/>
  <c r="X43" i="70"/>
  <c r="W108" i="65" s="1"/>
  <c r="J267" i="64" s="1"/>
  <c r="J267" i="34" s="1"/>
  <c r="J116" i="30" s="1"/>
  <c r="C45" i="101"/>
  <c r="X42" i="70"/>
  <c r="W107" i="65" s="1"/>
  <c r="J266" i="64" s="1"/>
  <c r="J266" i="34" s="1"/>
  <c r="J115" i="30" s="1"/>
  <c r="C46" i="101"/>
  <c r="X41" i="70"/>
  <c r="W106" i="65" s="1"/>
  <c r="J265" i="64" s="1"/>
  <c r="J265" i="34" s="1"/>
  <c r="J114" i="30" s="1"/>
  <c r="C48" i="101"/>
  <c r="X40" i="70"/>
  <c r="W105" i="65" s="1"/>
  <c r="J264" i="64" s="1"/>
  <c r="J264" i="34" s="1"/>
  <c r="J113" i="30" s="1"/>
  <c r="C49" i="101"/>
  <c r="X39" i="70"/>
  <c r="W104" i="65" s="1"/>
  <c r="J263" i="64" s="1"/>
  <c r="J263" i="34" s="1"/>
  <c r="J112" i="30" s="1"/>
  <c r="C50" i="101"/>
  <c r="X48" i="70"/>
  <c r="W111" i="65" s="1"/>
  <c r="J270" i="64" s="1"/>
  <c r="J270" i="34" s="1"/>
  <c r="J119" i="30" s="1"/>
  <c r="C61" i="101"/>
  <c r="G45" i="70"/>
  <c r="O45" i="70"/>
  <c r="W89" i="70"/>
  <c r="V117" i="65" s="1"/>
  <c r="J247" i="64" s="1"/>
  <c r="J247" i="34" s="1"/>
  <c r="W90" i="70"/>
  <c r="V118" i="65" s="1"/>
  <c r="J248" i="64" s="1"/>
  <c r="J248" i="34" s="1"/>
  <c r="W91" i="70"/>
  <c r="V119" i="65" s="1"/>
  <c r="J249" i="64" s="1"/>
  <c r="J249" i="34" s="1"/>
  <c r="W92" i="70"/>
  <c r="V120" i="65" s="1"/>
  <c r="J250" i="64" s="1"/>
  <c r="J250" i="34" s="1"/>
  <c r="G93" i="70"/>
  <c r="O93" i="70"/>
  <c r="X115" i="70"/>
  <c r="W125" i="65" s="1"/>
  <c r="J281" i="64" s="1"/>
  <c r="J281" i="34" s="1"/>
  <c r="J130" i="30" s="1"/>
  <c r="K42" i="101"/>
  <c r="X116" i="70"/>
  <c r="W126" i="65" s="1"/>
  <c r="J282" i="64" s="1"/>
  <c r="J282" i="34" s="1"/>
  <c r="J131" i="30" s="1"/>
  <c r="K43" i="101"/>
  <c r="X117" i="70"/>
  <c r="W127" i="65" s="1"/>
  <c r="J283" i="64" s="1"/>
  <c r="J283" i="34" s="1"/>
  <c r="J132" i="30" s="1"/>
  <c r="K45" i="101"/>
  <c r="X118" i="70"/>
  <c r="W128" i="65" s="1"/>
  <c r="J284" i="64" s="1"/>
  <c r="J284" i="34" s="1"/>
  <c r="J133" i="30" s="1"/>
  <c r="K49" i="101"/>
  <c r="X119" i="70"/>
  <c r="W129" i="65" s="1"/>
  <c r="J285" i="64" s="1"/>
  <c r="J285" i="34" s="1"/>
  <c r="J134" i="30" s="1"/>
  <c r="K52" i="101"/>
  <c r="X48" i="71"/>
  <c r="W80" i="65" s="1"/>
  <c r="I270" i="64" s="1"/>
  <c r="I270" i="34" s="1"/>
  <c r="I119" i="30" s="1"/>
  <c r="W89" i="71"/>
  <c r="V86" i="65" s="1"/>
  <c r="I247" i="64" s="1"/>
  <c r="I247" i="34" s="1"/>
  <c r="W90" i="71"/>
  <c r="V87" i="65" s="1"/>
  <c r="I248" i="64" s="1"/>
  <c r="I248" i="34" s="1"/>
  <c r="W91" i="71"/>
  <c r="V88" i="65" s="1"/>
  <c r="I249" i="64" s="1"/>
  <c r="I249" i="34" s="1"/>
  <c r="W92" i="71"/>
  <c r="V89" i="65" s="1"/>
  <c r="I250" i="64" s="1"/>
  <c r="I250" i="34" s="1"/>
  <c r="X115" i="71"/>
  <c r="W94" i="65" s="1"/>
  <c r="I281" i="64" s="1"/>
  <c r="I281" i="34" s="1"/>
  <c r="I130" i="30" s="1"/>
  <c r="K42" i="99"/>
  <c r="X116" i="71"/>
  <c r="W95" i="65" s="1"/>
  <c r="I282" i="64" s="1"/>
  <c r="I282" i="34" s="1"/>
  <c r="I131" i="30" s="1"/>
  <c r="K43" i="99"/>
  <c r="X117" i="71"/>
  <c r="W96" i="65" s="1"/>
  <c r="I283" i="64" s="1"/>
  <c r="I283" i="34" s="1"/>
  <c r="I132" i="30" s="1"/>
  <c r="K44" i="99"/>
  <c r="X118" i="71"/>
  <c r="W97" i="65" s="1"/>
  <c r="I284" i="64" s="1"/>
  <c r="I284" i="34" s="1"/>
  <c r="I133" i="30" s="1"/>
  <c r="K46" i="99"/>
  <c r="X119" i="71"/>
  <c r="W98" i="65" s="1"/>
  <c r="I285" i="64" s="1"/>
  <c r="I285" i="34" s="1"/>
  <c r="I134" i="30" s="1"/>
  <c r="K49" i="99"/>
  <c r="O120" i="71"/>
  <c r="X43" i="72"/>
  <c r="C45" i="100"/>
  <c r="C46" i="100"/>
  <c r="C48" i="100"/>
  <c r="X40" i="72"/>
  <c r="C49" i="100"/>
  <c r="X39" i="72"/>
  <c r="W42" i="65" s="1"/>
  <c r="H263" i="64" s="1"/>
  <c r="H263" i="34" s="1"/>
  <c r="H112" i="30" s="1"/>
  <c r="C50" i="100"/>
  <c r="X88" i="72"/>
  <c r="W54" i="65" s="1"/>
  <c r="H274" i="64" s="1"/>
  <c r="H274" i="34" s="1"/>
  <c r="H123" i="30" s="1"/>
  <c r="G42" i="100"/>
  <c r="X89" i="72"/>
  <c r="G43" i="100"/>
  <c r="X90" i="72"/>
  <c r="G44" i="100"/>
  <c r="X91" i="72"/>
  <c r="W57" i="65" s="1"/>
  <c r="H277" i="64" s="1"/>
  <c r="H277" i="34" s="1"/>
  <c r="H126" i="30" s="1"/>
  <c r="G48" i="100"/>
  <c r="X92" i="72"/>
  <c r="W58" i="65" s="1"/>
  <c r="H278" i="64" s="1"/>
  <c r="H278" i="34" s="1"/>
  <c r="H127" i="30" s="1"/>
  <c r="G50" i="100"/>
  <c r="W15" i="65"/>
  <c r="G266" i="64" s="1"/>
  <c r="G266" i="34" s="1"/>
  <c r="X41" i="73"/>
  <c r="W14" i="65" s="1"/>
  <c r="G265" i="64" s="1"/>
  <c r="G265" i="34" s="1"/>
  <c r="X39" i="73"/>
  <c r="W12" i="65" s="1"/>
  <c r="G263" i="64" s="1"/>
  <c r="G263" i="34" s="1"/>
  <c r="O45" i="73"/>
  <c r="X115" i="73"/>
  <c r="X116" i="73"/>
  <c r="X117" i="73"/>
  <c r="X118" i="73"/>
  <c r="X119" i="73"/>
  <c r="X47" i="66"/>
  <c r="W233" i="65" s="1"/>
  <c r="N268" i="64" s="1"/>
  <c r="N268" i="34" s="1"/>
  <c r="N117" i="30" s="1"/>
  <c r="C42" i="105"/>
  <c r="X46" i="66"/>
  <c r="W232" i="65" s="1"/>
  <c r="N267" i="64" s="1"/>
  <c r="N267" i="34" s="1"/>
  <c r="N116" i="30" s="1"/>
  <c r="C43" i="105"/>
  <c r="X45" i="66"/>
  <c r="W231" i="65" s="1"/>
  <c r="N266" i="64" s="1"/>
  <c r="N266" i="34" s="1"/>
  <c r="N115" i="30" s="1"/>
  <c r="C46" i="105"/>
  <c r="X44" i="66"/>
  <c r="W230" i="65" s="1"/>
  <c r="N265" i="64" s="1"/>
  <c r="N265" i="34" s="1"/>
  <c r="N114" i="30" s="1"/>
  <c r="C53" i="105"/>
  <c r="X43" i="66"/>
  <c r="W229" i="65" s="1"/>
  <c r="N264" i="64" s="1"/>
  <c r="N264" i="34" s="1"/>
  <c r="N113" i="30" s="1"/>
  <c r="C57" i="105"/>
  <c r="X42" i="66"/>
  <c r="W228" i="65" s="1"/>
  <c r="N263" i="64" s="1"/>
  <c r="N263" i="34" s="1"/>
  <c r="N112" i="30" s="1"/>
  <c r="C58" i="105"/>
  <c r="X95" i="66"/>
  <c r="W244" i="65" s="1"/>
  <c r="N278" i="64" s="1"/>
  <c r="N278" i="34" s="1"/>
  <c r="N127" i="30" s="1"/>
  <c r="G42" i="105"/>
  <c r="X94" i="66"/>
  <c r="W243" i="65" s="1"/>
  <c r="N277" i="64" s="1"/>
  <c r="N277" i="34" s="1"/>
  <c r="N126" i="30" s="1"/>
  <c r="G46" i="105"/>
  <c r="X93" i="66"/>
  <c r="W242" i="65" s="1"/>
  <c r="N276" i="64" s="1"/>
  <c r="N276" i="34" s="1"/>
  <c r="N125" i="30" s="1"/>
  <c r="G53" i="105"/>
  <c r="X92" i="66"/>
  <c r="W241" i="65" s="1"/>
  <c r="N275" i="64" s="1"/>
  <c r="N275" i="34" s="1"/>
  <c r="N124" i="30" s="1"/>
  <c r="G57" i="105"/>
  <c r="X91" i="66"/>
  <c r="W240" i="65" s="1"/>
  <c r="N274" i="64" s="1"/>
  <c r="N274" i="34" s="1"/>
  <c r="N123" i="30" s="1"/>
  <c r="G58" i="105"/>
  <c r="X39" i="67"/>
  <c r="W197" i="65" s="1"/>
  <c r="M263" i="64" s="1"/>
  <c r="M263" i="34" s="1"/>
  <c r="M112" i="30" s="1"/>
  <c r="C42" i="104"/>
  <c r="X40" i="67"/>
  <c r="W198" i="65" s="1"/>
  <c r="M264" i="64" s="1"/>
  <c r="M264" i="34" s="1"/>
  <c r="M113" i="30" s="1"/>
  <c r="C43" i="104"/>
  <c r="X41" i="67"/>
  <c r="W199" i="65" s="1"/>
  <c r="M265" i="64" s="1"/>
  <c r="M265" i="34" s="1"/>
  <c r="M114" i="30" s="1"/>
  <c r="C44" i="104"/>
  <c r="X42" i="67"/>
  <c r="W200" i="65" s="1"/>
  <c r="M266" i="64" s="1"/>
  <c r="M266" i="34" s="1"/>
  <c r="M115" i="30" s="1"/>
  <c r="C45" i="104"/>
  <c r="W201" i="65"/>
  <c r="M267" i="64" s="1"/>
  <c r="M267" i="34" s="1"/>
  <c r="M116" i="30" s="1"/>
  <c r="C46" i="104"/>
  <c r="W202" i="65"/>
  <c r="M268" i="64" s="1"/>
  <c r="M268" i="34" s="1"/>
  <c r="M117" i="30" s="1"/>
  <c r="C48" i="104"/>
  <c r="W48" i="67"/>
  <c r="V204" i="65" s="1"/>
  <c r="M242" i="64" s="1"/>
  <c r="M242" i="34" s="1"/>
  <c r="C61" i="104"/>
  <c r="C45" i="67"/>
  <c r="K45" i="67"/>
  <c r="X88" i="67"/>
  <c r="W209" i="65" s="1"/>
  <c r="M274" i="64" s="1"/>
  <c r="M274" i="34" s="1"/>
  <c r="M123" i="30" s="1"/>
  <c r="G42" i="104"/>
  <c r="X89" i="67"/>
  <c r="W210" i="65" s="1"/>
  <c r="M275" i="64" s="1"/>
  <c r="M275" i="34" s="1"/>
  <c r="M124" i="30" s="1"/>
  <c r="G43" i="104"/>
  <c r="X90" i="67"/>
  <c r="W211" i="65" s="1"/>
  <c r="M276" i="64" s="1"/>
  <c r="M276" i="34" s="1"/>
  <c r="M125" i="30" s="1"/>
  <c r="G44" i="104"/>
  <c r="X91" i="67"/>
  <c r="W212" i="65" s="1"/>
  <c r="M277" i="64" s="1"/>
  <c r="M277" i="34" s="1"/>
  <c r="M126" i="30" s="1"/>
  <c r="G47" i="104"/>
  <c r="X92" i="67"/>
  <c r="W213" i="65" s="1"/>
  <c r="M278" i="64" s="1"/>
  <c r="M278" i="34" s="1"/>
  <c r="M127" i="30" s="1"/>
  <c r="G50" i="104"/>
  <c r="C93" i="67"/>
  <c r="K93" i="67"/>
  <c r="W116" i="67"/>
  <c r="V219" i="65" s="1"/>
  <c r="M254" i="64" s="1"/>
  <c r="M254" i="34" s="1"/>
  <c r="W117" i="67"/>
  <c r="V220" i="65" s="1"/>
  <c r="M255" i="64" s="1"/>
  <c r="M255" i="34" s="1"/>
  <c r="W118" i="67"/>
  <c r="V221" i="65" s="1"/>
  <c r="M256" i="64" s="1"/>
  <c r="M256" i="34" s="1"/>
  <c r="W119" i="67"/>
  <c r="V222" i="65" s="1"/>
  <c r="M257" i="64" s="1"/>
  <c r="M257" i="34" s="1"/>
  <c r="C120" i="67"/>
  <c r="G120" i="67"/>
  <c r="K120" i="67"/>
  <c r="O120" i="67"/>
  <c r="W170" i="65"/>
  <c r="L267" i="64" s="1"/>
  <c r="L267" i="34" s="1"/>
  <c r="L116" i="30" s="1"/>
  <c r="C45" i="103"/>
  <c r="W169" i="65"/>
  <c r="L266" i="64" s="1"/>
  <c r="L266" i="34" s="1"/>
  <c r="L115" i="30" s="1"/>
  <c r="C47" i="103"/>
  <c r="X41" i="68"/>
  <c r="W168" i="65" s="1"/>
  <c r="L265" i="64" s="1"/>
  <c r="L265" i="34" s="1"/>
  <c r="L114" i="30" s="1"/>
  <c r="C49" i="103"/>
  <c r="X40" i="68"/>
  <c r="W167" i="65" s="1"/>
  <c r="L264" i="64" s="1"/>
  <c r="L264" i="34" s="1"/>
  <c r="L113" i="30" s="1"/>
  <c r="C50" i="103"/>
  <c r="X39" i="68"/>
  <c r="W166" i="65" s="1"/>
  <c r="L263" i="64" s="1"/>
  <c r="L263" i="34" s="1"/>
  <c r="L112" i="30" s="1"/>
  <c r="C51" i="103"/>
  <c r="X48" i="68"/>
  <c r="W173" i="65" s="1"/>
  <c r="L270" i="64" s="1"/>
  <c r="L270" i="34" s="1"/>
  <c r="L119" i="30" s="1"/>
  <c r="C61" i="103"/>
  <c r="W90" i="68"/>
  <c r="V180" i="65" s="1"/>
  <c r="L248" i="64" s="1"/>
  <c r="L248" i="34" s="1"/>
  <c r="W91" i="68"/>
  <c r="V181" i="65" s="1"/>
  <c r="L249" i="64" s="1"/>
  <c r="L249" i="34" s="1"/>
  <c r="W92" i="68"/>
  <c r="V182" i="65" s="1"/>
  <c r="L250" i="64" s="1"/>
  <c r="L250" i="34" s="1"/>
  <c r="X115" i="68"/>
  <c r="W187" i="65" s="1"/>
  <c r="L281" i="64" s="1"/>
  <c r="L281" i="34" s="1"/>
  <c r="L130" i="30" s="1"/>
  <c r="K42" i="103"/>
  <c r="X116" i="68"/>
  <c r="W188" i="65" s="1"/>
  <c r="L282" i="64" s="1"/>
  <c r="L282" i="34" s="1"/>
  <c r="L131" i="30" s="1"/>
  <c r="K43" i="103"/>
  <c r="X117" i="68"/>
  <c r="W189" i="65" s="1"/>
  <c r="L283" i="64" s="1"/>
  <c r="L283" i="34" s="1"/>
  <c r="L132" i="30" s="1"/>
  <c r="K44" i="103"/>
  <c r="X118" i="68"/>
  <c r="W190" i="65" s="1"/>
  <c r="L284" i="64" s="1"/>
  <c r="L284" i="34" s="1"/>
  <c r="L133" i="30" s="1"/>
  <c r="K48" i="103"/>
  <c r="X119" i="68"/>
  <c r="W191" i="65" s="1"/>
  <c r="L285" i="64" s="1"/>
  <c r="L285" i="34" s="1"/>
  <c r="L134" i="30" s="1"/>
  <c r="K54" i="103"/>
  <c r="G120" i="68"/>
  <c r="O120" i="68"/>
  <c r="W41" i="69"/>
  <c r="V137" i="65" s="1"/>
  <c r="K237" i="64" s="1"/>
  <c r="K237" i="34" s="1"/>
  <c r="V138" i="65"/>
  <c r="K238" i="64" s="1"/>
  <c r="K238" i="34" s="1"/>
  <c r="V139" i="65"/>
  <c r="K239" i="64" s="1"/>
  <c r="K239" i="34" s="1"/>
  <c r="W44" i="69"/>
  <c r="V140" i="65" s="1"/>
  <c r="K240" i="64" s="1"/>
  <c r="K240" i="34" s="1"/>
  <c r="W48" i="69"/>
  <c r="V142" i="65" s="1"/>
  <c r="K242" i="64" s="1"/>
  <c r="K242" i="34" s="1"/>
  <c r="C61" i="102"/>
  <c r="W117" i="69"/>
  <c r="V158" i="65" s="1"/>
  <c r="K255" i="64" s="1"/>
  <c r="K255" i="34" s="1"/>
  <c r="K43" i="102"/>
  <c r="W118" i="69"/>
  <c r="V159" i="65" s="1"/>
  <c r="K256" i="64" s="1"/>
  <c r="K256" i="34" s="1"/>
  <c r="K45" i="102"/>
  <c r="W48" i="70"/>
  <c r="V111" i="65" s="1"/>
  <c r="J242" i="64" s="1"/>
  <c r="J242" i="34" s="1"/>
  <c r="C62" i="101"/>
  <c r="X88" i="70"/>
  <c r="W116" i="65" s="1"/>
  <c r="J274" i="64" s="1"/>
  <c r="J274" i="34" s="1"/>
  <c r="J123" i="30" s="1"/>
  <c r="G42" i="101"/>
  <c r="X89" i="70"/>
  <c r="W117" i="65" s="1"/>
  <c r="J275" i="64" s="1"/>
  <c r="J275" i="34" s="1"/>
  <c r="J124" i="30" s="1"/>
  <c r="G43" i="101"/>
  <c r="X90" i="70"/>
  <c r="W118" i="65" s="1"/>
  <c r="J276" i="64" s="1"/>
  <c r="J276" i="34" s="1"/>
  <c r="J125" i="30" s="1"/>
  <c r="G45" i="101"/>
  <c r="X91" i="70"/>
  <c r="W119" i="65" s="1"/>
  <c r="J277" i="64" s="1"/>
  <c r="J277" i="34" s="1"/>
  <c r="J126" i="30" s="1"/>
  <c r="G49" i="101"/>
  <c r="X92" i="70"/>
  <c r="W120" i="65" s="1"/>
  <c r="J278" i="64" s="1"/>
  <c r="J278" i="34" s="1"/>
  <c r="J127" i="30" s="1"/>
  <c r="G52" i="101"/>
  <c r="X44" i="71"/>
  <c r="W78" i="65" s="1"/>
  <c r="I268" i="64" s="1"/>
  <c r="I268" i="34" s="1"/>
  <c r="I117" i="30" s="1"/>
  <c r="C44" i="99"/>
  <c r="X43" i="71"/>
  <c r="W77" i="65" s="1"/>
  <c r="I267" i="64" s="1"/>
  <c r="I267" i="34" s="1"/>
  <c r="I116" i="30" s="1"/>
  <c r="C46" i="99"/>
  <c r="X42" i="71"/>
  <c r="W76" i="65" s="1"/>
  <c r="I266" i="64" s="1"/>
  <c r="I266" i="34" s="1"/>
  <c r="I115" i="30" s="1"/>
  <c r="C47" i="99"/>
  <c r="X41" i="71"/>
  <c r="W75" i="65" s="1"/>
  <c r="I265" i="64" s="1"/>
  <c r="I265" i="34" s="1"/>
  <c r="I114" i="30" s="1"/>
  <c r="C49" i="99"/>
  <c r="X40" i="71"/>
  <c r="W74" i="65" s="1"/>
  <c r="I264" i="64" s="1"/>
  <c r="I264" i="34" s="1"/>
  <c r="I113" i="30" s="1"/>
  <c r="C50" i="99"/>
  <c r="X39" i="71"/>
  <c r="W73" i="65" s="1"/>
  <c r="I263" i="64" s="1"/>
  <c r="I263" i="34" s="1"/>
  <c r="I112" i="30" s="1"/>
  <c r="C51" i="99"/>
  <c r="W48" i="71"/>
  <c r="V80" i="65" s="1"/>
  <c r="I242" i="64" s="1"/>
  <c r="I242" i="34" s="1"/>
  <c r="X88" i="71"/>
  <c r="W85" i="65" s="1"/>
  <c r="I274" i="64" s="1"/>
  <c r="I274" i="34" s="1"/>
  <c r="I123" i="30" s="1"/>
  <c r="G42" i="99"/>
  <c r="X89" i="71"/>
  <c r="W86" i="65" s="1"/>
  <c r="I275" i="64" s="1"/>
  <c r="I275" i="34" s="1"/>
  <c r="I124" i="30" s="1"/>
  <c r="G43" i="99"/>
  <c r="X90" i="71"/>
  <c r="W87" i="65" s="1"/>
  <c r="I276" i="64" s="1"/>
  <c r="I276" i="34" s="1"/>
  <c r="I125" i="30" s="1"/>
  <c r="G44" i="99"/>
  <c r="X91" i="71"/>
  <c r="W88" i="65" s="1"/>
  <c r="I277" i="64" s="1"/>
  <c r="I277" i="34" s="1"/>
  <c r="I126" i="30" s="1"/>
  <c r="G46" i="99"/>
  <c r="X92" i="71"/>
  <c r="W89" i="65" s="1"/>
  <c r="I278" i="64" s="1"/>
  <c r="I278" i="34" s="1"/>
  <c r="I127" i="30" s="1"/>
  <c r="G49" i="99"/>
  <c r="W48" i="72"/>
  <c r="V49" i="65" s="1"/>
  <c r="H242" i="64" s="1"/>
  <c r="H242" i="34" s="1"/>
  <c r="W85" i="72"/>
  <c r="X115" i="72"/>
  <c r="W63" i="65" s="1"/>
  <c r="H281" i="64" s="1"/>
  <c r="H281" i="34" s="1"/>
  <c r="H130" i="30" s="1"/>
  <c r="K42" i="100"/>
  <c r="X116" i="72"/>
  <c r="K43" i="100"/>
  <c r="X117" i="72"/>
  <c r="K44" i="100"/>
  <c r="X118" i="72"/>
  <c r="W66" i="65" s="1"/>
  <c r="H284" i="64" s="1"/>
  <c r="H284" i="34" s="1"/>
  <c r="H133" i="30" s="1"/>
  <c r="K48" i="100"/>
  <c r="X119" i="72"/>
  <c r="W67" i="65" s="1"/>
  <c r="H285" i="64" s="1"/>
  <c r="H285" i="34" s="1"/>
  <c r="H134" i="30" s="1"/>
  <c r="K50" i="100"/>
  <c r="G120" i="72"/>
  <c r="W16" i="65"/>
  <c r="G267" i="64" s="1"/>
  <c r="G267" i="34" s="1"/>
  <c r="X40" i="73"/>
  <c r="W13" i="65" s="1"/>
  <c r="G264" i="64" s="1"/>
  <c r="G264" i="34" s="1"/>
  <c r="W48" i="73"/>
  <c r="V19" i="65" s="1"/>
  <c r="G242" i="64" s="1"/>
  <c r="G242" i="34" s="1"/>
  <c r="W40" i="73"/>
  <c r="V13" i="65" s="1"/>
  <c r="G236" i="64" s="1"/>
  <c r="G236" i="34" s="1"/>
  <c r="X88" i="73"/>
  <c r="X89" i="73"/>
  <c r="X90" i="73"/>
  <c r="X91" i="73"/>
  <c r="X92" i="73"/>
  <c r="W51" i="66"/>
  <c r="V235" i="65" s="1"/>
  <c r="N242" i="64" s="1"/>
  <c r="N242" i="34" s="1"/>
  <c r="W37" i="66"/>
  <c r="W123" i="66"/>
  <c r="W93" i="68"/>
  <c r="W47" i="66"/>
  <c r="V233" i="65" s="1"/>
  <c r="N240" i="64" s="1"/>
  <c r="N240" i="34" s="1"/>
  <c r="W31" i="66"/>
  <c r="W48" i="66"/>
  <c r="W45" i="68"/>
  <c r="W95" i="66"/>
  <c r="V244" i="65" s="1"/>
  <c r="N250" i="64" s="1"/>
  <c r="N250" i="34" s="1"/>
  <c r="W28" i="67"/>
  <c r="X48" i="67"/>
  <c r="W204" i="65" s="1"/>
  <c r="M270" i="64" s="1"/>
  <c r="M270" i="34" s="1"/>
  <c r="M119" i="30" s="1"/>
  <c r="W28" i="68"/>
  <c r="W34" i="68"/>
  <c r="W48" i="68"/>
  <c r="V173" i="65" s="1"/>
  <c r="L242" i="64" s="1"/>
  <c r="L242" i="34" s="1"/>
  <c r="W85" i="68"/>
  <c r="W45" i="70"/>
  <c r="W120" i="70"/>
  <c r="W34" i="67"/>
  <c r="W85" i="67"/>
  <c r="W117" i="68"/>
  <c r="V189" i="65" s="1"/>
  <c r="L255" i="64" s="1"/>
  <c r="L255" i="34" s="1"/>
  <c r="W118" i="68"/>
  <c r="V190" i="65" s="1"/>
  <c r="L256" i="64" s="1"/>
  <c r="L256" i="34" s="1"/>
  <c r="W119" i="68"/>
  <c r="V191" i="65" s="1"/>
  <c r="L257" i="64" s="1"/>
  <c r="L257" i="34" s="1"/>
  <c r="W45" i="71"/>
  <c r="W28" i="69"/>
  <c r="W39" i="69"/>
  <c r="W40" i="69"/>
  <c r="V136" i="65" s="1"/>
  <c r="K236" i="64" s="1"/>
  <c r="K236" i="34" s="1"/>
  <c r="X48" i="69"/>
  <c r="W142" i="65" s="1"/>
  <c r="K270" i="64" s="1"/>
  <c r="K270" i="34" s="1"/>
  <c r="K119" i="30" s="1"/>
  <c r="W89" i="69"/>
  <c r="V148" i="65" s="1"/>
  <c r="K247" i="64" s="1"/>
  <c r="K247" i="34" s="1"/>
  <c r="W116" i="69"/>
  <c r="V157" i="65" s="1"/>
  <c r="K254" i="64" s="1"/>
  <c r="K254" i="34" s="1"/>
  <c r="W119" i="69"/>
  <c r="V160" i="65" s="1"/>
  <c r="K257" i="64" s="1"/>
  <c r="K257" i="34" s="1"/>
  <c r="W28" i="71"/>
  <c r="W34" i="71"/>
  <c r="W85" i="71"/>
  <c r="W116" i="71"/>
  <c r="V95" i="65" s="1"/>
  <c r="I254" i="64" s="1"/>
  <c r="I254" i="34" s="1"/>
  <c r="W117" i="71"/>
  <c r="V96" i="65" s="1"/>
  <c r="I255" i="64" s="1"/>
  <c r="I255" i="34" s="1"/>
  <c r="W118" i="71"/>
  <c r="V97" i="65" s="1"/>
  <c r="I256" i="64" s="1"/>
  <c r="I256" i="34" s="1"/>
  <c r="W119" i="71"/>
  <c r="V98" i="65" s="1"/>
  <c r="I257" i="64" s="1"/>
  <c r="I257" i="34" s="1"/>
  <c r="K120" i="71"/>
  <c r="W119" i="72"/>
  <c r="V67" i="65" s="1"/>
  <c r="H257" i="64" s="1"/>
  <c r="H257" i="34" s="1"/>
  <c r="W118" i="72"/>
  <c r="V66" i="65" s="1"/>
  <c r="H256" i="64" s="1"/>
  <c r="H256" i="34" s="1"/>
  <c r="W34" i="69"/>
  <c r="W28" i="70"/>
  <c r="W34" i="70"/>
  <c r="W85" i="70"/>
  <c r="X44" i="72"/>
  <c r="W47" i="65" s="1"/>
  <c r="H268" i="64" s="1"/>
  <c r="H268" i="34" s="1"/>
  <c r="H117" i="30" s="1"/>
  <c r="W28" i="72"/>
  <c r="W92" i="72"/>
  <c r="V58" i="65" s="1"/>
  <c r="H250" i="64" s="1"/>
  <c r="H250" i="34" s="1"/>
  <c r="W91" i="72"/>
  <c r="V57" i="65" s="1"/>
  <c r="H249" i="64" s="1"/>
  <c r="H249" i="34" s="1"/>
  <c r="X48" i="72"/>
  <c r="W88" i="72"/>
  <c r="W28" i="73"/>
  <c r="W41" i="73"/>
  <c r="V14" i="65" s="1"/>
  <c r="G237" i="64" s="1"/>
  <c r="G237" i="34" s="1"/>
  <c r="V15" i="65"/>
  <c r="G238" i="64" s="1"/>
  <c r="G238" i="34" s="1"/>
  <c r="X48" i="73"/>
  <c r="W19" i="65" s="1"/>
  <c r="G270" i="64" s="1"/>
  <c r="G270" i="34" s="1"/>
  <c r="W34" i="72"/>
  <c r="O118" i="72"/>
  <c r="R66" i="65" s="1"/>
  <c r="H200" i="64" s="1"/>
  <c r="H200" i="34" s="1"/>
  <c r="W34" i="73"/>
  <c r="G119" i="30" l="1"/>
  <c r="G113" i="30"/>
  <c r="G116" i="30"/>
  <c r="W120" i="67"/>
  <c r="W119" i="73"/>
  <c r="V36" i="65" s="1"/>
  <c r="G257" i="64" s="1"/>
  <c r="G257" i="34" s="1"/>
  <c r="W36" i="65"/>
  <c r="G285" i="64" s="1"/>
  <c r="G285" i="34" s="1"/>
  <c r="W118" i="73"/>
  <c r="V35" i="65" s="1"/>
  <c r="G256" i="64" s="1"/>
  <c r="G256" i="34" s="1"/>
  <c r="W35" i="65"/>
  <c r="G284" i="64" s="1"/>
  <c r="G284" i="34" s="1"/>
  <c r="W117" i="73"/>
  <c r="V34" i="65" s="1"/>
  <c r="G255" i="64" s="1"/>
  <c r="G255" i="34" s="1"/>
  <c r="W34" i="65"/>
  <c r="G283" i="64" s="1"/>
  <c r="G283" i="34" s="1"/>
  <c r="W116" i="73"/>
  <c r="V33" i="65" s="1"/>
  <c r="G254" i="64" s="1"/>
  <c r="G254" i="34" s="1"/>
  <c r="W33" i="65"/>
  <c r="G282" i="64" s="1"/>
  <c r="G282" i="34" s="1"/>
  <c r="W115" i="73"/>
  <c r="W32" i="65"/>
  <c r="G281" i="64" s="1"/>
  <c r="G281" i="34" s="1"/>
  <c r="W93" i="67"/>
  <c r="F268" i="34"/>
  <c r="W49" i="65"/>
  <c r="H270" i="64" s="1"/>
  <c r="H270" i="34" s="1"/>
  <c r="H119" i="30" s="1"/>
  <c r="C61" i="100"/>
  <c r="W92" i="73"/>
  <c r="V28" i="65" s="1"/>
  <c r="G250" i="64" s="1"/>
  <c r="G250" i="34" s="1"/>
  <c r="W28" i="65"/>
  <c r="G278" i="64" s="1"/>
  <c r="G278" i="34" s="1"/>
  <c r="W91" i="73"/>
  <c r="V27" i="65" s="1"/>
  <c r="G249" i="64" s="1"/>
  <c r="G249" i="34" s="1"/>
  <c r="W27" i="65"/>
  <c r="G277" i="64" s="1"/>
  <c r="G277" i="34" s="1"/>
  <c r="W90" i="73"/>
  <c r="V26" i="65" s="1"/>
  <c r="G248" i="64" s="1"/>
  <c r="G248" i="34" s="1"/>
  <c r="W26" i="65"/>
  <c r="G276" i="64" s="1"/>
  <c r="G276" i="34" s="1"/>
  <c r="W89" i="73"/>
  <c r="V25" i="65" s="1"/>
  <c r="G247" i="64" s="1"/>
  <c r="G247" i="34" s="1"/>
  <c r="W25" i="65"/>
  <c r="G275" i="64" s="1"/>
  <c r="G275" i="34" s="1"/>
  <c r="W88" i="73"/>
  <c r="W24" i="65"/>
  <c r="G274" i="64" s="1"/>
  <c r="G274" i="34" s="1"/>
  <c r="W117" i="72"/>
  <c r="V65" i="65" s="1"/>
  <c r="H255" i="64" s="1"/>
  <c r="H255" i="34" s="1"/>
  <c r="W65" i="65"/>
  <c r="H283" i="64" s="1"/>
  <c r="H283" i="34" s="1"/>
  <c r="H132" i="30" s="1"/>
  <c r="W116" i="72"/>
  <c r="W64" i="65"/>
  <c r="H282" i="64" s="1"/>
  <c r="H282" i="34" s="1"/>
  <c r="H131" i="30" s="1"/>
  <c r="F263" i="34"/>
  <c r="G112" i="30"/>
  <c r="G114" i="30"/>
  <c r="G115" i="30"/>
  <c r="W90" i="72"/>
  <c r="V56" i="65" s="1"/>
  <c r="H248" i="64" s="1"/>
  <c r="H248" i="34" s="1"/>
  <c r="W56" i="65"/>
  <c r="H276" i="64" s="1"/>
  <c r="H276" i="34" s="1"/>
  <c r="H125" i="30" s="1"/>
  <c r="W89" i="72"/>
  <c r="V55" i="65" s="1"/>
  <c r="H247" i="64" s="1"/>
  <c r="H247" i="34" s="1"/>
  <c r="W55" i="65"/>
  <c r="H275" i="64" s="1"/>
  <c r="H275" i="34" s="1"/>
  <c r="H124" i="30" s="1"/>
  <c r="W40" i="72"/>
  <c r="W43" i="65"/>
  <c r="H264" i="64" s="1"/>
  <c r="H264" i="34" s="1"/>
  <c r="H113" i="30" s="1"/>
  <c r="V44" i="65"/>
  <c r="H237" i="64" s="1"/>
  <c r="H237" i="34" s="1"/>
  <c r="W44" i="65"/>
  <c r="H265" i="64" s="1"/>
  <c r="H265" i="34" s="1"/>
  <c r="H114" i="30" s="1"/>
  <c r="V45" i="65"/>
  <c r="H238" i="64" s="1"/>
  <c r="H238" i="34" s="1"/>
  <c r="W45" i="65"/>
  <c r="H266" i="64" s="1"/>
  <c r="H266" i="34" s="1"/>
  <c r="H115" i="30" s="1"/>
  <c r="W43" i="72"/>
  <c r="V46" i="65" s="1"/>
  <c r="H239" i="64" s="1"/>
  <c r="H239" i="34" s="1"/>
  <c r="W46" i="65"/>
  <c r="H267" i="64" s="1"/>
  <c r="H267" i="34" s="1"/>
  <c r="H116" i="30" s="1"/>
  <c r="W93" i="71"/>
  <c r="W93" i="70"/>
  <c r="W45" i="67"/>
  <c r="O120" i="72"/>
  <c r="W120" i="71"/>
  <c r="W120" i="69"/>
  <c r="W96" i="66"/>
  <c r="W93" i="72"/>
  <c r="V54" i="65"/>
  <c r="H246" i="64" s="1"/>
  <c r="H246" i="34" s="1"/>
  <c r="W45" i="73"/>
  <c r="W45" i="69"/>
  <c r="V135" i="65"/>
  <c r="K235" i="64" s="1"/>
  <c r="K235" i="34" s="1"/>
  <c r="W120" i="68"/>
  <c r="W93" i="69"/>
  <c r="V43" i="65" l="1"/>
  <c r="H236" i="64" s="1"/>
  <c r="H236" i="34" s="1"/>
  <c r="W45" i="72"/>
  <c r="F265" i="34"/>
  <c r="V64" i="65"/>
  <c r="H254" i="64" s="1"/>
  <c r="H254" i="34" s="1"/>
  <c r="W120" i="72"/>
  <c r="W93" i="73"/>
  <c r="V24" i="65"/>
  <c r="G246" i="64" s="1"/>
  <c r="G246" i="34" s="1"/>
  <c r="W120" i="73"/>
  <c r="V32" i="65"/>
  <c r="G253" i="64" s="1"/>
  <c r="G253" i="34" s="1"/>
  <c r="F264" i="34"/>
  <c r="F266" i="34"/>
  <c r="G123" i="30"/>
  <c r="F274" i="34"/>
  <c r="G124" i="30"/>
  <c r="F275" i="34"/>
  <c r="G125" i="30"/>
  <c r="F276" i="34"/>
  <c r="G126" i="30"/>
  <c r="F277" i="34"/>
  <c r="G127" i="30"/>
  <c r="F278" i="34"/>
  <c r="F281" i="34"/>
  <c r="G130" i="30"/>
  <c r="G131" i="30"/>
  <c r="F282" i="34"/>
  <c r="F283" i="34"/>
  <c r="G132" i="30"/>
  <c r="G133" i="30"/>
  <c r="F284" i="34"/>
  <c r="F285" i="34"/>
  <c r="G134" i="30"/>
  <c r="G263" i="21" s="1"/>
  <c r="F267" i="34"/>
  <c r="F270" i="34"/>
  <c r="F18" i="57" l="1"/>
  <c r="F24" i="12" l="1"/>
  <c r="F25" i="12" s="1"/>
  <c r="F26" i="12" s="1"/>
  <c r="M19" i="12"/>
  <c r="L19" i="12"/>
  <c r="F27" i="12"/>
  <c r="K19" i="12"/>
  <c r="K37" i="26" l="1"/>
  <c r="O18" i="12" l="1"/>
  <c r="O19" i="12" s="1"/>
  <c r="G62" i="17" l="1"/>
  <c r="K50" i="26" l="1"/>
  <c r="J50" i="26"/>
  <c r="I50" i="26"/>
  <c r="H50" i="26"/>
  <c r="G50" i="26"/>
  <c r="K51" i="26" l="1"/>
  <c r="K30" i="108"/>
  <c r="J51" i="26"/>
  <c r="J30" i="108"/>
  <c r="I51" i="26"/>
  <c r="I30" i="108"/>
  <c r="H51" i="26"/>
  <c r="H30" i="108"/>
  <c r="G51" i="26"/>
  <c r="G30" i="108"/>
  <c r="H19" i="12"/>
  <c r="I19" i="12"/>
  <c r="J19" i="12"/>
  <c r="J21" i="12" s="1"/>
  <c r="F96" i="59" s="1"/>
  <c r="F39" i="57" s="1"/>
  <c r="N19" i="12"/>
  <c r="F96" i="49" l="1"/>
  <c r="M37" i="26"/>
  <c r="M21" i="12"/>
  <c r="F28" i="12"/>
  <c r="L21" i="12" s="1"/>
  <c r="F21" i="58" s="1"/>
  <c r="K21" i="12"/>
  <c r="F97" i="59" s="1"/>
  <c r="F40" i="57" s="1"/>
  <c r="O21" i="12"/>
  <c r="N21" i="12"/>
  <c r="I21" i="12"/>
  <c r="F95" i="59" s="1"/>
  <c r="F38" i="57" s="1"/>
  <c r="H254" i="47"/>
  <c r="I254" i="47"/>
  <c r="J254" i="47"/>
  <c r="K254" i="47"/>
  <c r="L254" i="47"/>
  <c r="M254" i="47"/>
  <c r="N254" i="47"/>
  <c r="H256" i="47"/>
  <c r="I256" i="47"/>
  <c r="J256" i="47"/>
  <c r="K256" i="47"/>
  <c r="L256" i="47"/>
  <c r="M256" i="47"/>
  <c r="N256" i="47"/>
  <c r="G256" i="47"/>
  <c r="G254" i="47"/>
  <c r="H189" i="47"/>
  <c r="I189" i="47"/>
  <c r="J189" i="47"/>
  <c r="K189" i="47"/>
  <c r="L189" i="47"/>
  <c r="M189" i="47"/>
  <c r="N189" i="47"/>
  <c r="H191" i="47"/>
  <c r="I191" i="47"/>
  <c r="J191" i="47"/>
  <c r="K191" i="47"/>
  <c r="L191" i="47"/>
  <c r="M191" i="47"/>
  <c r="N191" i="47"/>
  <c r="G191" i="47"/>
  <c r="G189" i="47"/>
  <c r="H124" i="47"/>
  <c r="I124" i="47"/>
  <c r="J124" i="47"/>
  <c r="K124" i="47"/>
  <c r="L124" i="47"/>
  <c r="M124" i="47"/>
  <c r="N124" i="47"/>
  <c r="H126" i="47"/>
  <c r="I126" i="47"/>
  <c r="J126" i="47"/>
  <c r="K126" i="47"/>
  <c r="L126" i="47"/>
  <c r="M126" i="47"/>
  <c r="N126" i="47"/>
  <c r="G126" i="47"/>
  <c r="G124" i="47"/>
  <c r="H65" i="47"/>
  <c r="I65" i="47"/>
  <c r="J65" i="47"/>
  <c r="K65" i="47"/>
  <c r="L65" i="47"/>
  <c r="M65" i="47"/>
  <c r="N65" i="47"/>
  <c r="G65" i="47"/>
  <c r="H63" i="47"/>
  <c r="I63" i="47"/>
  <c r="J63" i="47"/>
  <c r="J67" i="47" s="1"/>
  <c r="K63" i="47"/>
  <c r="L63" i="47"/>
  <c r="M63" i="47"/>
  <c r="N63" i="47"/>
  <c r="G63" i="47"/>
  <c r="H350" i="17"/>
  <c r="I350" i="17"/>
  <c r="J350" i="17"/>
  <c r="K350" i="17"/>
  <c r="L350" i="17"/>
  <c r="M350" i="17"/>
  <c r="N350" i="17"/>
  <c r="G350" i="17"/>
  <c r="H254" i="17"/>
  <c r="I254" i="17"/>
  <c r="J254" i="17"/>
  <c r="K254" i="17"/>
  <c r="L254" i="17"/>
  <c r="M254" i="17"/>
  <c r="N254" i="17"/>
  <c r="G254" i="17"/>
  <c r="H158" i="17"/>
  <c r="I158" i="17"/>
  <c r="J158" i="17"/>
  <c r="K158" i="17"/>
  <c r="L158" i="17"/>
  <c r="M158" i="17"/>
  <c r="N158" i="17"/>
  <c r="G158" i="17"/>
  <c r="H62" i="17"/>
  <c r="I62" i="17"/>
  <c r="J62" i="17"/>
  <c r="K62" i="17"/>
  <c r="L62" i="17"/>
  <c r="M62" i="17"/>
  <c r="N62" i="17"/>
  <c r="F12" i="47"/>
  <c r="F11" i="47"/>
  <c r="F43" i="37" l="1"/>
  <c r="F43" i="57"/>
  <c r="F42" i="37"/>
  <c r="F42" i="57"/>
  <c r="F97" i="49"/>
  <c r="N37" i="26"/>
  <c r="F95" i="49"/>
  <c r="L37" i="26"/>
  <c r="G19" i="12"/>
  <c r="F60" i="40"/>
  <c r="F234" i="40"/>
  <c r="F176" i="40"/>
  <c r="F118" i="40"/>
  <c r="F38" i="37" l="1"/>
  <c r="F14" i="38"/>
  <c r="F18" i="37"/>
  <c r="N151" i="43" l="1"/>
  <c r="M151" i="43"/>
  <c r="L151" i="43"/>
  <c r="K151" i="43"/>
  <c r="J151" i="43"/>
  <c r="I151" i="43"/>
  <c r="H151" i="43"/>
  <c r="G151" i="43"/>
  <c r="N150" i="43"/>
  <c r="M150" i="43"/>
  <c r="L150" i="43"/>
  <c r="K150" i="43"/>
  <c r="J150" i="43"/>
  <c r="I150" i="43"/>
  <c r="H150" i="43"/>
  <c r="G150" i="43"/>
  <c r="N149" i="43"/>
  <c r="M149" i="43"/>
  <c r="L149" i="43"/>
  <c r="K149" i="43"/>
  <c r="J149" i="43"/>
  <c r="I149" i="43"/>
  <c r="H149" i="43"/>
  <c r="G149" i="43"/>
  <c r="N148" i="43"/>
  <c r="M148" i="43"/>
  <c r="L148" i="43"/>
  <c r="K148" i="43"/>
  <c r="J148" i="43"/>
  <c r="I148" i="43"/>
  <c r="H148" i="43"/>
  <c r="G148" i="43"/>
  <c r="N147" i="43"/>
  <c r="M147" i="43"/>
  <c r="L147" i="43"/>
  <c r="K147" i="43"/>
  <c r="J147" i="43"/>
  <c r="I147" i="43"/>
  <c r="H147" i="43"/>
  <c r="G147" i="43"/>
  <c r="N115" i="43"/>
  <c r="M115" i="43"/>
  <c r="L115" i="43"/>
  <c r="K115" i="43"/>
  <c r="J115" i="43"/>
  <c r="I115" i="43"/>
  <c r="H115" i="43"/>
  <c r="G115" i="43"/>
  <c r="N114" i="43"/>
  <c r="M114" i="43"/>
  <c r="L114" i="43"/>
  <c r="K114" i="43"/>
  <c r="J114" i="43"/>
  <c r="I114" i="43"/>
  <c r="H114" i="43"/>
  <c r="G114" i="43"/>
  <c r="N113" i="43"/>
  <c r="M113" i="43"/>
  <c r="L113" i="43"/>
  <c r="K113" i="43"/>
  <c r="J113" i="43"/>
  <c r="I113" i="43"/>
  <c r="H113" i="43"/>
  <c r="G113" i="43"/>
  <c r="N112" i="43"/>
  <c r="M112" i="43"/>
  <c r="L112" i="43"/>
  <c r="K112" i="43"/>
  <c r="J112" i="43"/>
  <c r="I112" i="43"/>
  <c r="H112" i="43"/>
  <c r="G112" i="43"/>
  <c r="N111" i="43"/>
  <c r="M111" i="43"/>
  <c r="L111" i="43"/>
  <c r="K111" i="43"/>
  <c r="J111" i="43"/>
  <c r="I111" i="43"/>
  <c r="H111" i="43"/>
  <c r="G111" i="43"/>
  <c r="N79" i="43"/>
  <c r="M79" i="43"/>
  <c r="L79" i="43"/>
  <c r="K79" i="43"/>
  <c r="J79" i="43"/>
  <c r="I79" i="43"/>
  <c r="H79" i="43"/>
  <c r="G79" i="43"/>
  <c r="N78" i="43"/>
  <c r="M78" i="43"/>
  <c r="L78" i="43"/>
  <c r="K78" i="43"/>
  <c r="J78" i="43"/>
  <c r="I78" i="43"/>
  <c r="H78" i="43"/>
  <c r="G78" i="43"/>
  <c r="N77" i="43"/>
  <c r="M77" i="43"/>
  <c r="L77" i="43"/>
  <c r="K77" i="43"/>
  <c r="J77" i="43"/>
  <c r="I77" i="43"/>
  <c r="H77" i="43"/>
  <c r="G77" i="43"/>
  <c r="N76" i="43"/>
  <c r="M76" i="43"/>
  <c r="L76" i="43"/>
  <c r="K76" i="43"/>
  <c r="J76" i="43"/>
  <c r="I76" i="43"/>
  <c r="H76" i="43"/>
  <c r="G76" i="43"/>
  <c r="N75" i="43"/>
  <c r="M75" i="43"/>
  <c r="L75" i="43"/>
  <c r="K75" i="43"/>
  <c r="J75" i="43"/>
  <c r="I75" i="43"/>
  <c r="H75" i="43"/>
  <c r="G75" i="43"/>
  <c r="N43" i="43"/>
  <c r="M43" i="43"/>
  <c r="L43" i="43"/>
  <c r="K43" i="43"/>
  <c r="J43" i="43"/>
  <c r="I43" i="43"/>
  <c r="H43" i="43"/>
  <c r="G43" i="43"/>
  <c r="N42" i="43"/>
  <c r="M42" i="43"/>
  <c r="L42" i="43"/>
  <c r="K42" i="43"/>
  <c r="J42" i="43"/>
  <c r="I42" i="43"/>
  <c r="H42" i="43"/>
  <c r="G42" i="43"/>
  <c r="N41" i="43"/>
  <c r="M41" i="43"/>
  <c r="L41" i="43"/>
  <c r="K41" i="43"/>
  <c r="J41" i="43"/>
  <c r="I41" i="43"/>
  <c r="H41" i="43"/>
  <c r="G41" i="43"/>
  <c r="N40" i="43"/>
  <c r="M40" i="43"/>
  <c r="L40" i="43"/>
  <c r="K40" i="43"/>
  <c r="J40" i="43"/>
  <c r="I40" i="43"/>
  <c r="H40" i="43"/>
  <c r="G40" i="43"/>
  <c r="N39" i="43"/>
  <c r="M39" i="43"/>
  <c r="L39" i="43"/>
  <c r="K39" i="43"/>
  <c r="J39" i="43"/>
  <c r="I39" i="43"/>
  <c r="H39" i="43"/>
  <c r="G39" i="43"/>
  <c r="H317" i="21" l="1"/>
  <c r="I317" i="21"/>
  <c r="J317" i="21"/>
  <c r="K317" i="21"/>
  <c r="L317" i="21"/>
  <c r="M317" i="21"/>
  <c r="N317" i="21"/>
  <c r="H318" i="21"/>
  <c r="I318" i="21"/>
  <c r="J318" i="21"/>
  <c r="K318" i="21"/>
  <c r="L318" i="21"/>
  <c r="M318" i="21"/>
  <c r="N318" i="21"/>
  <c r="H319" i="21"/>
  <c r="I319" i="21"/>
  <c r="J319" i="21"/>
  <c r="K319" i="21"/>
  <c r="L319" i="21"/>
  <c r="M319" i="21"/>
  <c r="N319" i="21"/>
  <c r="H305" i="21"/>
  <c r="I305" i="21"/>
  <c r="J305" i="21"/>
  <c r="K305" i="21"/>
  <c r="L305" i="21"/>
  <c r="M305" i="21"/>
  <c r="N305" i="21"/>
  <c r="H306" i="21"/>
  <c r="I306" i="21"/>
  <c r="J306" i="21"/>
  <c r="K306" i="21"/>
  <c r="L306" i="21"/>
  <c r="M306" i="21"/>
  <c r="N306" i="21"/>
  <c r="H307" i="21"/>
  <c r="I307" i="21"/>
  <c r="J307" i="21"/>
  <c r="K307" i="21"/>
  <c r="L307" i="21"/>
  <c r="M307" i="21"/>
  <c r="N307" i="21"/>
  <c r="H308" i="21"/>
  <c r="I308" i="21"/>
  <c r="J308" i="21"/>
  <c r="K308" i="21"/>
  <c r="L308" i="21"/>
  <c r="M308" i="21"/>
  <c r="N308" i="21"/>
  <c r="H309" i="21"/>
  <c r="I309" i="21"/>
  <c r="J309" i="21"/>
  <c r="K309" i="21"/>
  <c r="L309" i="21"/>
  <c r="M309" i="21"/>
  <c r="N309" i="21"/>
  <c r="H310" i="21"/>
  <c r="I310" i="21"/>
  <c r="J310" i="21"/>
  <c r="K310" i="21"/>
  <c r="L310" i="21"/>
  <c r="M310" i="21"/>
  <c r="N310" i="21"/>
  <c r="H311" i="21"/>
  <c r="I311" i="21"/>
  <c r="J311" i="21"/>
  <c r="K311" i="21"/>
  <c r="L311" i="21"/>
  <c r="M311" i="21"/>
  <c r="N311" i="21"/>
  <c r="H312" i="21"/>
  <c r="I312" i="21"/>
  <c r="J312" i="21"/>
  <c r="K312" i="21"/>
  <c r="L312" i="21"/>
  <c r="M312" i="21"/>
  <c r="N312" i="21"/>
  <c r="H313" i="21"/>
  <c r="I313" i="21"/>
  <c r="J313" i="21"/>
  <c r="K313" i="21"/>
  <c r="L313" i="21"/>
  <c r="M313" i="21"/>
  <c r="N313" i="21"/>
  <c r="F283" i="21"/>
  <c r="F284" i="21"/>
  <c r="F285" i="21"/>
  <c r="F286" i="21"/>
  <c r="F287" i="21"/>
  <c r="F288" i="21"/>
  <c r="F289" i="21"/>
  <c r="F290" i="21"/>
  <c r="F291" i="21"/>
  <c r="F292" i="21"/>
  <c r="F293" i="21"/>
  <c r="F294" i="21"/>
  <c r="F295" i="21"/>
  <c r="F296" i="21"/>
  <c r="G319" i="21"/>
  <c r="G318" i="21"/>
  <c r="G317" i="21"/>
  <c r="G311" i="21"/>
  <c r="G312" i="21"/>
  <c r="G313" i="21"/>
  <c r="G310" i="21"/>
  <c r="G306" i="21"/>
  <c r="G307" i="21"/>
  <c r="G308" i="21"/>
  <c r="G309" i="21"/>
  <c r="G305" i="21"/>
  <c r="G301" i="21"/>
  <c r="H301" i="21"/>
  <c r="I301" i="21"/>
  <c r="J301" i="21"/>
  <c r="K301" i="21"/>
  <c r="L301" i="21"/>
  <c r="M301" i="21"/>
  <c r="N301" i="21"/>
  <c r="H300" i="21"/>
  <c r="I300" i="21"/>
  <c r="J300" i="21"/>
  <c r="K300" i="21"/>
  <c r="L300" i="21"/>
  <c r="M300" i="21"/>
  <c r="N300" i="21"/>
  <c r="G300" i="21"/>
  <c r="N314" i="21" l="1"/>
  <c r="N302" i="21"/>
  <c r="L302" i="21"/>
  <c r="J302" i="21"/>
  <c r="H302" i="21"/>
  <c r="F309" i="21"/>
  <c r="F307" i="21"/>
  <c r="F310" i="21"/>
  <c r="F312" i="21"/>
  <c r="F317" i="21"/>
  <c r="F319" i="21"/>
  <c r="J314" i="21"/>
  <c r="K320" i="21"/>
  <c r="L314" i="21"/>
  <c r="H314" i="21"/>
  <c r="M320" i="21"/>
  <c r="I320" i="21"/>
  <c r="M314" i="21"/>
  <c r="K314" i="21"/>
  <c r="I314" i="21"/>
  <c r="N320" i="21"/>
  <c r="L320" i="21"/>
  <c r="J320" i="21"/>
  <c r="H320" i="21"/>
  <c r="F301" i="21"/>
  <c r="F300" i="21"/>
  <c r="M302" i="21"/>
  <c r="K302" i="21"/>
  <c r="I302" i="21"/>
  <c r="F305" i="21"/>
  <c r="F308" i="21"/>
  <c r="F306" i="21"/>
  <c r="F313" i="21"/>
  <c r="F311" i="21"/>
  <c r="F318" i="21"/>
  <c r="G302" i="21"/>
  <c r="G314" i="21"/>
  <c r="G320" i="21"/>
  <c r="H297" i="21"/>
  <c r="I297" i="21"/>
  <c r="J297" i="21"/>
  <c r="K297" i="21"/>
  <c r="L297" i="21"/>
  <c r="M297" i="21"/>
  <c r="N297" i="21"/>
  <c r="G297" i="21"/>
  <c r="N134" i="21"/>
  <c r="M134" i="21"/>
  <c r="L134" i="21"/>
  <c r="K134" i="21"/>
  <c r="J134" i="21"/>
  <c r="I134" i="21"/>
  <c r="H134" i="21"/>
  <c r="G134" i="21"/>
  <c r="N133" i="21"/>
  <c r="M133" i="21"/>
  <c r="L133" i="21"/>
  <c r="K133" i="21"/>
  <c r="J133" i="21"/>
  <c r="I133" i="21"/>
  <c r="H133" i="21"/>
  <c r="G133" i="21"/>
  <c r="N132" i="21"/>
  <c r="M132" i="21"/>
  <c r="L132" i="21"/>
  <c r="K132" i="21"/>
  <c r="J132" i="21"/>
  <c r="I132" i="21"/>
  <c r="H132" i="21"/>
  <c r="G132" i="21"/>
  <c r="N131" i="21"/>
  <c r="M131" i="21"/>
  <c r="L131" i="21"/>
  <c r="K131" i="21"/>
  <c r="J131" i="21"/>
  <c r="I131" i="21"/>
  <c r="H131" i="21"/>
  <c r="G131" i="21"/>
  <c r="N130" i="21"/>
  <c r="M130" i="21"/>
  <c r="L130" i="21"/>
  <c r="K130" i="21"/>
  <c r="J130" i="21"/>
  <c r="I130" i="21"/>
  <c r="H130" i="21"/>
  <c r="G130" i="21"/>
  <c r="N127" i="21"/>
  <c r="M127" i="21"/>
  <c r="L127" i="21"/>
  <c r="K127" i="21"/>
  <c r="J127" i="21"/>
  <c r="I127" i="21"/>
  <c r="H127" i="21"/>
  <c r="G127" i="21"/>
  <c r="N126" i="21"/>
  <c r="M126" i="21"/>
  <c r="L126" i="21"/>
  <c r="K126" i="21"/>
  <c r="J126" i="21"/>
  <c r="I126" i="21"/>
  <c r="H126" i="21"/>
  <c r="G126" i="21"/>
  <c r="N125" i="21"/>
  <c r="M125" i="21"/>
  <c r="L125" i="21"/>
  <c r="K125" i="21"/>
  <c r="J125" i="21"/>
  <c r="I125" i="21"/>
  <c r="H125" i="21"/>
  <c r="G125" i="21"/>
  <c r="N124" i="21"/>
  <c r="M124" i="21"/>
  <c r="L124" i="21"/>
  <c r="K124" i="21"/>
  <c r="J124" i="21"/>
  <c r="I124" i="21"/>
  <c r="H124" i="21"/>
  <c r="G124" i="21"/>
  <c r="N123" i="21"/>
  <c r="M123" i="21"/>
  <c r="L123" i="21"/>
  <c r="K123" i="21"/>
  <c r="J123" i="21"/>
  <c r="I123" i="21"/>
  <c r="H123" i="21"/>
  <c r="G123" i="21"/>
  <c r="N119" i="21"/>
  <c r="M119" i="21"/>
  <c r="L119" i="21"/>
  <c r="K119" i="21"/>
  <c r="J119" i="21"/>
  <c r="I119" i="21"/>
  <c r="H119" i="21"/>
  <c r="G119" i="21"/>
  <c r="H112" i="21"/>
  <c r="I112" i="21"/>
  <c r="J112" i="21"/>
  <c r="K112" i="21"/>
  <c r="L112" i="21"/>
  <c r="M112" i="21"/>
  <c r="N112" i="21"/>
  <c r="H113" i="21"/>
  <c r="I113" i="21"/>
  <c r="J113" i="21"/>
  <c r="K113" i="21"/>
  <c r="L113" i="21"/>
  <c r="M113" i="21"/>
  <c r="N113" i="21"/>
  <c r="H114" i="21"/>
  <c r="I114" i="21"/>
  <c r="J114" i="21"/>
  <c r="K114" i="21"/>
  <c r="L114" i="21"/>
  <c r="M114" i="21"/>
  <c r="N114" i="21"/>
  <c r="H115" i="21"/>
  <c r="I115" i="21"/>
  <c r="J115" i="21"/>
  <c r="K115" i="21"/>
  <c r="L115" i="21"/>
  <c r="M115" i="21"/>
  <c r="N115" i="21"/>
  <c r="H116" i="21"/>
  <c r="I116" i="21"/>
  <c r="J116" i="21"/>
  <c r="K116" i="21"/>
  <c r="L116" i="21"/>
  <c r="M116" i="21"/>
  <c r="N116" i="21"/>
  <c r="H117" i="21"/>
  <c r="I117" i="21"/>
  <c r="J117" i="21"/>
  <c r="K117" i="21"/>
  <c r="L117" i="21"/>
  <c r="M117" i="21"/>
  <c r="N117" i="21"/>
  <c r="G113" i="21"/>
  <c r="G114" i="21"/>
  <c r="G115" i="21"/>
  <c r="G116" i="21"/>
  <c r="G117" i="21"/>
  <c r="G112" i="21"/>
  <c r="N104" i="21"/>
  <c r="M104" i="21"/>
  <c r="L104" i="21"/>
  <c r="K104" i="21"/>
  <c r="J104" i="21"/>
  <c r="I104" i="21"/>
  <c r="H104" i="21"/>
  <c r="G104" i="21"/>
  <c r="N103" i="21"/>
  <c r="M103" i="21"/>
  <c r="L103" i="21"/>
  <c r="K103" i="21"/>
  <c r="J103" i="21"/>
  <c r="I103" i="21"/>
  <c r="H103" i="21"/>
  <c r="G103" i="21"/>
  <c r="N84" i="21"/>
  <c r="N426" i="21" s="1"/>
  <c r="N83" i="56" s="1"/>
  <c r="M84" i="21"/>
  <c r="M426" i="21" s="1"/>
  <c r="M83" i="56" s="1"/>
  <c r="L84" i="21"/>
  <c r="L426" i="21" s="1"/>
  <c r="L83" i="56" s="1"/>
  <c r="K84" i="21"/>
  <c r="K426" i="21" s="1"/>
  <c r="K83" i="56" s="1"/>
  <c r="J84" i="21"/>
  <c r="J426" i="21" s="1"/>
  <c r="J83" i="56" s="1"/>
  <c r="I84" i="21"/>
  <c r="I426" i="21" s="1"/>
  <c r="I83" i="56" s="1"/>
  <c r="H84" i="21"/>
  <c r="H426" i="21" s="1"/>
  <c r="H83" i="56" s="1"/>
  <c r="G84" i="21"/>
  <c r="G426" i="21" s="1"/>
  <c r="G83" i="56" s="1"/>
  <c r="N83" i="21"/>
  <c r="N425" i="21" s="1"/>
  <c r="N82" i="56" s="1"/>
  <c r="M83" i="21"/>
  <c r="M425" i="21" s="1"/>
  <c r="M82" i="56" s="1"/>
  <c r="L83" i="21"/>
  <c r="L425" i="21" s="1"/>
  <c r="L82" i="56" s="1"/>
  <c r="K83" i="21"/>
  <c r="K425" i="21" s="1"/>
  <c r="K82" i="56" s="1"/>
  <c r="J83" i="21"/>
  <c r="J425" i="21" s="1"/>
  <c r="J82" i="56" s="1"/>
  <c r="I83" i="21"/>
  <c r="I425" i="21" s="1"/>
  <c r="I82" i="56" s="1"/>
  <c r="H83" i="21"/>
  <c r="H425" i="21" s="1"/>
  <c r="H82" i="56" s="1"/>
  <c r="G83" i="21"/>
  <c r="G425" i="21" s="1"/>
  <c r="G82" i="56" s="1"/>
  <c r="N92" i="21"/>
  <c r="M92" i="21"/>
  <c r="L92" i="21"/>
  <c r="K92" i="21"/>
  <c r="J92" i="21"/>
  <c r="I92" i="21"/>
  <c r="H92" i="21"/>
  <c r="G92" i="21"/>
  <c r="N91" i="21"/>
  <c r="M91" i="21"/>
  <c r="L91" i="21"/>
  <c r="K91" i="21"/>
  <c r="J91" i="21"/>
  <c r="I91" i="21"/>
  <c r="H91" i="21"/>
  <c r="G91" i="21"/>
  <c r="N90" i="21"/>
  <c r="M90" i="21"/>
  <c r="L90" i="21"/>
  <c r="K90" i="21"/>
  <c r="J90" i="21"/>
  <c r="I90" i="21"/>
  <c r="H90" i="21"/>
  <c r="G90" i="21"/>
  <c r="N89" i="21"/>
  <c r="M89" i="21"/>
  <c r="L89" i="21"/>
  <c r="K89" i="21"/>
  <c r="J89" i="21"/>
  <c r="I89" i="21"/>
  <c r="H89" i="21"/>
  <c r="G89" i="21"/>
  <c r="N88" i="21"/>
  <c r="M88" i="21"/>
  <c r="L88" i="21"/>
  <c r="K88" i="21"/>
  <c r="J88" i="21"/>
  <c r="I88" i="21"/>
  <c r="H88" i="21"/>
  <c r="G88" i="21"/>
  <c r="N87" i="21"/>
  <c r="M87" i="21"/>
  <c r="L87" i="21"/>
  <c r="K87" i="21"/>
  <c r="J87" i="21"/>
  <c r="I87" i="21"/>
  <c r="H87" i="21"/>
  <c r="G87" i="21"/>
  <c r="N80" i="21"/>
  <c r="M80" i="21"/>
  <c r="L80" i="21"/>
  <c r="K80" i="21"/>
  <c r="J80" i="21"/>
  <c r="I80" i="21"/>
  <c r="H80" i="21"/>
  <c r="G80" i="21"/>
  <c r="N79" i="21"/>
  <c r="M79" i="21"/>
  <c r="L79" i="21"/>
  <c r="K79" i="21"/>
  <c r="J79" i="21"/>
  <c r="I79" i="21"/>
  <c r="H79" i="21"/>
  <c r="G79" i="21"/>
  <c r="N78" i="21"/>
  <c r="M78" i="21"/>
  <c r="L78" i="21"/>
  <c r="K78" i="21"/>
  <c r="J78" i="21"/>
  <c r="I78" i="21"/>
  <c r="H78" i="21"/>
  <c r="G78" i="21"/>
  <c r="N77" i="21"/>
  <c r="M77" i="21"/>
  <c r="L77" i="21"/>
  <c r="K77" i="21"/>
  <c r="J77" i="21"/>
  <c r="I77" i="21"/>
  <c r="H77" i="21"/>
  <c r="G77" i="21"/>
  <c r="N67" i="21"/>
  <c r="M67" i="21"/>
  <c r="L67" i="21"/>
  <c r="K67" i="21"/>
  <c r="J67" i="21"/>
  <c r="I67" i="21"/>
  <c r="H67" i="21"/>
  <c r="G67" i="21"/>
  <c r="N66" i="21"/>
  <c r="M66" i="21"/>
  <c r="L66" i="21"/>
  <c r="K66" i="21"/>
  <c r="J66" i="21"/>
  <c r="I66" i="21"/>
  <c r="H66" i="21"/>
  <c r="G66" i="21"/>
  <c r="N65" i="21"/>
  <c r="M65" i="21"/>
  <c r="L65" i="21"/>
  <c r="K65" i="21"/>
  <c r="J65" i="21"/>
  <c r="I65" i="21"/>
  <c r="H65" i="21"/>
  <c r="G65" i="21"/>
  <c r="N64" i="21"/>
  <c r="N406" i="21" s="1"/>
  <c r="N63" i="56" s="1"/>
  <c r="M64" i="21"/>
  <c r="M406" i="21" s="1"/>
  <c r="M63" i="56" s="1"/>
  <c r="L64" i="21"/>
  <c r="L406" i="21" s="1"/>
  <c r="L63" i="56" s="1"/>
  <c r="K64" i="21"/>
  <c r="K406" i="21" s="1"/>
  <c r="K63" i="56" s="1"/>
  <c r="J64" i="21"/>
  <c r="J406" i="21" s="1"/>
  <c r="J63" i="56" s="1"/>
  <c r="I64" i="21"/>
  <c r="I406" i="21" s="1"/>
  <c r="I63" i="56" s="1"/>
  <c r="H64" i="21"/>
  <c r="H406" i="21" s="1"/>
  <c r="H63" i="56" s="1"/>
  <c r="G64" i="21"/>
  <c r="G406" i="21" s="1"/>
  <c r="G63" i="56" s="1"/>
  <c r="N61" i="21"/>
  <c r="M61" i="21"/>
  <c r="L61" i="21"/>
  <c r="K61" i="21"/>
  <c r="J61" i="21"/>
  <c r="I61" i="21"/>
  <c r="H61" i="21"/>
  <c r="G61" i="21"/>
  <c r="N60" i="21"/>
  <c r="M60" i="21"/>
  <c r="L60" i="21"/>
  <c r="K60" i="21"/>
  <c r="J60" i="21"/>
  <c r="I60" i="21"/>
  <c r="H60" i="21"/>
  <c r="G60" i="21"/>
  <c r="N59" i="21"/>
  <c r="M59" i="21"/>
  <c r="L59" i="21"/>
  <c r="K59" i="21"/>
  <c r="J59" i="21"/>
  <c r="I59" i="21"/>
  <c r="H59" i="21"/>
  <c r="G59" i="21"/>
  <c r="N58" i="21"/>
  <c r="N400" i="21" s="1"/>
  <c r="N57" i="56" s="1"/>
  <c r="M58" i="21"/>
  <c r="M400" i="21" s="1"/>
  <c r="M57" i="56" s="1"/>
  <c r="L58" i="21"/>
  <c r="L400" i="21" s="1"/>
  <c r="L57" i="56" s="1"/>
  <c r="K58" i="21"/>
  <c r="K400" i="21" s="1"/>
  <c r="K57" i="56" s="1"/>
  <c r="J58" i="21"/>
  <c r="J400" i="21" s="1"/>
  <c r="J57" i="56" s="1"/>
  <c r="I58" i="21"/>
  <c r="I400" i="21" s="1"/>
  <c r="I57" i="56" s="1"/>
  <c r="H58" i="21"/>
  <c r="H400" i="21" s="1"/>
  <c r="H57" i="56" s="1"/>
  <c r="G58" i="21"/>
  <c r="G400" i="21" s="1"/>
  <c r="G57" i="56" s="1"/>
  <c r="N55" i="21"/>
  <c r="M55" i="21"/>
  <c r="L55" i="21"/>
  <c r="K55" i="21"/>
  <c r="J55" i="21"/>
  <c r="I55" i="21"/>
  <c r="H55" i="21"/>
  <c r="G55" i="21"/>
  <c r="N54" i="21"/>
  <c r="M54" i="21"/>
  <c r="L54" i="21"/>
  <c r="K54" i="21"/>
  <c r="J54" i="21"/>
  <c r="I54" i="21"/>
  <c r="H54" i="21"/>
  <c r="G54" i="21"/>
  <c r="N53" i="21"/>
  <c r="M53" i="21"/>
  <c r="L53" i="21"/>
  <c r="K53" i="21"/>
  <c r="J53" i="21"/>
  <c r="I53" i="21"/>
  <c r="H53" i="21"/>
  <c r="G53" i="21"/>
  <c r="N52" i="21"/>
  <c r="M52" i="21"/>
  <c r="L52" i="21"/>
  <c r="K52" i="21"/>
  <c r="J52" i="21"/>
  <c r="I52" i="21"/>
  <c r="H52" i="21"/>
  <c r="G52" i="21"/>
  <c r="N42" i="21"/>
  <c r="M42" i="21"/>
  <c r="L42" i="21"/>
  <c r="K42" i="21"/>
  <c r="J42" i="21"/>
  <c r="I42" i="21"/>
  <c r="H42" i="21"/>
  <c r="G42" i="21"/>
  <c r="N41" i="21"/>
  <c r="M41" i="21"/>
  <c r="L41" i="21"/>
  <c r="K41" i="21"/>
  <c r="J41" i="21"/>
  <c r="I41" i="21"/>
  <c r="H41" i="21"/>
  <c r="G41" i="21"/>
  <c r="N40" i="21"/>
  <c r="N382" i="21" s="1"/>
  <c r="N39" i="56" s="1"/>
  <c r="M40" i="21"/>
  <c r="M382" i="21" s="1"/>
  <c r="M39" i="56" s="1"/>
  <c r="L40" i="21"/>
  <c r="L382" i="21" s="1"/>
  <c r="L39" i="56" s="1"/>
  <c r="K40" i="21"/>
  <c r="K382" i="21" s="1"/>
  <c r="K39" i="56" s="1"/>
  <c r="J40" i="21"/>
  <c r="J382" i="21" s="1"/>
  <c r="J39" i="56" s="1"/>
  <c r="I40" i="21"/>
  <c r="I382" i="21" s="1"/>
  <c r="I39" i="56" s="1"/>
  <c r="H40" i="21"/>
  <c r="H382" i="21" s="1"/>
  <c r="H39" i="56" s="1"/>
  <c r="G40" i="21"/>
  <c r="G382" i="21" s="1"/>
  <c r="G39" i="56" s="1"/>
  <c r="N37" i="21"/>
  <c r="M37" i="21"/>
  <c r="L37" i="21"/>
  <c r="K37" i="21"/>
  <c r="J37" i="21"/>
  <c r="I37" i="21"/>
  <c r="H37" i="21"/>
  <c r="G37" i="21"/>
  <c r="N36" i="21"/>
  <c r="M36" i="21"/>
  <c r="L36" i="21"/>
  <c r="K36" i="21"/>
  <c r="J36" i="21"/>
  <c r="I36" i="21"/>
  <c r="H36" i="21"/>
  <c r="G36" i="21"/>
  <c r="N35" i="21"/>
  <c r="N377" i="21" s="1"/>
  <c r="N34" i="56" s="1"/>
  <c r="M35" i="21"/>
  <c r="M377" i="21" s="1"/>
  <c r="M34" i="56" s="1"/>
  <c r="L35" i="21"/>
  <c r="L377" i="21" s="1"/>
  <c r="L34" i="56" s="1"/>
  <c r="K35" i="21"/>
  <c r="K377" i="21" s="1"/>
  <c r="K34" i="56" s="1"/>
  <c r="J35" i="21"/>
  <c r="J377" i="21" s="1"/>
  <c r="J34" i="56" s="1"/>
  <c r="I35" i="21"/>
  <c r="I377" i="21" s="1"/>
  <c r="I34" i="56" s="1"/>
  <c r="H35" i="21"/>
  <c r="H377" i="21" s="1"/>
  <c r="H34" i="56" s="1"/>
  <c r="G35" i="21"/>
  <c r="G377" i="21" s="1"/>
  <c r="G34" i="56" s="1"/>
  <c r="N32" i="21"/>
  <c r="M32" i="21"/>
  <c r="L32" i="21"/>
  <c r="K32" i="21"/>
  <c r="J32" i="21"/>
  <c r="I32" i="21"/>
  <c r="H32" i="21"/>
  <c r="G32" i="21"/>
  <c r="N31" i="21"/>
  <c r="M31" i="21"/>
  <c r="L31" i="21"/>
  <c r="K31" i="21"/>
  <c r="J31" i="21"/>
  <c r="I31" i="21"/>
  <c r="H31" i="21"/>
  <c r="G31" i="21"/>
  <c r="N30" i="21"/>
  <c r="N372" i="21" s="1"/>
  <c r="N29" i="56" s="1"/>
  <c r="M30" i="21"/>
  <c r="M372" i="21" s="1"/>
  <c r="M29" i="56" s="1"/>
  <c r="L30" i="21"/>
  <c r="L372" i="21" s="1"/>
  <c r="L29" i="56" s="1"/>
  <c r="K30" i="21"/>
  <c r="K372" i="21" s="1"/>
  <c r="K29" i="56" s="1"/>
  <c r="J30" i="21"/>
  <c r="J372" i="21" s="1"/>
  <c r="J29" i="56" s="1"/>
  <c r="I30" i="21"/>
  <c r="I372" i="21" s="1"/>
  <c r="I29" i="56" s="1"/>
  <c r="H30" i="21"/>
  <c r="H372" i="21" s="1"/>
  <c r="H29" i="56" s="1"/>
  <c r="G30" i="21"/>
  <c r="G372" i="21" s="1"/>
  <c r="G29" i="56" s="1"/>
  <c r="N27" i="21"/>
  <c r="M27" i="21"/>
  <c r="L27" i="21"/>
  <c r="K27" i="21"/>
  <c r="J27" i="21"/>
  <c r="I27" i="21"/>
  <c r="H27" i="21"/>
  <c r="G27" i="21"/>
  <c r="N26" i="21"/>
  <c r="M26" i="21"/>
  <c r="L26" i="21"/>
  <c r="K26" i="21"/>
  <c r="J26" i="21"/>
  <c r="I26" i="21"/>
  <c r="H26" i="21"/>
  <c r="G26" i="21"/>
  <c r="N25" i="21"/>
  <c r="N367" i="21" s="1"/>
  <c r="N24" i="56" s="1"/>
  <c r="M25" i="21"/>
  <c r="M367" i="21" s="1"/>
  <c r="M24" i="56" s="1"/>
  <c r="L25" i="21"/>
  <c r="L367" i="21" s="1"/>
  <c r="L24" i="56" s="1"/>
  <c r="K25" i="21"/>
  <c r="K367" i="21" s="1"/>
  <c r="K24" i="56" s="1"/>
  <c r="J25" i="21"/>
  <c r="J367" i="21" s="1"/>
  <c r="J24" i="56" s="1"/>
  <c r="I25" i="21"/>
  <c r="I367" i="21" s="1"/>
  <c r="I24" i="56" s="1"/>
  <c r="H25" i="21"/>
  <c r="H367" i="21" s="1"/>
  <c r="H24" i="56" s="1"/>
  <c r="G25" i="21"/>
  <c r="G367" i="21" s="1"/>
  <c r="G24" i="56" s="1"/>
  <c r="N22" i="21"/>
  <c r="M22" i="21"/>
  <c r="L22" i="21"/>
  <c r="K22" i="21"/>
  <c r="J22" i="21"/>
  <c r="I22" i="21"/>
  <c r="H22" i="21"/>
  <c r="G22" i="21"/>
  <c r="N21" i="21"/>
  <c r="M21" i="21"/>
  <c r="L21" i="21"/>
  <c r="K21" i="21"/>
  <c r="J21" i="21"/>
  <c r="I21" i="21"/>
  <c r="H21" i="21"/>
  <c r="G21" i="21"/>
  <c r="N20" i="21"/>
  <c r="N362" i="21" s="1"/>
  <c r="N19" i="56" s="1"/>
  <c r="M20" i="21"/>
  <c r="M362" i="21" s="1"/>
  <c r="M19" i="56" s="1"/>
  <c r="L20" i="21"/>
  <c r="L362" i="21" s="1"/>
  <c r="L19" i="56" s="1"/>
  <c r="K20" i="21"/>
  <c r="K362" i="21" s="1"/>
  <c r="K19" i="56" s="1"/>
  <c r="J20" i="21"/>
  <c r="J362" i="21" s="1"/>
  <c r="J19" i="56" s="1"/>
  <c r="I20" i="21"/>
  <c r="I362" i="21" s="1"/>
  <c r="I19" i="56" s="1"/>
  <c r="H20" i="21"/>
  <c r="H362" i="21" s="1"/>
  <c r="H19" i="56" s="1"/>
  <c r="G20" i="21"/>
  <c r="G362" i="21" s="1"/>
  <c r="G19" i="56" s="1"/>
  <c r="H15" i="21"/>
  <c r="I15" i="21"/>
  <c r="J15" i="21"/>
  <c r="K15" i="21"/>
  <c r="L15" i="21"/>
  <c r="M15" i="21"/>
  <c r="N15" i="21"/>
  <c r="N357" i="21" s="1"/>
  <c r="N14" i="56" s="1"/>
  <c r="H16" i="21"/>
  <c r="I16" i="21"/>
  <c r="J16" i="21"/>
  <c r="K16" i="21"/>
  <c r="L16" i="21"/>
  <c r="M16" i="21"/>
  <c r="N16" i="21"/>
  <c r="H17" i="21"/>
  <c r="I17" i="21"/>
  <c r="J17" i="21"/>
  <c r="K17" i="21"/>
  <c r="L17" i="21"/>
  <c r="M17" i="21"/>
  <c r="N17" i="21"/>
  <c r="G16" i="21"/>
  <c r="G17" i="21"/>
  <c r="G15" i="21"/>
  <c r="G357" i="21" s="1"/>
  <c r="G14" i="56" s="1"/>
  <c r="F320" i="21" l="1"/>
  <c r="F314" i="21"/>
  <c r="M357" i="21"/>
  <c r="M14" i="56" s="1"/>
  <c r="K357" i="21"/>
  <c r="K14" i="56" s="1"/>
  <c r="I357" i="21"/>
  <c r="I14" i="56" s="1"/>
  <c r="L357" i="21"/>
  <c r="L14" i="56" s="1"/>
  <c r="J357" i="21"/>
  <c r="J14" i="56" s="1"/>
  <c r="H357" i="21"/>
  <c r="H14" i="56" s="1"/>
  <c r="H394" i="21"/>
  <c r="H51" i="56" s="1"/>
  <c r="J394" i="21"/>
  <c r="J51" i="56" s="1"/>
  <c r="L394" i="21"/>
  <c r="L51" i="56" s="1"/>
  <c r="N394" i="21"/>
  <c r="N51" i="56" s="1"/>
  <c r="H419" i="21"/>
  <c r="H76" i="56" s="1"/>
  <c r="J419" i="21"/>
  <c r="J76" i="56" s="1"/>
  <c r="L419" i="21"/>
  <c r="L76" i="56" s="1"/>
  <c r="N419" i="21"/>
  <c r="N76" i="56" s="1"/>
  <c r="G394" i="21"/>
  <c r="G51" i="56" s="1"/>
  <c r="I394" i="21"/>
  <c r="I51" i="56" s="1"/>
  <c r="K394" i="21"/>
  <c r="K51" i="56" s="1"/>
  <c r="M394" i="21"/>
  <c r="M51" i="56" s="1"/>
  <c r="G419" i="21"/>
  <c r="G76" i="56" s="1"/>
  <c r="I419" i="21"/>
  <c r="I76" i="56" s="1"/>
  <c r="K419" i="21"/>
  <c r="K76" i="56" s="1"/>
  <c r="M419" i="21"/>
  <c r="M76" i="56" s="1"/>
  <c r="F302" i="21"/>
  <c r="F297" i="21"/>
  <c r="F39" i="37"/>
  <c r="F40" i="37"/>
  <c r="H137" i="48" l="1"/>
  <c r="I137" i="48"/>
  <c r="J137" i="48"/>
  <c r="K137" i="48"/>
  <c r="L137" i="48"/>
  <c r="M137" i="48"/>
  <c r="N137" i="48"/>
  <c r="H138" i="48"/>
  <c r="I138" i="48"/>
  <c r="J138" i="48"/>
  <c r="K138" i="48"/>
  <c r="L138" i="48"/>
  <c r="M138" i="48"/>
  <c r="N138" i="48"/>
  <c r="H139" i="48"/>
  <c r="I139" i="48"/>
  <c r="J139" i="48"/>
  <c r="K139" i="48"/>
  <c r="L139" i="48"/>
  <c r="M139" i="48"/>
  <c r="N139" i="48"/>
  <c r="H140" i="48"/>
  <c r="I140" i="48"/>
  <c r="J140" i="48"/>
  <c r="K140" i="48"/>
  <c r="L140" i="48"/>
  <c r="M140" i="48"/>
  <c r="N140" i="48"/>
  <c r="H141" i="48"/>
  <c r="I141" i="48"/>
  <c r="J141" i="48"/>
  <c r="K141" i="48"/>
  <c r="L141" i="48"/>
  <c r="M141" i="48"/>
  <c r="N141" i="48"/>
  <c r="H144" i="48"/>
  <c r="I144" i="48"/>
  <c r="J144" i="48"/>
  <c r="K144" i="48"/>
  <c r="L144" i="48"/>
  <c r="M144" i="48"/>
  <c r="N144" i="48"/>
  <c r="H145" i="48"/>
  <c r="I145" i="48"/>
  <c r="J145" i="48"/>
  <c r="K145" i="48"/>
  <c r="L145" i="48"/>
  <c r="M145" i="48"/>
  <c r="N145" i="48"/>
  <c r="H146" i="48"/>
  <c r="I146" i="48"/>
  <c r="J146" i="48"/>
  <c r="K146" i="48"/>
  <c r="L146" i="48"/>
  <c r="M146" i="48"/>
  <c r="N146" i="48"/>
  <c r="H147" i="48"/>
  <c r="I147" i="48"/>
  <c r="J147" i="48"/>
  <c r="K147" i="48"/>
  <c r="L147" i="48"/>
  <c r="M147" i="48"/>
  <c r="N147" i="48"/>
  <c r="H148" i="48"/>
  <c r="I148" i="48"/>
  <c r="J148" i="48"/>
  <c r="K148" i="48"/>
  <c r="L148" i="48"/>
  <c r="M148" i="48"/>
  <c r="N148" i="48"/>
  <c r="G138" i="48"/>
  <c r="G139" i="48"/>
  <c r="G140" i="48"/>
  <c r="G141" i="48"/>
  <c r="G144" i="48"/>
  <c r="G145" i="48"/>
  <c r="G146" i="48"/>
  <c r="G147" i="48"/>
  <c r="G148" i="48"/>
  <c r="G137" i="48"/>
  <c r="H120" i="48"/>
  <c r="I120" i="48"/>
  <c r="J120" i="48"/>
  <c r="K120" i="48"/>
  <c r="L120" i="48"/>
  <c r="M120" i="48"/>
  <c r="N120" i="48"/>
  <c r="H121" i="48"/>
  <c r="I121" i="48"/>
  <c r="J121" i="48"/>
  <c r="K121" i="48"/>
  <c r="L121" i="48"/>
  <c r="M121" i="48"/>
  <c r="N121" i="48"/>
  <c r="H122" i="48"/>
  <c r="I122" i="48"/>
  <c r="J122" i="48"/>
  <c r="K122" i="48"/>
  <c r="L122" i="48"/>
  <c r="M122" i="48"/>
  <c r="N122" i="48"/>
  <c r="H123" i="48"/>
  <c r="I123" i="48"/>
  <c r="J123" i="48"/>
  <c r="K123" i="48"/>
  <c r="L123" i="48"/>
  <c r="M123" i="48"/>
  <c r="N123" i="48"/>
  <c r="H124" i="48"/>
  <c r="I124" i="48"/>
  <c r="J124" i="48"/>
  <c r="K124" i="48"/>
  <c r="L124" i="48"/>
  <c r="M124" i="48"/>
  <c r="N124" i="48"/>
  <c r="H127" i="48"/>
  <c r="I127" i="48"/>
  <c r="J127" i="48"/>
  <c r="K127" i="48"/>
  <c r="L127" i="48"/>
  <c r="M127" i="48"/>
  <c r="N127" i="48"/>
  <c r="H128" i="48"/>
  <c r="I128" i="48"/>
  <c r="J128" i="48"/>
  <c r="K128" i="48"/>
  <c r="L128" i="48"/>
  <c r="M128" i="48"/>
  <c r="N128" i="48"/>
  <c r="H129" i="48"/>
  <c r="I129" i="48"/>
  <c r="J129" i="48"/>
  <c r="K129" i="48"/>
  <c r="L129" i="48"/>
  <c r="M129" i="48"/>
  <c r="N129" i="48"/>
  <c r="H130" i="48"/>
  <c r="I130" i="48"/>
  <c r="J130" i="48"/>
  <c r="K130" i="48"/>
  <c r="L130" i="48"/>
  <c r="M130" i="48"/>
  <c r="N130" i="48"/>
  <c r="H131" i="48"/>
  <c r="I131" i="48"/>
  <c r="J131" i="48"/>
  <c r="K131" i="48"/>
  <c r="L131" i="48"/>
  <c r="M131" i="48"/>
  <c r="N131" i="48"/>
  <c r="G121" i="48"/>
  <c r="G122" i="48"/>
  <c r="G123" i="48"/>
  <c r="G124" i="48"/>
  <c r="G127" i="48"/>
  <c r="G128" i="48"/>
  <c r="G129" i="48"/>
  <c r="G130" i="48"/>
  <c r="G131" i="48"/>
  <c r="G120" i="48"/>
  <c r="H101" i="48"/>
  <c r="I101" i="48"/>
  <c r="J101" i="48"/>
  <c r="K101" i="48"/>
  <c r="L101" i="48"/>
  <c r="M101" i="48"/>
  <c r="N101" i="48"/>
  <c r="H102" i="48"/>
  <c r="I102" i="48"/>
  <c r="J102" i="48"/>
  <c r="K102" i="48"/>
  <c r="L102" i="48"/>
  <c r="M102" i="48"/>
  <c r="N102" i="48"/>
  <c r="H103" i="48"/>
  <c r="I103" i="48"/>
  <c r="J103" i="48"/>
  <c r="K103" i="48"/>
  <c r="L103" i="48"/>
  <c r="M103" i="48"/>
  <c r="N103" i="48"/>
  <c r="H104" i="48"/>
  <c r="I104" i="48"/>
  <c r="J104" i="48"/>
  <c r="K104" i="48"/>
  <c r="L104" i="48"/>
  <c r="M104" i="48"/>
  <c r="N104" i="48"/>
  <c r="H105" i="48"/>
  <c r="I105" i="48"/>
  <c r="J105" i="48"/>
  <c r="K105" i="48"/>
  <c r="L105" i="48"/>
  <c r="M105" i="48"/>
  <c r="N105" i="48"/>
  <c r="H108" i="48"/>
  <c r="I108" i="48"/>
  <c r="J108" i="48"/>
  <c r="K108" i="48"/>
  <c r="L108" i="48"/>
  <c r="M108" i="48"/>
  <c r="N108" i="48"/>
  <c r="H109" i="48"/>
  <c r="I109" i="48"/>
  <c r="J109" i="48"/>
  <c r="K109" i="48"/>
  <c r="L109" i="48"/>
  <c r="M109" i="48"/>
  <c r="N109" i="48"/>
  <c r="H110" i="48"/>
  <c r="I110" i="48"/>
  <c r="J110" i="48"/>
  <c r="K110" i="48"/>
  <c r="L110" i="48"/>
  <c r="M110" i="48"/>
  <c r="N110" i="48"/>
  <c r="H111" i="48"/>
  <c r="I111" i="48"/>
  <c r="J111" i="48"/>
  <c r="K111" i="48"/>
  <c r="L111" i="48"/>
  <c r="M111" i="48"/>
  <c r="N111" i="48"/>
  <c r="H112" i="48"/>
  <c r="I112" i="48"/>
  <c r="J112" i="48"/>
  <c r="K112" i="48"/>
  <c r="L112" i="48"/>
  <c r="M112" i="48"/>
  <c r="N112" i="48"/>
  <c r="G102" i="48"/>
  <c r="G103" i="48"/>
  <c r="G104" i="48"/>
  <c r="G105" i="48"/>
  <c r="G108" i="48"/>
  <c r="G109" i="48"/>
  <c r="G110" i="48"/>
  <c r="G111" i="48"/>
  <c r="G112" i="48"/>
  <c r="G101" i="48"/>
  <c r="H84" i="48"/>
  <c r="I84" i="48"/>
  <c r="J84" i="48"/>
  <c r="K84" i="48"/>
  <c r="L84" i="48"/>
  <c r="M84" i="48"/>
  <c r="N84" i="48"/>
  <c r="H85" i="48"/>
  <c r="I85" i="48"/>
  <c r="J85" i="48"/>
  <c r="K85" i="48"/>
  <c r="L85" i="48"/>
  <c r="M85" i="48"/>
  <c r="N85" i="48"/>
  <c r="H86" i="48"/>
  <c r="I86" i="48"/>
  <c r="J86" i="48"/>
  <c r="K86" i="48"/>
  <c r="L86" i="48"/>
  <c r="M86" i="48"/>
  <c r="N86" i="48"/>
  <c r="H87" i="48"/>
  <c r="I87" i="48"/>
  <c r="J87" i="48"/>
  <c r="K87" i="48"/>
  <c r="L87" i="48"/>
  <c r="M87" i="48"/>
  <c r="N87" i="48"/>
  <c r="H88" i="48"/>
  <c r="I88" i="48"/>
  <c r="J88" i="48"/>
  <c r="K88" i="48"/>
  <c r="L88" i="48"/>
  <c r="M88" i="48"/>
  <c r="N88" i="48"/>
  <c r="H91" i="48"/>
  <c r="I91" i="48"/>
  <c r="J91" i="48"/>
  <c r="K91" i="48"/>
  <c r="L91" i="48"/>
  <c r="M91" i="48"/>
  <c r="N91" i="48"/>
  <c r="H92" i="48"/>
  <c r="I92" i="48"/>
  <c r="J92" i="48"/>
  <c r="K92" i="48"/>
  <c r="L92" i="48"/>
  <c r="M92" i="48"/>
  <c r="N92" i="48"/>
  <c r="H93" i="48"/>
  <c r="I93" i="48"/>
  <c r="J93" i="48"/>
  <c r="K93" i="48"/>
  <c r="L93" i="48"/>
  <c r="M93" i="48"/>
  <c r="N93" i="48"/>
  <c r="H94" i="48"/>
  <c r="I94" i="48"/>
  <c r="J94" i="48"/>
  <c r="K94" i="48"/>
  <c r="L94" i="48"/>
  <c r="M94" i="48"/>
  <c r="N94" i="48"/>
  <c r="H95" i="48"/>
  <c r="I95" i="48"/>
  <c r="J95" i="48"/>
  <c r="K95" i="48"/>
  <c r="L95" i="48"/>
  <c r="M95" i="48"/>
  <c r="N95" i="48"/>
  <c r="G85" i="48"/>
  <c r="G86" i="48"/>
  <c r="G87" i="48"/>
  <c r="G88" i="48"/>
  <c r="G91" i="48"/>
  <c r="G92" i="48"/>
  <c r="G93" i="48"/>
  <c r="G94" i="48"/>
  <c r="G95" i="48"/>
  <c r="G84" i="48"/>
  <c r="H65" i="48"/>
  <c r="I65" i="48"/>
  <c r="J65" i="48"/>
  <c r="K65" i="48"/>
  <c r="L65" i="48"/>
  <c r="M65" i="48"/>
  <c r="N65" i="48"/>
  <c r="H66" i="48"/>
  <c r="I66" i="48"/>
  <c r="J66" i="48"/>
  <c r="K66" i="48"/>
  <c r="L66" i="48"/>
  <c r="M66" i="48"/>
  <c r="N66" i="48"/>
  <c r="H67" i="48"/>
  <c r="I67" i="48"/>
  <c r="J67" i="48"/>
  <c r="K67" i="48"/>
  <c r="L67" i="48"/>
  <c r="M67" i="48"/>
  <c r="N67" i="48"/>
  <c r="H68" i="48"/>
  <c r="I68" i="48"/>
  <c r="J68" i="48"/>
  <c r="K68" i="48"/>
  <c r="L68" i="48"/>
  <c r="M68" i="48"/>
  <c r="N68" i="48"/>
  <c r="H69" i="48"/>
  <c r="I69" i="48"/>
  <c r="J69" i="48"/>
  <c r="K69" i="48"/>
  <c r="L69" i="48"/>
  <c r="M69" i="48"/>
  <c r="N69" i="48"/>
  <c r="H72" i="48"/>
  <c r="I72" i="48"/>
  <c r="J72" i="48"/>
  <c r="K72" i="48"/>
  <c r="L72" i="48"/>
  <c r="M72" i="48"/>
  <c r="N72" i="48"/>
  <c r="H73" i="48"/>
  <c r="I73" i="48"/>
  <c r="J73" i="48"/>
  <c r="K73" i="48"/>
  <c r="L73" i="48"/>
  <c r="M73" i="48"/>
  <c r="N73" i="48"/>
  <c r="H74" i="48"/>
  <c r="I74" i="48"/>
  <c r="J74" i="48"/>
  <c r="K74" i="48"/>
  <c r="L74" i="48"/>
  <c r="M74" i="48"/>
  <c r="N74" i="48"/>
  <c r="H75" i="48"/>
  <c r="I75" i="48"/>
  <c r="J75" i="48"/>
  <c r="K75" i="48"/>
  <c r="L75" i="48"/>
  <c r="M75" i="48"/>
  <c r="N75" i="48"/>
  <c r="H76" i="48"/>
  <c r="I76" i="48"/>
  <c r="J76" i="48"/>
  <c r="K76" i="48"/>
  <c r="L76" i="48"/>
  <c r="M76" i="48"/>
  <c r="N76" i="48"/>
  <c r="G66" i="48"/>
  <c r="G67" i="48"/>
  <c r="G68" i="48"/>
  <c r="G69" i="48"/>
  <c r="G72" i="48"/>
  <c r="G73" i="48"/>
  <c r="G74" i="48"/>
  <c r="G75" i="48"/>
  <c r="G76" i="48"/>
  <c r="G65" i="48"/>
  <c r="H48" i="48"/>
  <c r="I48" i="48"/>
  <c r="J48" i="48"/>
  <c r="K48" i="48"/>
  <c r="L48" i="48"/>
  <c r="M48" i="48"/>
  <c r="N48" i="48"/>
  <c r="H49" i="48"/>
  <c r="I49" i="48"/>
  <c r="J49" i="48"/>
  <c r="K49" i="48"/>
  <c r="L49" i="48"/>
  <c r="M49" i="48"/>
  <c r="N49" i="48"/>
  <c r="H50" i="48"/>
  <c r="I50" i="48"/>
  <c r="J50" i="48"/>
  <c r="K50" i="48"/>
  <c r="L50" i="48"/>
  <c r="M50" i="48"/>
  <c r="N50" i="48"/>
  <c r="H51" i="48"/>
  <c r="I51" i="48"/>
  <c r="J51" i="48"/>
  <c r="K51" i="48"/>
  <c r="L51" i="48"/>
  <c r="M51" i="48"/>
  <c r="N51" i="48"/>
  <c r="H52" i="48"/>
  <c r="I52" i="48"/>
  <c r="J52" i="48"/>
  <c r="K52" i="48"/>
  <c r="L52" i="48"/>
  <c r="M52" i="48"/>
  <c r="N52" i="48"/>
  <c r="H55" i="48"/>
  <c r="I55" i="48"/>
  <c r="J55" i="48"/>
  <c r="K55" i="48"/>
  <c r="L55" i="48"/>
  <c r="M55" i="48"/>
  <c r="N55" i="48"/>
  <c r="H56" i="48"/>
  <c r="I56" i="48"/>
  <c r="J56" i="48"/>
  <c r="K56" i="48"/>
  <c r="L56" i="48"/>
  <c r="M56" i="48"/>
  <c r="N56" i="48"/>
  <c r="H57" i="48"/>
  <c r="I57" i="48"/>
  <c r="J57" i="48"/>
  <c r="K57" i="48"/>
  <c r="L57" i="48"/>
  <c r="M57" i="48"/>
  <c r="N57" i="48"/>
  <c r="H58" i="48"/>
  <c r="I58" i="48"/>
  <c r="J58" i="48"/>
  <c r="K58" i="48"/>
  <c r="L58" i="48"/>
  <c r="M58" i="48"/>
  <c r="N58" i="48"/>
  <c r="H59" i="48"/>
  <c r="I59" i="48"/>
  <c r="J59" i="48"/>
  <c r="K59" i="48"/>
  <c r="L59" i="48"/>
  <c r="M59" i="48"/>
  <c r="N59" i="48"/>
  <c r="G49" i="48"/>
  <c r="G50" i="48"/>
  <c r="G51" i="48"/>
  <c r="G52" i="48"/>
  <c r="G55" i="48"/>
  <c r="G56" i="48"/>
  <c r="G57" i="48"/>
  <c r="G58" i="48"/>
  <c r="G59" i="48"/>
  <c r="G48" i="48"/>
  <c r="H29" i="48"/>
  <c r="I29" i="48"/>
  <c r="J29" i="48"/>
  <c r="K29" i="48"/>
  <c r="L29" i="48"/>
  <c r="M29" i="48"/>
  <c r="N29" i="48"/>
  <c r="H30" i="48"/>
  <c r="I30" i="48"/>
  <c r="J30" i="48"/>
  <c r="K30" i="48"/>
  <c r="L30" i="48"/>
  <c r="M30" i="48"/>
  <c r="N30" i="48"/>
  <c r="H31" i="48"/>
  <c r="I31" i="48"/>
  <c r="J31" i="48"/>
  <c r="K31" i="48"/>
  <c r="L31" i="48"/>
  <c r="M31" i="48"/>
  <c r="N31" i="48"/>
  <c r="H32" i="48"/>
  <c r="I32" i="48"/>
  <c r="J32" i="48"/>
  <c r="K32" i="48"/>
  <c r="L32" i="48"/>
  <c r="M32" i="48"/>
  <c r="N32" i="48"/>
  <c r="H33" i="48"/>
  <c r="I33" i="48"/>
  <c r="J33" i="48"/>
  <c r="K33" i="48"/>
  <c r="L33" i="48"/>
  <c r="M33" i="48"/>
  <c r="N33" i="48"/>
  <c r="H36" i="48"/>
  <c r="I36" i="48"/>
  <c r="J36" i="48"/>
  <c r="K36" i="48"/>
  <c r="L36" i="48"/>
  <c r="M36" i="48"/>
  <c r="N36" i="48"/>
  <c r="H37" i="48"/>
  <c r="I37" i="48"/>
  <c r="J37" i="48"/>
  <c r="K37" i="48"/>
  <c r="L37" i="48"/>
  <c r="M37" i="48"/>
  <c r="N37" i="48"/>
  <c r="H38" i="48"/>
  <c r="I38" i="48"/>
  <c r="J38" i="48"/>
  <c r="K38" i="48"/>
  <c r="L38" i="48"/>
  <c r="M38" i="48"/>
  <c r="N38" i="48"/>
  <c r="H39" i="48"/>
  <c r="I39" i="48"/>
  <c r="J39" i="48"/>
  <c r="K39" i="48"/>
  <c r="L39" i="48"/>
  <c r="M39" i="48"/>
  <c r="N39" i="48"/>
  <c r="H40" i="48"/>
  <c r="I40" i="48"/>
  <c r="J40" i="48"/>
  <c r="K40" i="48"/>
  <c r="L40" i="48"/>
  <c r="M40" i="48"/>
  <c r="N40" i="48"/>
  <c r="G30" i="48"/>
  <c r="G31" i="48"/>
  <c r="G32" i="48"/>
  <c r="G33" i="48"/>
  <c r="G36" i="48"/>
  <c r="G37" i="48"/>
  <c r="G38" i="48"/>
  <c r="G39" i="48"/>
  <c r="G40" i="48"/>
  <c r="G29" i="48"/>
  <c r="H12" i="48"/>
  <c r="I12" i="48"/>
  <c r="J12" i="48"/>
  <c r="K12" i="48"/>
  <c r="L12" i="48"/>
  <c r="M12" i="48"/>
  <c r="N12" i="48"/>
  <c r="H13" i="48"/>
  <c r="I13" i="48"/>
  <c r="J13" i="48"/>
  <c r="K13" i="48"/>
  <c r="L13" i="48"/>
  <c r="M13" i="48"/>
  <c r="N13" i="48"/>
  <c r="H14" i="48"/>
  <c r="I14" i="48"/>
  <c r="J14" i="48"/>
  <c r="K14" i="48"/>
  <c r="L14" i="48"/>
  <c r="M14" i="48"/>
  <c r="N14" i="48"/>
  <c r="H15" i="48"/>
  <c r="I15" i="48"/>
  <c r="J15" i="48"/>
  <c r="K15" i="48"/>
  <c r="L15" i="48"/>
  <c r="M15" i="48"/>
  <c r="N15" i="48"/>
  <c r="H16" i="48"/>
  <c r="I16" i="48"/>
  <c r="J16" i="48"/>
  <c r="K16" i="48"/>
  <c r="L16" i="48"/>
  <c r="M16" i="48"/>
  <c r="N16" i="48"/>
  <c r="H19" i="48"/>
  <c r="I19" i="48"/>
  <c r="J19" i="48"/>
  <c r="K19" i="48"/>
  <c r="L19" i="48"/>
  <c r="M19" i="48"/>
  <c r="N19" i="48"/>
  <c r="H20" i="48"/>
  <c r="I20" i="48"/>
  <c r="J20" i="48"/>
  <c r="K20" i="48"/>
  <c r="L20" i="48"/>
  <c r="M20" i="48"/>
  <c r="N20" i="48"/>
  <c r="H21" i="48"/>
  <c r="I21" i="48"/>
  <c r="J21" i="48"/>
  <c r="K21" i="48"/>
  <c r="L21" i="48"/>
  <c r="M21" i="48"/>
  <c r="N21" i="48"/>
  <c r="H22" i="48"/>
  <c r="I22" i="48"/>
  <c r="J22" i="48"/>
  <c r="K22" i="48"/>
  <c r="L22" i="48"/>
  <c r="M22" i="48"/>
  <c r="N22" i="48"/>
  <c r="H23" i="48"/>
  <c r="I23" i="48"/>
  <c r="J23" i="48"/>
  <c r="K23" i="48"/>
  <c r="L23" i="48"/>
  <c r="M23" i="48"/>
  <c r="N23" i="48"/>
  <c r="G13" i="48"/>
  <c r="G14" i="48"/>
  <c r="G15" i="48"/>
  <c r="G16" i="48"/>
  <c r="G19" i="48"/>
  <c r="G20" i="48"/>
  <c r="G21" i="48"/>
  <c r="G22" i="48"/>
  <c r="G23" i="48"/>
  <c r="G12" i="48"/>
  <c r="H212" i="47"/>
  <c r="I212" i="47"/>
  <c r="J212" i="47"/>
  <c r="K212" i="47"/>
  <c r="L212" i="47"/>
  <c r="M212" i="47"/>
  <c r="N212" i="47"/>
  <c r="H213" i="47"/>
  <c r="I213" i="47"/>
  <c r="J213" i="47"/>
  <c r="K213" i="47"/>
  <c r="L213" i="47"/>
  <c r="M213" i="47"/>
  <c r="N213" i="47"/>
  <c r="H214" i="47"/>
  <c r="I214" i="47"/>
  <c r="J214" i="47"/>
  <c r="K214" i="47"/>
  <c r="L214" i="47"/>
  <c r="M214" i="47"/>
  <c r="N214" i="47"/>
  <c r="H218" i="47"/>
  <c r="I218" i="47"/>
  <c r="J218" i="47"/>
  <c r="K218" i="47"/>
  <c r="L218" i="47"/>
  <c r="M218" i="47"/>
  <c r="N218" i="47"/>
  <c r="H222" i="47"/>
  <c r="I222" i="47"/>
  <c r="J222" i="47"/>
  <c r="K222" i="47"/>
  <c r="L222" i="47"/>
  <c r="M222" i="47"/>
  <c r="N222" i="47"/>
  <c r="H223" i="47"/>
  <c r="H246" i="47" s="1"/>
  <c r="I223" i="47"/>
  <c r="I246" i="47" s="1"/>
  <c r="J223" i="47"/>
  <c r="J246" i="47" s="1"/>
  <c r="K223" i="47"/>
  <c r="K246" i="47" s="1"/>
  <c r="L223" i="47"/>
  <c r="L246" i="47" s="1"/>
  <c r="M223" i="47"/>
  <c r="M246" i="47" s="1"/>
  <c r="N223" i="47"/>
  <c r="H224" i="47"/>
  <c r="H247" i="47" s="1"/>
  <c r="I224" i="47"/>
  <c r="J224" i="47"/>
  <c r="J247" i="47" s="1"/>
  <c r="K224" i="47"/>
  <c r="K247" i="47" s="1"/>
  <c r="L224" i="47"/>
  <c r="L247" i="47" s="1"/>
  <c r="M224" i="47"/>
  <c r="N224" i="47"/>
  <c r="H227" i="47"/>
  <c r="I227" i="47"/>
  <c r="J227" i="47"/>
  <c r="K227" i="47"/>
  <c r="L227" i="47"/>
  <c r="M227" i="47"/>
  <c r="N227" i="47"/>
  <c r="H228" i="47"/>
  <c r="I228" i="47"/>
  <c r="J228" i="47"/>
  <c r="K228" i="47"/>
  <c r="L228" i="47"/>
  <c r="M228" i="47"/>
  <c r="N228" i="47"/>
  <c r="H229" i="47"/>
  <c r="I229" i="47"/>
  <c r="J229" i="47"/>
  <c r="K229" i="47"/>
  <c r="L229" i="47"/>
  <c r="M229" i="47"/>
  <c r="N229" i="47"/>
  <c r="H232" i="47"/>
  <c r="I232" i="47"/>
  <c r="J232" i="47"/>
  <c r="K232" i="47"/>
  <c r="L232" i="47"/>
  <c r="M232" i="47"/>
  <c r="N232" i="47"/>
  <c r="H233" i="47"/>
  <c r="I233" i="47"/>
  <c r="J233" i="47"/>
  <c r="K233" i="47"/>
  <c r="L233" i="47"/>
  <c r="M233" i="47"/>
  <c r="N233" i="47"/>
  <c r="H234" i="47"/>
  <c r="I234" i="47"/>
  <c r="J234" i="47"/>
  <c r="K234" i="47"/>
  <c r="L234" i="47"/>
  <c r="M234" i="47"/>
  <c r="N234" i="47"/>
  <c r="G213" i="47"/>
  <c r="G214" i="47"/>
  <c r="G218" i="47"/>
  <c r="G222" i="47"/>
  <c r="G223" i="47"/>
  <c r="G246" i="47" s="1"/>
  <c r="G224" i="47"/>
  <c r="G227" i="47"/>
  <c r="G228" i="47"/>
  <c r="G229" i="47"/>
  <c r="G232" i="47"/>
  <c r="G233" i="47"/>
  <c r="G234" i="47"/>
  <c r="G212" i="47"/>
  <c r="H147" i="47"/>
  <c r="I147" i="47"/>
  <c r="J147" i="47"/>
  <c r="K147" i="47"/>
  <c r="L147" i="47"/>
  <c r="M147" i="47"/>
  <c r="N147" i="47"/>
  <c r="H148" i="47"/>
  <c r="I148" i="47"/>
  <c r="J148" i="47"/>
  <c r="K148" i="47"/>
  <c r="L148" i="47"/>
  <c r="M148" i="47"/>
  <c r="N148" i="47"/>
  <c r="H149" i="47"/>
  <c r="I149" i="47"/>
  <c r="J149" i="47"/>
  <c r="K149" i="47"/>
  <c r="L149" i="47"/>
  <c r="M149" i="47"/>
  <c r="N149" i="47"/>
  <c r="H152" i="47"/>
  <c r="I152" i="47"/>
  <c r="J152" i="47"/>
  <c r="K152" i="47"/>
  <c r="L152" i="47"/>
  <c r="M152" i="47"/>
  <c r="N152" i="47"/>
  <c r="H153" i="47"/>
  <c r="I153" i="47"/>
  <c r="J153" i="47"/>
  <c r="K153" i="47"/>
  <c r="L153" i="47"/>
  <c r="M153" i="47"/>
  <c r="N153" i="47"/>
  <c r="H154" i="47"/>
  <c r="I154" i="47"/>
  <c r="J154" i="47"/>
  <c r="K154" i="47"/>
  <c r="L154" i="47"/>
  <c r="M154" i="47"/>
  <c r="N154" i="47"/>
  <c r="H157" i="47"/>
  <c r="I157" i="47"/>
  <c r="J157" i="47"/>
  <c r="K157" i="47"/>
  <c r="L157" i="47"/>
  <c r="M157" i="47"/>
  <c r="N157" i="47"/>
  <c r="H158" i="47"/>
  <c r="H181" i="47" s="1"/>
  <c r="I158" i="47"/>
  <c r="I181" i="47" s="1"/>
  <c r="J158" i="47"/>
  <c r="J181" i="47" s="1"/>
  <c r="K158" i="47"/>
  <c r="K181" i="47" s="1"/>
  <c r="L158" i="47"/>
  <c r="L181" i="47" s="1"/>
  <c r="L204" i="47" s="1"/>
  <c r="L48" i="59" s="1"/>
  <c r="M158" i="47"/>
  <c r="M181" i="47" s="1"/>
  <c r="N158" i="47"/>
  <c r="H159" i="47"/>
  <c r="H182" i="47" s="1"/>
  <c r="I159" i="47"/>
  <c r="J159" i="47"/>
  <c r="J182" i="47" s="1"/>
  <c r="K159" i="47"/>
  <c r="K182" i="47" s="1"/>
  <c r="L159" i="47"/>
  <c r="L182" i="47" s="1"/>
  <c r="M159" i="47"/>
  <c r="M182" i="47" s="1"/>
  <c r="N159" i="47"/>
  <c r="N182" i="47" s="1"/>
  <c r="H162" i="47"/>
  <c r="I162" i="47"/>
  <c r="J162" i="47"/>
  <c r="K162" i="47"/>
  <c r="L162" i="47"/>
  <c r="M162" i="47"/>
  <c r="N162" i="47"/>
  <c r="H163" i="47"/>
  <c r="I163" i="47"/>
  <c r="J163" i="47"/>
  <c r="K163" i="47"/>
  <c r="L163" i="47"/>
  <c r="M163" i="47"/>
  <c r="N163" i="47"/>
  <c r="H164" i="47"/>
  <c r="I164" i="47"/>
  <c r="J164" i="47"/>
  <c r="K164" i="47"/>
  <c r="L164" i="47"/>
  <c r="M164" i="47"/>
  <c r="N164" i="47"/>
  <c r="H167" i="47"/>
  <c r="I167" i="47"/>
  <c r="J167" i="47"/>
  <c r="K167" i="47"/>
  <c r="L167" i="47"/>
  <c r="M167" i="47"/>
  <c r="N167" i="47"/>
  <c r="H168" i="47"/>
  <c r="I168" i="47"/>
  <c r="J168" i="47"/>
  <c r="K168" i="47"/>
  <c r="L168" i="47"/>
  <c r="M168" i="47"/>
  <c r="N168" i="47"/>
  <c r="H169" i="47"/>
  <c r="I169" i="47"/>
  <c r="J169" i="47"/>
  <c r="K169" i="47"/>
  <c r="L169" i="47"/>
  <c r="M169" i="47"/>
  <c r="N169" i="47"/>
  <c r="G148" i="47"/>
  <c r="G149" i="47"/>
  <c r="G152" i="47"/>
  <c r="G153" i="47"/>
  <c r="G154" i="47"/>
  <c r="G157" i="47"/>
  <c r="G158" i="47"/>
  <c r="G181" i="47" s="1"/>
  <c r="G204" i="47" s="1"/>
  <c r="G48" i="59" s="1"/>
  <c r="G159" i="47"/>
  <c r="G182" i="47" s="1"/>
  <c r="G162" i="47"/>
  <c r="G163" i="47"/>
  <c r="G164" i="47"/>
  <c r="G167" i="47"/>
  <c r="G168" i="47"/>
  <c r="G169" i="47"/>
  <c r="G147" i="47"/>
  <c r="H82" i="47"/>
  <c r="I82" i="47"/>
  <c r="J82" i="47"/>
  <c r="K82" i="47"/>
  <c r="L82" i="47"/>
  <c r="M82" i="47"/>
  <c r="N82" i="47"/>
  <c r="H83" i="47"/>
  <c r="I83" i="47"/>
  <c r="J83" i="47"/>
  <c r="K83" i="47"/>
  <c r="L83" i="47"/>
  <c r="M83" i="47"/>
  <c r="N83" i="47"/>
  <c r="H84" i="47"/>
  <c r="I84" i="47"/>
  <c r="J84" i="47"/>
  <c r="K84" i="47"/>
  <c r="L84" i="47"/>
  <c r="M84" i="47"/>
  <c r="N84" i="47"/>
  <c r="H87" i="47"/>
  <c r="I87" i="47"/>
  <c r="J87" i="47"/>
  <c r="K87" i="47"/>
  <c r="L87" i="47"/>
  <c r="M87" i="47"/>
  <c r="N87" i="47"/>
  <c r="H88" i="47"/>
  <c r="I88" i="47"/>
  <c r="J88" i="47"/>
  <c r="K88" i="47"/>
  <c r="L88" i="47"/>
  <c r="M88" i="47"/>
  <c r="N88" i="47"/>
  <c r="H89" i="47"/>
  <c r="I89" i="47"/>
  <c r="J89" i="47"/>
  <c r="K89" i="47"/>
  <c r="L89" i="47"/>
  <c r="M89" i="47"/>
  <c r="N89" i="47"/>
  <c r="H92" i="47"/>
  <c r="I92" i="47"/>
  <c r="J92" i="47"/>
  <c r="K92" i="47"/>
  <c r="L92" i="47"/>
  <c r="M92" i="47"/>
  <c r="N92" i="47"/>
  <c r="H93" i="47"/>
  <c r="H116" i="47" s="1"/>
  <c r="I93" i="47"/>
  <c r="I116" i="47" s="1"/>
  <c r="J93" i="47"/>
  <c r="J116" i="47" s="1"/>
  <c r="K93" i="47"/>
  <c r="K116" i="47" s="1"/>
  <c r="L93" i="47"/>
  <c r="L116" i="47" s="1"/>
  <c r="L139" i="47" s="1"/>
  <c r="L21" i="59" s="1"/>
  <c r="M93" i="47"/>
  <c r="M116" i="47" s="1"/>
  <c r="N93" i="47"/>
  <c r="H94" i="47"/>
  <c r="H117" i="47" s="1"/>
  <c r="I94" i="47"/>
  <c r="I117" i="47" s="1"/>
  <c r="J94" i="47"/>
  <c r="J117" i="47" s="1"/>
  <c r="K94" i="47"/>
  <c r="K117" i="47" s="1"/>
  <c r="L94" i="47"/>
  <c r="L117" i="47" s="1"/>
  <c r="M94" i="47"/>
  <c r="M117" i="47" s="1"/>
  <c r="N94" i="47"/>
  <c r="N117" i="47" s="1"/>
  <c r="H97" i="47"/>
  <c r="I97" i="47"/>
  <c r="J97" i="47"/>
  <c r="K97" i="47"/>
  <c r="L97" i="47"/>
  <c r="M97" i="47"/>
  <c r="N97" i="47"/>
  <c r="H98" i="47"/>
  <c r="I98" i="47"/>
  <c r="J98" i="47"/>
  <c r="K98" i="47"/>
  <c r="L98" i="47"/>
  <c r="M98" i="47"/>
  <c r="N98" i="47"/>
  <c r="H99" i="47"/>
  <c r="I99" i="47"/>
  <c r="J99" i="47"/>
  <c r="K99" i="47"/>
  <c r="L99" i="47"/>
  <c r="M99" i="47"/>
  <c r="N99" i="47"/>
  <c r="H102" i="47"/>
  <c r="I102" i="47"/>
  <c r="J102" i="47"/>
  <c r="K102" i="47"/>
  <c r="L102" i="47"/>
  <c r="M102" i="47"/>
  <c r="N102" i="47"/>
  <c r="H103" i="47"/>
  <c r="I103" i="47"/>
  <c r="J103" i="47"/>
  <c r="K103" i="47"/>
  <c r="L103" i="47"/>
  <c r="M103" i="47"/>
  <c r="N103" i="47"/>
  <c r="H104" i="47"/>
  <c r="I104" i="47"/>
  <c r="J104" i="47"/>
  <c r="K104" i="47"/>
  <c r="L104" i="47"/>
  <c r="M104" i="47"/>
  <c r="N104" i="47"/>
  <c r="G83" i="47"/>
  <c r="G84" i="47"/>
  <c r="G87" i="47"/>
  <c r="G88" i="47"/>
  <c r="G89" i="47"/>
  <c r="G92" i="47"/>
  <c r="G93" i="47"/>
  <c r="G116" i="47" s="1"/>
  <c r="G94" i="47"/>
  <c r="G97" i="47"/>
  <c r="G98" i="47"/>
  <c r="G99" i="47"/>
  <c r="G102" i="47"/>
  <c r="G103" i="47"/>
  <c r="G104" i="47"/>
  <c r="G82" i="47"/>
  <c r="F13" i="47"/>
  <c r="N258" i="47"/>
  <c r="M258" i="47"/>
  <c r="L258" i="47"/>
  <c r="K258" i="47"/>
  <c r="J258" i="47"/>
  <c r="I258" i="47"/>
  <c r="H258" i="47"/>
  <c r="G258" i="47"/>
  <c r="F257" i="47"/>
  <c r="F256" i="47"/>
  <c r="F255" i="47"/>
  <c r="F254" i="47"/>
  <c r="N246" i="47"/>
  <c r="N247" i="47"/>
  <c r="N248" i="47" s="1"/>
  <c r="M247" i="47"/>
  <c r="I247" i="47"/>
  <c r="N193" i="47"/>
  <c r="M193" i="47"/>
  <c r="L193" i="47"/>
  <c r="K193" i="47"/>
  <c r="J193" i="47"/>
  <c r="I193" i="47"/>
  <c r="H193" i="47"/>
  <c r="G193" i="47"/>
  <c r="F192" i="47"/>
  <c r="F191" i="47"/>
  <c r="F190" i="47"/>
  <c r="F189" i="47"/>
  <c r="N181" i="47"/>
  <c r="N204" i="47" s="1"/>
  <c r="N48" i="59" s="1"/>
  <c r="I182" i="47"/>
  <c r="N128" i="47"/>
  <c r="M128" i="47"/>
  <c r="L128" i="47"/>
  <c r="K128" i="47"/>
  <c r="J128" i="47"/>
  <c r="I128" i="47"/>
  <c r="H128" i="47"/>
  <c r="G128" i="47"/>
  <c r="F127" i="47"/>
  <c r="F126" i="47"/>
  <c r="F125" i="47"/>
  <c r="F124" i="47"/>
  <c r="N116" i="47"/>
  <c r="N139" i="47" s="1"/>
  <c r="N21" i="59" s="1"/>
  <c r="G22" i="47"/>
  <c r="G27" i="47"/>
  <c r="G37" i="47"/>
  <c r="G42" i="47"/>
  <c r="G23" i="47"/>
  <c r="G28" i="47"/>
  <c r="G38" i="47"/>
  <c r="G43" i="47"/>
  <c r="G67" i="47"/>
  <c r="H22" i="47"/>
  <c r="H27" i="47"/>
  <c r="H37" i="47"/>
  <c r="H42" i="47"/>
  <c r="H23" i="47"/>
  <c r="H28" i="47"/>
  <c r="H38" i="47"/>
  <c r="H43" i="47"/>
  <c r="H67" i="47"/>
  <c r="I22" i="47"/>
  <c r="I27" i="47"/>
  <c r="I37" i="47"/>
  <c r="I42" i="47"/>
  <c r="I23" i="47"/>
  <c r="I28" i="47"/>
  <c r="I38" i="47"/>
  <c r="I43" i="47"/>
  <c r="I67" i="47"/>
  <c r="J22" i="47"/>
  <c r="J27" i="47"/>
  <c r="J37" i="47"/>
  <c r="J42" i="47"/>
  <c r="J23" i="47"/>
  <c r="J28" i="47"/>
  <c r="J38" i="47"/>
  <c r="J43" i="47"/>
  <c r="K22" i="47"/>
  <c r="K27" i="47"/>
  <c r="K37" i="47"/>
  <c r="K42" i="47"/>
  <c r="K23" i="47"/>
  <c r="K28" i="47"/>
  <c r="K38" i="47"/>
  <c r="K43" i="47"/>
  <c r="K67" i="47"/>
  <c r="L22" i="47"/>
  <c r="L27" i="47"/>
  <c r="L37" i="47"/>
  <c r="L42" i="47"/>
  <c r="L23" i="47"/>
  <c r="L28" i="47"/>
  <c r="L38" i="47"/>
  <c r="L43" i="47"/>
  <c r="L67" i="47"/>
  <c r="M22" i="47"/>
  <c r="M27" i="47"/>
  <c r="M37" i="47"/>
  <c r="M42" i="47"/>
  <c r="M23" i="47"/>
  <c r="M28" i="47"/>
  <c r="M38" i="47"/>
  <c r="M43" i="47"/>
  <c r="M67" i="47"/>
  <c r="N22" i="47"/>
  <c r="N27" i="47"/>
  <c r="N37" i="47"/>
  <c r="N42" i="47"/>
  <c r="N23" i="47"/>
  <c r="N28" i="47"/>
  <c r="N38" i="47"/>
  <c r="N43" i="47"/>
  <c r="N67" i="47"/>
  <c r="F66" i="47"/>
  <c r="F65" i="47"/>
  <c r="F64" i="47"/>
  <c r="F63" i="47"/>
  <c r="G32" i="47"/>
  <c r="G33" i="47"/>
  <c r="G56" i="47" s="1"/>
  <c r="H32" i="47"/>
  <c r="H55" i="47" s="1"/>
  <c r="H33" i="47"/>
  <c r="H56" i="47" s="1"/>
  <c r="I32" i="47"/>
  <c r="I55" i="47" s="1"/>
  <c r="I33" i="47"/>
  <c r="I56" i="47" s="1"/>
  <c r="J32" i="47"/>
  <c r="J55" i="47" s="1"/>
  <c r="J33" i="47"/>
  <c r="J56" i="47" s="1"/>
  <c r="K32" i="47"/>
  <c r="K55" i="47" s="1"/>
  <c r="K33" i="47"/>
  <c r="K56" i="47" s="1"/>
  <c r="L32" i="47"/>
  <c r="L55" i="47" s="1"/>
  <c r="L33" i="47"/>
  <c r="L56" i="47" s="1"/>
  <c r="M32" i="47"/>
  <c r="M55" i="47" s="1"/>
  <c r="M33" i="47"/>
  <c r="M56" i="47" s="1"/>
  <c r="N32" i="47"/>
  <c r="N55" i="47" s="1"/>
  <c r="N33" i="47"/>
  <c r="N56" i="47" s="1"/>
  <c r="G41" i="47"/>
  <c r="H41" i="47"/>
  <c r="I41" i="47"/>
  <c r="J41" i="47"/>
  <c r="K41" i="47"/>
  <c r="L41" i="47"/>
  <c r="M41" i="47"/>
  <c r="N41" i="47"/>
  <c r="G36" i="47"/>
  <c r="H36" i="47"/>
  <c r="I36" i="47"/>
  <c r="J36" i="47"/>
  <c r="K36" i="47"/>
  <c r="L36" i="47"/>
  <c r="M36" i="47"/>
  <c r="N36" i="47"/>
  <c r="G31" i="47"/>
  <c r="H31" i="47"/>
  <c r="I31" i="47"/>
  <c r="J31" i="47"/>
  <c r="K31" i="47"/>
  <c r="L31" i="47"/>
  <c r="M31" i="47"/>
  <c r="N31" i="47"/>
  <c r="G26" i="47"/>
  <c r="H26" i="47"/>
  <c r="I26" i="47"/>
  <c r="J26" i="47"/>
  <c r="K26" i="47"/>
  <c r="L26" i="47"/>
  <c r="M26" i="47"/>
  <c r="N26" i="47"/>
  <c r="G21" i="47"/>
  <c r="H21" i="47"/>
  <c r="I21" i="47"/>
  <c r="J21" i="47"/>
  <c r="K21" i="47"/>
  <c r="L21" i="47"/>
  <c r="M21" i="47"/>
  <c r="N21" i="47"/>
  <c r="F112" i="7"/>
  <c r="F122" i="7"/>
  <c r="F127" i="7"/>
  <c r="F132" i="7"/>
  <c r="N136" i="7"/>
  <c r="M136" i="7"/>
  <c r="L136" i="7"/>
  <c r="K136" i="7"/>
  <c r="J136" i="7"/>
  <c r="I136" i="7"/>
  <c r="H136" i="7"/>
  <c r="G136" i="7"/>
  <c r="F111" i="7"/>
  <c r="F116" i="7"/>
  <c r="F121" i="7"/>
  <c r="F126" i="7"/>
  <c r="F131" i="7"/>
  <c r="F110" i="7"/>
  <c r="F120" i="7"/>
  <c r="F125" i="7"/>
  <c r="F130" i="7"/>
  <c r="N104" i="7"/>
  <c r="M104" i="7"/>
  <c r="L104" i="7"/>
  <c r="K104" i="7"/>
  <c r="J104" i="7"/>
  <c r="I104" i="7"/>
  <c r="H104" i="7"/>
  <c r="G104" i="7"/>
  <c r="F79" i="7"/>
  <c r="F84" i="7"/>
  <c r="F89" i="7"/>
  <c r="F94" i="7"/>
  <c r="F99" i="7"/>
  <c r="N103" i="7"/>
  <c r="M103" i="7"/>
  <c r="L103" i="7"/>
  <c r="K103" i="7"/>
  <c r="J103" i="7"/>
  <c r="I103" i="7"/>
  <c r="H103" i="7"/>
  <c r="G103" i="7"/>
  <c r="F78" i="7"/>
  <c r="F83" i="7"/>
  <c r="F88" i="7"/>
  <c r="F93" i="7"/>
  <c r="F98" i="7"/>
  <c r="N102" i="7"/>
  <c r="M102" i="7"/>
  <c r="L102" i="7"/>
  <c r="K102" i="7"/>
  <c r="J102" i="7"/>
  <c r="I102" i="7"/>
  <c r="H102" i="7"/>
  <c r="G102" i="7"/>
  <c r="F77" i="7"/>
  <c r="F82" i="7"/>
  <c r="F87" i="7"/>
  <c r="F92" i="7"/>
  <c r="F97" i="7"/>
  <c r="N71" i="7"/>
  <c r="M71" i="7"/>
  <c r="L71" i="7"/>
  <c r="K71" i="7"/>
  <c r="J71" i="7"/>
  <c r="I71" i="7"/>
  <c r="H71" i="7"/>
  <c r="G71" i="7"/>
  <c r="F46" i="7"/>
  <c r="F51" i="7"/>
  <c r="F56" i="7"/>
  <c r="F61" i="7"/>
  <c r="F66" i="7"/>
  <c r="N70" i="7"/>
  <c r="M70" i="7"/>
  <c r="L70" i="7"/>
  <c r="K70" i="7"/>
  <c r="J70" i="7"/>
  <c r="I70" i="7"/>
  <c r="H70" i="7"/>
  <c r="G70" i="7"/>
  <c r="F45" i="7"/>
  <c r="F50" i="7"/>
  <c r="F55" i="7"/>
  <c r="F60" i="7"/>
  <c r="F65" i="7"/>
  <c r="N69" i="7"/>
  <c r="M69" i="7"/>
  <c r="L69" i="7"/>
  <c r="K69" i="7"/>
  <c r="J69" i="7"/>
  <c r="I69" i="7"/>
  <c r="H69" i="7"/>
  <c r="G69" i="7"/>
  <c r="F44" i="7"/>
  <c r="F49" i="7"/>
  <c r="F54" i="7"/>
  <c r="F59" i="7"/>
  <c r="F64" i="7"/>
  <c r="F12" i="7"/>
  <c r="F17" i="7"/>
  <c r="F22" i="7"/>
  <c r="F27" i="7"/>
  <c r="F32" i="7"/>
  <c r="F11" i="7"/>
  <c r="F16" i="7"/>
  <c r="F21" i="7"/>
  <c r="F26" i="7"/>
  <c r="F31" i="7"/>
  <c r="F10" i="7"/>
  <c r="F15" i="7"/>
  <c r="F20" i="7"/>
  <c r="F25" i="7"/>
  <c r="F30" i="7"/>
  <c r="G36" i="7"/>
  <c r="H36" i="7"/>
  <c r="I36" i="7"/>
  <c r="J36" i="7"/>
  <c r="K36" i="7"/>
  <c r="L36" i="7"/>
  <c r="M36" i="7"/>
  <c r="N36" i="7"/>
  <c r="G37" i="7"/>
  <c r="H37" i="7"/>
  <c r="I37" i="7"/>
  <c r="J37" i="7"/>
  <c r="K37" i="7"/>
  <c r="L37" i="7"/>
  <c r="M37" i="7"/>
  <c r="N37" i="7"/>
  <c r="H35" i="7"/>
  <c r="I35" i="7"/>
  <c r="J35" i="7"/>
  <c r="K35" i="7"/>
  <c r="L35" i="7"/>
  <c r="M35" i="7"/>
  <c r="N35" i="7"/>
  <c r="G35" i="7"/>
  <c r="H421" i="45"/>
  <c r="H521" i="45"/>
  <c r="H422" i="45"/>
  <c r="H522" i="45"/>
  <c r="H423" i="45"/>
  <c r="H523" i="45"/>
  <c r="H426" i="45"/>
  <c r="H526" i="45"/>
  <c r="H427" i="45"/>
  <c r="H527" i="45"/>
  <c r="H428" i="45"/>
  <c r="H528" i="45"/>
  <c r="H431" i="45"/>
  <c r="H531" i="45"/>
  <c r="H432" i="45"/>
  <c r="H532" i="45"/>
  <c r="H433" i="45"/>
  <c r="H533" i="45"/>
  <c r="H436" i="45"/>
  <c r="H536" i="45"/>
  <c r="H437" i="45"/>
  <c r="H537" i="45"/>
  <c r="H438" i="45"/>
  <c r="H538" i="45"/>
  <c r="H441" i="45"/>
  <c r="H541" i="45"/>
  <c r="H442" i="45"/>
  <c r="H542" i="45"/>
  <c r="H443" i="45"/>
  <c r="H543" i="45"/>
  <c r="H446" i="45"/>
  <c r="H546" i="45"/>
  <c r="H447" i="45"/>
  <c r="H547" i="45"/>
  <c r="H448" i="45"/>
  <c r="H548" i="45"/>
  <c r="I421" i="45"/>
  <c r="I521" i="45"/>
  <c r="I422" i="45"/>
  <c r="I522" i="45"/>
  <c r="I423" i="45"/>
  <c r="I523" i="45"/>
  <c r="I426" i="45"/>
  <c r="I526" i="45"/>
  <c r="I427" i="45"/>
  <c r="I527" i="45"/>
  <c r="I428" i="45"/>
  <c r="I528" i="45"/>
  <c r="I431" i="45"/>
  <c r="I531" i="45"/>
  <c r="I432" i="45"/>
  <c r="I532" i="45"/>
  <c r="I433" i="45"/>
  <c r="I533" i="45"/>
  <c r="I436" i="45"/>
  <c r="I536" i="45"/>
  <c r="I437" i="45"/>
  <c r="I537" i="45"/>
  <c r="I438" i="45"/>
  <c r="I538" i="45"/>
  <c r="I441" i="45"/>
  <c r="I541" i="45"/>
  <c r="I442" i="45"/>
  <c r="I542" i="45"/>
  <c r="I443" i="45"/>
  <c r="I543" i="45"/>
  <c r="I446" i="45"/>
  <c r="I546" i="45"/>
  <c r="I447" i="45"/>
  <c r="I547" i="45"/>
  <c r="I448" i="45"/>
  <c r="I548" i="45"/>
  <c r="J421" i="45"/>
  <c r="J521" i="45"/>
  <c r="J422" i="45"/>
  <c r="J522" i="45"/>
  <c r="J423" i="45"/>
  <c r="J523" i="45"/>
  <c r="J426" i="45"/>
  <c r="J526" i="45"/>
  <c r="J427" i="45"/>
  <c r="J527" i="45"/>
  <c r="J428" i="45"/>
  <c r="J528" i="45"/>
  <c r="J431" i="45"/>
  <c r="J531" i="45"/>
  <c r="J432" i="45"/>
  <c r="J532" i="45"/>
  <c r="J433" i="45"/>
  <c r="J533" i="45"/>
  <c r="J436" i="45"/>
  <c r="J536" i="45"/>
  <c r="J437" i="45"/>
  <c r="J537" i="45"/>
  <c r="J438" i="45"/>
  <c r="J538" i="45"/>
  <c r="J441" i="45"/>
  <c r="J541" i="45"/>
  <c r="J442" i="45"/>
  <c r="J542" i="45"/>
  <c r="J443" i="45"/>
  <c r="J543" i="45"/>
  <c r="J446" i="45"/>
  <c r="J546" i="45"/>
  <c r="J447" i="45"/>
  <c r="J547" i="45"/>
  <c r="J448" i="45"/>
  <c r="J548" i="45"/>
  <c r="K421" i="45"/>
  <c r="K521" i="45"/>
  <c r="K422" i="45"/>
  <c r="K522" i="45"/>
  <c r="K423" i="45"/>
  <c r="K523" i="45"/>
  <c r="K426" i="45"/>
  <c r="K526" i="45"/>
  <c r="K427" i="45"/>
  <c r="K527" i="45"/>
  <c r="K428" i="45"/>
  <c r="K528" i="45"/>
  <c r="K431" i="45"/>
  <c r="K531" i="45"/>
  <c r="K432" i="45"/>
  <c r="K532" i="45"/>
  <c r="K433" i="45"/>
  <c r="K533" i="45"/>
  <c r="K436" i="45"/>
  <c r="K536" i="45"/>
  <c r="K437" i="45"/>
  <c r="K537" i="45"/>
  <c r="K438" i="45"/>
  <c r="K538" i="45"/>
  <c r="K441" i="45"/>
  <c r="K541" i="45"/>
  <c r="K442" i="45"/>
  <c r="K542" i="45"/>
  <c r="K443" i="45"/>
  <c r="K543" i="45"/>
  <c r="K446" i="45"/>
  <c r="K546" i="45"/>
  <c r="K447" i="45"/>
  <c r="K547" i="45"/>
  <c r="K448" i="45"/>
  <c r="K548" i="45"/>
  <c r="L421" i="45"/>
  <c r="L521" i="45"/>
  <c r="L422" i="45"/>
  <c r="L522" i="45"/>
  <c r="L423" i="45"/>
  <c r="L523" i="45"/>
  <c r="L426" i="45"/>
  <c r="L526" i="45"/>
  <c r="L427" i="45"/>
  <c r="L527" i="45"/>
  <c r="L428" i="45"/>
  <c r="L528" i="45"/>
  <c r="L431" i="45"/>
  <c r="L531" i="45"/>
  <c r="L432" i="45"/>
  <c r="L532" i="45"/>
  <c r="L433" i="45"/>
  <c r="L533" i="45"/>
  <c r="L436" i="45"/>
  <c r="L536" i="45"/>
  <c r="L437" i="45"/>
  <c r="L537" i="45"/>
  <c r="L438" i="45"/>
  <c r="L538" i="45"/>
  <c r="L441" i="45"/>
  <c r="L541" i="45"/>
  <c r="L442" i="45"/>
  <c r="L542" i="45"/>
  <c r="L443" i="45"/>
  <c r="L543" i="45"/>
  <c r="L446" i="45"/>
  <c r="L546" i="45"/>
  <c r="L447" i="45"/>
  <c r="L547" i="45"/>
  <c r="L448" i="45"/>
  <c r="L548" i="45"/>
  <c r="M421" i="45"/>
  <c r="M521" i="45"/>
  <c r="M422" i="45"/>
  <c r="M522" i="45"/>
  <c r="M423" i="45"/>
  <c r="M523" i="45"/>
  <c r="M426" i="45"/>
  <c r="M526" i="45"/>
  <c r="M427" i="45"/>
  <c r="M527" i="45"/>
  <c r="M428" i="45"/>
  <c r="M528" i="45"/>
  <c r="M431" i="45"/>
  <c r="M531" i="45"/>
  <c r="M432" i="45"/>
  <c r="M532" i="45"/>
  <c r="M433" i="45"/>
  <c r="M533" i="45"/>
  <c r="M436" i="45"/>
  <c r="M536" i="45"/>
  <c r="M437" i="45"/>
  <c r="M537" i="45"/>
  <c r="M438" i="45"/>
  <c r="M538" i="45"/>
  <c r="M441" i="45"/>
  <c r="M541" i="45"/>
  <c r="M442" i="45"/>
  <c r="M542" i="45"/>
  <c r="M443" i="45"/>
  <c r="M543" i="45"/>
  <c r="M446" i="45"/>
  <c r="M546" i="45"/>
  <c r="M447" i="45"/>
  <c r="M547" i="45"/>
  <c r="M448" i="45"/>
  <c r="M548" i="45"/>
  <c r="N421" i="45"/>
  <c r="N521" i="45"/>
  <c r="N422" i="45"/>
  <c r="N522" i="45"/>
  <c r="N423" i="45"/>
  <c r="N523" i="45"/>
  <c r="N426" i="45"/>
  <c r="N526" i="45"/>
  <c r="N427" i="45"/>
  <c r="N527" i="45"/>
  <c r="N428" i="45"/>
  <c r="N528" i="45"/>
  <c r="N431" i="45"/>
  <c r="N531" i="45"/>
  <c r="N432" i="45"/>
  <c r="N532" i="45"/>
  <c r="N433" i="45"/>
  <c r="N533" i="45"/>
  <c r="N436" i="45"/>
  <c r="N536" i="45"/>
  <c r="N437" i="45"/>
  <c r="N537" i="45"/>
  <c r="N438" i="45"/>
  <c r="N538" i="45"/>
  <c r="N441" i="45"/>
  <c r="N541" i="45"/>
  <c r="N442" i="45"/>
  <c r="N542" i="45"/>
  <c r="N443" i="45"/>
  <c r="N543" i="45"/>
  <c r="N446" i="45"/>
  <c r="N546" i="45"/>
  <c r="N447" i="45"/>
  <c r="N547" i="45"/>
  <c r="N448" i="45"/>
  <c r="N548" i="45"/>
  <c r="H458" i="45"/>
  <c r="H558" i="45"/>
  <c r="H459" i="45"/>
  <c r="H559" i="45"/>
  <c r="H460" i="45"/>
  <c r="H560" i="45"/>
  <c r="H461" i="45"/>
  <c r="H561" i="45"/>
  <c r="H464" i="45"/>
  <c r="H564" i="45"/>
  <c r="H465" i="45"/>
  <c r="H565" i="45"/>
  <c r="H466" i="45"/>
  <c r="H566" i="45"/>
  <c r="H467" i="45"/>
  <c r="H567" i="45"/>
  <c r="H470" i="45"/>
  <c r="H570" i="45"/>
  <c r="H471" i="45"/>
  <c r="H571" i="45"/>
  <c r="H472" i="45"/>
  <c r="H572" i="45"/>
  <c r="H473" i="45"/>
  <c r="H573" i="45"/>
  <c r="I458" i="45"/>
  <c r="I558" i="45"/>
  <c r="I459" i="45"/>
  <c r="I559" i="45"/>
  <c r="I460" i="45"/>
  <c r="I560" i="45"/>
  <c r="I461" i="45"/>
  <c r="I561" i="45"/>
  <c r="I464" i="45"/>
  <c r="I564" i="45"/>
  <c r="I465" i="45"/>
  <c r="I565" i="45"/>
  <c r="I466" i="45"/>
  <c r="I566" i="45"/>
  <c r="I467" i="45"/>
  <c r="I567" i="45"/>
  <c r="I470" i="45"/>
  <c r="I570" i="45"/>
  <c r="I471" i="45"/>
  <c r="I571" i="45"/>
  <c r="I472" i="45"/>
  <c r="I572" i="45"/>
  <c r="I473" i="45"/>
  <c r="I573" i="45"/>
  <c r="J458" i="45"/>
  <c r="J558" i="45"/>
  <c r="J459" i="45"/>
  <c r="J559" i="45"/>
  <c r="J460" i="45"/>
  <c r="J560" i="45"/>
  <c r="J461" i="45"/>
  <c r="J561" i="45"/>
  <c r="J464" i="45"/>
  <c r="J564" i="45"/>
  <c r="J465" i="45"/>
  <c r="J565" i="45"/>
  <c r="J466" i="45"/>
  <c r="J566" i="45"/>
  <c r="J467" i="45"/>
  <c r="J567" i="45"/>
  <c r="J470" i="45"/>
  <c r="J570" i="45"/>
  <c r="J471" i="45"/>
  <c r="J571" i="45"/>
  <c r="J472" i="45"/>
  <c r="J572" i="45"/>
  <c r="J473" i="45"/>
  <c r="J573" i="45"/>
  <c r="K458" i="45"/>
  <c r="K558" i="45"/>
  <c r="K459" i="45"/>
  <c r="K559" i="45"/>
  <c r="K460" i="45"/>
  <c r="K560" i="45"/>
  <c r="K461" i="45"/>
  <c r="K561" i="45"/>
  <c r="K464" i="45"/>
  <c r="K564" i="45"/>
  <c r="K465" i="45"/>
  <c r="K565" i="45"/>
  <c r="K466" i="45"/>
  <c r="K566" i="45"/>
  <c r="K467" i="45"/>
  <c r="K567" i="45"/>
  <c r="K470" i="45"/>
  <c r="K570" i="45"/>
  <c r="K471" i="45"/>
  <c r="K571" i="45"/>
  <c r="K472" i="45"/>
  <c r="K572" i="45"/>
  <c r="K473" i="45"/>
  <c r="K573" i="45"/>
  <c r="L458" i="45"/>
  <c r="L558" i="45"/>
  <c r="L459" i="45"/>
  <c r="L559" i="45"/>
  <c r="L460" i="45"/>
  <c r="L560" i="45"/>
  <c r="L461" i="45"/>
  <c r="L561" i="45"/>
  <c r="L464" i="45"/>
  <c r="L564" i="45"/>
  <c r="L465" i="45"/>
  <c r="L565" i="45"/>
  <c r="L466" i="45"/>
  <c r="L566" i="45"/>
  <c r="L467" i="45"/>
  <c r="L567" i="45"/>
  <c r="L470" i="45"/>
  <c r="L570" i="45"/>
  <c r="L471" i="45"/>
  <c r="L571" i="45"/>
  <c r="L472" i="45"/>
  <c r="L572" i="45"/>
  <c r="L473" i="45"/>
  <c r="L573" i="45"/>
  <c r="M458" i="45"/>
  <c r="M558" i="45"/>
  <c r="M459" i="45"/>
  <c r="M559" i="45"/>
  <c r="M460" i="45"/>
  <c r="M560" i="45"/>
  <c r="M461" i="45"/>
  <c r="M561" i="45"/>
  <c r="M464" i="45"/>
  <c r="M564" i="45"/>
  <c r="M465" i="45"/>
  <c r="M565" i="45"/>
  <c r="M466" i="45"/>
  <c r="M566" i="45"/>
  <c r="M467" i="45"/>
  <c r="M567" i="45"/>
  <c r="M470" i="45"/>
  <c r="M570" i="45"/>
  <c r="M471" i="45"/>
  <c r="M571" i="45"/>
  <c r="M472" i="45"/>
  <c r="M572" i="45"/>
  <c r="M473" i="45"/>
  <c r="M573" i="45"/>
  <c r="N458" i="45"/>
  <c r="N558" i="45"/>
  <c r="N459" i="45"/>
  <c r="N559" i="45"/>
  <c r="N460" i="45"/>
  <c r="N560" i="45"/>
  <c r="N461" i="45"/>
  <c r="N561" i="45"/>
  <c r="N464" i="45"/>
  <c r="N564" i="45"/>
  <c r="N465" i="45"/>
  <c r="N565" i="45"/>
  <c r="N466" i="45"/>
  <c r="N566" i="45"/>
  <c r="N467" i="45"/>
  <c r="N567" i="45"/>
  <c r="N470" i="45"/>
  <c r="N570" i="45"/>
  <c r="N471" i="45"/>
  <c r="N571" i="45"/>
  <c r="N472" i="45"/>
  <c r="N572" i="45"/>
  <c r="N473" i="45"/>
  <c r="N573" i="45"/>
  <c r="H483" i="45"/>
  <c r="H583" i="45"/>
  <c r="H484" i="45"/>
  <c r="H584" i="45"/>
  <c r="H485" i="45"/>
  <c r="H585" i="45"/>
  <c r="H486" i="45"/>
  <c r="H586" i="45"/>
  <c r="H489" i="45"/>
  <c r="H589" i="45"/>
  <c r="H490" i="45"/>
  <c r="H590" i="45"/>
  <c r="H493" i="45"/>
  <c r="H593" i="45"/>
  <c r="H494" i="45"/>
  <c r="H594" i="45"/>
  <c r="H495" i="45"/>
  <c r="H595" i="45"/>
  <c r="H496" i="45"/>
  <c r="H596" i="45"/>
  <c r="H497" i="45"/>
  <c r="H597" i="45"/>
  <c r="H498" i="45"/>
  <c r="H598" i="45"/>
  <c r="I483" i="45"/>
  <c r="I583" i="45"/>
  <c r="I484" i="45"/>
  <c r="I584" i="45"/>
  <c r="I485" i="45"/>
  <c r="I585" i="45"/>
  <c r="I486" i="45"/>
  <c r="I586" i="45"/>
  <c r="I489" i="45"/>
  <c r="I589" i="45"/>
  <c r="I490" i="45"/>
  <c r="I590" i="45"/>
  <c r="I493" i="45"/>
  <c r="I593" i="45"/>
  <c r="I494" i="45"/>
  <c r="I594" i="45"/>
  <c r="I495" i="45"/>
  <c r="I595" i="45"/>
  <c r="I496" i="45"/>
  <c r="I596" i="45"/>
  <c r="I497" i="45"/>
  <c r="I597" i="45"/>
  <c r="I498" i="45"/>
  <c r="I598" i="45"/>
  <c r="J483" i="45"/>
  <c r="J583" i="45"/>
  <c r="J484" i="45"/>
  <c r="J584" i="45"/>
  <c r="J485" i="45"/>
  <c r="J585" i="45"/>
  <c r="J486" i="45"/>
  <c r="J586" i="45"/>
  <c r="J489" i="45"/>
  <c r="J589" i="45"/>
  <c r="J490" i="45"/>
  <c r="J590" i="45"/>
  <c r="J493" i="45"/>
  <c r="J593" i="45"/>
  <c r="J494" i="45"/>
  <c r="J594" i="45"/>
  <c r="J495" i="45"/>
  <c r="J595" i="45"/>
  <c r="J496" i="45"/>
  <c r="J596" i="45"/>
  <c r="J497" i="45"/>
  <c r="J597" i="45"/>
  <c r="J498" i="45"/>
  <c r="J598" i="45"/>
  <c r="K483" i="45"/>
  <c r="K583" i="45"/>
  <c r="K484" i="45"/>
  <c r="K584" i="45"/>
  <c r="K485" i="45"/>
  <c r="K585" i="45"/>
  <c r="K486" i="45"/>
  <c r="K586" i="45"/>
  <c r="K489" i="45"/>
  <c r="K589" i="45"/>
  <c r="K490" i="45"/>
  <c r="K590" i="45"/>
  <c r="K493" i="45"/>
  <c r="K593" i="45"/>
  <c r="K494" i="45"/>
  <c r="K594" i="45"/>
  <c r="K495" i="45"/>
  <c r="K595" i="45"/>
  <c r="K496" i="45"/>
  <c r="K596" i="45"/>
  <c r="K497" i="45"/>
  <c r="K597" i="45"/>
  <c r="K498" i="45"/>
  <c r="K598" i="45"/>
  <c r="L483" i="45"/>
  <c r="L583" i="45"/>
  <c r="L484" i="45"/>
  <c r="L584" i="45"/>
  <c r="L485" i="45"/>
  <c r="L585" i="45"/>
  <c r="L486" i="45"/>
  <c r="L586" i="45"/>
  <c r="L489" i="45"/>
  <c r="L589" i="45"/>
  <c r="L490" i="45"/>
  <c r="L590" i="45"/>
  <c r="L493" i="45"/>
  <c r="L593" i="45"/>
  <c r="L494" i="45"/>
  <c r="L594" i="45"/>
  <c r="L495" i="45"/>
  <c r="L595" i="45"/>
  <c r="L496" i="45"/>
  <c r="L596" i="45"/>
  <c r="L497" i="45"/>
  <c r="L597" i="45"/>
  <c r="L498" i="45"/>
  <c r="L598" i="45"/>
  <c r="M483" i="45"/>
  <c r="M583" i="45"/>
  <c r="M484" i="45"/>
  <c r="M584" i="45"/>
  <c r="M485" i="45"/>
  <c r="M585" i="45"/>
  <c r="M486" i="45"/>
  <c r="M586" i="45"/>
  <c r="M489" i="45"/>
  <c r="M589" i="45"/>
  <c r="M490" i="45"/>
  <c r="M590" i="45"/>
  <c r="M493" i="45"/>
  <c r="M593" i="45"/>
  <c r="M494" i="45"/>
  <c r="M594" i="45"/>
  <c r="M495" i="45"/>
  <c r="M595" i="45"/>
  <c r="M496" i="45"/>
  <c r="M596" i="45"/>
  <c r="M497" i="45"/>
  <c r="M597" i="45"/>
  <c r="M498" i="45"/>
  <c r="M598" i="45"/>
  <c r="N483" i="45"/>
  <c r="N583" i="45"/>
  <c r="N484" i="45"/>
  <c r="N584" i="45"/>
  <c r="N485" i="45"/>
  <c r="N585" i="45"/>
  <c r="N486" i="45"/>
  <c r="N586" i="45"/>
  <c r="N489" i="45"/>
  <c r="N589" i="45"/>
  <c r="N490" i="45"/>
  <c r="N590" i="45"/>
  <c r="N493" i="45"/>
  <c r="N593" i="45"/>
  <c r="N494" i="45"/>
  <c r="N594" i="45"/>
  <c r="N495" i="45"/>
  <c r="N595" i="45"/>
  <c r="N496" i="45"/>
  <c r="N596" i="45"/>
  <c r="N497" i="45"/>
  <c r="N597" i="45"/>
  <c r="N498" i="45"/>
  <c r="N598" i="45"/>
  <c r="G483" i="45"/>
  <c r="G583" i="45"/>
  <c r="G484" i="45"/>
  <c r="G584" i="45"/>
  <c r="G485" i="45"/>
  <c r="G585" i="45"/>
  <c r="F585" i="45" s="1"/>
  <c r="G486" i="45"/>
  <c r="G586" i="45"/>
  <c r="G489" i="45"/>
  <c r="G589" i="45"/>
  <c r="F589" i="45" s="1"/>
  <c r="G490" i="45"/>
  <c r="G590" i="45"/>
  <c r="G493" i="45"/>
  <c r="G593" i="45"/>
  <c r="F593" i="45" s="1"/>
  <c r="G494" i="45"/>
  <c r="G594" i="45"/>
  <c r="G495" i="45"/>
  <c r="G595" i="45"/>
  <c r="F595" i="45" s="1"/>
  <c r="G496" i="45"/>
  <c r="F496" i="45" s="1"/>
  <c r="G596" i="45"/>
  <c r="G497" i="45"/>
  <c r="G597" i="45"/>
  <c r="F597" i="45" s="1"/>
  <c r="G498" i="45"/>
  <c r="G598" i="45"/>
  <c r="G458" i="45"/>
  <c r="G558" i="45"/>
  <c r="F558" i="45" s="1"/>
  <c r="G459" i="45"/>
  <c r="F459" i="45" s="1"/>
  <c r="G559" i="45"/>
  <c r="G460" i="45"/>
  <c r="G560" i="45"/>
  <c r="F560" i="45" s="1"/>
  <c r="G461" i="45"/>
  <c r="G561" i="45"/>
  <c r="G464" i="45"/>
  <c r="G564" i="45"/>
  <c r="F564" i="45" s="1"/>
  <c r="G465" i="45"/>
  <c r="F465" i="45" s="1"/>
  <c r="G565" i="45"/>
  <c r="G466" i="45"/>
  <c r="G566" i="45"/>
  <c r="F566" i="45" s="1"/>
  <c r="G467" i="45"/>
  <c r="G567" i="45"/>
  <c r="G470" i="45"/>
  <c r="G570" i="45"/>
  <c r="F570" i="45" s="1"/>
  <c r="G471" i="45"/>
  <c r="F471" i="45" s="1"/>
  <c r="G571" i="45"/>
  <c r="G472" i="45"/>
  <c r="G572" i="45"/>
  <c r="F572" i="45" s="1"/>
  <c r="G473" i="45"/>
  <c r="G573" i="45"/>
  <c r="G421" i="45"/>
  <c r="G521" i="45"/>
  <c r="G422" i="45"/>
  <c r="G522" i="45"/>
  <c r="G423" i="45"/>
  <c r="G523" i="45"/>
  <c r="F523" i="45" s="1"/>
  <c r="G426" i="45"/>
  <c r="F426" i="45" s="1"/>
  <c r="G526" i="45"/>
  <c r="G427" i="45"/>
  <c r="G527" i="45"/>
  <c r="F527" i="45" s="1"/>
  <c r="G428" i="45"/>
  <c r="G528" i="45"/>
  <c r="G431" i="45"/>
  <c r="G531" i="45"/>
  <c r="F531" i="45" s="1"/>
  <c r="G432" i="45"/>
  <c r="G532" i="45"/>
  <c r="G433" i="45"/>
  <c r="G533" i="45"/>
  <c r="F533" i="45" s="1"/>
  <c r="G436" i="45"/>
  <c r="G536" i="45"/>
  <c r="G437" i="45"/>
  <c r="G537" i="45"/>
  <c r="F537" i="45" s="1"/>
  <c r="G438" i="45"/>
  <c r="G538" i="45"/>
  <c r="G441" i="45"/>
  <c r="G541" i="45"/>
  <c r="F541" i="45" s="1"/>
  <c r="G442" i="45"/>
  <c r="G542" i="45"/>
  <c r="G443" i="45"/>
  <c r="G543" i="45"/>
  <c r="F543" i="45" s="1"/>
  <c r="G446" i="45"/>
  <c r="G546" i="45"/>
  <c r="G447" i="45"/>
  <c r="G547" i="45"/>
  <c r="F547" i="45" s="1"/>
  <c r="G448" i="45"/>
  <c r="G548" i="45"/>
  <c r="N164" i="30"/>
  <c r="N171" i="30" s="1"/>
  <c r="M164" i="30"/>
  <c r="M171" i="30" s="1"/>
  <c r="L164" i="30"/>
  <c r="L171" i="30" s="1"/>
  <c r="K164" i="30"/>
  <c r="K171" i="30" s="1"/>
  <c r="J164" i="30"/>
  <c r="J171" i="30" s="1"/>
  <c r="I164" i="30"/>
  <c r="I171" i="30" s="1"/>
  <c r="H164" i="30"/>
  <c r="H171" i="30" s="1"/>
  <c r="G164" i="30"/>
  <c r="G171" i="30" s="1"/>
  <c r="N163" i="30"/>
  <c r="M163" i="30"/>
  <c r="L163" i="30"/>
  <c r="K163" i="30"/>
  <c r="J163" i="30"/>
  <c r="I163" i="30"/>
  <c r="H163" i="30"/>
  <c r="G163" i="30"/>
  <c r="N162" i="30"/>
  <c r="M162" i="30"/>
  <c r="L162" i="30"/>
  <c r="K162" i="30"/>
  <c r="J162" i="30"/>
  <c r="I162" i="30"/>
  <c r="H162" i="30"/>
  <c r="G162" i="30"/>
  <c r="N159" i="30"/>
  <c r="N170" i="30" s="1"/>
  <c r="M159" i="30"/>
  <c r="M170" i="30" s="1"/>
  <c r="L159" i="30"/>
  <c r="L170" i="30" s="1"/>
  <c r="K159" i="30"/>
  <c r="K170" i="30" s="1"/>
  <c r="J159" i="30"/>
  <c r="J170" i="30" s="1"/>
  <c r="I159" i="30"/>
  <c r="I170" i="30" s="1"/>
  <c r="H159" i="30"/>
  <c r="H170" i="30" s="1"/>
  <c r="G159" i="30"/>
  <c r="G170" i="30" s="1"/>
  <c r="N158" i="30"/>
  <c r="M158" i="30"/>
  <c r="L158" i="30"/>
  <c r="K158" i="30"/>
  <c r="J158" i="30"/>
  <c r="I158" i="30"/>
  <c r="H158" i="30"/>
  <c r="G158" i="30"/>
  <c r="N157" i="30"/>
  <c r="M157" i="30"/>
  <c r="L157" i="30"/>
  <c r="K157" i="30"/>
  <c r="J157" i="30"/>
  <c r="I157" i="30"/>
  <c r="H157" i="30"/>
  <c r="G157" i="30"/>
  <c r="N154" i="30"/>
  <c r="N169" i="30" s="1"/>
  <c r="M154" i="30"/>
  <c r="M169" i="30" s="1"/>
  <c r="L154" i="30"/>
  <c r="L169" i="30" s="1"/>
  <c r="K154" i="30"/>
  <c r="K169" i="30" s="1"/>
  <c r="J154" i="30"/>
  <c r="J169" i="30" s="1"/>
  <c r="I154" i="30"/>
  <c r="I169" i="30" s="1"/>
  <c r="H154" i="30"/>
  <c r="H169" i="30" s="1"/>
  <c r="G154" i="30"/>
  <c r="G169" i="30" s="1"/>
  <c r="N153" i="30"/>
  <c r="M153" i="30"/>
  <c r="L153" i="30"/>
  <c r="K153" i="30"/>
  <c r="J153" i="30"/>
  <c r="I153" i="30"/>
  <c r="H153" i="30"/>
  <c r="G153" i="30"/>
  <c r="N152" i="30"/>
  <c r="M152" i="30"/>
  <c r="L152" i="30"/>
  <c r="K152" i="30"/>
  <c r="J152" i="30"/>
  <c r="I152" i="30"/>
  <c r="H152" i="30"/>
  <c r="G152" i="30"/>
  <c r="N149" i="30"/>
  <c r="N168" i="30" s="1"/>
  <c r="M149" i="30"/>
  <c r="M168" i="30" s="1"/>
  <c r="L149" i="30"/>
  <c r="L168" i="30" s="1"/>
  <c r="K149" i="30"/>
  <c r="K168" i="30" s="1"/>
  <c r="J149" i="30"/>
  <c r="J168" i="30" s="1"/>
  <c r="I149" i="30"/>
  <c r="I168" i="30" s="1"/>
  <c r="H149" i="30"/>
  <c r="H168" i="30" s="1"/>
  <c r="G149" i="30"/>
  <c r="G168" i="30" s="1"/>
  <c r="N148" i="30"/>
  <c r="M148" i="30"/>
  <c r="L148" i="30"/>
  <c r="K148" i="30"/>
  <c r="J148" i="30"/>
  <c r="I148" i="30"/>
  <c r="H148" i="30"/>
  <c r="G148" i="30"/>
  <c r="N147" i="30"/>
  <c r="M147" i="30"/>
  <c r="L147" i="30"/>
  <c r="K147" i="30"/>
  <c r="J147" i="30"/>
  <c r="I147" i="30"/>
  <c r="H147" i="30"/>
  <c r="G147" i="30"/>
  <c r="G143" i="30"/>
  <c r="H143" i="30"/>
  <c r="I143" i="30"/>
  <c r="J143" i="30"/>
  <c r="K143" i="30"/>
  <c r="L143" i="30"/>
  <c r="M143" i="30"/>
  <c r="N143" i="30"/>
  <c r="G144" i="30"/>
  <c r="G167" i="30" s="1"/>
  <c r="H144" i="30"/>
  <c r="H167" i="30" s="1"/>
  <c r="I144" i="30"/>
  <c r="I167" i="30" s="1"/>
  <c r="J144" i="30"/>
  <c r="J167" i="30" s="1"/>
  <c r="K144" i="30"/>
  <c r="K167" i="30" s="1"/>
  <c r="L144" i="30"/>
  <c r="L167" i="30" s="1"/>
  <c r="M144" i="30"/>
  <c r="M167" i="30" s="1"/>
  <c r="N144" i="30"/>
  <c r="N167" i="30" s="1"/>
  <c r="H142" i="30"/>
  <c r="I142" i="30"/>
  <c r="J142" i="30"/>
  <c r="K142" i="30"/>
  <c r="L142" i="30"/>
  <c r="M142" i="30"/>
  <c r="N142" i="30"/>
  <c r="G142" i="30"/>
  <c r="N510" i="45"/>
  <c r="N610" i="45"/>
  <c r="M510" i="45"/>
  <c r="M610" i="45"/>
  <c r="L510" i="45"/>
  <c r="L610" i="45"/>
  <c r="K510" i="45"/>
  <c r="K610" i="45"/>
  <c r="J510" i="45"/>
  <c r="J610" i="45"/>
  <c r="I510" i="45"/>
  <c r="I610" i="45"/>
  <c r="H510" i="45"/>
  <c r="H610" i="45"/>
  <c r="G510" i="45"/>
  <c r="G610" i="45"/>
  <c r="N509" i="45"/>
  <c r="N609" i="45"/>
  <c r="M509" i="45"/>
  <c r="M609" i="45"/>
  <c r="L509" i="45"/>
  <c r="L609" i="45"/>
  <c r="K509" i="45"/>
  <c r="K609" i="45"/>
  <c r="J509" i="45"/>
  <c r="J609" i="45"/>
  <c r="I509" i="45"/>
  <c r="I609" i="45"/>
  <c r="H509" i="45"/>
  <c r="H609" i="45"/>
  <c r="G509" i="45"/>
  <c r="G609" i="45"/>
  <c r="N311" i="45"/>
  <c r="N398" i="45" s="1"/>
  <c r="M311" i="45"/>
  <c r="M398" i="45" s="1"/>
  <c r="L311" i="45"/>
  <c r="L398" i="45" s="1"/>
  <c r="K311" i="45"/>
  <c r="K398" i="45" s="1"/>
  <c r="J311" i="45"/>
  <c r="J398" i="45" s="1"/>
  <c r="I311" i="45"/>
  <c r="I398" i="45" s="1"/>
  <c r="H311" i="45"/>
  <c r="H398" i="45" s="1"/>
  <c r="G311" i="45"/>
  <c r="G398" i="45" s="1"/>
  <c r="N302" i="45"/>
  <c r="N390" i="45" s="1"/>
  <c r="M302" i="45"/>
  <c r="M390" i="45" s="1"/>
  <c r="M84" i="30" s="1"/>
  <c r="L302" i="45"/>
  <c r="L390" i="45" s="1"/>
  <c r="K302" i="45"/>
  <c r="K390" i="45" s="1"/>
  <c r="J302" i="45"/>
  <c r="J390" i="45" s="1"/>
  <c r="I302" i="45"/>
  <c r="H302" i="45"/>
  <c r="H390" i="45" s="1"/>
  <c r="G302" i="45"/>
  <c r="G390" i="45" s="1"/>
  <c r="N301" i="45"/>
  <c r="N389" i="45" s="1"/>
  <c r="M301" i="45"/>
  <c r="M389" i="45" s="1"/>
  <c r="M83" i="30" s="1"/>
  <c r="L301" i="45"/>
  <c r="L389" i="45" s="1"/>
  <c r="K301" i="45"/>
  <c r="K389" i="45" s="1"/>
  <c r="J301" i="45"/>
  <c r="J389" i="45" s="1"/>
  <c r="I301" i="45"/>
  <c r="H301" i="45"/>
  <c r="H389" i="45" s="1"/>
  <c r="G301" i="45"/>
  <c r="G389" i="45" s="1"/>
  <c r="N310" i="45"/>
  <c r="N397" i="45" s="1"/>
  <c r="M310" i="45"/>
  <c r="M397" i="45" s="1"/>
  <c r="M91" i="30" s="1"/>
  <c r="L310" i="45"/>
  <c r="L397" i="45" s="1"/>
  <c r="K310" i="45"/>
  <c r="K397" i="45" s="1"/>
  <c r="J310" i="45"/>
  <c r="J397" i="45" s="1"/>
  <c r="I310" i="45"/>
  <c r="H310" i="45"/>
  <c r="H397" i="45" s="1"/>
  <c r="G310" i="45"/>
  <c r="G397" i="45" s="1"/>
  <c r="N309" i="45"/>
  <c r="N396" i="45" s="1"/>
  <c r="M309" i="45"/>
  <c r="M396" i="45" s="1"/>
  <c r="M90" i="30" s="1"/>
  <c r="L309" i="45"/>
  <c r="L396" i="45" s="1"/>
  <c r="K309" i="45"/>
  <c r="K396" i="45" s="1"/>
  <c r="J309" i="45"/>
  <c r="J396" i="45" s="1"/>
  <c r="I309" i="45"/>
  <c r="H309" i="45"/>
  <c r="H396" i="45" s="1"/>
  <c r="G309" i="45"/>
  <c r="G396" i="45" s="1"/>
  <c r="N308" i="45"/>
  <c r="N395" i="45" s="1"/>
  <c r="M308" i="45"/>
  <c r="M395" i="45" s="1"/>
  <c r="M89" i="30" s="1"/>
  <c r="L308" i="45"/>
  <c r="L395" i="45" s="1"/>
  <c r="K308" i="45"/>
  <c r="K395" i="45" s="1"/>
  <c r="J308" i="45"/>
  <c r="J395" i="45" s="1"/>
  <c r="I308" i="45"/>
  <c r="H308" i="45"/>
  <c r="H395" i="45" s="1"/>
  <c r="G308" i="45"/>
  <c r="G395" i="45" s="1"/>
  <c r="N307" i="45"/>
  <c r="N394" i="45" s="1"/>
  <c r="M307" i="45"/>
  <c r="M394" i="45" s="1"/>
  <c r="M88" i="30" s="1"/>
  <c r="L307" i="45"/>
  <c r="L394" i="45" s="1"/>
  <c r="K307" i="45"/>
  <c r="K394" i="45" s="1"/>
  <c r="J307" i="45"/>
  <c r="J394" i="45" s="1"/>
  <c r="I307" i="45"/>
  <c r="I394" i="45" s="1"/>
  <c r="H307" i="45"/>
  <c r="H394" i="45" s="1"/>
  <c r="G307" i="45"/>
  <c r="G394" i="45" s="1"/>
  <c r="N306" i="45"/>
  <c r="N393" i="45" s="1"/>
  <c r="M306" i="45"/>
  <c r="M393" i="45" s="1"/>
  <c r="M87" i="30" s="1"/>
  <c r="L306" i="45"/>
  <c r="L393" i="45" s="1"/>
  <c r="K306" i="45"/>
  <c r="K393" i="45" s="1"/>
  <c r="J306" i="45"/>
  <c r="J393" i="45" s="1"/>
  <c r="I306" i="45"/>
  <c r="H306" i="45"/>
  <c r="H393" i="45" s="1"/>
  <c r="G306" i="45"/>
  <c r="G393" i="45" s="1"/>
  <c r="N297" i="45"/>
  <c r="N410" i="45" s="1"/>
  <c r="M297" i="45"/>
  <c r="M410" i="45" s="1"/>
  <c r="M104" i="30" s="1"/>
  <c r="L297" i="45"/>
  <c r="L410" i="45" s="1"/>
  <c r="K297" i="45"/>
  <c r="K410" i="45" s="1"/>
  <c r="J297" i="45"/>
  <c r="J410" i="45" s="1"/>
  <c r="I297" i="45"/>
  <c r="I410" i="45" s="1"/>
  <c r="H297" i="45"/>
  <c r="H410" i="45" s="1"/>
  <c r="G297" i="45"/>
  <c r="G410" i="45" s="1"/>
  <c r="N296" i="45"/>
  <c r="N386" i="45" s="1"/>
  <c r="M296" i="45"/>
  <c r="M386" i="45" s="1"/>
  <c r="M80" i="30" s="1"/>
  <c r="L296" i="45"/>
  <c r="L386" i="45" s="1"/>
  <c r="K296" i="45"/>
  <c r="K386" i="45" s="1"/>
  <c r="J296" i="45"/>
  <c r="J386" i="45" s="1"/>
  <c r="I296" i="45"/>
  <c r="H296" i="45"/>
  <c r="H386" i="45" s="1"/>
  <c r="G296" i="45"/>
  <c r="G386" i="45" s="1"/>
  <c r="N295" i="45"/>
  <c r="N385" i="45" s="1"/>
  <c r="M295" i="45"/>
  <c r="M385" i="45" s="1"/>
  <c r="L295" i="45"/>
  <c r="L385" i="45" s="1"/>
  <c r="K295" i="45"/>
  <c r="K385" i="45" s="1"/>
  <c r="J295" i="45"/>
  <c r="J385" i="45" s="1"/>
  <c r="I295" i="45"/>
  <c r="H295" i="45"/>
  <c r="H385" i="45" s="1"/>
  <c r="G295" i="45"/>
  <c r="G385" i="45" s="1"/>
  <c r="N294" i="45"/>
  <c r="N384" i="45" s="1"/>
  <c r="M294" i="45"/>
  <c r="M384" i="45" s="1"/>
  <c r="M78" i="30" s="1"/>
  <c r="L294" i="45"/>
  <c r="L384" i="45" s="1"/>
  <c r="K294" i="45"/>
  <c r="K384" i="45" s="1"/>
  <c r="J294" i="45"/>
  <c r="J384" i="45" s="1"/>
  <c r="I294" i="45"/>
  <c r="H294" i="45"/>
  <c r="H384" i="45" s="1"/>
  <c r="G294" i="45"/>
  <c r="G384" i="45" s="1"/>
  <c r="N293" i="45"/>
  <c r="N383" i="45" s="1"/>
  <c r="M293" i="45"/>
  <c r="M383" i="45" s="1"/>
  <c r="M77" i="30" s="1"/>
  <c r="L293" i="45"/>
  <c r="L383" i="45" s="1"/>
  <c r="K293" i="45"/>
  <c r="K383" i="45" s="1"/>
  <c r="J293" i="45"/>
  <c r="J383" i="45" s="1"/>
  <c r="I293" i="45"/>
  <c r="I383" i="45" s="1"/>
  <c r="H293" i="45"/>
  <c r="H383" i="45" s="1"/>
  <c r="G293" i="45"/>
  <c r="G383" i="45" s="1"/>
  <c r="N289" i="45"/>
  <c r="M289" i="45"/>
  <c r="L289" i="45"/>
  <c r="K289" i="45"/>
  <c r="J289" i="45"/>
  <c r="I289" i="45"/>
  <c r="H289" i="45"/>
  <c r="G289" i="45"/>
  <c r="N288" i="45"/>
  <c r="N373" i="45" s="1"/>
  <c r="M288" i="45"/>
  <c r="M373" i="45" s="1"/>
  <c r="M67" i="30" s="1"/>
  <c r="L288" i="45"/>
  <c r="L373" i="45" s="1"/>
  <c r="K288" i="45"/>
  <c r="K373" i="45" s="1"/>
  <c r="J288" i="45"/>
  <c r="J373" i="45" s="1"/>
  <c r="I288" i="45"/>
  <c r="H288" i="45"/>
  <c r="H373" i="45" s="1"/>
  <c r="G288" i="45"/>
  <c r="G373" i="45" s="1"/>
  <c r="N287" i="45"/>
  <c r="N372" i="45" s="1"/>
  <c r="M287" i="45"/>
  <c r="M372" i="45" s="1"/>
  <c r="M66" i="30" s="1"/>
  <c r="L287" i="45"/>
  <c r="L372" i="45" s="1"/>
  <c r="K287" i="45"/>
  <c r="K372" i="45" s="1"/>
  <c r="J287" i="45"/>
  <c r="J372" i="45" s="1"/>
  <c r="I287" i="45"/>
  <c r="H287" i="45"/>
  <c r="H372" i="45" s="1"/>
  <c r="G287" i="45"/>
  <c r="G372" i="45" s="1"/>
  <c r="N286" i="45"/>
  <c r="N371" i="45" s="1"/>
  <c r="M286" i="45"/>
  <c r="M371" i="45" s="1"/>
  <c r="M65" i="30" s="1"/>
  <c r="L286" i="45"/>
  <c r="L371" i="45" s="1"/>
  <c r="K286" i="45"/>
  <c r="K371" i="45" s="1"/>
  <c r="J286" i="45"/>
  <c r="J371" i="45" s="1"/>
  <c r="I286" i="45"/>
  <c r="I371" i="45" s="1"/>
  <c r="H286" i="45"/>
  <c r="H371" i="45" s="1"/>
  <c r="G286" i="45"/>
  <c r="G371" i="45" s="1"/>
  <c r="N285" i="45"/>
  <c r="N370" i="45" s="1"/>
  <c r="M285" i="45"/>
  <c r="M370" i="45" s="1"/>
  <c r="M64" i="30" s="1"/>
  <c r="L285" i="45"/>
  <c r="L370" i="45" s="1"/>
  <c r="K285" i="45"/>
  <c r="K370" i="45" s="1"/>
  <c r="J285" i="45"/>
  <c r="J370" i="45" s="1"/>
  <c r="I285" i="45"/>
  <c r="H285" i="45"/>
  <c r="H370" i="45" s="1"/>
  <c r="G285" i="45"/>
  <c r="G370" i="45" s="1"/>
  <c r="N281" i="45"/>
  <c r="M281" i="45"/>
  <c r="L281" i="45"/>
  <c r="K281" i="45"/>
  <c r="J281" i="45"/>
  <c r="I281" i="45"/>
  <c r="H281" i="45"/>
  <c r="G281" i="45"/>
  <c r="N280" i="45"/>
  <c r="N367" i="45" s="1"/>
  <c r="M280" i="45"/>
  <c r="M367" i="45" s="1"/>
  <c r="M61" i="30" s="1"/>
  <c r="L280" i="45"/>
  <c r="L367" i="45" s="1"/>
  <c r="K280" i="45"/>
  <c r="K367" i="45" s="1"/>
  <c r="J280" i="45"/>
  <c r="J367" i="45" s="1"/>
  <c r="I280" i="45"/>
  <c r="H280" i="45"/>
  <c r="H367" i="45" s="1"/>
  <c r="G280" i="45"/>
  <c r="G367" i="45" s="1"/>
  <c r="N279" i="45"/>
  <c r="N366" i="45" s="1"/>
  <c r="M279" i="45"/>
  <c r="M366" i="45" s="1"/>
  <c r="M60" i="30" s="1"/>
  <c r="L279" i="45"/>
  <c r="L366" i="45" s="1"/>
  <c r="K279" i="45"/>
  <c r="K366" i="45" s="1"/>
  <c r="J279" i="45"/>
  <c r="J366" i="45" s="1"/>
  <c r="I279" i="45"/>
  <c r="I366" i="45" s="1"/>
  <c r="H279" i="45"/>
  <c r="H366" i="45" s="1"/>
  <c r="G279" i="45"/>
  <c r="G366" i="45" s="1"/>
  <c r="N278" i="45"/>
  <c r="N365" i="45" s="1"/>
  <c r="M278" i="45"/>
  <c r="M365" i="45" s="1"/>
  <c r="M59" i="30" s="1"/>
  <c r="L278" i="45"/>
  <c r="L365" i="45" s="1"/>
  <c r="K278" i="45"/>
  <c r="K365" i="45" s="1"/>
  <c r="J278" i="45"/>
  <c r="J365" i="45" s="1"/>
  <c r="I278" i="45"/>
  <c r="H278" i="45"/>
  <c r="H365" i="45" s="1"/>
  <c r="G278" i="45"/>
  <c r="G365" i="45" s="1"/>
  <c r="N277" i="45"/>
  <c r="N364" i="45" s="1"/>
  <c r="M277" i="45"/>
  <c r="M364" i="45" s="1"/>
  <c r="M58" i="30" s="1"/>
  <c r="L277" i="45"/>
  <c r="L364" i="45" s="1"/>
  <c r="K277" i="45"/>
  <c r="K364" i="45" s="1"/>
  <c r="J277" i="45"/>
  <c r="J364" i="45" s="1"/>
  <c r="I277" i="45"/>
  <c r="H277" i="45"/>
  <c r="H364" i="45" s="1"/>
  <c r="G277" i="45"/>
  <c r="G364" i="45" s="1"/>
  <c r="G270" i="45"/>
  <c r="G359" i="45" s="1"/>
  <c r="H270" i="45"/>
  <c r="I270" i="45"/>
  <c r="I359" i="45" s="1"/>
  <c r="J270" i="45"/>
  <c r="J359" i="45" s="1"/>
  <c r="K270" i="45"/>
  <c r="K359" i="45" s="1"/>
  <c r="L270" i="45"/>
  <c r="L359" i="45" s="1"/>
  <c r="L53" i="30" s="1"/>
  <c r="M270" i="45"/>
  <c r="M359" i="45" s="1"/>
  <c r="N270" i="45"/>
  <c r="N359" i="45" s="1"/>
  <c r="G271" i="45"/>
  <c r="G360" i="45" s="1"/>
  <c r="H271" i="45"/>
  <c r="I271" i="45"/>
  <c r="I360" i="45" s="1"/>
  <c r="J271" i="45"/>
  <c r="J360" i="45" s="1"/>
  <c r="K271" i="45"/>
  <c r="K360" i="45" s="1"/>
  <c r="L271" i="45"/>
  <c r="L360" i="45" s="1"/>
  <c r="L54" i="30" s="1"/>
  <c r="M271" i="45"/>
  <c r="M360" i="45" s="1"/>
  <c r="N271" i="45"/>
  <c r="N360" i="45" s="1"/>
  <c r="G272" i="45"/>
  <c r="G361" i="45" s="1"/>
  <c r="H272" i="45"/>
  <c r="H361" i="45" s="1"/>
  <c r="I272" i="45"/>
  <c r="I361" i="45" s="1"/>
  <c r="J272" i="45"/>
  <c r="J361" i="45" s="1"/>
  <c r="K272" i="45"/>
  <c r="K361" i="45" s="1"/>
  <c r="L272" i="45"/>
  <c r="L361" i="45" s="1"/>
  <c r="L55" i="30" s="1"/>
  <c r="M272" i="45"/>
  <c r="M361" i="45" s="1"/>
  <c r="N272" i="45"/>
  <c r="N361" i="45" s="1"/>
  <c r="G273" i="45"/>
  <c r="H273" i="45"/>
  <c r="I273" i="45"/>
  <c r="J273" i="45"/>
  <c r="K273" i="45"/>
  <c r="L273" i="45"/>
  <c r="M273" i="45"/>
  <c r="N273" i="45"/>
  <c r="N269" i="45"/>
  <c r="N358" i="45" s="1"/>
  <c r="M269" i="45"/>
  <c r="M358" i="45" s="1"/>
  <c r="M52" i="30" s="1"/>
  <c r="L269" i="45"/>
  <c r="L358" i="45" s="1"/>
  <c r="K269" i="45"/>
  <c r="K358" i="45" s="1"/>
  <c r="J269" i="45"/>
  <c r="J358" i="45" s="1"/>
  <c r="I269" i="45"/>
  <c r="H269" i="45"/>
  <c r="H358" i="45" s="1"/>
  <c r="G269" i="45"/>
  <c r="G358" i="45" s="1"/>
  <c r="N265" i="45"/>
  <c r="M265" i="45"/>
  <c r="L265" i="45"/>
  <c r="K265" i="45"/>
  <c r="J265" i="45"/>
  <c r="I265" i="45"/>
  <c r="H265" i="45"/>
  <c r="G265" i="45"/>
  <c r="N263" i="45"/>
  <c r="N348" i="45" s="1"/>
  <c r="M263" i="45"/>
  <c r="M348" i="45" s="1"/>
  <c r="L263" i="45"/>
  <c r="L348" i="45" s="1"/>
  <c r="K263" i="45"/>
  <c r="K348" i="45" s="1"/>
  <c r="J263" i="45"/>
  <c r="J348" i="45" s="1"/>
  <c r="I263" i="45"/>
  <c r="H263" i="45"/>
  <c r="H348" i="45" s="1"/>
  <c r="G263" i="45"/>
  <c r="G348" i="45" s="1"/>
  <c r="N262" i="45"/>
  <c r="N347" i="45" s="1"/>
  <c r="M262" i="45"/>
  <c r="M347" i="45" s="1"/>
  <c r="M41" i="30" s="1"/>
  <c r="L262" i="45"/>
  <c r="L347" i="45" s="1"/>
  <c r="K262" i="45"/>
  <c r="K347" i="45" s="1"/>
  <c r="J262" i="45"/>
  <c r="J347" i="45" s="1"/>
  <c r="I262" i="45"/>
  <c r="H262" i="45"/>
  <c r="H347" i="45" s="1"/>
  <c r="G262" i="45"/>
  <c r="G347" i="45" s="1"/>
  <c r="N260" i="45"/>
  <c r="N346" i="45" s="1"/>
  <c r="M260" i="45"/>
  <c r="M346" i="45" s="1"/>
  <c r="M40" i="30" s="1"/>
  <c r="L260" i="45"/>
  <c r="L346" i="45" s="1"/>
  <c r="K260" i="45"/>
  <c r="K346" i="45" s="1"/>
  <c r="J260" i="45"/>
  <c r="J346" i="45" s="1"/>
  <c r="I260" i="45"/>
  <c r="H260" i="45"/>
  <c r="H346" i="45" s="1"/>
  <c r="G260" i="45"/>
  <c r="G346" i="45" s="1"/>
  <c r="N256" i="45"/>
  <c r="M256" i="45"/>
  <c r="L256" i="45"/>
  <c r="K256" i="45"/>
  <c r="J256" i="45"/>
  <c r="I256" i="45"/>
  <c r="H256" i="45"/>
  <c r="G256" i="45"/>
  <c r="N254" i="45"/>
  <c r="N343" i="45" s="1"/>
  <c r="M254" i="45"/>
  <c r="M343" i="45" s="1"/>
  <c r="M37" i="30" s="1"/>
  <c r="L254" i="45"/>
  <c r="L343" i="45" s="1"/>
  <c r="K254" i="45"/>
  <c r="K343" i="45" s="1"/>
  <c r="J254" i="45"/>
  <c r="J343" i="45" s="1"/>
  <c r="I254" i="45"/>
  <c r="H254" i="45"/>
  <c r="H343" i="45" s="1"/>
  <c r="G254" i="45"/>
  <c r="G343" i="45" s="1"/>
  <c r="N253" i="45"/>
  <c r="N342" i="45" s="1"/>
  <c r="M253" i="45"/>
  <c r="M342" i="45" s="1"/>
  <c r="M36" i="30" s="1"/>
  <c r="L253" i="45"/>
  <c r="L342" i="45" s="1"/>
  <c r="K253" i="45"/>
  <c r="K342" i="45" s="1"/>
  <c r="J253" i="45"/>
  <c r="J342" i="45" s="1"/>
  <c r="I253" i="45"/>
  <c r="H253" i="45"/>
  <c r="H342" i="45" s="1"/>
  <c r="G253" i="45"/>
  <c r="G342" i="45" s="1"/>
  <c r="N251" i="45"/>
  <c r="N341" i="45" s="1"/>
  <c r="M251" i="45"/>
  <c r="M341" i="45" s="1"/>
  <c r="M35" i="30" s="1"/>
  <c r="L251" i="45"/>
  <c r="L341" i="45" s="1"/>
  <c r="K251" i="45"/>
  <c r="K341" i="45" s="1"/>
  <c r="J251" i="45"/>
  <c r="J341" i="45" s="1"/>
  <c r="I251" i="45"/>
  <c r="H251" i="45"/>
  <c r="H341" i="45" s="1"/>
  <c r="G251" i="45"/>
  <c r="G341" i="45" s="1"/>
  <c r="N247" i="45"/>
  <c r="M247" i="45"/>
  <c r="L247" i="45"/>
  <c r="K247" i="45"/>
  <c r="J247" i="45"/>
  <c r="I247" i="45"/>
  <c r="H247" i="45"/>
  <c r="G247" i="45"/>
  <c r="N245" i="45"/>
  <c r="N338" i="45" s="1"/>
  <c r="M245" i="45"/>
  <c r="M338" i="45" s="1"/>
  <c r="M32" i="30" s="1"/>
  <c r="L245" i="45"/>
  <c r="L338" i="45" s="1"/>
  <c r="K245" i="45"/>
  <c r="K338" i="45" s="1"/>
  <c r="J245" i="45"/>
  <c r="J338" i="45" s="1"/>
  <c r="I245" i="45"/>
  <c r="H245" i="45"/>
  <c r="H338" i="45" s="1"/>
  <c r="G245" i="45"/>
  <c r="G338" i="45" s="1"/>
  <c r="N244" i="45"/>
  <c r="N337" i="45" s="1"/>
  <c r="M244" i="45"/>
  <c r="M337" i="45" s="1"/>
  <c r="M31" i="30" s="1"/>
  <c r="L244" i="45"/>
  <c r="L337" i="45" s="1"/>
  <c r="K244" i="45"/>
  <c r="K337" i="45" s="1"/>
  <c r="J244" i="45"/>
  <c r="J337" i="45" s="1"/>
  <c r="I244" i="45"/>
  <c r="H244" i="45"/>
  <c r="H337" i="45" s="1"/>
  <c r="G244" i="45"/>
  <c r="G337" i="45" s="1"/>
  <c r="N242" i="45"/>
  <c r="N336" i="45" s="1"/>
  <c r="M242" i="45"/>
  <c r="M336" i="45" s="1"/>
  <c r="L242" i="45"/>
  <c r="L336" i="45" s="1"/>
  <c r="K242" i="45"/>
  <c r="K336" i="45" s="1"/>
  <c r="J242" i="45"/>
  <c r="J336" i="45" s="1"/>
  <c r="I242" i="45"/>
  <c r="H242" i="45"/>
  <c r="H336" i="45" s="1"/>
  <c r="G242" i="45"/>
  <c r="G336" i="45" s="1"/>
  <c r="N238" i="45"/>
  <c r="M238" i="45"/>
  <c r="L238" i="45"/>
  <c r="K238" i="45"/>
  <c r="J238" i="45"/>
  <c r="I238" i="45"/>
  <c r="H238" i="45"/>
  <c r="G238" i="45"/>
  <c r="N236" i="45"/>
  <c r="N333" i="45" s="1"/>
  <c r="M236" i="45"/>
  <c r="M333" i="45" s="1"/>
  <c r="M27" i="30" s="1"/>
  <c r="L236" i="45"/>
  <c r="L333" i="45" s="1"/>
  <c r="K236" i="45"/>
  <c r="K333" i="45" s="1"/>
  <c r="J236" i="45"/>
  <c r="J333" i="45" s="1"/>
  <c r="I236" i="45"/>
  <c r="H236" i="45"/>
  <c r="H333" i="45" s="1"/>
  <c r="G236" i="45"/>
  <c r="G333" i="45" s="1"/>
  <c r="N235" i="45"/>
  <c r="N332" i="45" s="1"/>
  <c r="M235" i="45"/>
  <c r="M332" i="45" s="1"/>
  <c r="M26" i="30" s="1"/>
  <c r="L235" i="45"/>
  <c r="L332" i="45" s="1"/>
  <c r="K235" i="45"/>
  <c r="K332" i="45" s="1"/>
  <c r="J235" i="45"/>
  <c r="J332" i="45" s="1"/>
  <c r="I235" i="45"/>
  <c r="H235" i="45"/>
  <c r="H332" i="45" s="1"/>
  <c r="G235" i="45"/>
  <c r="G332" i="45" s="1"/>
  <c r="N233" i="45"/>
  <c r="N331" i="45" s="1"/>
  <c r="M233" i="45"/>
  <c r="M331" i="45" s="1"/>
  <c r="M25" i="30" s="1"/>
  <c r="L233" i="45"/>
  <c r="L331" i="45" s="1"/>
  <c r="K233" i="45"/>
  <c r="K331" i="45" s="1"/>
  <c r="J233" i="45"/>
  <c r="J331" i="45" s="1"/>
  <c r="I233" i="45"/>
  <c r="H233" i="45"/>
  <c r="H331" i="45" s="1"/>
  <c r="G233" i="45"/>
  <c r="G331" i="45" s="1"/>
  <c r="N229" i="45"/>
  <c r="M229" i="45"/>
  <c r="L229" i="45"/>
  <c r="K229" i="45"/>
  <c r="J229" i="45"/>
  <c r="I229" i="45"/>
  <c r="H229" i="45"/>
  <c r="G229" i="45"/>
  <c r="N227" i="45"/>
  <c r="N328" i="45" s="1"/>
  <c r="M227" i="45"/>
  <c r="M328" i="45" s="1"/>
  <c r="M22" i="30" s="1"/>
  <c r="L227" i="45"/>
  <c r="L328" i="45" s="1"/>
  <c r="K227" i="45"/>
  <c r="K328" i="45" s="1"/>
  <c r="J227" i="45"/>
  <c r="J328" i="45" s="1"/>
  <c r="I227" i="45"/>
  <c r="H227" i="45"/>
  <c r="H328" i="45" s="1"/>
  <c r="G227" i="45"/>
  <c r="G328" i="45" s="1"/>
  <c r="N226" i="45"/>
  <c r="N327" i="45" s="1"/>
  <c r="M226" i="45"/>
  <c r="M327" i="45" s="1"/>
  <c r="M21" i="30" s="1"/>
  <c r="L226" i="45"/>
  <c r="L327" i="45" s="1"/>
  <c r="K226" i="45"/>
  <c r="K327" i="45" s="1"/>
  <c r="J226" i="45"/>
  <c r="J327" i="45" s="1"/>
  <c r="I226" i="45"/>
  <c r="H226" i="45"/>
  <c r="H327" i="45" s="1"/>
  <c r="G226" i="45"/>
  <c r="G327" i="45" s="1"/>
  <c r="N224" i="45"/>
  <c r="N326" i="45" s="1"/>
  <c r="M224" i="45"/>
  <c r="M326" i="45" s="1"/>
  <c r="M20" i="30" s="1"/>
  <c r="L224" i="45"/>
  <c r="L326" i="45" s="1"/>
  <c r="K224" i="45"/>
  <c r="K326" i="45" s="1"/>
  <c r="J224" i="45"/>
  <c r="J326" i="45" s="1"/>
  <c r="I224" i="45"/>
  <c r="H224" i="45"/>
  <c r="H326" i="45" s="1"/>
  <c r="G224" i="45"/>
  <c r="G326" i="45" s="1"/>
  <c r="G217" i="45"/>
  <c r="G322" i="45" s="1"/>
  <c r="H217" i="45"/>
  <c r="I217" i="45"/>
  <c r="I322" i="45" s="1"/>
  <c r="J217" i="45"/>
  <c r="J322" i="45" s="1"/>
  <c r="K217" i="45"/>
  <c r="K322" i="45" s="1"/>
  <c r="L217" i="45"/>
  <c r="L322" i="45" s="1"/>
  <c r="L16" i="30" s="1"/>
  <c r="M217" i="45"/>
  <c r="M322" i="45" s="1"/>
  <c r="N217" i="45"/>
  <c r="N322" i="45" s="1"/>
  <c r="G218" i="45"/>
  <c r="G323" i="45" s="1"/>
  <c r="H218" i="45"/>
  <c r="I218" i="45"/>
  <c r="I323" i="45" s="1"/>
  <c r="J218" i="45"/>
  <c r="J323" i="45" s="1"/>
  <c r="K218" i="45"/>
  <c r="K323" i="45" s="1"/>
  <c r="L218" i="45"/>
  <c r="L323" i="45" s="1"/>
  <c r="L17" i="30" s="1"/>
  <c r="M218" i="45"/>
  <c r="M323" i="45" s="1"/>
  <c r="N218" i="45"/>
  <c r="N323" i="45" s="1"/>
  <c r="G220" i="45"/>
  <c r="H220" i="45"/>
  <c r="H409" i="45" s="1"/>
  <c r="H103" i="30" s="1"/>
  <c r="I220" i="45"/>
  <c r="J220" i="45"/>
  <c r="K220" i="45"/>
  <c r="L220" i="45"/>
  <c r="L409" i="45" s="1"/>
  <c r="L103" i="30" s="1"/>
  <c r="M220" i="45"/>
  <c r="N220" i="45"/>
  <c r="H215" i="45"/>
  <c r="H321" i="45" s="1"/>
  <c r="I215" i="45"/>
  <c r="J215" i="45"/>
  <c r="J321" i="45" s="1"/>
  <c r="K215" i="45"/>
  <c r="K321" i="45" s="1"/>
  <c r="L215" i="45"/>
  <c r="L321" i="45" s="1"/>
  <c r="M215" i="45"/>
  <c r="M321" i="45" s="1"/>
  <c r="M15" i="30" s="1"/>
  <c r="N215" i="45"/>
  <c r="N321" i="45" s="1"/>
  <c r="G215" i="45"/>
  <c r="G321" i="45" s="1"/>
  <c r="N108" i="45"/>
  <c r="N195" i="45" s="1"/>
  <c r="M108" i="45"/>
  <c r="M195" i="45" s="1"/>
  <c r="L108" i="45"/>
  <c r="L195" i="45" s="1"/>
  <c r="K108" i="45"/>
  <c r="K195" i="45" s="1"/>
  <c r="J108" i="45"/>
  <c r="J195" i="45" s="1"/>
  <c r="I108" i="45"/>
  <c r="I195" i="45" s="1"/>
  <c r="H108" i="45"/>
  <c r="H195" i="45" s="1"/>
  <c r="G108" i="45"/>
  <c r="G195" i="45" s="1"/>
  <c r="N99" i="45"/>
  <c r="N187" i="45" s="1"/>
  <c r="M99" i="45"/>
  <c r="M187" i="45" s="1"/>
  <c r="L99" i="45"/>
  <c r="L187" i="45" s="1"/>
  <c r="K99" i="45"/>
  <c r="K187" i="45" s="1"/>
  <c r="J99" i="45"/>
  <c r="J187" i="45" s="1"/>
  <c r="I99" i="45"/>
  <c r="I187" i="45" s="1"/>
  <c r="H99" i="45"/>
  <c r="H187" i="45" s="1"/>
  <c r="G99" i="45"/>
  <c r="G187" i="45" s="1"/>
  <c r="N98" i="45"/>
  <c r="N186" i="45" s="1"/>
  <c r="M98" i="45"/>
  <c r="M186" i="45" s="1"/>
  <c r="L98" i="45"/>
  <c r="L186" i="45" s="1"/>
  <c r="K98" i="45"/>
  <c r="K186" i="45" s="1"/>
  <c r="J98" i="45"/>
  <c r="J186" i="45" s="1"/>
  <c r="I98" i="45"/>
  <c r="H98" i="45"/>
  <c r="H186" i="45" s="1"/>
  <c r="G98" i="45"/>
  <c r="G186" i="45" s="1"/>
  <c r="N107" i="45"/>
  <c r="N194" i="45" s="1"/>
  <c r="M107" i="45"/>
  <c r="M194" i="45" s="1"/>
  <c r="L107" i="45"/>
  <c r="L194" i="45" s="1"/>
  <c r="K107" i="45"/>
  <c r="K194" i="45" s="1"/>
  <c r="J107" i="45"/>
  <c r="J194" i="45" s="1"/>
  <c r="I107" i="45"/>
  <c r="I194" i="45" s="1"/>
  <c r="H107" i="45"/>
  <c r="H194" i="45" s="1"/>
  <c r="G107" i="45"/>
  <c r="G194" i="45" s="1"/>
  <c r="N106" i="45"/>
  <c r="N193" i="45" s="1"/>
  <c r="M106" i="45"/>
  <c r="M193" i="45" s="1"/>
  <c r="L106" i="45"/>
  <c r="L193" i="45" s="1"/>
  <c r="K106" i="45"/>
  <c r="K193" i="45" s="1"/>
  <c r="J106" i="45"/>
  <c r="J193" i="45" s="1"/>
  <c r="I106" i="45"/>
  <c r="I193" i="45" s="1"/>
  <c r="H106" i="45"/>
  <c r="H193" i="45" s="1"/>
  <c r="G106" i="45"/>
  <c r="G193" i="45" s="1"/>
  <c r="N105" i="45"/>
  <c r="N192" i="45" s="1"/>
  <c r="M105" i="45"/>
  <c r="M192" i="45" s="1"/>
  <c r="L105" i="45"/>
  <c r="L192" i="45" s="1"/>
  <c r="K105" i="45"/>
  <c r="K192" i="45" s="1"/>
  <c r="J105" i="45"/>
  <c r="J192" i="45" s="1"/>
  <c r="I105" i="45"/>
  <c r="H105" i="45"/>
  <c r="H192" i="45" s="1"/>
  <c r="G105" i="45"/>
  <c r="G192" i="45" s="1"/>
  <c r="N104" i="45"/>
  <c r="N191" i="45" s="1"/>
  <c r="M104" i="45"/>
  <c r="M191" i="45" s="1"/>
  <c r="L104" i="45"/>
  <c r="L191" i="45" s="1"/>
  <c r="K104" i="45"/>
  <c r="K191" i="45" s="1"/>
  <c r="J104" i="45"/>
  <c r="J191" i="45" s="1"/>
  <c r="I104" i="45"/>
  <c r="I191" i="45" s="1"/>
  <c r="H104" i="45"/>
  <c r="H191" i="45" s="1"/>
  <c r="G104" i="45"/>
  <c r="G191" i="45" s="1"/>
  <c r="N103" i="45"/>
  <c r="N190" i="45" s="1"/>
  <c r="M103" i="45"/>
  <c r="M190" i="45" s="1"/>
  <c r="L103" i="45"/>
  <c r="L190" i="45" s="1"/>
  <c r="K103" i="45"/>
  <c r="K190" i="45" s="1"/>
  <c r="J103" i="45"/>
  <c r="J190" i="45" s="1"/>
  <c r="I103" i="45"/>
  <c r="H103" i="45"/>
  <c r="H190" i="45" s="1"/>
  <c r="G103" i="45"/>
  <c r="G190" i="45" s="1"/>
  <c r="N94" i="45"/>
  <c r="N207" i="45" s="1"/>
  <c r="M94" i="45"/>
  <c r="M207" i="45" s="1"/>
  <c r="L94" i="45"/>
  <c r="L207" i="45" s="1"/>
  <c r="K94" i="45"/>
  <c r="K207" i="45" s="1"/>
  <c r="J94" i="45"/>
  <c r="J207" i="45" s="1"/>
  <c r="I94" i="45"/>
  <c r="I207" i="45" s="1"/>
  <c r="H94" i="45"/>
  <c r="H207" i="45" s="1"/>
  <c r="G94" i="45"/>
  <c r="G207" i="45" s="1"/>
  <c r="N93" i="45"/>
  <c r="N183" i="45" s="1"/>
  <c r="M93" i="45"/>
  <c r="M183" i="45" s="1"/>
  <c r="L93" i="45"/>
  <c r="L183" i="45" s="1"/>
  <c r="K93" i="45"/>
  <c r="K183" i="45" s="1"/>
  <c r="J93" i="45"/>
  <c r="J183" i="45" s="1"/>
  <c r="I93" i="45"/>
  <c r="I183" i="45" s="1"/>
  <c r="H93" i="45"/>
  <c r="H183" i="45" s="1"/>
  <c r="G93" i="45"/>
  <c r="G183" i="45" s="1"/>
  <c r="N92" i="45"/>
  <c r="N182" i="45" s="1"/>
  <c r="M92" i="45"/>
  <c r="M182" i="45" s="1"/>
  <c r="L92" i="45"/>
  <c r="L182" i="45" s="1"/>
  <c r="K92" i="45"/>
  <c r="K182" i="45" s="1"/>
  <c r="J92" i="45"/>
  <c r="J182" i="45" s="1"/>
  <c r="I92" i="45"/>
  <c r="I182" i="45" s="1"/>
  <c r="H92" i="45"/>
  <c r="H182" i="45" s="1"/>
  <c r="G92" i="45"/>
  <c r="G182" i="45" s="1"/>
  <c r="N91" i="45"/>
  <c r="N181" i="45" s="1"/>
  <c r="M91" i="45"/>
  <c r="M181" i="45" s="1"/>
  <c r="L91" i="45"/>
  <c r="L181" i="45" s="1"/>
  <c r="K91" i="45"/>
  <c r="K181" i="45" s="1"/>
  <c r="J91" i="45"/>
  <c r="J181" i="45" s="1"/>
  <c r="I91" i="45"/>
  <c r="H91" i="45"/>
  <c r="H181" i="45" s="1"/>
  <c r="G91" i="45"/>
  <c r="G181" i="45" s="1"/>
  <c r="N90" i="45"/>
  <c r="N180" i="45" s="1"/>
  <c r="M90" i="45"/>
  <c r="M180" i="45" s="1"/>
  <c r="L90" i="45"/>
  <c r="L180" i="45" s="1"/>
  <c r="K90" i="45"/>
  <c r="K180" i="45" s="1"/>
  <c r="J90" i="45"/>
  <c r="J180" i="45" s="1"/>
  <c r="I90" i="45"/>
  <c r="I180" i="45" s="1"/>
  <c r="H90" i="45"/>
  <c r="H180" i="45" s="1"/>
  <c r="G90" i="45"/>
  <c r="G180" i="45" s="1"/>
  <c r="N86" i="45"/>
  <c r="M86" i="45"/>
  <c r="L86" i="45"/>
  <c r="K86" i="45"/>
  <c r="J86" i="45"/>
  <c r="I86" i="45"/>
  <c r="H86" i="45"/>
  <c r="G86" i="45"/>
  <c r="N85" i="45"/>
  <c r="N170" i="45" s="1"/>
  <c r="M85" i="45"/>
  <c r="M170" i="45" s="1"/>
  <c r="L85" i="45"/>
  <c r="L170" i="45" s="1"/>
  <c r="K85" i="45"/>
  <c r="K170" i="45" s="1"/>
  <c r="J85" i="45"/>
  <c r="J170" i="45" s="1"/>
  <c r="I85" i="45"/>
  <c r="I170" i="45" s="1"/>
  <c r="H85" i="45"/>
  <c r="H170" i="45" s="1"/>
  <c r="G85" i="45"/>
  <c r="G170" i="45" s="1"/>
  <c r="N84" i="45"/>
  <c r="N169" i="45" s="1"/>
  <c r="M84" i="45"/>
  <c r="M169" i="45" s="1"/>
  <c r="L84" i="45"/>
  <c r="L169" i="45" s="1"/>
  <c r="K84" i="45"/>
  <c r="K169" i="45" s="1"/>
  <c r="J84" i="45"/>
  <c r="J169" i="45" s="1"/>
  <c r="I84" i="45"/>
  <c r="H84" i="45"/>
  <c r="H169" i="45" s="1"/>
  <c r="G84" i="45"/>
  <c r="G169" i="45" s="1"/>
  <c r="N83" i="45"/>
  <c r="N168" i="45" s="1"/>
  <c r="M83" i="45"/>
  <c r="M168" i="45" s="1"/>
  <c r="L83" i="45"/>
  <c r="L168" i="45" s="1"/>
  <c r="K83" i="45"/>
  <c r="K168" i="45" s="1"/>
  <c r="J83" i="45"/>
  <c r="J168" i="45" s="1"/>
  <c r="I83" i="45"/>
  <c r="I168" i="45" s="1"/>
  <c r="H83" i="45"/>
  <c r="H168" i="45" s="1"/>
  <c r="G83" i="45"/>
  <c r="G168" i="45" s="1"/>
  <c r="N82" i="45"/>
  <c r="N167" i="45" s="1"/>
  <c r="M82" i="45"/>
  <c r="M167" i="45" s="1"/>
  <c r="L82" i="45"/>
  <c r="L167" i="45" s="1"/>
  <c r="K82" i="45"/>
  <c r="K167" i="45" s="1"/>
  <c r="J82" i="45"/>
  <c r="J167" i="45" s="1"/>
  <c r="I82" i="45"/>
  <c r="I167" i="45" s="1"/>
  <c r="H82" i="45"/>
  <c r="H167" i="45" s="1"/>
  <c r="G82" i="45"/>
  <c r="G167" i="45" s="1"/>
  <c r="N78" i="45"/>
  <c r="M78" i="45"/>
  <c r="L78" i="45"/>
  <c r="K78" i="45"/>
  <c r="J78" i="45"/>
  <c r="I78" i="45"/>
  <c r="H78" i="45"/>
  <c r="G78" i="45"/>
  <c r="N77" i="45"/>
  <c r="N164" i="45" s="1"/>
  <c r="M77" i="45"/>
  <c r="M164" i="45" s="1"/>
  <c r="L77" i="45"/>
  <c r="L164" i="45" s="1"/>
  <c r="K77" i="45"/>
  <c r="K164" i="45" s="1"/>
  <c r="J77" i="45"/>
  <c r="J164" i="45" s="1"/>
  <c r="I77" i="45"/>
  <c r="H77" i="45"/>
  <c r="H164" i="45" s="1"/>
  <c r="G77" i="45"/>
  <c r="G164" i="45" s="1"/>
  <c r="N76" i="45"/>
  <c r="N163" i="45" s="1"/>
  <c r="M76" i="45"/>
  <c r="M163" i="45" s="1"/>
  <c r="L76" i="45"/>
  <c r="L163" i="45" s="1"/>
  <c r="K76" i="45"/>
  <c r="K163" i="45" s="1"/>
  <c r="J76" i="45"/>
  <c r="J163" i="45" s="1"/>
  <c r="I76" i="45"/>
  <c r="I163" i="45" s="1"/>
  <c r="H76" i="45"/>
  <c r="H163" i="45" s="1"/>
  <c r="G76" i="45"/>
  <c r="G163" i="45" s="1"/>
  <c r="N75" i="45"/>
  <c r="N162" i="45" s="1"/>
  <c r="M75" i="45"/>
  <c r="M162" i="45" s="1"/>
  <c r="L75" i="45"/>
  <c r="L162" i="45" s="1"/>
  <c r="K75" i="45"/>
  <c r="K162" i="45" s="1"/>
  <c r="J75" i="45"/>
  <c r="J162" i="45" s="1"/>
  <c r="I75" i="45"/>
  <c r="H75" i="45"/>
  <c r="H162" i="45" s="1"/>
  <c r="G75" i="45"/>
  <c r="G162" i="45" s="1"/>
  <c r="N74" i="45"/>
  <c r="N161" i="45" s="1"/>
  <c r="M74" i="45"/>
  <c r="M161" i="45" s="1"/>
  <c r="L74" i="45"/>
  <c r="L161" i="45" s="1"/>
  <c r="K74" i="45"/>
  <c r="K161" i="45" s="1"/>
  <c r="J74" i="45"/>
  <c r="J161" i="45" s="1"/>
  <c r="I74" i="45"/>
  <c r="I161" i="45" s="1"/>
  <c r="H74" i="45"/>
  <c r="H161" i="45" s="1"/>
  <c r="G74" i="45"/>
  <c r="G161" i="45" s="1"/>
  <c r="G67" i="45"/>
  <c r="G156" i="45" s="1"/>
  <c r="H67" i="45"/>
  <c r="H156" i="45" s="1"/>
  <c r="I67" i="45"/>
  <c r="I156" i="45" s="1"/>
  <c r="J67" i="45"/>
  <c r="J156" i="45" s="1"/>
  <c r="K67" i="45"/>
  <c r="K156" i="45" s="1"/>
  <c r="L67" i="45"/>
  <c r="L156" i="45" s="1"/>
  <c r="M67" i="45"/>
  <c r="M156" i="45" s="1"/>
  <c r="N67" i="45"/>
  <c r="N156" i="45" s="1"/>
  <c r="G68" i="45"/>
  <c r="G157" i="45" s="1"/>
  <c r="H68" i="45"/>
  <c r="H157" i="45" s="1"/>
  <c r="I68" i="45"/>
  <c r="I157" i="45" s="1"/>
  <c r="J68" i="45"/>
  <c r="J157" i="45" s="1"/>
  <c r="K68" i="45"/>
  <c r="K157" i="45" s="1"/>
  <c r="L68" i="45"/>
  <c r="L157" i="45" s="1"/>
  <c r="M68" i="45"/>
  <c r="M157" i="45" s="1"/>
  <c r="N68" i="45"/>
  <c r="N157" i="45" s="1"/>
  <c r="G69" i="45"/>
  <c r="G158" i="45" s="1"/>
  <c r="H69" i="45"/>
  <c r="H158" i="45" s="1"/>
  <c r="I69" i="45"/>
  <c r="I158" i="45" s="1"/>
  <c r="J69" i="45"/>
  <c r="J158" i="45" s="1"/>
  <c r="K69" i="45"/>
  <c r="K158" i="45" s="1"/>
  <c r="L69" i="45"/>
  <c r="L158" i="45" s="1"/>
  <c r="M69" i="45"/>
  <c r="M158" i="45" s="1"/>
  <c r="N69" i="45"/>
  <c r="N158" i="45" s="1"/>
  <c r="G70" i="45"/>
  <c r="H70" i="45"/>
  <c r="I70" i="45"/>
  <c r="J70" i="45"/>
  <c r="K70" i="45"/>
  <c r="L70" i="45"/>
  <c r="M70" i="45"/>
  <c r="N70" i="45"/>
  <c r="N66" i="45"/>
  <c r="N155" i="45" s="1"/>
  <c r="M66" i="45"/>
  <c r="M155" i="45" s="1"/>
  <c r="L66" i="45"/>
  <c r="L155" i="45" s="1"/>
  <c r="K66" i="45"/>
  <c r="K155" i="45" s="1"/>
  <c r="J66" i="45"/>
  <c r="J155" i="45" s="1"/>
  <c r="I66" i="45"/>
  <c r="H66" i="45"/>
  <c r="H155" i="45" s="1"/>
  <c r="G66" i="45"/>
  <c r="G155" i="45" s="1"/>
  <c r="N62" i="45"/>
  <c r="M62" i="45"/>
  <c r="L62" i="45"/>
  <c r="K62" i="45"/>
  <c r="J62" i="45"/>
  <c r="I62" i="45"/>
  <c r="H62" i="45"/>
  <c r="G62" i="45"/>
  <c r="N60" i="45"/>
  <c r="N145" i="45" s="1"/>
  <c r="M60" i="45"/>
  <c r="M145" i="45" s="1"/>
  <c r="L60" i="45"/>
  <c r="L145" i="45" s="1"/>
  <c r="K60" i="45"/>
  <c r="K145" i="45" s="1"/>
  <c r="J60" i="45"/>
  <c r="J145" i="45" s="1"/>
  <c r="I60" i="45"/>
  <c r="H60" i="45"/>
  <c r="H145" i="45" s="1"/>
  <c r="G60" i="45"/>
  <c r="G145" i="45" s="1"/>
  <c r="N59" i="45"/>
  <c r="N144" i="45" s="1"/>
  <c r="M59" i="45"/>
  <c r="M144" i="45" s="1"/>
  <c r="L59" i="45"/>
  <c r="L144" i="45" s="1"/>
  <c r="K59" i="45"/>
  <c r="K144" i="45" s="1"/>
  <c r="J59" i="45"/>
  <c r="J144" i="45" s="1"/>
  <c r="I59" i="45"/>
  <c r="I144" i="45" s="1"/>
  <c r="H59" i="45"/>
  <c r="H144" i="45" s="1"/>
  <c r="G59" i="45"/>
  <c r="G144" i="45" s="1"/>
  <c r="N57" i="45"/>
  <c r="N143" i="45" s="1"/>
  <c r="M57" i="45"/>
  <c r="M143" i="45" s="1"/>
  <c r="L57" i="45"/>
  <c r="L143" i="45" s="1"/>
  <c r="K57" i="45"/>
  <c r="K143" i="45" s="1"/>
  <c r="J57" i="45"/>
  <c r="J143" i="45" s="1"/>
  <c r="I57" i="45"/>
  <c r="H57" i="45"/>
  <c r="H143" i="45" s="1"/>
  <c r="G57" i="45"/>
  <c r="G143" i="45" s="1"/>
  <c r="N53" i="45"/>
  <c r="M53" i="45"/>
  <c r="L53" i="45"/>
  <c r="K53" i="45"/>
  <c r="J53" i="45"/>
  <c r="I53" i="45"/>
  <c r="H53" i="45"/>
  <c r="G53" i="45"/>
  <c r="N51" i="45"/>
  <c r="N140" i="45" s="1"/>
  <c r="M51" i="45"/>
  <c r="M140" i="45" s="1"/>
  <c r="L51" i="45"/>
  <c r="L140" i="45" s="1"/>
  <c r="K51" i="45"/>
  <c r="K140" i="45" s="1"/>
  <c r="J51" i="45"/>
  <c r="J140" i="45" s="1"/>
  <c r="I51" i="45"/>
  <c r="I140" i="45" s="1"/>
  <c r="H51" i="45"/>
  <c r="H140" i="45" s="1"/>
  <c r="G51" i="45"/>
  <c r="G140" i="45" s="1"/>
  <c r="N50" i="45"/>
  <c r="N139" i="45" s="1"/>
  <c r="M50" i="45"/>
  <c r="M139" i="45" s="1"/>
  <c r="L50" i="45"/>
  <c r="L139" i="45" s="1"/>
  <c r="K50" i="45"/>
  <c r="K139" i="45" s="1"/>
  <c r="J50" i="45"/>
  <c r="J139" i="45" s="1"/>
  <c r="I50" i="45"/>
  <c r="I139" i="45" s="1"/>
  <c r="H50" i="45"/>
  <c r="H139" i="45" s="1"/>
  <c r="G50" i="45"/>
  <c r="G139" i="45" s="1"/>
  <c r="N48" i="45"/>
  <c r="N138" i="45" s="1"/>
  <c r="M48" i="45"/>
  <c r="M138" i="45" s="1"/>
  <c r="L48" i="45"/>
  <c r="L138" i="45" s="1"/>
  <c r="K48" i="45"/>
  <c r="K138" i="45" s="1"/>
  <c r="J48" i="45"/>
  <c r="J138" i="45" s="1"/>
  <c r="I48" i="45"/>
  <c r="H48" i="45"/>
  <c r="H138" i="45" s="1"/>
  <c r="G48" i="45"/>
  <c r="G138" i="45" s="1"/>
  <c r="N44" i="45"/>
  <c r="M44" i="45"/>
  <c r="L44" i="45"/>
  <c r="K44" i="45"/>
  <c r="J44" i="45"/>
  <c r="I44" i="45"/>
  <c r="H44" i="45"/>
  <c r="G44" i="45"/>
  <c r="N42" i="45"/>
  <c r="N135" i="45" s="1"/>
  <c r="M42" i="45"/>
  <c r="M135" i="45" s="1"/>
  <c r="L42" i="45"/>
  <c r="L135" i="45" s="1"/>
  <c r="K42" i="45"/>
  <c r="K135" i="45" s="1"/>
  <c r="J42" i="45"/>
  <c r="J135" i="45" s="1"/>
  <c r="I42" i="45"/>
  <c r="I135" i="45" s="1"/>
  <c r="H42" i="45"/>
  <c r="H135" i="45" s="1"/>
  <c r="G42" i="45"/>
  <c r="G135" i="45" s="1"/>
  <c r="N41" i="45"/>
  <c r="N134" i="45" s="1"/>
  <c r="M41" i="45"/>
  <c r="M134" i="45" s="1"/>
  <c r="L41" i="45"/>
  <c r="L134" i="45" s="1"/>
  <c r="K41" i="45"/>
  <c r="K134" i="45" s="1"/>
  <c r="J41" i="45"/>
  <c r="J134" i="45" s="1"/>
  <c r="I41" i="45"/>
  <c r="I134" i="45" s="1"/>
  <c r="H41" i="45"/>
  <c r="H134" i="45" s="1"/>
  <c r="G41" i="45"/>
  <c r="G134" i="45" s="1"/>
  <c r="N39" i="45"/>
  <c r="N133" i="45" s="1"/>
  <c r="M39" i="45"/>
  <c r="M133" i="45" s="1"/>
  <c r="L39" i="45"/>
  <c r="L133" i="45" s="1"/>
  <c r="K39" i="45"/>
  <c r="K133" i="45" s="1"/>
  <c r="J39" i="45"/>
  <c r="J133" i="45" s="1"/>
  <c r="I39" i="45"/>
  <c r="I133" i="45" s="1"/>
  <c r="H39" i="45"/>
  <c r="H133" i="45" s="1"/>
  <c r="G39" i="45"/>
  <c r="G133" i="45" s="1"/>
  <c r="N35" i="45"/>
  <c r="M35" i="45"/>
  <c r="L35" i="45"/>
  <c r="K35" i="45"/>
  <c r="J35" i="45"/>
  <c r="I35" i="45"/>
  <c r="H35" i="45"/>
  <c r="G35" i="45"/>
  <c r="N33" i="45"/>
  <c r="N130" i="45" s="1"/>
  <c r="M33" i="45"/>
  <c r="M130" i="45" s="1"/>
  <c r="L33" i="45"/>
  <c r="L130" i="45" s="1"/>
  <c r="K33" i="45"/>
  <c r="K130" i="45" s="1"/>
  <c r="J33" i="45"/>
  <c r="J130" i="45" s="1"/>
  <c r="I33" i="45"/>
  <c r="I130" i="45" s="1"/>
  <c r="H33" i="45"/>
  <c r="H130" i="45" s="1"/>
  <c r="G33" i="45"/>
  <c r="G130" i="45" s="1"/>
  <c r="N32" i="45"/>
  <c r="N129" i="45" s="1"/>
  <c r="M32" i="45"/>
  <c r="M129" i="45" s="1"/>
  <c r="L32" i="45"/>
  <c r="L129" i="45" s="1"/>
  <c r="K32" i="45"/>
  <c r="K129" i="45" s="1"/>
  <c r="J32" i="45"/>
  <c r="J129" i="45" s="1"/>
  <c r="I32" i="45"/>
  <c r="I129" i="45" s="1"/>
  <c r="H32" i="45"/>
  <c r="H129" i="45" s="1"/>
  <c r="G32" i="45"/>
  <c r="G129" i="45" s="1"/>
  <c r="N30" i="45"/>
  <c r="N128" i="45" s="1"/>
  <c r="M30" i="45"/>
  <c r="M128" i="45" s="1"/>
  <c r="L30" i="45"/>
  <c r="L128" i="45" s="1"/>
  <c r="K30" i="45"/>
  <c r="K128" i="45" s="1"/>
  <c r="J30" i="45"/>
  <c r="J128" i="45" s="1"/>
  <c r="I30" i="45"/>
  <c r="I128" i="45" s="1"/>
  <c r="H30" i="45"/>
  <c r="H128" i="45" s="1"/>
  <c r="G30" i="45"/>
  <c r="G128" i="45" s="1"/>
  <c r="N26" i="45"/>
  <c r="M26" i="45"/>
  <c r="L26" i="45"/>
  <c r="K26" i="45"/>
  <c r="J26" i="45"/>
  <c r="I26" i="45"/>
  <c r="H26" i="45"/>
  <c r="G26" i="45"/>
  <c r="N24" i="45"/>
  <c r="N125" i="45" s="1"/>
  <c r="M24" i="45"/>
  <c r="M125" i="45" s="1"/>
  <c r="L24" i="45"/>
  <c r="L125" i="45" s="1"/>
  <c r="K24" i="45"/>
  <c r="K125" i="45" s="1"/>
  <c r="J24" i="45"/>
  <c r="J125" i="45" s="1"/>
  <c r="I24" i="45"/>
  <c r="I125" i="45" s="1"/>
  <c r="H24" i="45"/>
  <c r="H125" i="45" s="1"/>
  <c r="G24" i="45"/>
  <c r="G125" i="45" s="1"/>
  <c r="N23" i="45"/>
  <c r="N124" i="45" s="1"/>
  <c r="M23" i="45"/>
  <c r="M124" i="45" s="1"/>
  <c r="L23" i="45"/>
  <c r="L124" i="45" s="1"/>
  <c r="K23" i="45"/>
  <c r="K124" i="45" s="1"/>
  <c r="J23" i="45"/>
  <c r="J124" i="45" s="1"/>
  <c r="I23" i="45"/>
  <c r="I124" i="45" s="1"/>
  <c r="H23" i="45"/>
  <c r="H124" i="45" s="1"/>
  <c r="G23" i="45"/>
  <c r="G124" i="45" s="1"/>
  <c r="N21" i="45"/>
  <c r="N123" i="45" s="1"/>
  <c r="M21" i="45"/>
  <c r="M123" i="45" s="1"/>
  <c r="L21" i="45"/>
  <c r="L123" i="45" s="1"/>
  <c r="K21" i="45"/>
  <c r="K123" i="45" s="1"/>
  <c r="J21" i="45"/>
  <c r="J123" i="45" s="1"/>
  <c r="I21" i="45"/>
  <c r="I123" i="45" s="1"/>
  <c r="H21" i="45"/>
  <c r="H123" i="45" s="1"/>
  <c r="G21" i="45"/>
  <c r="G123" i="45" s="1"/>
  <c r="N17" i="45"/>
  <c r="M17" i="45"/>
  <c r="L17" i="45"/>
  <c r="K17" i="45"/>
  <c r="J17" i="45"/>
  <c r="I17" i="45"/>
  <c r="H17" i="45"/>
  <c r="G17" i="45"/>
  <c r="N15" i="45"/>
  <c r="N120" i="45" s="1"/>
  <c r="M15" i="45"/>
  <c r="M120" i="45" s="1"/>
  <c r="L15" i="45"/>
  <c r="L120" i="45" s="1"/>
  <c r="K15" i="45"/>
  <c r="K120" i="45" s="1"/>
  <c r="J15" i="45"/>
  <c r="J120" i="45" s="1"/>
  <c r="I15" i="45"/>
  <c r="I120" i="45" s="1"/>
  <c r="H15" i="45"/>
  <c r="H120" i="45" s="1"/>
  <c r="G15" i="45"/>
  <c r="G120" i="45" s="1"/>
  <c r="N14" i="45"/>
  <c r="N119" i="45" s="1"/>
  <c r="M14" i="45"/>
  <c r="M119" i="45" s="1"/>
  <c r="L14" i="45"/>
  <c r="L119" i="45" s="1"/>
  <c r="K14" i="45"/>
  <c r="K119" i="45" s="1"/>
  <c r="J14" i="45"/>
  <c r="J119" i="45" s="1"/>
  <c r="I14" i="45"/>
  <c r="I119" i="45" s="1"/>
  <c r="H14" i="45"/>
  <c r="H119" i="45" s="1"/>
  <c r="G14" i="45"/>
  <c r="G119" i="45" s="1"/>
  <c r="H12" i="45"/>
  <c r="H118" i="45" s="1"/>
  <c r="I12" i="45"/>
  <c r="I118" i="45" s="1"/>
  <c r="J12" i="45"/>
  <c r="J118" i="45" s="1"/>
  <c r="K12" i="45"/>
  <c r="K118" i="45" s="1"/>
  <c r="L12" i="45"/>
  <c r="L118" i="45" s="1"/>
  <c r="M12" i="45"/>
  <c r="M118" i="45" s="1"/>
  <c r="N12" i="45"/>
  <c r="N118" i="45" s="1"/>
  <c r="G12" i="45"/>
  <c r="G118" i="45" s="1"/>
  <c r="F421" i="45"/>
  <c r="F423" i="45"/>
  <c r="F427" i="45"/>
  <c r="F431" i="45"/>
  <c r="F433" i="45"/>
  <c r="F437" i="45"/>
  <c r="F441" i="45"/>
  <c r="F443" i="45"/>
  <c r="F446" i="45"/>
  <c r="F447" i="45"/>
  <c r="F458" i="45"/>
  <c r="F460" i="45"/>
  <c r="F464" i="45"/>
  <c r="F466" i="45"/>
  <c r="F470" i="45"/>
  <c r="F472" i="45"/>
  <c r="F483" i="45"/>
  <c r="F484" i="45"/>
  <c r="F485" i="45"/>
  <c r="F489" i="45"/>
  <c r="F493" i="45"/>
  <c r="F495" i="45"/>
  <c r="F497" i="45"/>
  <c r="F510" i="45"/>
  <c r="F522" i="45"/>
  <c r="F526" i="45"/>
  <c r="F528" i="45"/>
  <c r="F532" i="45"/>
  <c r="F536" i="45"/>
  <c r="F538" i="45"/>
  <c r="F542" i="45"/>
  <c r="F546" i="45"/>
  <c r="F548" i="45"/>
  <c r="F559" i="45"/>
  <c r="F561" i="45"/>
  <c r="F565" i="45"/>
  <c r="F567" i="45"/>
  <c r="F571" i="45"/>
  <c r="F573" i="45"/>
  <c r="F584" i="45"/>
  <c r="F586" i="45"/>
  <c r="F590" i="45"/>
  <c r="F594" i="45"/>
  <c r="F596" i="45"/>
  <c r="F598" i="45"/>
  <c r="F238" i="40"/>
  <c r="F180" i="40"/>
  <c r="F122" i="40"/>
  <c r="F64" i="40"/>
  <c r="N302" i="17"/>
  <c r="N370" i="17" s="1"/>
  <c r="N70" i="59" s="1"/>
  <c r="N303" i="17"/>
  <c r="N371" i="17" s="1"/>
  <c r="N304" i="17"/>
  <c r="N372" i="17" s="1"/>
  <c r="N305" i="17"/>
  <c r="N373" i="17" s="1"/>
  <c r="N308" i="17"/>
  <c r="N309" i="17"/>
  <c r="N377" i="17" s="1"/>
  <c r="N312" i="17"/>
  <c r="N380" i="17" s="1"/>
  <c r="N313" i="17"/>
  <c r="N381" i="17" s="1"/>
  <c r="N316" i="17"/>
  <c r="N384" i="17" s="1"/>
  <c r="N317" i="17"/>
  <c r="N385" i="17" s="1"/>
  <c r="N318" i="17"/>
  <c r="N386" i="17" s="1"/>
  <c r="M302" i="17"/>
  <c r="M370" i="17" s="1"/>
  <c r="M303" i="17"/>
  <c r="M371" i="17" s="1"/>
  <c r="M71" i="59" s="1"/>
  <c r="M304" i="17"/>
  <c r="M372" i="17" s="1"/>
  <c r="M305" i="17"/>
  <c r="M373" i="17" s="1"/>
  <c r="M308" i="17"/>
  <c r="M309" i="17"/>
  <c r="M377" i="17" s="1"/>
  <c r="M312" i="17"/>
  <c r="M380" i="17" s="1"/>
  <c r="M313" i="17"/>
  <c r="M381" i="17" s="1"/>
  <c r="M316" i="17"/>
  <c r="M384" i="17" s="1"/>
  <c r="M317" i="17"/>
  <c r="M385" i="17" s="1"/>
  <c r="M318" i="17"/>
  <c r="M386" i="17" s="1"/>
  <c r="L302" i="17"/>
  <c r="L370" i="17" s="1"/>
  <c r="L70" i="59" s="1"/>
  <c r="L303" i="17"/>
  <c r="L371" i="17" s="1"/>
  <c r="L304" i="17"/>
  <c r="L372" i="17" s="1"/>
  <c r="L305" i="17"/>
  <c r="L373" i="17" s="1"/>
  <c r="L308" i="17"/>
  <c r="L309" i="17"/>
  <c r="L377" i="17" s="1"/>
  <c r="L312" i="17"/>
  <c r="L380" i="17" s="1"/>
  <c r="L313" i="17"/>
  <c r="L381" i="17" s="1"/>
  <c r="L316" i="17"/>
  <c r="L384" i="17" s="1"/>
  <c r="L317" i="17"/>
  <c r="L385" i="17" s="1"/>
  <c r="L318" i="17"/>
  <c r="L386" i="17" s="1"/>
  <c r="K302" i="17"/>
  <c r="K370" i="17" s="1"/>
  <c r="K303" i="17"/>
  <c r="K371" i="17" s="1"/>
  <c r="K304" i="17"/>
  <c r="K372" i="17" s="1"/>
  <c r="K305" i="17"/>
  <c r="K373" i="17" s="1"/>
  <c r="K308" i="17"/>
  <c r="K309" i="17"/>
  <c r="K377" i="17" s="1"/>
  <c r="K312" i="17"/>
  <c r="K380" i="17" s="1"/>
  <c r="K313" i="17"/>
  <c r="K381" i="17" s="1"/>
  <c r="K316" i="17"/>
  <c r="K384" i="17" s="1"/>
  <c r="K317" i="17"/>
  <c r="K385" i="17" s="1"/>
  <c r="K318" i="17"/>
  <c r="K386" i="17" s="1"/>
  <c r="J302" i="17"/>
  <c r="J370" i="17" s="1"/>
  <c r="J303" i="17"/>
  <c r="J371" i="17" s="1"/>
  <c r="J71" i="59" s="1"/>
  <c r="J304" i="17"/>
  <c r="J372" i="17" s="1"/>
  <c r="J305" i="17"/>
  <c r="J373" i="17" s="1"/>
  <c r="J308" i="17"/>
  <c r="J309" i="17"/>
  <c r="J377" i="17" s="1"/>
  <c r="J312" i="17"/>
  <c r="J380" i="17" s="1"/>
  <c r="J313" i="17"/>
  <c r="J381" i="17" s="1"/>
  <c r="J316" i="17"/>
  <c r="J384" i="17" s="1"/>
  <c r="J317" i="17"/>
  <c r="J385" i="17" s="1"/>
  <c r="J318" i="17"/>
  <c r="J386" i="17" s="1"/>
  <c r="I302" i="17"/>
  <c r="I370" i="17" s="1"/>
  <c r="I70" i="59" s="1"/>
  <c r="I303" i="17"/>
  <c r="I371" i="17" s="1"/>
  <c r="I304" i="17"/>
  <c r="I372" i="17" s="1"/>
  <c r="I305" i="17"/>
  <c r="I373" i="17" s="1"/>
  <c r="I308" i="17"/>
  <c r="I309" i="17"/>
  <c r="I377" i="17" s="1"/>
  <c r="I312" i="17"/>
  <c r="I380" i="17" s="1"/>
  <c r="I313" i="17"/>
  <c r="I381" i="17" s="1"/>
  <c r="I69" i="59" s="1"/>
  <c r="I316" i="17"/>
  <c r="I384" i="17" s="1"/>
  <c r="I317" i="17"/>
  <c r="I385" i="17" s="1"/>
  <c r="I318" i="17"/>
  <c r="I386" i="17" s="1"/>
  <c r="H302" i="17"/>
  <c r="H370" i="17" s="1"/>
  <c r="H70" i="59" s="1"/>
  <c r="H303" i="17"/>
  <c r="H371" i="17" s="1"/>
  <c r="H304" i="17"/>
  <c r="H372" i="17" s="1"/>
  <c r="H305" i="17"/>
  <c r="H373" i="17" s="1"/>
  <c r="H308" i="17"/>
  <c r="H309" i="17"/>
  <c r="H377" i="17" s="1"/>
  <c r="H312" i="17"/>
  <c r="H380" i="17" s="1"/>
  <c r="H313" i="17"/>
  <c r="H381" i="17" s="1"/>
  <c r="H316" i="17"/>
  <c r="H384" i="17" s="1"/>
  <c r="H317" i="17"/>
  <c r="H385" i="17" s="1"/>
  <c r="H318" i="17"/>
  <c r="H386" i="17" s="1"/>
  <c r="G302" i="17"/>
  <c r="G303" i="17"/>
  <c r="G304" i="17"/>
  <c r="G305" i="17"/>
  <c r="G373" i="17" s="1"/>
  <c r="G308" i="17"/>
  <c r="G309" i="17"/>
  <c r="G312" i="17"/>
  <c r="G313" i="17"/>
  <c r="G381" i="17" s="1"/>
  <c r="G69" i="59" s="1"/>
  <c r="G316" i="17"/>
  <c r="G317" i="17"/>
  <c r="G318" i="17"/>
  <c r="F364" i="17"/>
  <c r="F363" i="17"/>
  <c r="F362" i="17"/>
  <c r="F359" i="17"/>
  <c r="F358" i="17"/>
  <c r="F355" i="17"/>
  <c r="F351" i="17"/>
  <c r="F350" i="17"/>
  <c r="F349" i="17"/>
  <c r="F348" i="17"/>
  <c r="F342" i="17"/>
  <c r="F341" i="17"/>
  <c r="F340" i="17"/>
  <c r="F337" i="17"/>
  <c r="F336" i="17"/>
  <c r="F333" i="17"/>
  <c r="F332" i="17"/>
  <c r="F329" i="17"/>
  <c r="F328" i="17"/>
  <c r="F327" i="17"/>
  <c r="F326" i="17"/>
  <c r="N206" i="17"/>
  <c r="N274" i="17" s="1"/>
  <c r="N207" i="17"/>
  <c r="N275" i="17" s="1"/>
  <c r="N208" i="17"/>
  <c r="N276" i="17" s="1"/>
  <c r="N209" i="17"/>
  <c r="N212" i="17"/>
  <c r="N213" i="17"/>
  <c r="N281" i="17" s="1"/>
  <c r="N216" i="17"/>
  <c r="N284" i="17" s="1"/>
  <c r="N217" i="17"/>
  <c r="N285" i="17" s="1"/>
  <c r="N222" i="17"/>
  <c r="N290" i="17" s="1"/>
  <c r="M206" i="17"/>
  <c r="M274" i="17" s="1"/>
  <c r="M43" i="59" s="1"/>
  <c r="M207" i="17"/>
  <c r="M275" i="17" s="1"/>
  <c r="M208" i="17"/>
  <c r="M276" i="17" s="1"/>
  <c r="M209" i="17"/>
  <c r="M277" i="17" s="1"/>
  <c r="M212" i="17"/>
  <c r="M213" i="17"/>
  <c r="M281" i="17" s="1"/>
  <c r="M216" i="17"/>
  <c r="M284" i="17" s="1"/>
  <c r="M41" i="59" s="1"/>
  <c r="M217" i="17"/>
  <c r="M285" i="17" s="1"/>
  <c r="M220" i="17"/>
  <c r="M288" i="17" s="1"/>
  <c r="M221" i="17"/>
  <c r="M289" i="17" s="1"/>
  <c r="M222" i="17"/>
  <c r="M290" i="17" s="1"/>
  <c r="L206" i="17"/>
  <c r="L274" i="17" s="1"/>
  <c r="L207" i="17"/>
  <c r="L275" i="17" s="1"/>
  <c r="L208" i="17"/>
  <c r="L209" i="17"/>
  <c r="L277" i="17" s="1"/>
  <c r="L212" i="17"/>
  <c r="L213" i="17"/>
  <c r="L281" i="17" s="1"/>
  <c r="L216" i="17"/>
  <c r="L284" i="17" s="1"/>
  <c r="L217" i="17"/>
  <c r="L285" i="17" s="1"/>
  <c r="L220" i="17"/>
  <c r="L288" i="17" s="1"/>
  <c r="L221" i="17"/>
  <c r="L289" i="17" s="1"/>
  <c r="L222" i="17"/>
  <c r="L290" i="17" s="1"/>
  <c r="K206" i="17"/>
  <c r="K274" i="17" s="1"/>
  <c r="K207" i="17"/>
  <c r="K275" i="17" s="1"/>
  <c r="K44" i="59" s="1"/>
  <c r="K208" i="17"/>
  <c r="K276" i="17" s="1"/>
  <c r="K209" i="17"/>
  <c r="K277" i="17" s="1"/>
  <c r="K212" i="17"/>
  <c r="K213" i="17"/>
  <c r="K281" i="17" s="1"/>
  <c r="K216" i="17"/>
  <c r="K284" i="17" s="1"/>
  <c r="K217" i="17"/>
  <c r="K285" i="17" s="1"/>
  <c r="K220" i="17"/>
  <c r="K288" i="17" s="1"/>
  <c r="K221" i="17"/>
  <c r="K289" i="17" s="1"/>
  <c r="K222" i="17"/>
  <c r="K290" i="17" s="1"/>
  <c r="J206" i="17"/>
  <c r="J274" i="17" s="1"/>
  <c r="J207" i="17"/>
  <c r="J275" i="17" s="1"/>
  <c r="J208" i="17"/>
  <c r="J209" i="17"/>
  <c r="J277" i="17" s="1"/>
  <c r="J212" i="17"/>
  <c r="J213" i="17"/>
  <c r="J281" i="17" s="1"/>
  <c r="J216" i="17"/>
  <c r="J284" i="17" s="1"/>
  <c r="J217" i="17"/>
  <c r="J285" i="17" s="1"/>
  <c r="J220" i="17"/>
  <c r="J288" i="17" s="1"/>
  <c r="J221" i="17"/>
  <c r="J289" i="17" s="1"/>
  <c r="J222" i="17"/>
  <c r="J290" i="17" s="1"/>
  <c r="I206" i="17"/>
  <c r="I274" i="17" s="1"/>
  <c r="I207" i="17"/>
  <c r="I275" i="17" s="1"/>
  <c r="I44" i="59" s="1"/>
  <c r="I208" i="17"/>
  <c r="I276" i="17" s="1"/>
  <c r="I209" i="17"/>
  <c r="I277" i="17" s="1"/>
  <c r="I212" i="17"/>
  <c r="I213" i="17"/>
  <c r="I281" i="17" s="1"/>
  <c r="I216" i="17"/>
  <c r="I284" i="17" s="1"/>
  <c r="I217" i="17"/>
  <c r="I285" i="17" s="1"/>
  <c r="I220" i="17"/>
  <c r="I288" i="17" s="1"/>
  <c r="I221" i="17"/>
  <c r="I289" i="17" s="1"/>
  <c r="I222" i="17"/>
  <c r="I290" i="17" s="1"/>
  <c r="H206" i="17"/>
  <c r="H207" i="17"/>
  <c r="H275" i="17" s="1"/>
  <c r="H208" i="17"/>
  <c r="H276" i="17" s="1"/>
  <c r="H209" i="17"/>
  <c r="H277" i="17" s="1"/>
  <c r="H212" i="17"/>
  <c r="H213" i="17"/>
  <c r="H281" i="17" s="1"/>
  <c r="H216" i="17"/>
  <c r="H284" i="17" s="1"/>
  <c r="H217" i="17"/>
  <c r="H285" i="17" s="1"/>
  <c r="H220" i="17"/>
  <c r="H288" i="17" s="1"/>
  <c r="H221" i="17"/>
  <c r="H289" i="17" s="1"/>
  <c r="H222" i="17"/>
  <c r="H290" i="17" s="1"/>
  <c r="G206" i="17"/>
  <c r="G207" i="17"/>
  <c r="G208" i="17"/>
  <c r="G209" i="17"/>
  <c r="G212" i="17"/>
  <c r="G213" i="17"/>
  <c r="G216" i="17"/>
  <c r="G217" i="17"/>
  <c r="G285" i="17" s="1"/>
  <c r="G220" i="17"/>
  <c r="G221" i="17"/>
  <c r="G222" i="17"/>
  <c r="F268" i="17"/>
  <c r="F267" i="17"/>
  <c r="F266" i="17"/>
  <c r="F263" i="17"/>
  <c r="F262" i="17"/>
  <c r="F259" i="17"/>
  <c r="F255" i="17"/>
  <c r="F254" i="17"/>
  <c r="F253" i="17"/>
  <c r="F252" i="17"/>
  <c r="F246" i="17"/>
  <c r="F245" i="17"/>
  <c r="F244" i="17"/>
  <c r="F241" i="17"/>
  <c r="F240" i="17"/>
  <c r="F237" i="17"/>
  <c r="F236" i="17"/>
  <c r="F233" i="17"/>
  <c r="F232" i="17"/>
  <c r="F231" i="17"/>
  <c r="F230" i="17"/>
  <c r="N110" i="17"/>
  <c r="N178" i="17" s="1"/>
  <c r="N111" i="17"/>
  <c r="N179" i="17" s="1"/>
  <c r="N112" i="17"/>
  <c r="N113" i="17"/>
  <c r="N181" i="17" s="1"/>
  <c r="N116" i="17"/>
  <c r="N117" i="17"/>
  <c r="N185" i="17" s="1"/>
  <c r="N120" i="17"/>
  <c r="N188" i="17" s="1"/>
  <c r="N121" i="17"/>
  <c r="N189" i="17" s="1"/>
  <c r="N126" i="17"/>
  <c r="N194" i="17" s="1"/>
  <c r="M110" i="17"/>
  <c r="M178" i="17" s="1"/>
  <c r="M111" i="17"/>
  <c r="M179" i="17" s="1"/>
  <c r="M17" i="59" s="1"/>
  <c r="M112" i="17"/>
  <c r="M180" i="17" s="1"/>
  <c r="M113" i="17"/>
  <c r="M181" i="17" s="1"/>
  <c r="M116" i="17"/>
  <c r="M117" i="17"/>
  <c r="M185" i="17" s="1"/>
  <c r="M120" i="17"/>
  <c r="M188" i="17" s="1"/>
  <c r="M121" i="17"/>
  <c r="M189" i="17" s="1"/>
  <c r="M124" i="17"/>
  <c r="M192" i="17" s="1"/>
  <c r="M18" i="59" s="1"/>
  <c r="M32" i="59" s="1"/>
  <c r="M125" i="17"/>
  <c r="M193" i="17" s="1"/>
  <c r="M126" i="17"/>
  <c r="M194" i="17" s="1"/>
  <c r="L110" i="17"/>
  <c r="L111" i="17"/>
  <c r="L179" i="17" s="1"/>
  <c r="L112" i="17"/>
  <c r="L180" i="17" s="1"/>
  <c r="L113" i="17"/>
  <c r="L181" i="17" s="1"/>
  <c r="L116" i="17"/>
  <c r="L117" i="17"/>
  <c r="L185" i="17" s="1"/>
  <c r="L120" i="17"/>
  <c r="L188" i="17" s="1"/>
  <c r="L121" i="17"/>
  <c r="L189" i="17" s="1"/>
  <c r="L124" i="17"/>
  <c r="L192" i="17" s="1"/>
  <c r="L18" i="59" s="1"/>
  <c r="L32" i="59" s="1"/>
  <c r="L125" i="17"/>
  <c r="L193" i="17" s="1"/>
  <c r="L126" i="17"/>
  <c r="L194" i="17" s="1"/>
  <c r="K110" i="17"/>
  <c r="K178" i="17" s="1"/>
  <c r="K16" i="59" s="1"/>
  <c r="K111" i="17"/>
  <c r="K179" i="17" s="1"/>
  <c r="K112" i="17"/>
  <c r="K180" i="17" s="1"/>
  <c r="K113" i="17"/>
  <c r="K181" i="17" s="1"/>
  <c r="K116" i="17"/>
  <c r="K117" i="17"/>
  <c r="K185" i="17" s="1"/>
  <c r="K120" i="17"/>
  <c r="K188" i="17" s="1"/>
  <c r="K121" i="17"/>
  <c r="K189" i="17" s="1"/>
  <c r="K124" i="17"/>
  <c r="K192" i="17" s="1"/>
  <c r="K18" i="59" s="1"/>
  <c r="K32" i="59" s="1"/>
  <c r="K125" i="17"/>
  <c r="K193" i="17" s="1"/>
  <c r="K126" i="17"/>
  <c r="K194" i="17" s="1"/>
  <c r="J110" i="17"/>
  <c r="J178" i="17" s="1"/>
  <c r="J16" i="59" s="1"/>
  <c r="J111" i="17"/>
  <c r="J179" i="17" s="1"/>
  <c r="J112" i="17"/>
  <c r="J113" i="17"/>
  <c r="J181" i="17" s="1"/>
  <c r="J116" i="17"/>
  <c r="J117" i="17"/>
  <c r="J185" i="17" s="1"/>
  <c r="J120" i="17"/>
  <c r="J188" i="17" s="1"/>
  <c r="J121" i="17"/>
  <c r="J189" i="17" s="1"/>
  <c r="J124" i="17"/>
  <c r="J192" i="17" s="1"/>
  <c r="J18" i="59" s="1"/>
  <c r="J32" i="59" s="1"/>
  <c r="J125" i="17"/>
  <c r="J193" i="17" s="1"/>
  <c r="J126" i="17"/>
  <c r="J194" i="17" s="1"/>
  <c r="I110" i="17"/>
  <c r="I178" i="17" s="1"/>
  <c r="I111" i="17"/>
  <c r="I179" i="17" s="1"/>
  <c r="I112" i="17"/>
  <c r="I180" i="17" s="1"/>
  <c r="I113" i="17"/>
  <c r="I181" i="17" s="1"/>
  <c r="I116" i="17"/>
  <c r="I117" i="17"/>
  <c r="I185" i="17" s="1"/>
  <c r="I120" i="17"/>
  <c r="I188" i="17" s="1"/>
  <c r="I121" i="17"/>
  <c r="I189" i="17" s="1"/>
  <c r="I124" i="17"/>
  <c r="I192" i="17" s="1"/>
  <c r="I18" i="59" s="1"/>
  <c r="I32" i="59" s="1"/>
  <c r="I125" i="17"/>
  <c r="I126" i="17"/>
  <c r="I194" i="17" s="1"/>
  <c r="H110" i="17"/>
  <c r="H111" i="17"/>
  <c r="H179" i="17" s="1"/>
  <c r="H112" i="17"/>
  <c r="H180" i="17" s="1"/>
  <c r="H113" i="17"/>
  <c r="H181" i="17" s="1"/>
  <c r="H116" i="17"/>
  <c r="H117" i="17"/>
  <c r="H185" i="17" s="1"/>
  <c r="H120" i="17"/>
  <c r="H188" i="17" s="1"/>
  <c r="H14" i="59" s="1"/>
  <c r="H121" i="17"/>
  <c r="H189" i="17" s="1"/>
  <c r="H124" i="17"/>
  <c r="H192" i="17" s="1"/>
  <c r="H18" i="59" s="1"/>
  <c r="H32" i="59" s="1"/>
  <c r="H125" i="17"/>
  <c r="H193" i="17" s="1"/>
  <c r="H126" i="17"/>
  <c r="H194" i="17" s="1"/>
  <c r="G110" i="17"/>
  <c r="G111" i="17"/>
  <c r="G112" i="17"/>
  <c r="G113" i="17"/>
  <c r="G181" i="17" s="1"/>
  <c r="G116" i="17"/>
  <c r="G117" i="17"/>
  <c r="G120" i="17"/>
  <c r="G121" i="17"/>
  <c r="G124" i="17"/>
  <c r="G125" i="17"/>
  <c r="G126" i="17"/>
  <c r="F172" i="17"/>
  <c r="F171" i="17"/>
  <c r="F170" i="17"/>
  <c r="F167" i="17"/>
  <c r="F166" i="17"/>
  <c r="F163" i="17"/>
  <c r="F159" i="17"/>
  <c r="F158" i="17"/>
  <c r="F157" i="17"/>
  <c r="F156" i="17"/>
  <c r="F150" i="17"/>
  <c r="F149" i="17"/>
  <c r="F148" i="17"/>
  <c r="F145" i="17"/>
  <c r="F144" i="17"/>
  <c r="F141" i="17"/>
  <c r="F140" i="17"/>
  <c r="F137" i="17"/>
  <c r="F136" i="17"/>
  <c r="F135" i="17"/>
  <c r="F134" i="17"/>
  <c r="N14" i="17"/>
  <c r="N82" i="17" s="1"/>
  <c r="N15" i="17"/>
  <c r="N83" i="17" s="1"/>
  <c r="N16" i="17"/>
  <c r="N84" i="17" s="1"/>
  <c r="N17" i="17"/>
  <c r="N85" i="17" s="1"/>
  <c r="N20" i="17"/>
  <c r="N21" i="17"/>
  <c r="N89" i="17" s="1"/>
  <c r="N24" i="17"/>
  <c r="N92" i="17" s="1"/>
  <c r="N25" i="17"/>
  <c r="N93" i="17" s="1"/>
  <c r="N30" i="17"/>
  <c r="N98" i="17" s="1"/>
  <c r="M14" i="17"/>
  <c r="M15" i="17"/>
  <c r="M83" i="17" s="1"/>
  <c r="M16" i="17"/>
  <c r="M84" i="17" s="1"/>
  <c r="M17" i="17"/>
  <c r="M85" i="17" s="1"/>
  <c r="M20" i="17"/>
  <c r="M21" i="17"/>
  <c r="M89" i="17" s="1"/>
  <c r="M24" i="17"/>
  <c r="M92" i="17" s="1"/>
  <c r="M25" i="17"/>
  <c r="M93" i="17" s="1"/>
  <c r="M28" i="17"/>
  <c r="M96" i="17" s="1"/>
  <c r="M29" i="17"/>
  <c r="M97" i="17" s="1"/>
  <c r="M30" i="17"/>
  <c r="M98" i="17" s="1"/>
  <c r="L14" i="17"/>
  <c r="L82" i="17" s="1"/>
  <c r="L15" i="17"/>
  <c r="L83" i="17" s="1"/>
  <c r="L16" i="17"/>
  <c r="L84" i="17" s="1"/>
  <c r="L17" i="17"/>
  <c r="L85" i="17" s="1"/>
  <c r="L20" i="17"/>
  <c r="L21" i="17"/>
  <c r="L89" i="17" s="1"/>
  <c r="L24" i="17"/>
  <c r="L92" i="17" s="1"/>
  <c r="L25" i="17"/>
  <c r="L93" i="17" s="1"/>
  <c r="L28" i="17"/>
  <c r="L96" i="17" s="1"/>
  <c r="L29" i="17"/>
  <c r="L97" i="17" s="1"/>
  <c r="L30" i="17"/>
  <c r="L98" i="17" s="1"/>
  <c r="K14" i="17"/>
  <c r="K82" i="17" s="1"/>
  <c r="K15" i="17"/>
  <c r="K28" i="17"/>
  <c r="K96" i="17" s="1"/>
  <c r="K16" i="17"/>
  <c r="K84" i="17" s="1"/>
  <c r="K17" i="17"/>
  <c r="K85" i="17" s="1"/>
  <c r="K20" i="17"/>
  <c r="K21" i="17"/>
  <c r="K89" i="17" s="1"/>
  <c r="K24" i="17"/>
  <c r="K92" i="17" s="1"/>
  <c r="K25" i="17"/>
  <c r="K93" i="17" s="1"/>
  <c r="K29" i="17"/>
  <c r="K97" i="17" s="1"/>
  <c r="K30" i="17"/>
  <c r="K98" i="17" s="1"/>
  <c r="J14" i="17"/>
  <c r="J82" i="17" s="1"/>
  <c r="J15" i="17"/>
  <c r="J83" i="17" s="1"/>
  <c r="J16" i="17"/>
  <c r="J84" i="17" s="1"/>
  <c r="J17" i="17"/>
  <c r="J85" i="17" s="1"/>
  <c r="J20" i="17"/>
  <c r="J21" i="17"/>
  <c r="J89" i="17" s="1"/>
  <c r="J24" i="17"/>
  <c r="J92" i="17" s="1"/>
  <c r="J25" i="17"/>
  <c r="J93" i="17" s="1"/>
  <c r="J28" i="17"/>
  <c r="J96" i="17" s="1"/>
  <c r="J29" i="17"/>
  <c r="J97" i="17" s="1"/>
  <c r="J30" i="17"/>
  <c r="J98" i="17" s="1"/>
  <c r="I14" i="17"/>
  <c r="I82" i="17" s="1"/>
  <c r="I15" i="17"/>
  <c r="I16" i="17"/>
  <c r="I84" i="17" s="1"/>
  <c r="I17" i="17"/>
  <c r="I85" i="17" s="1"/>
  <c r="I20" i="17"/>
  <c r="I21" i="17"/>
  <c r="I89" i="17" s="1"/>
  <c r="I24" i="17"/>
  <c r="I92" i="17" s="1"/>
  <c r="I25" i="17"/>
  <c r="I28" i="17"/>
  <c r="I96" i="17" s="1"/>
  <c r="I29" i="17"/>
  <c r="I97" i="17" s="1"/>
  <c r="I30" i="17"/>
  <c r="I98" i="17" s="1"/>
  <c r="H14" i="17"/>
  <c r="H82" i="17" s="1"/>
  <c r="H15" i="17"/>
  <c r="H83" i="17" s="1"/>
  <c r="H16" i="17"/>
  <c r="H84" i="17" s="1"/>
  <c r="H17" i="17"/>
  <c r="H85" i="17" s="1"/>
  <c r="H20" i="17"/>
  <c r="H28" i="17"/>
  <c r="H96" i="17" s="1"/>
  <c r="H21" i="17"/>
  <c r="H89" i="17" s="1"/>
  <c r="H24" i="17"/>
  <c r="H92" i="17" s="1"/>
  <c r="H25" i="17"/>
  <c r="H93" i="17" s="1"/>
  <c r="H29" i="17"/>
  <c r="H97" i="17" s="1"/>
  <c r="H30" i="17"/>
  <c r="H98" i="17" s="1"/>
  <c r="G14" i="17"/>
  <c r="G82" i="17" s="1"/>
  <c r="G15" i="17"/>
  <c r="G16" i="17"/>
  <c r="G17" i="17"/>
  <c r="G85" i="17" s="1"/>
  <c r="G20" i="17"/>
  <c r="G21" i="17"/>
  <c r="G24" i="17"/>
  <c r="G92" i="17" s="1"/>
  <c r="G25" i="17"/>
  <c r="G93" i="17" s="1"/>
  <c r="G28" i="17"/>
  <c r="G96" i="17" s="1"/>
  <c r="G29" i="17"/>
  <c r="G97" i="17" s="1"/>
  <c r="G30" i="17"/>
  <c r="F76" i="17"/>
  <c r="F75" i="17"/>
  <c r="F74" i="17"/>
  <c r="F71" i="17"/>
  <c r="F70" i="17"/>
  <c r="F67" i="17"/>
  <c r="F63" i="17"/>
  <c r="F62" i="17"/>
  <c r="F61" i="17"/>
  <c r="F60" i="17"/>
  <c r="F38" i="17"/>
  <c r="F39" i="17"/>
  <c r="F40" i="17"/>
  <c r="F41" i="17"/>
  <c r="F44" i="17"/>
  <c r="F45" i="17"/>
  <c r="F48" i="17"/>
  <c r="F49" i="17"/>
  <c r="F52" i="17"/>
  <c r="F53" i="17"/>
  <c r="F54" i="17"/>
  <c r="M320" i="17"/>
  <c r="L320" i="17"/>
  <c r="K320" i="17"/>
  <c r="J320" i="17"/>
  <c r="H320" i="17"/>
  <c r="G320" i="17"/>
  <c r="F313" i="17"/>
  <c r="K224" i="17"/>
  <c r="G224" i="17"/>
  <c r="M128" i="17"/>
  <c r="G114" i="40"/>
  <c r="G56" i="40"/>
  <c r="F229" i="34"/>
  <c r="F228" i="34"/>
  <c r="F227" i="34"/>
  <c r="F226" i="34"/>
  <c r="F225" i="34"/>
  <c r="F222" i="34"/>
  <c r="F221" i="34"/>
  <c r="F220" i="34"/>
  <c r="F219" i="34"/>
  <c r="F218" i="34"/>
  <c r="F214" i="34"/>
  <c r="F212" i="34"/>
  <c r="F211" i="34"/>
  <c r="F210" i="34"/>
  <c r="F209" i="34"/>
  <c r="F208" i="34"/>
  <c r="F207" i="34"/>
  <c r="F173" i="34"/>
  <c r="F172" i="34"/>
  <c r="F171" i="34"/>
  <c r="F170" i="34"/>
  <c r="F169" i="34"/>
  <c r="F166" i="34"/>
  <c r="F165" i="34"/>
  <c r="F164" i="34"/>
  <c r="F163" i="34"/>
  <c r="F162" i="34"/>
  <c r="F158" i="34"/>
  <c r="F156" i="34"/>
  <c r="F155" i="34"/>
  <c r="F154" i="34"/>
  <c r="F153" i="34"/>
  <c r="F152" i="34"/>
  <c r="F151" i="34"/>
  <c r="F117" i="34"/>
  <c r="F116" i="34"/>
  <c r="F115" i="34"/>
  <c r="F114" i="34"/>
  <c r="F113" i="34"/>
  <c r="F110" i="34"/>
  <c r="F109" i="34"/>
  <c r="F108" i="34"/>
  <c r="F107" i="34"/>
  <c r="F106" i="34"/>
  <c r="F102" i="34"/>
  <c r="F100" i="34"/>
  <c r="F99" i="34"/>
  <c r="F98" i="34"/>
  <c r="F97" i="34"/>
  <c r="F96" i="34"/>
  <c r="F95" i="34"/>
  <c r="F58" i="34"/>
  <c r="F59" i="34"/>
  <c r="F60" i="34"/>
  <c r="F61" i="34"/>
  <c r="F51" i="34"/>
  <c r="F52" i="34"/>
  <c r="F53" i="34"/>
  <c r="F54" i="34"/>
  <c r="F57" i="34"/>
  <c r="F50" i="34"/>
  <c r="F46" i="34"/>
  <c r="F40" i="34"/>
  <c r="F41" i="34"/>
  <c r="F42" i="34"/>
  <c r="F43" i="34"/>
  <c r="F44" i="34"/>
  <c r="F39" i="34"/>
  <c r="F12" i="39"/>
  <c r="F13" i="39"/>
  <c r="F14" i="39"/>
  <c r="F15" i="39"/>
  <c r="F18" i="39"/>
  <c r="F19" i="39"/>
  <c r="F22" i="39"/>
  <c r="F23" i="39"/>
  <c r="F28" i="39"/>
  <c r="G30" i="39"/>
  <c r="H30" i="39"/>
  <c r="I30" i="39"/>
  <c r="J30" i="39"/>
  <c r="K30" i="39"/>
  <c r="L30" i="39"/>
  <c r="M30" i="39"/>
  <c r="F36" i="39"/>
  <c r="F37" i="39"/>
  <c r="F38" i="39"/>
  <c r="F39" i="39"/>
  <c r="F42" i="39"/>
  <c r="F43" i="39"/>
  <c r="F46" i="39"/>
  <c r="F47" i="39"/>
  <c r="F52" i="39"/>
  <c r="G54" i="39"/>
  <c r="H54" i="39"/>
  <c r="I54" i="39"/>
  <c r="J54" i="39"/>
  <c r="K54" i="39"/>
  <c r="L54" i="39"/>
  <c r="M54" i="39"/>
  <c r="F60" i="39"/>
  <c r="F61" i="39"/>
  <c r="F62" i="39"/>
  <c r="F63" i="39"/>
  <c r="F66" i="39"/>
  <c r="F67" i="39"/>
  <c r="F70" i="39"/>
  <c r="F71" i="39"/>
  <c r="F76" i="39"/>
  <c r="G78" i="39"/>
  <c r="H78" i="39"/>
  <c r="I78" i="39"/>
  <c r="J78" i="39"/>
  <c r="K78" i="39"/>
  <c r="L78" i="39"/>
  <c r="M78" i="39"/>
  <c r="F84" i="39"/>
  <c r="F85" i="39"/>
  <c r="F86" i="39"/>
  <c r="F87" i="39"/>
  <c r="F90" i="39"/>
  <c r="F91" i="39"/>
  <c r="F94" i="39"/>
  <c r="F95" i="39"/>
  <c r="F98" i="39"/>
  <c r="F99" i="39"/>
  <c r="F100" i="39"/>
  <c r="G102" i="39"/>
  <c r="H102" i="39"/>
  <c r="I102" i="39"/>
  <c r="J102" i="39"/>
  <c r="K102" i="39"/>
  <c r="L102" i="39"/>
  <c r="M102" i="39"/>
  <c r="N102" i="39"/>
  <c r="F13" i="40"/>
  <c r="F14" i="40"/>
  <c r="F15" i="40"/>
  <c r="F16" i="40"/>
  <c r="F17" i="40"/>
  <c r="F18" i="40"/>
  <c r="F19" i="40"/>
  <c r="F20" i="40"/>
  <c r="F21" i="40"/>
  <c r="F22" i="40"/>
  <c r="F23" i="40"/>
  <c r="G25" i="40"/>
  <c r="H25" i="40"/>
  <c r="I25" i="40"/>
  <c r="J25" i="40"/>
  <c r="K25" i="40"/>
  <c r="L25" i="40"/>
  <c r="M25" i="40"/>
  <c r="N25" i="40"/>
  <c r="F29" i="40"/>
  <c r="F30" i="40"/>
  <c r="F31" i="40"/>
  <c r="F32" i="40"/>
  <c r="F33" i="40"/>
  <c r="F34" i="40"/>
  <c r="F35" i="40"/>
  <c r="F36" i="40"/>
  <c r="F37" i="40"/>
  <c r="F38" i="40"/>
  <c r="F39" i="40"/>
  <c r="G41" i="40"/>
  <c r="G66" i="17" s="1"/>
  <c r="H41" i="40"/>
  <c r="H66" i="17" s="1"/>
  <c r="I41" i="40"/>
  <c r="I66" i="17" s="1"/>
  <c r="J41" i="40"/>
  <c r="J66" i="17" s="1"/>
  <c r="K41" i="40"/>
  <c r="K66" i="17" s="1"/>
  <c r="L41" i="40"/>
  <c r="L66" i="17" s="1"/>
  <c r="M41" i="40"/>
  <c r="M66" i="17" s="1"/>
  <c r="N41" i="40"/>
  <c r="N66" i="17" s="1"/>
  <c r="F45" i="40"/>
  <c r="F46" i="40"/>
  <c r="F47" i="40"/>
  <c r="F48" i="40"/>
  <c r="F49" i="40"/>
  <c r="F50" i="40"/>
  <c r="F51" i="40"/>
  <c r="F52" i="40"/>
  <c r="F53" i="40"/>
  <c r="F54" i="40"/>
  <c r="H56" i="40"/>
  <c r="I56" i="40"/>
  <c r="J56" i="40"/>
  <c r="K56" i="40"/>
  <c r="L56" i="40"/>
  <c r="M56" i="40"/>
  <c r="N56" i="40"/>
  <c r="F71" i="40"/>
  <c r="F72" i="40"/>
  <c r="F73" i="40"/>
  <c r="F74" i="40"/>
  <c r="F75" i="40"/>
  <c r="F76" i="40"/>
  <c r="F77" i="40"/>
  <c r="F78" i="40"/>
  <c r="F79" i="40"/>
  <c r="F80" i="40"/>
  <c r="F81" i="40"/>
  <c r="G83" i="40"/>
  <c r="H83" i="40"/>
  <c r="I83" i="40"/>
  <c r="J83" i="40"/>
  <c r="K83" i="40"/>
  <c r="L83" i="40"/>
  <c r="M83" i="40"/>
  <c r="N83" i="40"/>
  <c r="F87" i="40"/>
  <c r="F88" i="40"/>
  <c r="F89" i="40"/>
  <c r="F90" i="40"/>
  <c r="F91" i="40"/>
  <c r="F92" i="40"/>
  <c r="F93" i="40"/>
  <c r="F94" i="40"/>
  <c r="F95" i="40"/>
  <c r="F96" i="40"/>
  <c r="F97" i="40"/>
  <c r="G99" i="40"/>
  <c r="G162" i="17" s="1"/>
  <c r="H99" i="40"/>
  <c r="H162" i="17" s="1"/>
  <c r="I99" i="40"/>
  <c r="I162" i="17" s="1"/>
  <c r="J99" i="40"/>
  <c r="J162" i="17" s="1"/>
  <c r="K99" i="40"/>
  <c r="K162" i="17" s="1"/>
  <c r="L99" i="40"/>
  <c r="L162" i="17" s="1"/>
  <c r="M99" i="40"/>
  <c r="M162" i="17" s="1"/>
  <c r="N99" i="40"/>
  <c r="N162" i="17" s="1"/>
  <c r="F103" i="40"/>
  <c r="F104" i="40"/>
  <c r="F105" i="40"/>
  <c r="F106" i="40"/>
  <c r="F107" i="40"/>
  <c r="F108" i="40"/>
  <c r="F109" i="40"/>
  <c r="F110" i="40"/>
  <c r="F111" i="40"/>
  <c r="F112" i="40"/>
  <c r="H114" i="40"/>
  <c r="I114" i="40"/>
  <c r="J114" i="40"/>
  <c r="K114" i="40"/>
  <c r="L114" i="40"/>
  <c r="M114" i="40"/>
  <c r="N114" i="40"/>
  <c r="F129" i="40"/>
  <c r="F130" i="40"/>
  <c r="F131" i="40"/>
  <c r="F132" i="40"/>
  <c r="F133" i="40"/>
  <c r="F134" i="40"/>
  <c r="F135" i="40"/>
  <c r="F136" i="40"/>
  <c r="F137" i="40"/>
  <c r="F138" i="40"/>
  <c r="F139" i="40"/>
  <c r="G141" i="40"/>
  <c r="H141" i="40"/>
  <c r="I141" i="40"/>
  <c r="J141" i="40"/>
  <c r="K141" i="40"/>
  <c r="L141" i="40"/>
  <c r="M141" i="40"/>
  <c r="N141" i="40"/>
  <c r="F145" i="40"/>
  <c r="F146" i="40"/>
  <c r="F147" i="40"/>
  <c r="F148" i="40"/>
  <c r="F149" i="40"/>
  <c r="F150" i="40"/>
  <c r="F151" i="40"/>
  <c r="F152" i="40"/>
  <c r="F153" i="40"/>
  <c r="F154" i="40"/>
  <c r="F155" i="40"/>
  <c r="G157" i="40"/>
  <c r="G258" i="17" s="1"/>
  <c r="H157" i="40"/>
  <c r="H258" i="17" s="1"/>
  <c r="I157" i="40"/>
  <c r="I258" i="17" s="1"/>
  <c r="J157" i="40"/>
  <c r="J258" i="17" s="1"/>
  <c r="K157" i="40"/>
  <c r="K258" i="17" s="1"/>
  <c r="L157" i="40"/>
  <c r="L258" i="17" s="1"/>
  <c r="M157" i="40"/>
  <c r="M258" i="17" s="1"/>
  <c r="N157" i="40"/>
  <c r="N258" i="17" s="1"/>
  <c r="F161" i="40"/>
  <c r="F162" i="40"/>
  <c r="F163" i="40"/>
  <c r="F164" i="40"/>
  <c r="F165" i="40"/>
  <c r="F166" i="40"/>
  <c r="F167" i="40"/>
  <c r="F168" i="40"/>
  <c r="F169" i="40"/>
  <c r="F170" i="40"/>
  <c r="G172" i="40"/>
  <c r="H172" i="40"/>
  <c r="I172" i="40"/>
  <c r="J172" i="40"/>
  <c r="K172" i="40"/>
  <c r="L172" i="40"/>
  <c r="M172" i="40"/>
  <c r="N172" i="40"/>
  <c r="F187" i="40"/>
  <c r="F188" i="40"/>
  <c r="F189" i="40"/>
  <c r="F190" i="40"/>
  <c r="F191" i="40"/>
  <c r="F192" i="40"/>
  <c r="F193" i="40"/>
  <c r="F194" i="40"/>
  <c r="F195" i="40"/>
  <c r="F196" i="40"/>
  <c r="F197" i="40"/>
  <c r="G199" i="40"/>
  <c r="H199" i="40"/>
  <c r="I199" i="40"/>
  <c r="J199" i="40"/>
  <c r="K199" i="40"/>
  <c r="L199" i="40"/>
  <c r="M199" i="40"/>
  <c r="N199" i="40"/>
  <c r="F203" i="40"/>
  <c r="F204" i="40"/>
  <c r="F205" i="40"/>
  <c r="F206" i="40"/>
  <c r="F207" i="40"/>
  <c r="F208" i="40"/>
  <c r="F209" i="40"/>
  <c r="F210" i="40"/>
  <c r="F211" i="40"/>
  <c r="F212" i="40"/>
  <c r="F213" i="40"/>
  <c r="G215" i="40"/>
  <c r="G354" i="17" s="1"/>
  <c r="H215" i="40"/>
  <c r="H354" i="17" s="1"/>
  <c r="I215" i="40"/>
  <c r="I354" i="17" s="1"/>
  <c r="J215" i="40"/>
  <c r="J354" i="17" s="1"/>
  <c r="K215" i="40"/>
  <c r="K354" i="17" s="1"/>
  <c r="L215" i="40"/>
  <c r="L354" i="17" s="1"/>
  <c r="M215" i="40"/>
  <c r="M354" i="17" s="1"/>
  <c r="N215" i="40"/>
  <c r="N354" i="17" s="1"/>
  <c r="N376" i="17" s="1"/>
  <c r="F219" i="40"/>
  <c r="F220" i="40"/>
  <c r="F221" i="40"/>
  <c r="F222" i="40"/>
  <c r="F223" i="40"/>
  <c r="F224" i="40"/>
  <c r="F225" i="40"/>
  <c r="F226" i="40"/>
  <c r="F227" i="40"/>
  <c r="F228" i="40"/>
  <c r="G230" i="40"/>
  <c r="H230" i="40"/>
  <c r="I230" i="40"/>
  <c r="J230" i="40"/>
  <c r="K230" i="40"/>
  <c r="L230" i="40"/>
  <c r="M230" i="40"/>
  <c r="N230" i="40"/>
  <c r="F14" i="41"/>
  <c r="F16" i="41"/>
  <c r="F17" i="41"/>
  <c r="F19" i="41"/>
  <c r="F23" i="41"/>
  <c r="F25" i="41"/>
  <c r="F26" i="41"/>
  <c r="F28" i="41"/>
  <c r="F32" i="41"/>
  <c r="F34" i="41"/>
  <c r="F35" i="41"/>
  <c r="F37" i="41"/>
  <c r="F41" i="41"/>
  <c r="F43" i="41"/>
  <c r="F44" i="41"/>
  <c r="F46" i="41"/>
  <c r="F50" i="41"/>
  <c r="F52" i="41"/>
  <c r="F53" i="41"/>
  <c r="F55" i="41"/>
  <c r="F59" i="41"/>
  <c r="F61" i="41"/>
  <c r="F62" i="41"/>
  <c r="F64" i="41"/>
  <c r="F68" i="41"/>
  <c r="F69" i="41"/>
  <c r="F70" i="41"/>
  <c r="F71" i="41"/>
  <c r="F72" i="41"/>
  <c r="F76" i="41"/>
  <c r="F77" i="41"/>
  <c r="F78" i="41"/>
  <c r="F79" i="41"/>
  <c r="F80" i="41"/>
  <c r="F84" i="41"/>
  <c r="F85" i="41"/>
  <c r="F86" i="41"/>
  <c r="F87" i="41"/>
  <c r="F88" i="41"/>
  <c r="F92" i="41"/>
  <c r="F93" i="41"/>
  <c r="F94" i="41"/>
  <c r="F95" i="41"/>
  <c r="F96" i="41"/>
  <c r="F100" i="41"/>
  <c r="F101" i="41"/>
  <c r="F105" i="41"/>
  <c r="F106" i="41"/>
  <c r="F107" i="41"/>
  <c r="F108" i="41"/>
  <c r="F109" i="41"/>
  <c r="F110" i="41"/>
  <c r="F118" i="41"/>
  <c r="F120" i="41"/>
  <c r="F121" i="41"/>
  <c r="F123" i="41"/>
  <c r="F127" i="41"/>
  <c r="F129" i="41"/>
  <c r="F130" i="41"/>
  <c r="F132" i="41"/>
  <c r="F136" i="41"/>
  <c r="F138" i="41"/>
  <c r="F139" i="41"/>
  <c r="F141" i="41"/>
  <c r="F145" i="41"/>
  <c r="F147" i="41"/>
  <c r="F148" i="41"/>
  <c r="F150" i="41"/>
  <c r="F154" i="41"/>
  <c r="F156" i="41"/>
  <c r="F157" i="41"/>
  <c r="F159" i="41"/>
  <c r="F163" i="41"/>
  <c r="F165" i="41"/>
  <c r="F166" i="41"/>
  <c r="F168" i="41"/>
  <c r="F172" i="41"/>
  <c r="F173" i="41"/>
  <c r="F174" i="41"/>
  <c r="F175" i="41"/>
  <c r="F176" i="41"/>
  <c r="F180" i="41"/>
  <c r="F181" i="41"/>
  <c r="F182" i="41"/>
  <c r="F183" i="41"/>
  <c r="F184" i="41"/>
  <c r="F188" i="41"/>
  <c r="F189" i="41"/>
  <c r="F190" i="41"/>
  <c r="F191" i="41"/>
  <c r="F192" i="41"/>
  <c r="F196" i="41"/>
  <c r="F197" i="41"/>
  <c r="F198" i="41"/>
  <c r="F199" i="41"/>
  <c r="F200" i="41"/>
  <c r="F204" i="41"/>
  <c r="F205" i="41"/>
  <c r="F209" i="41"/>
  <c r="F210" i="41"/>
  <c r="F211" i="41"/>
  <c r="F212" i="41"/>
  <c r="F213" i="41"/>
  <c r="F214" i="41"/>
  <c r="F225" i="41"/>
  <c r="F226" i="41"/>
  <c r="F227" i="41"/>
  <c r="F230" i="41"/>
  <c r="F231" i="41"/>
  <c r="F232" i="41"/>
  <c r="F235" i="41"/>
  <c r="F236" i="41"/>
  <c r="F237" i="41"/>
  <c r="F240" i="41"/>
  <c r="F241" i="41"/>
  <c r="F242" i="41"/>
  <c r="F245" i="41"/>
  <c r="F246" i="41"/>
  <c r="F247" i="41"/>
  <c r="F250" i="41"/>
  <c r="F251" i="41"/>
  <c r="F252" i="41"/>
  <c r="F262" i="41"/>
  <c r="F263" i="41"/>
  <c r="F264" i="41"/>
  <c r="F265" i="41"/>
  <c r="F268" i="41"/>
  <c r="F269" i="41"/>
  <c r="F270" i="41"/>
  <c r="F271" i="41"/>
  <c r="F274" i="41"/>
  <c r="F275" i="41"/>
  <c r="F276" i="41"/>
  <c r="F277" i="41"/>
  <c r="F287" i="41"/>
  <c r="F288" i="41"/>
  <c r="F289" i="41"/>
  <c r="F290" i="41"/>
  <c r="F293" i="41"/>
  <c r="F294" i="41"/>
  <c r="F297" i="41"/>
  <c r="F298" i="41"/>
  <c r="F299" i="41"/>
  <c r="F300" i="41"/>
  <c r="F301" i="41"/>
  <c r="F302" i="41"/>
  <c r="F313" i="41"/>
  <c r="F314" i="41"/>
  <c r="F325" i="41"/>
  <c r="F326" i="41"/>
  <c r="F327" i="41"/>
  <c r="F330" i="41"/>
  <c r="F331" i="41"/>
  <c r="F332" i="41"/>
  <c r="F335" i="41"/>
  <c r="F336" i="41"/>
  <c r="F337" i="41"/>
  <c r="F340" i="41"/>
  <c r="F341" i="41"/>
  <c r="F342" i="41"/>
  <c r="F345" i="41"/>
  <c r="F346" i="41"/>
  <c r="F347" i="41"/>
  <c r="F350" i="41"/>
  <c r="F351" i="41"/>
  <c r="F352" i="41"/>
  <c r="F362" i="41"/>
  <c r="F363" i="41"/>
  <c r="F364" i="41"/>
  <c r="F365" i="41"/>
  <c r="F368" i="41"/>
  <c r="F369" i="41"/>
  <c r="F370" i="41"/>
  <c r="F371" i="41"/>
  <c r="F374" i="41"/>
  <c r="F375" i="41"/>
  <c r="F376" i="41"/>
  <c r="F377" i="41"/>
  <c r="F387" i="41"/>
  <c r="F388" i="41"/>
  <c r="F389" i="41"/>
  <c r="F390" i="41"/>
  <c r="F393" i="41"/>
  <c r="F394" i="41"/>
  <c r="F397" i="41"/>
  <c r="F398" i="41"/>
  <c r="F399" i="41"/>
  <c r="F400" i="41"/>
  <c r="F401" i="41"/>
  <c r="F402" i="41"/>
  <c r="F413" i="41"/>
  <c r="F414" i="41"/>
  <c r="F15" i="42"/>
  <c r="F16" i="42"/>
  <c r="F17" i="42"/>
  <c r="F20" i="42"/>
  <c r="F21" i="42"/>
  <c r="F22" i="42"/>
  <c r="F25" i="42"/>
  <c r="F26" i="42"/>
  <c r="F27" i="42"/>
  <c r="F30" i="42"/>
  <c r="F31" i="42"/>
  <c r="F32" i="42"/>
  <c r="F35" i="42"/>
  <c r="F36" i="42"/>
  <c r="F37" i="42"/>
  <c r="F40" i="42"/>
  <c r="F41" i="42"/>
  <c r="F42" i="42"/>
  <c r="F52" i="42"/>
  <c r="F53" i="42"/>
  <c r="F54" i="42"/>
  <c r="F55" i="42"/>
  <c r="F58" i="42"/>
  <c r="F59" i="42"/>
  <c r="F60" i="42"/>
  <c r="F61" i="42"/>
  <c r="F64" i="42"/>
  <c r="F65" i="42"/>
  <c r="F66" i="42"/>
  <c r="F67" i="42"/>
  <c r="F77" i="42"/>
  <c r="F78" i="42"/>
  <c r="F79" i="42"/>
  <c r="F80" i="42"/>
  <c r="F83" i="42"/>
  <c r="F84" i="42"/>
  <c r="F87" i="42"/>
  <c r="F88" i="42"/>
  <c r="F89" i="42"/>
  <c r="F90" i="42"/>
  <c r="F91" i="42"/>
  <c r="F92" i="42"/>
  <c r="F103" i="42"/>
  <c r="F104" i="42"/>
  <c r="F14" i="43"/>
  <c r="F15" i="43"/>
  <c r="F16" i="43"/>
  <c r="F19" i="43"/>
  <c r="F20" i="43"/>
  <c r="F21" i="43"/>
  <c r="F26" i="43"/>
  <c r="F29" i="43"/>
  <c r="F30" i="43"/>
  <c r="F31" i="43"/>
  <c r="F34" i="43"/>
  <c r="F35" i="43"/>
  <c r="F36" i="43"/>
  <c r="F50" i="43"/>
  <c r="F51" i="43"/>
  <c r="F52" i="43"/>
  <c r="F55" i="43"/>
  <c r="F56" i="43"/>
  <c r="F57" i="43"/>
  <c r="F60" i="43"/>
  <c r="F61" i="43"/>
  <c r="F62" i="43"/>
  <c r="F65" i="43"/>
  <c r="F66" i="43"/>
  <c r="F67" i="43"/>
  <c r="F70" i="43"/>
  <c r="F71" i="43"/>
  <c r="F72" i="43"/>
  <c r="F86" i="43"/>
  <c r="F87" i="43"/>
  <c r="F88" i="43"/>
  <c r="F91" i="43"/>
  <c r="F92" i="43"/>
  <c r="F93" i="43"/>
  <c r="F96" i="43"/>
  <c r="F97" i="43"/>
  <c r="F98" i="43"/>
  <c r="F101" i="43"/>
  <c r="F102" i="43"/>
  <c r="F103" i="43"/>
  <c r="F106" i="43"/>
  <c r="F107" i="43"/>
  <c r="F108" i="43"/>
  <c r="F122" i="43"/>
  <c r="F123" i="43"/>
  <c r="F124" i="43"/>
  <c r="F127" i="43"/>
  <c r="F128" i="43"/>
  <c r="F129" i="43"/>
  <c r="F132" i="43"/>
  <c r="F133" i="43"/>
  <c r="F134" i="43"/>
  <c r="F137" i="43"/>
  <c r="F138" i="43"/>
  <c r="F139" i="43"/>
  <c r="F142" i="43"/>
  <c r="F143" i="43"/>
  <c r="F144" i="43"/>
  <c r="F84" i="37"/>
  <c r="G24" i="16"/>
  <c r="H24" i="16"/>
  <c r="H50" i="16" s="1"/>
  <c r="I50" i="16" s="1"/>
  <c r="I24" i="16"/>
  <c r="I51" i="16" s="1"/>
  <c r="J24" i="16"/>
  <c r="K24" i="16"/>
  <c r="K53" i="16" s="1"/>
  <c r="L24" i="16"/>
  <c r="L54" i="16" s="1"/>
  <c r="M54" i="16" s="1"/>
  <c r="M24" i="16"/>
  <c r="N24" i="16"/>
  <c r="N56" i="16" s="1"/>
  <c r="O56" i="16" s="1"/>
  <c r="O24" i="16"/>
  <c r="P24" i="16"/>
  <c r="P58" i="16" s="1"/>
  <c r="Q24" i="16"/>
  <c r="R24" i="16"/>
  <c r="R60" i="16" s="1"/>
  <c r="S24" i="16"/>
  <c r="S61" i="16" s="1"/>
  <c r="F31" i="16"/>
  <c r="F32" i="16" s="1"/>
  <c r="F33" i="16" s="1"/>
  <c r="F34" i="16" s="1"/>
  <c r="F35" i="16" s="1"/>
  <c r="F36" i="16" s="1"/>
  <c r="F37" i="16" s="1"/>
  <c r="F38" i="16" s="1"/>
  <c r="F39" i="16" s="1"/>
  <c r="F40" i="16" s="1"/>
  <c r="F41" i="16" s="1"/>
  <c r="F42" i="16" s="1"/>
  <c r="F43" i="16" s="1"/>
  <c r="G32" i="16"/>
  <c r="G33" i="16" s="1"/>
  <c r="G34" i="16" s="1"/>
  <c r="G35" i="16" s="1"/>
  <c r="G36" i="16" s="1"/>
  <c r="G37" i="16" s="1"/>
  <c r="G38" i="16" s="1"/>
  <c r="G39" i="16" s="1"/>
  <c r="G40" i="16" s="1"/>
  <c r="G41" i="16" s="1"/>
  <c r="G42" i="16" s="1"/>
  <c r="G43" i="16" s="1"/>
  <c r="H33" i="16"/>
  <c r="H34" i="16" s="1"/>
  <c r="H35" i="16" s="1"/>
  <c r="H36" i="16" s="1"/>
  <c r="H37" i="16" s="1"/>
  <c r="H38" i="16" s="1"/>
  <c r="H39" i="16" s="1"/>
  <c r="H40" i="16" s="1"/>
  <c r="H41" i="16" s="1"/>
  <c r="H42" i="16" s="1"/>
  <c r="H43" i="16" s="1"/>
  <c r="I34" i="16"/>
  <c r="I35" i="16" s="1"/>
  <c r="I36" i="16" s="1"/>
  <c r="J35" i="16"/>
  <c r="K36" i="16"/>
  <c r="L37" i="16"/>
  <c r="L38" i="16" s="1"/>
  <c r="L39" i="16" s="1"/>
  <c r="L40" i="16" s="1"/>
  <c r="L41" i="16" s="1"/>
  <c r="M38" i="16"/>
  <c r="M39" i="16" s="1"/>
  <c r="M40" i="16" s="1"/>
  <c r="M41" i="16" s="1"/>
  <c r="M42" i="16" s="1"/>
  <c r="N39" i="16"/>
  <c r="N40" i="16" s="1"/>
  <c r="N41" i="16" s="1"/>
  <c r="N42" i="16" s="1"/>
  <c r="N43" i="16" s="1"/>
  <c r="O40" i="16"/>
  <c r="P41" i="16"/>
  <c r="Q42" i="16"/>
  <c r="R43" i="16"/>
  <c r="G49" i="16"/>
  <c r="J52" i="16"/>
  <c r="K52" i="16" s="1"/>
  <c r="L52" i="16" s="1"/>
  <c r="M52" i="16" s="1"/>
  <c r="N52" i="16" s="1"/>
  <c r="O52" i="16" s="1"/>
  <c r="P52" i="16" s="1"/>
  <c r="Q52" i="16" s="1"/>
  <c r="R52" i="16" s="1"/>
  <c r="S52" i="16" s="1"/>
  <c r="M55" i="16"/>
  <c r="N55" i="16" s="1"/>
  <c r="O55" i="16" s="1"/>
  <c r="P55" i="16" s="1"/>
  <c r="Q55" i="16" s="1"/>
  <c r="R55" i="16" s="1"/>
  <c r="S55" i="16" s="1"/>
  <c r="O57" i="16"/>
  <c r="P57" i="16" s="1"/>
  <c r="Q57" i="16" s="1"/>
  <c r="R57" i="16" s="1"/>
  <c r="S57" i="16" s="1"/>
  <c r="Q59" i="16"/>
  <c r="Q43" i="16"/>
  <c r="K37" i="16"/>
  <c r="F172" i="40"/>
  <c r="G193" i="17"/>
  <c r="F113" i="17"/>
  <c r="G179" i="17"/>
  <c r="G17" i="59" s="1"/>
  <c r="G385" i="17"/>
  <c r="G69" i="49"/>
  <c r="G377" i="17"/>
  <c r="F309" i="17"/>
  <c r="G371" i="17"/>
  <c r="G71" i="59" s="1"/>
  <c r="F303" i="17"/>
  <c r="H70" i="49"/>
  <c r="L70" i="49"/>
  <c r="N70" i="49"/>
  <c r="K104" i="30"/>
  <c r="F130" i="30"/>
  <c r="G41" i="30"/>
  <c r="G37" i="30"/>
  <c r="G35" i="30"/>
  <c r="G31" i="30"/>
  <c r="G27" i="30"/>
  <c r="G25" i="30"/>
  <c r="G21" i="30"/>
  <c r="G17" i="30"/>
  <c r="F521" i="45"/>
  <c r="G15" i="30"/>
  <c r="G66" i="30"/>
  <c r="G64" i="30"/>
  <c r="G60" i="30"/>
  <c r="G58" i="30"/>
  <c r="G54" i="30"/>
  <c r="G52" i="30"/>
  <c r="G91" i="30"/>
  <c r="G89" i="30"/>
  <c r="G87" i="30"/>
  <c r="G83" i="30"/>
  <c r="G79" i="30"/>
  <c r="F583" i="45"/>
  <c r="G77" i="30"/>
  <c r="N91" i="30"/>
  <c r="N89" i="30"/>
  <c r="N87" i="30"/>
  <c r="N83" i="30"/>
  <c r="N79" i="30"/>
  <c r="N77" i="30"/>
  <c r="M79" i="30"/>
  <c r="L91" i="30"/>
  <c r="L89" i="30"/>
  <c r="L87" i="30"/>
  <c r="L83" i="30"/>
  <c r="L79" i="30"/>
  <c r="L77" i="30"/>
  <c r="K91" i="30"/>
  <c r="K89" i="30"/>
  <c r="K87" i="30"/>
  <c r="K83" i="30"/>
  <c r="K79" i="30"/>
  <c r="K77" i="30"/>
  <c r="J91" i="30"/>
  <c r="J89" i="30"/>
  <c r="J87" i="30"/>
  <c r="J83" i="30"/>
  <c r="J79" i="30"/>
  <c r="J77" i="30"/>
  <c r="H91" i="30"/>
  <c r="H89" i="30"/>
  <c r="H87" i="30"/>
  <c r="H83" i="30"/>
  <c r="H79" i="30"/>
  <c r="H77" i="30"/>
  <c r="N66" i="30"/>
  <c r="N64" i="30"/>
  <c r="N60" i="30"/>
  <c r="N58" i="30"/>
  <c r="N54" i="30"/>
  <c r="N52" i="30"/>
  <c r="M54" i="30"/>
  <c r="L66" i="30"/>
  <c r="L64" i="30"/>
  <c r="L60" i="30"/>
  <c r="L58" i="30"/>
  <c r="L52" i="30"/>
  <c r="K66" i="30"/>
  <c r="K64" i="30"/>
  <c r="K60" i="30"/>
  <c r="K58" i="30"/>
  <c r="K54" i="30"/>
  <c r="K52" i="30"/>
  <c r="J66" i="30"/>
  <c r="J64" i="30"/>
  <c r="J60" i="30"/>
  <c r="J58" i="30"/>
  <c r="J54" i="30"/>
  <c r="J52" i="30"/>
  <c r="I54" i="30"/>
  <c r="H66" i="30"/>
  <c r="H64" i="30"/>
  <c r="H60" i="30"/>
  <c r="H58" i="30"/>
  <c r="H52" i="30"/>
  <c r="N41" i="30"/>
  <c r="N37" i="30"/>
  <c r="N35" i="30"/>
  <c r="N31" i="30"/>
  <c r="N27" i="30"/>
  <c r="N25" i="30"/>
  <c r="N21" i="30"/>
  <c r="N17" i="30"/>
  <c r="N15" i="30"/>
  <c r="M17" i="30"/>
  <c r="L41" i="30"/>
  <c r="L37" i="30"/>
  <c r="L35" i="30"/>
  <c r="L31" i="30"/>
  <c r="L27" i="30"/>
  <c r="L25" i="30"/>
  <c r="L21" i="30"/>
  <c r="L15" i="30"/>
  <c r="K41" i="30"/>
  <c r="K37" i="30"/>
  <c r="K35" i="30"/>
  <c r="K31" i="30"/>
  <c r="K27" i="30"/>
  <c r="K25" i="30"/>
  <c r="K21" i="30"/>
  <c r="K17" i="30"/>
  <c r="K15" i="30"/>
  <c r="J41" i="30"/>
  <c r="J37" i="30"/>
  <c r="J35" i="30"/>
  <c r="J31" i="30"/>
  <c r="J27" i="30"/>
  <c r="J25" i="30"/>
  <c r="J21" i="30"/>
  <c r="J17" i="30"/>
  <c r="J15" i="30"/>
  <c r="I17" i="30"/>
  <c r="O41" i="16"/>
  <c r="F305" i="17"/>
  <c r="G89" i="17"/>
  <c r="G83" i="17"/>
  <c r="G289" i="17"/>
  <c r="G281" i="17"/>
  <c r="F213" i="17"/>
  <c r="G275" i="17"/>
  <c r="G44" i="59" s="1"/>
  <c r="F207" i="17"/>
  <c r="F199" i="40"/>
  <c r="G98" i="17"/>
  <c r="G84" i="17"/>
  <c r="G194" i="17"/>
  <c r="G192" i="17"/>
  <c r="G18" i="59" s="1"/>
  <c r="G32" i="59" s="1"/>
  <c r="G188" i="17"/>
  <c r="G184" i="17"/>
  <c r="F116" i="17"/>
  <c r="G180" i="17"/>
  <c r="G178" i="17"/>
  <c r="G290" i="17"/>
  <c r="G288" i="17"/>
  <c r="G284" i="17"/>
  <c r="G280" i="17"/>
  <c r="F212" i="17"/>
  <c r="G276" i="17"/>
  <c r="G274" i="17"/>
  <c r="G386" i="17"/>
  <c r="G384" i="17"/>
  <c r="F316" i="17"/>
  <c r="G380" i="17"/>
  <c r="G68" i="59" s="1"/>
  <c r="F312" i="17"/>
  <c r="G376" i="17"/>
  <c r="F308" i="17"/>
  <c r="G372" i="17"/>
  <c r="F304" i="17"/>
  <c r="G370" i="17"/>
  <c r="G70" i="59" s="1"/>
  <c r="G85" i="59" s="1"/>
  <c r="F302" i="17"/>
  <c r="F509" i="45"/>
  <c r="G104" i="30"/>
  <c r="H41" i="30"/>
  <c r="H37" i="30"/>
  <c r="H35" i="30"/>
  <c r="H31" i="30"/>
  <c r="H27" i="30"/>
  <c r="H25" i="30"/>
  <c r="H21" i="30"/>
  <c r="H15" i="30"/>
  <c r="F112" i="30"/>
  <c r="F71" i="7"/>
  <c r="F126" i="30"/>
  <c r="G20" i="30"/>
  <c r="G90" i="30"/>
  <c r="M92" i="30"/>
  <c r="K80" i="30"/>
  <c r="H88" i="30"/>
  <c r="L67" i="30"/>
  <c r="J55" i="30"/>
  <c r="H67" i="30"/>
  <c r="N30" i="30"/>
  <c r="M42" i="30"/>
  <c r="M30" i="30"/>
  <c r="M16" i="30"/>
  <c r="L32" i="30"/>
  <c r="L20" i="30"/>
  <c r="K36" i="30"/>
  <c r="K22" i="30"/>
  <c r="J40" i="30"/>
  <c r="J26" i="30"/>
  <c r="I16" i="30"/>
  <c r="H32" i="30"/>
  <c r="H20" i="30"/>
  <c r="F35" i="7"/>
  <c r="K176" i="47"/>
  <c r="J217" i="47"/>
  <c r="J135" i="7"/>
  <c r="M135" i="7"/>
  <c r="M217" i="47"/>
  <c r="I135" i="7"/>
  <c r="I217" i="47"/>
  <c r="G71" i="49"/>
  <c r="H217" i="47"/>
  <c r="H135" i="7"/>
  <c r="L217" i="47"/>
  <c r="L135" i="7"/>
  <c r="G70" i="49"/>
  <c r="G68" i="49"/>
  <c r="N217" i="47"/>
  <c r="N135" i="7"/>
  <c r="N219" i="47"/>
  <c r="G217" i="47"/>
  <c r="G135" i="7"/>
  <c r="F115" i="7"/>
  <c r="K217" i="47"/>
  <c r="K135" i="7"/>
  <c r="K219" i="47"/>
  <c r="G44" i="49"/>
  <c r="O42" i="16"/>
  <c r="O43" i="16" s="1"/>
  <c r="K12" i="26" s="1"/>
  <c r="G17" i="49"/>
  <c r="K38" i="16"/>
  <c r="K39" i="16" s="1"/>
  <c r="K40" i="16" s="1"/>
  <c r="K41" i="16" s="1"/>
  <c r="K42" i="16" s="1"/>
  <c r="G219" i="47"/>
  <c r="G137" i="7"/>
  <c r="I137" i="7"/>
  <c r="I219" i="47"/>
  <c r="J219" i="47"/>
  <c r="J137" i="7"/>
  <c r="M137" i="7"/>
  <c r="M219" i="47"/>
  <c r="F136" i="7" l="1"/>
  <c r="K240" i="47"/>
  <c r="F102" i="7"/>
  <c r="F104" i="7"/>
  <c r="J204" i="47"/>
  <c r="J48" i="59" s="1"/>
  <c r="F103" i="7"/>
  <c r="F70" i="7"/>
  <c r="J139" i="47"/>
  <c r="J21" i="59" s="1"/>
  <c r="F36" i="7"/>
  <c r="F31" i="47"/>
  <c r="I128" i="17"/>
  <c r="F318" i="17"/>
  <c r="F320" i="17" s="1"/>
  <c r="I320" i="17"/>
  <c r="F222" i="17"/>
  <c r="F126" i="17"/>
  <c r="F88" i="47"/>
  <c r="F215" i="40"/>
  <c r="F37" i="7"/>
  <c r="F135" i="7"/>
  <c r="N268" i="47"/>
  <c r="N75" i="59" s="1"/>
  <c r="L268" i="47"/>
  <c r="L75" i="59" s="1"/>
  <c r="J268" i="47"/>
  <c r="J75" i="59" s="1"/>
  <c r="H268" i="47"/>
  <c r="H75" i="59" s="1"/>
  <c r="H204" i="47"/>
  <c r="H48" i="59" s="1"/>
  <c r="H139" i="47"/>
  <c r="H21" i="59" s="1"/>
  <c r="H161" i="21"/>
  <c r="C27" i="100"/>
  <c r="H160" i="56"/>
  <c r="J155" i="21"/>
  <c r="C21" i="101"/>
  <c r="J154" i="56"/>
  <c r="K151" i="21"/>
  <c r="C17" i="102"/>
  <c r="K150" i="56"/>
  <c r="L149" i="21"/>
  <c r="C15" i="103"/>
  <c r="L148" i="56"/>
  <c r="M145" i="21"/>
  <c r="M144" i="56"/>
  <c r="M171" i="21"/>
  <c r="C37" i="104"/>
  <c r="M170" i="56"/>
  <c r="H196" i="21"/>
  <c r="G25" i="100"/>
  <c r="H195" i="56"/>
  <c r="L196" i="21"/>
  <c r="G25" i="103"/>
  <c r="L195" i="56"/>
  <c r="K209" i="21"/>
  <c r="K13" i="102"/>
  <c r="K208" i="56"/>
  <c r="G219" i="21"/>
  <c r="G218" i="56"/>
  <c r="H150" i="21"/>
  <c r="C16" i="100"/>
  <c r="H149" i="56"/>
  <c r="H156" i="21"/>
  <c r="C22" i="100"/>
  <c r="H155" i="56"/>
  <c r="H164" i="21"/>
  <c r="C30" i="100"/>
  <c r="H163" i="56"/>
  <c r="H170" i="21"/>
  <c r="C36" i="100"/>
  <c r="H169" i="56"/>
  <c r="I146" i="21"/>
  <c r="C12" i="99"/>
  <c r="I145" i="56"/>
  <c r="J146" i="21"/>
  <c r="C12" i="101"/>
  <c r="J145" i="56"/>
  <c r="J154" i="21"/>
  <c r="C20" i="101"/>
  <c r="J153" i="56"/>
  <c r="J160" i="21"/>
  <c r="C26" i="101"/>
  <c r="J159" i="56"/>
  <c r="J166" i="21"/>
  <c r="C32" i="101"/>
  <c r="J165" i="56"/>
  <c r="K144" i="21"/>
  <c r="C10" i="102"/>
  <c r="K143" i="56"/>
  <c r="K150" i="21"/>
  <c r="C16" i="102"/>
  <c r="K149" i="56"/>
  <c r="K156" i="21"/>
  <c r="C22" i="102"/>
  <c r="K155" i="56"/>
  <c r="K164" i="21"/>
  <c r="C30" i="102"/>
  <c r="K163" i="56"/>
  <c r="K170" i="21"/>
  <c r="C36" i="102"/>
  <c r="K169" i="56"/>
  <c r="L150" i="21"/>
  <c r="C16" i="103"/>
  <c r="L149" i="56"/>
  <c r="L156" i="21"/>
  <c r="C22" i="103"/>
  <c r="L155" i="56"/>
  <c r="L164" i="21"/>
  <c r="C30" i="103"/>
  <c r="L163" i="56"/>
  <c r="L170" i="21"/>
  <c r="C36" i="103"/>
  <c r="L169" i="56"/>
  <c r="N144" i="21"/>
  <c r="C10" i="105"/>
  <c r="N143" i="56"/>
  <c r="N150" i="21"/>
  <c r="C16" i="105"/>
  <c r="N149" i="56"/>
  <c r="N156" i="21"/>
  <c r="C22" i="105"/>
  <c r="N155" i="56"/>
  <c r="N164" i="21"/>
  <c r="C30" i="105"/>
  <c r="N163" i="56"/>
  <c r="N170" i="21"/>
  <c r="C36" i="105"/>
  <c r="N169" i="56"/>
  <c r="H187" i="21"/>
  <c r="G16" i="100"/>
  <c r="H186" i="56"/>
  <c r="H193" i="21"/>
  <c r="G22" i="100"/>
  <c r="H192" i="56"/>
  <c r="I183" i="21"/>
  <c r="G12" i="99"/>
  <c r="I182" i="56"/>
  <c r="J183" i="21"/>
  <c r="G12" i="101"/>
  <c r="J182" i="56"/>
  <c r="J189" i="21"/>
  <c r="G18" i="101"/>
  <c r="J188" i="56"/>
  <c r="J195" i="21"/>
  <c r="G24" i="101"/>
  <c r="J194" i="56"/>
  <c r="K183" i="21"/>
  <c r="K182" i="56"/>
  <c r="K189" i="21"/>
  <c r="G18" i="102"/>
  <c r="K188" i="56"/>
  <c r="K195" i="21"/>
  <c r="G24" i="102"/>
  <c r="K194" i="56"/>
  <c r="L187" i="21"/>
  <c r="G16" i="103"/>
  <c r="L186" i="56"/>
  <c r="L193" i="21"/>
  <c r="G22" i="103"/>
  <c r="L192" i="56"/>
  <c r="M183" i="21"/>
  <c r="M182" i="56"/>
  <c r="N183" i="21"/>
  <c r="N182" i="56"/>
  <c r="N189" i="21"/>
  <c r="G18" i="105"/>
  <c r="N188" i="56"/>
  <c r="N195" i="21"/>
  <c r="G24" i="105"/>
  <c r="N194" i="56"/>
  <c r="H208" i="21"/>
  <c r="K12" i="100"/>
  <c r="H207" i="56"/>
  <c r="H216" i="21"/>
  <c r="K20" i="100"/>
  <c r="H215" i="56"/>
  <c r="H220" i="21"/>
  <c r="K24" i="100"/>
  <c r="H219" i="56"/>
  <c r="J208" i="21"/>
  <c r="K12" i="101"/>
  <c r="J207" i="56"/>
  <c r="J216" i="21"/>
  <c r="K20" i="101"/>
  <c r="J215" i="56"/>
  <c r="J220" i="21"/>
  <c r="K24" i="101"/>
  <c r="J219" i="56"/>
  <c r="K208" i="21"/>
  <c r="K12" i="102"/>
  <c r="K207" i="56"/>
  <c r="K216" i="21"/>
  <c r="K20" i="102"/>
  <c r="K215" i="56"/>
  <c r="K220" i="21"/>
  <c r="K24" i="102"/>
  <c r="K219" i="56"/>
  <c r="L208" i="21"/>
  <c r="K12" i="103"/>
  <c r="L207" i="56"/>
  <c r="L216" i="21"/>
  <c r="K20" i="103"/>
  <c r="L215" i="56"/>
  <c r="L220" i="21"/>
  <c r="K24" i="103"/>
  <c r="L219" i="56"/>
  <c r="N206" i="21"/>
  <c r="K10" i="105"/>
  <c r="N205" i="56"/>
  <c r="N212" i="21"/>
  <c r="K16" i="105"/>
  <c r="N211" i="56"/>
  <c r="N218" i="21"/>
  <c r="K22" i="105"/>
  <c r="N217" i="56"/>
  <c r="G206" i="21"/>
  <c r="G205" i="56"/>
  <c r="G208" i="21"/>
  <c r="G207" i="56"/>
  <c r="G216" i="21"/>
  <c r="G215" i="56"/>
  <c r="G220" i="21"/>
  <c r="G219" i="56"/>
  <c r="G183" i="21"/>
  <c r="G182" i="56"/>
  <c r="G189" i="21"/>
  <c r="G188" i="56"/>
  <c r="G195" i="21"/>
  <c r="G194" i="56"/>
  <c r="G150" i="21"/>
  <c r="G149" i="56"/>
  <c r="G156" i="21"/>
  <c r="G155" i="56"/>
  <c r="G164" i="21"/>
  <c r="G163" i="56"/>
  <c r="G170" i="21"/>
  <c r="G169" i="56"/>
  <c r="K233" i="21"/>
  <c r="K31" i="102"/>
  <c r="K232" i="56"/>
  <c r="J51" i="16"/>
  <c r="K51" i="16" s="1"/>
  <c r="L51" i="16" s="1"/>
  <c r="M51" i="16" s="1"/>
  <c r="N51" i="16" s="1"/>
  <c r="O51" i="16" s="1"/>
  <c r="P51" i="16" s="1"/>
  <c r="Q51" i="16" s="1"/>
  <c r="R51" i="16" s="1"/>
  <c r="S51" i="16" s="1"/>
  <c r="F168" i="45"/>
  <c r="F86" i="45"/>
  <c r="F207" i="45"/>
  <c r="F193" i="45"/>
  <c r="M144" i="21"/>
  <c r="M143" i="56"/>
  <c r="L232" i="21"/>
  <c r="K30" i="103"/>
  <c r="L231" i="56"/>
  <c r="H232" i="21"/>
  <c r="K30" i="100"/>
  <c r="H231" i="56"/>
  <c r="L146" i="21"/>
  <c r="C12" i="103"/>
  <c r="L145" i="56"/>
  <c r="L145" i="21"/>
  <c r="C11" i="103"/>
  <c r="L144" i="56"/>
  <c r="M149" i="21"/>
  <c r="C15" i="104"/>
  <c r="M148" i="56"/>
  <c r="M150" i="21"/>
  <c r="C16" i="104"/>
  <c r="M149" i="56"/>
  <c r="M151" i="21"/>
  <c r="C17" i="104"/>
  <c r="M150" i="56"/>
  <c r="F229" i="45"/>
  <c r="M154" i="21"/>
  <c r="C20" i="104"/>
  <c r="M153" i="56"/>
  <c r="M155" i="21"/>
  <c r="C21" i="104"/>
  <c r="M154" i="56"/>
  <c r="M156" i="21"/>
  <c r="C22" i="104"/>
  <c r="M155" i="56"/>
  <c r="F238" i="45"/>
  <c r="M160" i="21"/>
  <c r="C26" i="104"/>
  <c r="M159" i="56"/>
  <c r="M161" i="21"/>
  <c r="C27" i="104"/>
  <c r="M160" i="56"/>
  <c r="F247" i="45"/>
  <c r="M164" i="21"/>
  <c r="C30" i="104"/>
  <c r="M163" i="56"/>
  <c r="M165" i="21"/>
  <c r="C31" i="104"/>
  <c r="M164" i="56"/>
  <c r="M166" i="21"/>
  <c r="C32" i="104"/>
  <c r="M165" i="56"/>
  <c r="F256" i="45"/>
  <c r="M169" i="21"/>
  <c r="C35" i="104"/>
  <c r="M168" i="56"/>
  <c r="M170" i="21"/>
  <c r="C36" i="104"/>
  <c r="M169" i="56"/>
  <c r="F265" i="45"/>
  <c r="M181" i="21"/>
  <c r="M180" i="56"/>
  <c r="L184" i="21"/>
  <c r="G13" i="103"/>
  <c r="L183" i="56"/>
  <c r="L183" i="21"/>
  <c r="G12" i="103"/>
  <c r="L182" i="56"/>
  <c r="L182" i="21"/>
  <c r="G11" i="103"/>
  <c r="L181" i="56"/>
  <c r="M187" i="21"/>
  <c r="G16" i="104"/>
  <c r="M186" i="56"/>
  <c r="M188" i="21"/>
  <c r="G17" i="104"/>
  <c r="M187" i="56"/>
  <c r="F366" i="45"/>
  <c r="M189" i="21"/>
  <c r="G18" i="104"/>
  <c r="M188" i="56"/>
  <c r="M190" i="21"/>
  <c r="G19" i="104"/>
  <c r="M189" i="56"/>
  <c r="F281" i="45"/>
  <c r="M193" i="21"/>
  <c r="G22" i="104"/>
  <c r="M192" i="56"/>
  <c r="M194" i="21"/>
  <c r="G23" i="104"/>
  <c r="M193" i="56"/>
  <c r="M195" i="21"/>
  <c r="G24" i="104"/>
  <c r="M194" i="56"/>
  <c r="M196" i="21"/>
  <c r="G25" i="104"/>
  <c r="M195" i="56"/>
  <c r="F289" i="45"/>
  <c r="M206" i="21"/>
  <c r="K10" i="104"/>
  <c r="M205" i="56"/>
  <c r="M207" i="21"/>
  <c r="K11" i="104"/>
  <c r="M206" i="56"/>
  <c r="M209" i="21"/>
  <c r="K13" i="104"/>
  <c r="M208" i="56"/>
  <c r="M233" i="21"/>
  <c r="K31" i="104"/>
  <c r="M232" i="56"/>
  <c r="M216" i="21"/>
  <c r="K20" i="104"/>
  <c r="M215" i="56"/>
  <c r="M217" i="21"/>
  <c r="K21" i="104"/>
  <c r="M216" i="56"/>
  <c r="M218" i="21"/>
  <c r="K22" i="104"/>
  <c r="M217" i="56"/>
  <c r="M219" i="21"/>
  <c r="K23" i="104"/>
  <c r="M218" i="56"/>
  <c r="M220" i="21"/>
  <c r="K24" i="104"/>
  <c r="M219" i="56"/>
  <c r="M212" i="21"/>
  <c r="K16" i="104"/>
  <c r="M211" i="56"/>
  <c r="M213" i="21"/>
  <c r="K17" i="104"/>
  <c r="M212" i="56"/>
  <c r="F398" i="45"/>
  <c r="F609" i="45"/>
  <c r="F610" i="45"/>
  <c r="J104" i="30"/>
  <c r="L104" i="30"/>
  <c r="N104" i="30"/>
  <c r="H149" i="21"/>
  <c r="C15" i="100"/>
  <c r="H148" i="56"/>
  <c r="I145" i="21"/>
  <c r="C11" i="99"/>
  <c r="I144" i="56"/>
  <c r="J169" i="21"/>
  <c r="C35" i="101"/>
  <c r="J168" i="56"/>
  <c r="K165" i="21"/>
  <c r="C31" i="102"/>
  <c r="K164" i="56"/>
  <c r="L161" i="21"/>
  <c r="C27" i="103"/>
  <c r="L160" i="56"/>
  <c r="M159" i="21"/>
  <c r="C25" i="104"/>
  <c r="M158" i="56"/>
  <c r="N159" i="21"/>
  <c r="C25" i="105"/>
  <c r="N158" i="56"/>
  <c r="J184" i="21"/>
  <c r="G13" i="101"/>
  <c r="J183" i="56"/>
  <c r="H217" i="21"/>
  <c r="K21" i="100"/>
  <c r="H216" i="56"/>
  <c r="M221" i="21"/>
  <c r="K25" i="104"/>
  <c r="M220" i="56"/>
  <c r="G149" i="21"/>
  <c r="G148" i="56"/>
  <c r="H144" i="21"/>
  <c r="C10" i="100"/>
  <c r="H143" i="56"/>
  <c r="H154" i="21"/>
  <c r="C20" i="100"/>
  <c r="H153" i="56"/>
  <c r="H160" i="21"/>
  <c r="C26" i="100"/>
  <c r="H159" i="56"/>
  <c r="H166" i="21"/>
  <c r="C32" i="100"/>
  <c r="H165" i="56"/>
  <c r="G233" i="21"/>
  <c r="G232" i="56"/>
  <c r="J144" i="21"/>
  <c r="C10" i="101"/>
  <c r="J143" i="56"/>
  <c r="J150" i="21"/>
  <c r="C16" i="101"/>
  <c r="J149" i="56"/>
  <c r="J156" i="21"/>
  <c r="C22" i="101"/>
  <c r="J155" i="56"/>
  <c r="J164" i="21"/>
  <c r="C30" i="101"/>
  <c r="J163" i="56"/>
  <c r="J170" i="21"/>
  <c r="C36" i="101"/>
  <c r="J169" i="56"/>
  <c r="K146" i="21"/>
  <c r="C12" i="102"/>
  <c r="K145" i="56"/>
  <c r="K154" i="21"/>
  <c r="C20" i="102"/>
  <c r="K153" i="56"/>
  <c r="K160" i="21"/>
  <c r="C26" i="102"/>
  <c r="K159" i="56"/>
  <c r="K166" i="21"/>
  <c r="C32" i="102"/>
  <c r="K165" i="56"/>
  <c r="L144" i="21"/>
  <c r="C10" i="103"/>
  <c r="L143" i="56"/>
  <c r="L154" i="21"/>
  <c r="C20" i="103"/>
  <c r="L153" i="56"/>
  <c r="L160" i="21"/>
  <c r="C26" i="103"/>
  <c r="L159" i="56"/>
  <c r="L166" i="21"/>
  <c r="C32" i="103"/>
  <c r="L165" i="56"/>
  <c r="M146" i="21"/>
  <c r="M145" i="56"/>
  <c r="N146" i="21"/>
  <c r="C12" i="105"/>
  <c r="N145" i="56"/>
  <c r="N154" i="21"/>
  <c r="C20" i="105"/>
  <c r="N153" i="56"/>
  <c r="N160" i="21"/>
  <c r="C26" i="105"/>
  <c r="N159" i="56"/>
  <c r="N166" i="21"/>
  <c r="C32" i="105"/>
  <c r="N165" i="56"/>
  <c r="H181" i="21"/>
  <c r="H180" i="56"/>
  <c r="H189" i="21"/>
  <c r="G18" i="100"/>
  <c r="H188" i="56"/>
  <c r="H195" i="21"/>
  <c r="G24" i="100"/>
  <c r="H194" i="56"/>
  <c r="J181" i="21"/>
  <c r="G10" i="101"/>
  <c r="J180" i="56"/>
  <c r="J187" i="21"/>
  <c r="G16" i="101"/>
  <c r="J186" i="56"/>
  <c r="J193" i="21"/>
  <c r="G22" i="101"/>
  <c r="J192" i="56"/>
  <c r="K181" i="21"/>
  <c r="K180" i="56"/>
  <c r="K187" i="21"/>
  <c r="G16" i="102"/>
  <c r="K186" i="56"/>
  <c r="K193" i="21"/>
  <c r="G22" i="102"/>
  <c r="K192" i="56"/>
  <c r="L181" i="21"/>
  <c r="G10" i="103"/>
  <c r="L180" i="56"/>
  <c r="L189" i="21"/>
  <c r="G18" i="103"/>
  <c r="L188" i="56"/>
  <c r="L195" i="21"/>
  <c r="G24" i="103"/>
  <c r="L194" i="56"/>
  <c r="N181" i="21"/>
  <c r="N180" i="56"/>
  <c r="N187" i="21"/>
  <c r="G16" i="105"/>
  <c r="N186" i="56"/>
  <c r="N193" i="21"/>
  <c r="G22" i="105"/>
  <c r="N192" i="56"/>
  <c r="H206" i="21"/>
  <c r="K10" i="100"/>
  <c r="H205" i="56"/>
  <c r="H212" i="21"/>
  <c r="K16" i="100"/>
  <c r="H211" i="56"/>
  <c r="H218" i="21"/>
  <c r="K22" i="100"/>
  <c r="H217" i="56"/>
  <c r="J206" i="21"/>
  <c r="K10" i="101"/>
  <c r="J205" i="56"/>
  <c r="J212" i="21"/>
  <c r="K16" i="101"/>
  <c r="J211" i="56"/>
  <c r="J218" i="21"/>
  <c r="K22" i="101"/>
  <c r="J217" i="56"/>
  <c r="K206" i="21"/>
  <c r="K10" i="102"/>
  <c r="K205" i="56"/>
  <c r="K212" i="21"/>
  <c r="K16" i="102"/>
  <c r="K211" i="56"/>
  <c r="K218" i="21"/>
  <c r="K22" i="102"/>
  <c r="K217" i="56"/>
  <c r="L206" i="21"/>
  <c r="K10" i="103"/>
  <c r="L205" i="56"/>
  <c r="L212" i="21"/>
  <c r="K16" i="103"/>
  <c r="L211" i="56"/>
  <c r="L218" i="21"/>
  <c r="K22" i="103"/>
  <c r="L217" i="56"/>
  <c r="M208" i="21"/>
  <c r="K12" i="104"/>
  <c r="M207" i="56"/>
  <c r="N208" i="21"/>
  <c r="K12" i="105"/>
  <c r="N207" i="56"/>
  <c r="N216" i="21"/>
  <c r="K20" i="105"/>
  <c r="N215" i="56"/>
  <c r="N220" i="21"/>
  <c r="K24" i="105"/>
  <c r="N219" i="56"/>
  <c r="G212" i="21"/>
  <c r="G211" i="56"/>
  <c r="G218" i="21"/>
  <c r="G217" i="56"/>
  <c r="G181" i="21"/>
  <c r="G180" i="56"/>
  <c r="G187" i="21"/>
  <c r="G186" i="56"/>
  <c r="G193" i="21"/>
  <c r="G192" i="56"/>
  <c r="G144" i="21"/>
  <c r="G143" i="56"/>
  <c r="G146" i="21"/>
  <c r="G145" i="56"/>
  <c r="G154" i="21"/>
  <c r="G153" i="56"/>
  <c r="G160" i="21"/>
  <c r="G159" i="56"/>
  <c r="G166" i="21"/>
  <c r="G165" i="56"/>
  <c r="H17" i="37"/>
  <c r="H17" i="57"/>
  <c r="N12" i="26"/>
  <c r="I17" i="57"/>
  <c r="P42" i="16"/>
  <c r="P56" i="16"/>
  <c r="Q56" i="16" s="1"/>
  <c r="R56" i="16" s="1"/>
  <c r="S56" i="16" s="1"/>
  <c r="N54" i="16"/>
  <c r="O54" i="16" s="1"/>
  <c r="P54" i="16" s="1"/>
  <c r="Q54" i="16" s="1"/>
  <c r="R54" i="16" s="1"/>
  <c r="S54" i="16" s="1"/>
  <c r="J50" i="16"/>
  <c r="K50" i="16" s="1"/>
  <c r="L50" i="16" s="1"/>
  <c r="M50" i="16" s="1"/>
  <c r="N50" i="16" s="1"/>
  <c r="O50" i="16" s="1"/>
  <c r="P50" i="16" s="1"/>
  <c r="Q50" i="16" s="1"/>
  <c r="R50" i="16" s="1"/>
  <c r="S50" i="16" s="1"/>
  <c r="G40" i="30"/>
  <c r="G32" i="30"/>
  <c r="G26" i="30"/>
  <c r="G84" i="30"/>
  <c r="G78" i="30"/>
  <c r="N92" i="30"/>
  <c r="N90" i="30"/>
  <c r="N88" i="30"/>
  <c r="N84" i="30"/>
  <c r="N80" i="30"/>
  <c r="N78" i="30"/>
  <c r="L92" i="30"/>
  <c r="L90" i="30"/>
  <c r="L88" i="30"/>
  <c r="L84" i="30"/>
  <c r="L80" i="30"/>
  <c r="L78" i="30"/>
  <c r="K92" i="30"/>
  <c r="K90" i="30"/>
  <c r="K88" i="30"/>
  <c r="K84" i="30"/>
  <c r="K78" i="30"/>
  <c r="J92" i="30"/>
  <c r="H92" i="30"/>
  <c r="M139" i="47"/>
  <c r="M21" i="59" s="1"/>
  <c r="K139" i="47"/>
  <c r="K21" i="59" s="1"/>
  <c r="I139" i="47"/>
  <c r="I21" i="59" s="1"/>
  <c r="M204" i="47"/>
  <c r="M48" i="59" s="1"/>
  <c r="K204" i="47"/>
  <c r="K48" i="59" s="1"/>
  <c r="I204" i="47"/>
  <c r="I48" i="59" s="1"/>
  <c r="M268" i="47"/>
  <c r="M75" i="59" s="1"/>
  <c r="K268" i="47"/>
  <c r="K75" i="59" s="1"/>
  <c r="I268" i="47"/>
  <c r="I75" i="59" s="1"/>
  <c r="G72" i="49"/>
  <c r="F72" i="49" s="1"/>
  <c r="G72" i="59"/>
  <c r="G86" i="59" s="1"/>
  <c r="G45" i="49"/>
  <c r="G45" i="59"/>
  <c r="G59" i="59" s="1"/>
  <c r="H15" i="49"/>
  <c r="H15" i="59"/>
  <c r="H17" i="49"/>
  <c r="H17" i="59"/>
  <c r="I14" i="49"/>
  <c r="I14" i="59"/>
  <c r="I16" i="49"/>
  <c r="I16" i="59"/>
  <c r="J15" i="49"/>
  <c r="J15" i="59"/>
  <c r="J17" i="49"/>
  <c r="J17" i="59"/>
  <c r="K14" i="49"/>
  <c r="K14" i="59"/>
  <c r="L15" i="49"/>
  <c r="L15" i="59"/>
  <c r="L17" i="49"/>
  <c r="L17" i="59"/>
  <c r="M14" i="49"/>
  <c r="M14" i="59"/>
  <c r="N15" i="49"/>
  <c r="N15" i="59"/>
  <c r="N17" i="49"/>
  <c r="N17" i="59"/>
  <c r="G42" i="49"/>
  <c r="G42" i="59"/>
  <c r="H45" i="49"/>
  <c r="H59" i="49" s="1"/>
  <c r="H45" i="59"/>
  <c r="H59" i="59" s="1"/>
  <c r="H41" i="49"/>
  <c r="H41" i="59"/>
  <c r="I42" i="49"/>
  <c r="I42" i="59"/>
  <c r="J45" i="49"/>
  <c r="J59" i="49" s="1"/>
  <c r="J45" i="59"/>
  <c r="J59" i="59" s="1"/>
  <c r="J41" i="49"/>
  <c r="J41" i="59"/>
  <c r="J43" i="49"/>
  <c r="J43" i="59"/>
  <c r="K42" i="49"/>
  <c r="K42" i="59"/>
  <c r="L45" i="49"/>
  <c r="L59" i="49" s="1"/>
  <c r="L45" i="59"/>
  <c r="L59" i="59" s="1"/>
  <c r="L41" i="49"/>
  <c r="L41" i="59"/>
  <c r="L43" i="49"/>
  <c r="L43" i="59"/>
  <c r="M42" i="49"/>
  <c r="M42" i="59"/>
  <c r="M44" i="49"/>
  <c r="M44" i="59"/>
  <c r="M58" i="59" s="1"/>
  <c r="N41" i="49"/>
  <c r="N41" i="59"/>
  <c r="N43" i="49"/>
  <c r="N43" i="59"/>
  <c r="H69" i="49"/>
  <c r="H69" i="59"/>
  <c r="H71" i="49"/>
  <c r="H71" i="59"/>
  <c r="I72" i="49"/>
  <c r="I86" i="49" s="1"/>
  <c r="I72" i="59"/>
  <c r="I86" i="59" s="1"/>
  <c r="I68" i="49"/>
  <c r="I68" i="59"/>
  <c r="J69" i="49"/>
  <c r="J69" i="59"/>
  <c r="K72" i="49"/>
  <c r="K86" i="49" s="1"/>
  <c r="K72" i="59"/>
  <c r="K86" i="59" s="1"/>
  <c r="K68" i="49"/>
  <c r="K68" i="59"/>
  <c r="L69" i="49"/>
  <c r="L69" i="59"/>
  <c r="L71" i="49"/>
  <c r="L85" i="49" s="1"/>
  <c r="L71" i="59"/>
  <c r="L85" i="59" s="1"/>
  <c r="M72" i="49"/>
  <c r="M86" i="49" s="1"/>
  <c r="M72" i="59"/>
  <c r="M86" i="59" s="1"/>
  <c r="M68" i="49"/>
  <c r="M68" i="59"/>
  <c r="M70" i="49"/>
  <c r="M70" i="59"/>
  <c r="M85" i="59" s="1"/>
  <c r="N69" i="49"/>
  <c r="N69" i="59"/>
  <c r="G388" i="17"/>
  <c r="G66" i="49" s="1"/>
  <c r="G43" i="49"/>
  <c r="G43" i="59"/>
  <c r="G58" i="59" s="1"/>
  <c r="G41" i="49"/>
  <c r="G41" i="59"/>
  <c r="G16" i="49"/>
  <c r="G16" i="59"/>
  <c r="G31" i="59" s="1"/>
  <c r="G14" i="49"/>
  <c r="G14" i="59"/>
  <c r="I15" i="49"/>
  <c r="I15" i="59"/>
  <c r="I17" i="49"/>
  <c r="I17" i="59"/>
  <c r="J14" i="49"/>
  <c r="J14" i="59"/>
  <c r="J31" i="59"/>
  <c r="K15" i="49"/>
  <c r="K15" i="59"/>
  <c r="K17" i="49"/>
  <c r="K17" i="59"/>
  <c r="L14" i="49"/>
  <c r="L14" i="59"/>
  <c r="M15" i="49"/>
  <c r="M15" i="59"/>
  <c r="N14" i="49"/>
  <c r="N14" i="59"/>
  <c r="N16" i="49"/>
  <c r="N16" i="59"/>
  <c r="N31" i="59" s="1"/>
  <c r="H42" i="49"/>
  <c r="H42" i="59"/>
  <c r="H44" i="49"/>
  <c r="H44" i="59"/>
  <c r="I45" i="49"/>
  <c r="I59" i="49" s="1"/>
  <c r="I45" i="59"/>
  <c r="I59" i="59" s="1"/>
  <c r="I41" i="49"/>
  <c r="I41" i="59"/>
  <c r="I43" i="49"/>
  <c r="I43" i="59"/>
  <c r="I58" i="59" s="1"/>
  <c r="J42" i="49"/>
  <c r="J42" i="59"/>
  <c r="J44" i="49"/>
  <c r="J44" i="59"/>
  <c r="K45" i="49"/>
  <c r="K59" i="49" s="1"/>
  <c r="K45" i="59"/>
  <c r="K59" i="59" s="1"/>
  <c r="K41" i="49"/>
  <c r="K41" i="59"/>
  <c r="L42" i="49"/>
  <c r="L42" i="59"/>
  <c r="L44" i="49"/>
  <c r="L44" i="59"/>
  <c r="M45" i="49"/>
  <c r="M59" i="49" s="1"/>
  <c r="M45" i="59"/>
  <c r="M59" i="59" s="1"/>
  <c r="N42" i="49"/>
  <c r="N42" i="59"/>
  <c r="N44" i="49"/>
  <c r="N44" i="59"/>
  <c r="H72" i="49"/>
  <c r="H86" i="49" s="1"/>
  <c r="H72" i="59"/>
  <c r="H86" i="59" s="1"/>
  <c r="H68" i="49"/>
  <c r="H68" i="59"/>
  <c r="H85" i="59"/>
  <c r="I71" i="49"/>
  <c r="I71" i="59"/>
  <c r="I85" i="59" s="1"/>
  <c r="J72" i="49"/>
  <c r="J86" i="49" s="1"/>
  <c r="J72" i="59"/>
  <c r="J86" i="59" s="1"/>
  <c r="J68" i="49"/>
  <c r="J68" i="59"/>
  <c r="J70" i="49"/>
  <c r="J70" i="59"/>
  <c r="J85" i="59" s="1"/>
  <c r="K69" i="49"/>
  <c r="K69" i="59"/>
  <c r="F69" i="59" s="1"/>
  <c r="K71" i="49"/>
  <c r="K71" i="59"/>
  <c r="L72" i="49"/>
  <c r="L86" i="49" s="1"/>
  <c r="L72" i="59"/>
  <c r="L86" i="59" s="1"/>
  <c r="L68" i="49"/>
  <c r="L68" i="59"/>
  <c r="M69" i="49"/>
  <c r="M69" i="59"/>
  <c r="N68" i="49"/>
  <c r="N68" i="59"/>
  <c r="N71" i="49"/>
  <c r="N85" i="49" s="1"/>
  <c r="N71" i="59"/>
  <c r="N85" i="59" s="1"/>
  <c r="F317" i="17"/>
  <c r="N320" i="17"/>
  <c r="N72" i="49"/>
  <c r="N86" i="49" s="1"/>
  <c r="N72" i="59"/>
  <c r="M16" i="49"/>
  <c r="M16" i="59"/>
  <c r="M31" i="59" s="1"/>
  <c r="K70" i="49"/>
  <c r="K70" i="59"/>
  <c r="K43" i="49"/>
  <c r="K43" i="59"/>
  <c r="K31" i="59"/>
  <c r="N252" i="21"/>
  <c r="N251" i="56"/>
  <c r="L252" i="21"/>
  <c r="L251" i="56"/>
  <c r="J252" i="21"/>
  <c r="J251" i="56"/>
  <c r="H252" i="21"/>
  <c r="H251" i="56"/>
  <c r="N259" i="21"/>
  <c r="N258" i="56"/>
  <c r="L259" i="21"/>
  <c r="L258" i="56"/>
  <c r="J259" i="21"/>
  <c r="J258" i="56"/>
  <c r="H259" i="21"/>
  <c r="H258" i="56"/>
  <c r="N263" i="21"/>
  <c r="N262" i="56"/>
  <c r="L263" i="21"/>
  <c r="L262" i="56"/>
  <c r="J263" i="21"/>
  <c r="J262" i="56"/>
  <c r="H263" i="21"/>
  <c r="H262" i="56"/>
  <c r="N262" i="21"/>
  <c r="N261" i="56"/>
  <c r="L262" i="21"/>
  <c r="L261" i="56"/>
  <c r="J262" i="21"/>
  <c r="J261" i="56"/>
  <c r="H262" i="21"/>
  <c r="H261" i="56"/>
  <c r="N261" i="21"/>
  <c r="N260" i="56"/>
  <c r="L261" i="21"/>
  <c r="L260" i="56"/>
  <c r="J261" i="21"/>
  <c r="J260" i="56"/>
  <c r="H261" i="21"/>
  <c r="H260" i="56"/>
  <c r="N260" i="21"/>
  <c r="N259" i="56"/>
  <c r="L260" i="21"/>
  <c r="L259" i="56"/>
  <c r="J260" i="21"/>
  <c r="J259" i="56"/>
  <c r="H260" i="21"/>
  <c r="H259" i="56"/>
  <c r="N256" i="21"/>
  <c r="N255" i="56"/>
  <c r="L256" i="21"/>
  <c r="L255" i="56"/>
  <c r="J256" i="21"/>
  <c r="J255" i="56"/>
  <c r="H256" i="21"/>
  <c r="H255" i="56"/>
  <c r="N255" i="21"/>
  <c r="N254" i="56"/>
  <c r="L255" i="21"/>
  <c r="L254" i="56"/>
  <c r="J255" i="21"/>
  <c r="J254" i="56"/>
  <c r="H255" i="21"/>
  <c r="H254" i="56"/>
  <c r="N254" i="21"/>
  <c r="N253" i="56"/>
  <c r="L254" i="21"/>
  <c r="L253" i="56"/>
  <c r="J254" i="21"/>
  <c r="J253" i="56"/>
  <c r="H254" i="21"/>
  <c r="H253" i="56"/>
  <c r="N253" i="21"/>
  <c r="N252" i="56"/>
  <c r="L253" i="21"/>
  <c r="L252" i="56"/>
  <c r="J253" i="21"/>
  <c r="J252" i="56"/>
  <c r="H253" i="21"/>
  <c r="H252" i="56"/>
  <c r="G248" i="21"/>
  <c r="G247" i="56"/>
  <c r="G245" i="21"/>
  <c r="G244" i="56"/>
  <c r="G243" i="21"/>
  <c r="G242" i="56"/>
  <c r="G241" i="21"/>
  <c r="G240" i="56"/>
  <c r="N246" i="21"/>
  <c r="N245" i="56"/>
  <c r="N244" i="21"/>
  <c r="N243" i="56"/>
  <c r="N242" i="21"/>
  <c r="N241" i="56"/>
  <c r="M248" i="21"/>
  <c r="M247" i="56"/>
  <c r="M245" i="21"/>
  <c r="M244" i="56"/>
  <c r="M243" i="21"/>
  <c r="M242" i="56"/>
  <c r="M241" i="21"/>
  <c r="M240" i="56"/>
  <c r="L246" i="21"/>
  <c r="L245" i="56"/>
  <c r="L244" i="21"/>
  <c r="L243" i="56"/>
  <c r="L242" i="21"/>
  <c r="L241" i="56"/>
  <c r="K248" i="21"/>
  <c r="K247" i="56"/>
  <c r="K245" i="21"/>
  <c r="K244" i="56"/>
  <c r="K243" i="21"/>
  <c r="K242" i="56"/>
  <c r="K241" i="21"/>
  <c r="K240" i="56"/>
  <c r="J246" i="21"/>
  <c r="J245" i="56"/>
  <c r="J244" i="21"/>
  <c r="J243" i="56"/>
  <c r="J242" i="21"/>
  <c r="J241" i="56"/>
  <c r="I248" i="21"/>
  <c r="I247" i="56"/>
  <c r="I245" i="21"/>
  <c r="I244" i="56"/>
  <c r="I243" i="21"/>
  <c r="I242" i="56"/>
  <c r="I241" i="21"/>
  <c r="I240" i="56"/>
  <c r="H246" i="21"/>
  <c r="H245" i="56"/>
  <c r="H244" i="21"/>
  <c r="H243" i="56"/>
  <c r="H242" i="21"/>
  <c r="H241" i="56"/>
  <c r="M252" i="21"/>
  <c r="M251" i="56"/>
  <c r="K252" i="21"/>
  <c r="K251" i="56"/>
  <c r="I252" i="21"/>
  <c r="I251" i="56"/>
  <c r="G252" i="21"/>
  <c r="F252" i="21" s="1"/>
  <c r="G251" i="56"/>
  <c r="F251" i="56" s="1"/>
  <c r="M259" i="21"/>
  <c r="M258" i="56"/>
  <c r="K259" i="21"/>
  <c r="K258" i="56"/>
  <c r="I259" i="21"/>
  <c r="I258" i="56"/>
  <c r="G259" i="21"/>
  <c r="F259" i="21" s="1"/>
  <c r="G258" i="56"/>
  <c r="F258" i="56" s="1"/>
  <c r="M263" i="21"/>
  <c r="M262" i="56"/>
  <c r="K263" i="21"/>
  <c r="K262" i="56"/>
  <c r="I263" i="21"/>
  <c r="I262" i="56"/>
  <c r="F263" i="21"/>
  <c r="G262" i="56"/>
  <c r="F262" i="56" s="1"/>
  <c r="M262" i="21"/>
  <c r="M261" i="56"/>
  <c r="K262" i="21"/>
  <c r="K261" i="56"/>
  <c r="I262" i="21"/>
  <c r="I261" i="56"/>
  <c r="G262" i="21"/>
  <c r="F262" i="21" s="1"/>
  <c r="G261" i="56"/>
  <c r="F261" i="56" s="1"/>
  <c r="M261" i="21"/>
  <c r="M260" i="56"/>
  <c r="K261" i="21"/>
  <c r="K260" i="56"/>
  <c r="I261" i="21"/>
  <c r="I260" i="56"/>
  <c r="G261" i="21"/>
  <c r="F261" i="21" s="1"/>
  <c r="G260" i="56"/>
  <c r="F260" i="56" s="1"/>
  <c r="M260" i="21"/>
  <c r="M259" i="56"/>
  <c r="K260" i="21"/>
  <c r="K259" i="56"/>
  <c r="I260" i="21"/>
  <c r="I259" i="56"/>
  <c r="G260" i="21"/>
  <c r="F260" i="21" s="1"/>
  <c r="G259" i="56"/>
  <c r="F259" i="56" s="1"/>
  <c r="M256" i="21"/>
  <c r="M255" i="56"/>
  <c r="K256" i="21"/>
  <c r="K255" i="56"/>
  <c r="I256" i="21"/>
  <c r="I255" i="56"/>
  <c r="G256" i="21"/>
  <c r="F256" i="21" s="1"/>
  <c r="G255" i="56"/>
  <c r="F255" i="56" s="1"/>
  <c r="M255" i="21"/>
  <c r="M254" i="56"/>
  <c r="K255" i="21"/>
  <c r="K254" i="56"/>
  <c r="I255" i="21"/>
  <c r="I254" i="56"/>
  <c r="G255" i="21"/>
  <c r="F255" i="21" s="1"/>
  <c r="G254" i="56"/>
  <c r="F254" i="56" s="1"/>
  <c r="M254" i="21"/>
  <c r="M253" i="56"/>
  <c r="K254" i="21"/>
  <c r="K253" i="56"/>
  <c r="I254" i="21"/>
  <c r="I253" i="56"/>
  <c r="G254" i="21"/>
  <c r="F254" i="21" s="1"/>
  <c r="G253" i="56"/>
  <c r="F253" i="56" s="1"/>
  <c r="M253" i="21"/>
  <c r="M252" i="56"/>
  <c r="K253" i="21"/>
  <c r="K252" i="56"/>
  <c r="I253" i="21"/>
  <c r="I252" i="56"/>
  <c r="G253" i="21"/>
  <c r="F253" i="21" s="1"/>
  <c r="G252" i="56"/>
  <c r="F252" i="56" s="1"/>
  <c r="G246" i="21"/>
  <c r="G245" i="56"/>
  <c r="G244" i="21"/>
  <c r="G243" i="56"/>
  <c r="G242" i="21"/>
  <c r="G241" i="56"/>
  <c r="N248" i="21"/>
  <c r="N247" i="56"/>
  <c r="N245" i="21"/>
  <c r="N244" i="56"/>
  <c r="N243" i="21"/>
  <c r="N242" i="56"/>
  <c r="N241" i="21"/>
  <c r="N240" i="56"/>
  <c r="M246" i="21"/>
  <c r="M245" i="56"/>
  <c r="M244" i="21"/>
  <c r="M243" i="56"/>
  <c r="M242" i="21"/>
  <c r="M241" i="56"/>
  <c r="L248" i="21"/>
  <c r="L247" i="56"/>
  <c r="L245" i="21"/>
  <c r="L244" i="56"/>
  <c r="L243" i="21"/>
  <c r="L242" i="56"/>
  <c r="L241" i="21"/>
  <c r="L276" i="21" s="1"/>
  <c r="L341" i="21" s="1"/>
  <c r="L240" i="56"/>
  <c r="K246" i="21"/>
  <c r="K245" i="56"/>
  <c r="K244" i="21"/>
  <c r="K243" i="56"/>
  <c r="K242" i="21"/>
  <c r="K241" i="56"/>
  <c r="J248" i="21"/>
  <c r="J247" i="56"/>
  <c r="J245" i="21"/>
  <c r="J244" i="56"/>
  <c r="J243" i="21"/>
  <c r="J242" i="56"/>
  <c r="J241" i="21"/>
  <c r="J240" i="56"/>
  <c r="I246" i="21"/>
  <c r="I245" i="56"/>
  <c r="I244" i="21"/>
  <c r="I243" i="56"/>
  <c r="I242" i="21"/>
  <c r="F242" i="21" s="1"/>
  <c r="I241" i="56"/>
  <c r="H248" i="21"/>
  <c r="H247" i="56"/>
  <c r="F247" i="56" s="1"/>
  <c r="H245" i="21"/>
  <c r="H244" i="56"/>
  <c r="H243" i="21"/>
  <c r="H242" i="56"/>
  <c r="H241" i="21"/>
  <c r="H276" i="21" s="1"/>
  <c r="H341" i="21" s="1"/>
  <c r="H240" i="56"/>
  <c r="K177" i="47"/>
  <c r="F69" i="7"/>
  <c r="R59" i="16"/>
  <c r="S59" i="16" s="1"/>
  <c r="H49" i="16"/>
  <c r="I49" i="16" s="1"/>
  <c r="J49" i="16" s="1"/>
  <c r="K49" i="16" s="1"/>
  <c r="L49" i="16" s="1"/>
  <c r="M49" i="16" s="1"/>
  <c r="N49" i="16" s="1"/>
  <c r="O49" i="16" s="1"/>
  <c r="P49" i="16" s="1"/>
  <c r="Q49" i="16" s="1"/>
  <c r="R49" i="16" s="1"/>
  <c r="S49" i="16" s="1"/>
  <c r="M12" i="26"/>
  <c r="S60" i="16"/>
  <c r="Q58" i="16"/>
  <c r="L53" i="16"/>
  <c r="M53" i="16" s="1"/>
  <c r="F82" i="47"/>
  <c r="F87" i="47"/>
  <c r="F147" i="47"/>
  <c r="J176" i="47"/>
  <c r="F227" i="47"/>
  <c r="G240" i="47"/>
  <c r="F128" i="47"/>
  <c r="F98" i="47"/>
  <c r="F94" i="47"/>
  <c r="F92" i="47"/>
  <c r="F84" i="47"/>
  <c r="F167" i="47"/>
  <c r="F153" i="47"/>
  <c r="F234" i="47"/>
  <c r="F232" i="47"/>
  <c r="F228" i="47"/>
  <c r="F222" i="47"/>
  <c r="F214" i="47"/>
  <c r="J240" i="47"/>
  <c r="J50" i="47"/>
  <c r="F133" i="30"/>
  <c r="F114" i="30"/>
  <c r="F116" i="30"/>
  <c r="F124" i="30"/>
  <c r="F113" i="30"/>
  <c r="F119" i="30"/>
  <c r="F131" i="30"/>
  <c r="G153" i="48"/>
  <c r="K153" i="48"/>
  <c r="K154" i="48"/>
  <c r="K23" i="59" s="1"/>
  <c r="G155" i="48"/>
  <c r="K155" i="48"/>
  <c r="K50" i="59" s="1"/>
  <c r="K156" i="48"/>
  <c r="K77" i="59" s="1"/>
  <c r="N153" i="48"/>
  <c r="J153" i="48"/>
  <c r="N154" i="48"/>
  <c r="N23" i="59" s="1"/>
  <c r="J154" i="48"/>
  <c r="J23" i="59" s="1"/>
  <c r="N155" i="48"/>
  <c r="N50" i="59" s="1"/>
  <c r="J155" i="48"/>
  <c r="J50" i="59" s="1"/>
  <c r="N156" i="48"/>
  <c r="N77" i="59" s="1"/>
  <c r="J156" i="48"/>
  <c r="J77" i="59" s="1"/>
  <c r="M153" i="48"/>
  <c r="I153" i="48"/>
  <c r="M154" i="48"/>
  <c r="M23" i="59" s="1"/>
  <c r="I154" i="48"/>
  <c r="I23" i="59" s="1"/>
  <c r="M155" i="48"/>
  <c r="M50" i="59" s="1"/>
  <c r="I155" i="48"/>
  <c r="M156" i="48"/>
  <c r="M77" i="59" s="1"/>
  <c r="I156" i="48"/>
  <c r="I77" i="59" s="1"/>
  <c r="L153" i="48"/>
  <c r="H153" i="48"/>
  <c r="L154" i="48"/>
  <c r="L23" i="59" s="1"/>
  <c r="H154" i="48"/>
  <c r="H23" i="59" s="1"/>
  <c r="L155" i="48"/>
  <c r="L50" i="59" s="1"/>
  <c r="H155" i="48"/>
  <c r="L156" i="48"/>
  <c r="L77" i="59" s="1"/>
  <c r="H156" i="48"/>
  <c r="H77" i="59" s="1"/>
  <c r="F212" i="47"/>
  <c r="F162" i="47"/>
  <c r="F154" i="47"/>
  <c r="H110" i="47"/>
  <c r="F43" i="47"/>
  <c r="F193" i="47"/>
  <c r="H18" i="49"/>
  <c r="H32" i="49" s="1"/>
  <c r="L18" i="49"/>
  <c r="L32" i="49" s="1"/>
  <c r="G18" i="49"/>
  <c r="G32" i="49" s="1"/>
  <c r="K18" i="49"/>
  <c r="K32" i="49" s="1"/>
  <c r="J18" i="49"/>
  <c r="J32" i="49" s="1"/>
  <c r="I18" i="49"/>
  <c r="I32" i="49" s="1"/>
  <c r="M18" i="49"/>
  <c r="M32" i="49" s="1"/>
  <c r="F14" i="17"/>
  <c r="F24" i="17"/>
  <c r="F16" i="17"/>
  <c r="J32" i="17"/>
  <c r="F17" i="17"/>
  <c r="F354" i="17"/>
  <c r="I376" i="17"/>
  <c r="M376" i="17"/>
  <c r="H376" i="17"/>
  <c r="L376" i="17"/>
  <c r="K376" i="17"/>
  <c r="J376" i="17"/>
  <c r="J388" i="17" s="1"/>
  <c r="F258" i="47"/>
  <c r="F258" i="17"/>
  <c r="K280" i="17"/>
  <c r="J280" i="17"/>
  <c r="N280" i="17"/>
  <c r="I280" i="17"/>
  <c r="M280" i="17"/>
  <c r="M292" i="17" s="1"/>
  <c r="F157" i="40"/>
  <c r="H280" i="17"/>
  <c r="L280" i="17"/>
  <c r="F141" i="40"/>
  <c r="F162" i="17"/>
  <c r="I184" i="17"/>
  <c r="M184" i="17"/>
  <c r="H184" i="17"/>
  <c r="L184" i="17"/>
  <c r="K184" i="17"/>
  <c r="J184" i="17"/>
  <c r="F184" i="17" s="1"/>
  <c r="N184" i="17"/>
  <c r="F66" i="17"/>
  <c r="G88" i="17"/>
  <c r="J88" i="17"/>
  <c r="J100" i="17" s="1"/>
  <c r="J102" i="17" s="1"/>
  <c r="N88" i="17"/>
  <c r="I88" i="17"/>
  <c r="M88" i="17"/>
  <c r="H88" i="17"/>
  <c r="H100" i="17" s="1"/>
  <c r="H102" i="17" s="1"/>
  <c r="K88" i="17"/>
  <c r="L88" i="17"/>
  <c r="L100" i="17" s="1"/>
  <c r="L102" i="17" s="1"/>
  <c r="F70" i="45"/>
  <c r="F156" i="45"/>
  <c r="J90" i="30"/>
  <c r="J88" i="30"/>
  <c r="J84" i="30"/>
  <c r="J80" i="30"/>
  <c r="J78" i="30"/>
  <c r="H90" i="30"/>
  <c r="H84" i="30"/>
  <c r="H80" i="30"/>
  <c r="H78" i="30"/>
  <c r="N67" i="30"/>
  <c r="N65" i="30"/>
  <c r="N61" i="30"/>
  <c r="N59" i="30"/>
  <c r="N55" i="30"/>
  <c r="N53" i="30"/>
  <c r="M55" i="30"/>
  <c r="M53" i="30"/>
  <c r="L65" i="30"/>
  <c r="L61" i="30"/>
  <c r="L59" i="30"/>
  <c r="K67" i="30"/>
  <c r="K65" i="30"/>
  <c r="F220" i="45"/>
  <c r="F187" i="45"/>
  <c r="F361" i="45"/>
  <c r="K61" i="30"/>
  <c r="K59" i="30"/>
  <c r="K55" i="30"/>
  <c r="K53" i="30"/>
  <c r="J67" i="30"/>
  <c r="J65" i="30"/>
  <c r="J61" i="30"/>
  <c r="J59" i="30"/>
  <c r="J53" i="30"/>
  <c r="I55" i="30"/>
  <c r="I53" i="30"/>
  <c r="H65" i="30"/>
  <c r="H61" i="30"/>
  <c r="H59" i="30"/>
  <c r="N42" i="30"/>
  <c r="N40" i="30"/>
  <c r="N36" i="30"/>
  <c r="N32" i="30"/>
  <c r="N26" i="30"/>
  <c r="N22" i="30"/>
  <c r="N20" i="30"/>
  <c r="N16" i="30"/>
  <c r="L42" i="30"/>
  <c r="L40" i="30"/>
  <c r="L36" i="30"/>
  <c r="L30" i="30"/>
  <c r="L26" i="30"/>
  <c r="L22" i="30"/>
  <c r="K42" i="30"/>
  <c r="K40" i="30"/>
  <c r="K32" i="30"/>
  <c r="K30" i="30"/>
  <c r="K26" i="30"/>
  <c r="K20" i="30"/>
  <c r="K16" i="30"/>
  <c r="J42" i="30"/>
  <c r="J36" i="30"/>
  <c r="J32" i="30"/>
  <c r="J30" i="30"/>
  <c r="J22" i="30"/>
  <c r="J20" i="30"/>
  <c r="J16" i="30"/>
  <c r="H42" i="30"/>
  <c r="H40" i="30"/>
  <c r="H36" i="30"/>
  <c r="H30" i="30"/>
  <c r="H26" i="30"/>
  <c r="H22" i="30"/>
  <c r="F311" i="45"/>
  <c r="F68" i="45"/>
  <c r="F286" i="45"/>
  <c r="I145" i="45"/>
  <c r="F60" i="45"/>
  <c r="I162" i="45"/>
  <c r="F162" i="45" s="1"/>
  <c r="F75" i="45"/>
  <c r="I321" i="45"/>
  <c r="F215" i="45"/>
  <c r="I333" i="45"/>
  <c r="F236" i="45"/>
  <c r="I336" i="45"/>
  <c r="F242" i="45"/>
  <c r="I337" i="45"/>
  <c r="F244" i="45"/>
  <c r="I338" i="45"/>
  <c r="F245" i="45"/>
  <c r="F273" i="45"/>
  <c r="H360" i="45"/>
  <c r="F271" i="45"/>
  <c r="F371" i="45"/>
  <c r="I65" i="30"/>
  <c r="I393" i="45"/>
  <c r="F306" i="45"/>
  <c r="F428" i="45"/>
  <c r="G22" i="30"/>
  <c r="G16" i="30"/>
  <c r="F422" i="45"/>
  <c r="F461" i="45"/>
  <c r="G55" i="30"/>
  <c r="F494" i="45"/>
  <c r="G88" i="30"/>
  <c r="H55" i="30"/>
  <c r="G53" i="30"/>
  <c r="F490" i="45"/>
  <c r="F307" i="45"/>
  <c r="F279" i="45"/>
  <c r="F107" i="45"/>
  <c r="F51" i="45"/>
  <c r="I143" i="45"/>
  <c r="F143" i="45" s="1"/>
  <c r="F57" i="45"/>
  <c r="I169" i="45"/>
  <c r="F84" i="45"/>
  <c r="I190" i="45"/>
  <c r="F190" i="45" s="1"/>
  <c r="F103" i="45"/>
  <c r="I186" i="45"/>
  <c r="F186" i="45" s="1"/>
  <c r="F98" i="45"/>
  <c r="H323" i="45"/>
  <c r="F218" i="45"/>
  <c r="H322" i="45"/>
  <c r="H16" i="30" s="1"/>
  <c r="F217" i="45"/>
  <c r="I328" i="45"/>
  <c r="I22" i="30" s="1"/>
  <c r="F227" i="45"/>
  <c r="I343" i="45"/>
  <c r="F254" i="45"/>
  <c r="I358" i="45"/>
  <c r="F269" i="45"/>
  <c r="H359" i="45"/>
  <c r="F270" i="45"/>
  <c r="I364" i="45"/>
  <c r="F277" i="45"/>
  <c r="I365" i="45"/>
  <c r="F278" i="45"/>
  <c r="I367" i="45"/>
  <c r="F280" i="45"/>
  <c r="I370" i="45"/>
  <c r="F285" i="45"/>
  <c r="I372" i="45"/>
  <c r="F287" i="45"/>
  <c r="I373" i="45"/>
  <c r="F288" i="45"/>
  <c r="I385" i="45"/>
  <c r="F295" i="45"/>
  <c r="I88" i="30"/>
  <c r="F394" i="45"/>
  <c r="I389" i="45"/>
  <c r="F301" i="45"/>
  <c r="I390" i="45"/>
  <c r="F302" i="45"/>
  <c r="G42" i="30"/>
  <c r="F448" i="45"/>
  <c r="F473" i="45"/>
  <c r="G67" i="30"/>
  <c r="I92" i="30"/>
  <c r="G59" i="30"/>
  <c r="F432" i="45"/>
  <c r="F297" i="45"/>
  <c r="F272" i="45"/>
  <c r="F93" i="45"/>
  <c r="I138" i="45"/>
  <c r="F138" i="45" s="1"/>
  <c r="F48" i="45"/>
  <c r="I155" i="45"/>
  <c r="F66" i="45"/>
  <c r="I164" i="45"/>
  <c r="F164" i="45" s="1"/>
  <c r="F77" i="45"/>
  <c r="I181" i="45"/>
  <c r="F181" i="45" s="1"/>
  <c r="F91" i="45"/>
  <c r="I192" i="45"/>
  <c r="F192" i="45" s="1"/>
  <c r="F105" i="45"/>
  <c r="I326" i="45"/>
  <c r="I20" i="30" s="1"/>
  <c r="F224" i="45"/>
  <c r="I327" i="45"/>
  <c r="F226" i="45"/>
  <c r="I331" i="45"/>
  <c r="F233" i="45"/>
  <c r="I332" i="45"/>
  <c r="F235" i="45"/>
  <c r="I341" i="45"/>
  <c r="F251" i="45"/>
  <c r="I342" i="45"/>
  <c r="F253" i="45"/>
  <c r="I346" i="45"/>
  <c r="F260" i="45"/>
  <c r="I347" i="45"/>
  <c r="F262" i="45"/>
  <c r="I348" i="45"/>
  <c r="F263" i="45"/>
  <c r="F383" i="45"/>
  <c r="I77" i="30"/>
  <c r="I384" i="45"/>
  <c r="F294" i="45"/>
  <c r="I386" i="45"/>
  <c r="F296" i="45"/>
  <c r="I104" i="30"/>
  <c r="F410" i="45"/>
  <c r="I395" i="45"/>
  <c r="F308" i="45"/>
  <c r="I396" i="45"/>
  <c r="F309" i="45"/>
  <c r="I397" i="45"/>
  <c r="F310" i="45"/>
  <c r="G36" i="30"/>
  <c r="F442" i="45"/>
  <c r="G30" i="30"/>
  <c r="F436" i="45"/>
  <c r="F467" i="45"/>
  <c r="G61" i="30"/>
  <c r="F498" i="45"/>
  <c r="G92" i="30"/>
  <c r="F486" i="45"/>
  <c r="G80" i="30"/>
  <c r="G65" i="30"/>
  <c r="I60" i="30"/>
  <c r="F438" i="45"/>
  <c r="F293" i="45"/>
  <c r="F82" i="45"/>
  <c r="F118" i="45"/>
  <c r="F119" i="45"/>
  <c r="F120" i="45"/>
  <c r="F17" i="45"/>
  <c r="F124" i="45"/>
  <c r="F125" i="45"/>
  <c r="F26" i="45"/>
  <c r="F128" i="45"/>
  <c r="F130" i="45"/>
  <c r="F35" i="45"/>
  <c r="F133" i="45"/>
  <c r="F134" i="45"/>
  <c r="F135" i="45"/>
  <c r="F44" i="45"/>
  <c r="F139" i="45"/>
  <c r="F140" i="45"/>
  <c r="F53" i="45"/>
  <c r="F144" i="45"/>
  <c r="F145" i="45"/>
  <c r="F62" i="45"/>
  <c r="F155" i="45"/>
  <c r="F161" i="45"/>
  <c r="F163" i="45"/>
  <c r="F78" i="45"/>
  <c r="F167" i="45"/>
  <c r="F169" i="45"/>
  <c r="F170" i="45"/>
  <c r="F180" i="45"/>
  <c r="F182" i="45"/>
  <c r="F183" i="45"/>
  <c r="F191" i="45"/>
  <c r="F194" i="45"/>
  <c r="F195" i="45"/>
  <c r="N409" i="45"/>
  <c r="N103" i="30" s="1"/>
  <c r="J409" i="45"/>
  <c r="J103" i="30" s="1"/>
  <c r="F23" i="45"/>
  <c r="F158" i="45"/>
  <c r="H104" i="30"/>
  <c r="H271" i="21"/>
  <c r="J271" i="21"/>
  <c r="L271" i="21"/>
  <c r="N271" i="21"/>
  <c r="F328" i="45"/>
  <c r="F41" i="45"/>
  <c r="M241" i="47"/>
  <c r="M242" i="47" s="1"/>
  <c r="J241" i="47"/>
  <c r="J242" i="47" s="1"/>
  <c r="I241" i="47"/>
  <c r="I242" i="47" s="1"/>
  <c r="K241" i="47"/>
  <c r="K242" i="47" s="1"/>
  <c r="N241" i="47"/>
  <c r="N242" i="47" s="1"/>
  <c r="F159" i="47"/>
  <c r="F27" i="47"/>
  <c r="F99" i="47"/>
  <c r="F181" i="47"/>
  <c r="I118" i="47"/>
  <c r="N50" i="47"/>
  <c r="N51" i="47" s="1"/>
  <c r="M50" i="47"/>
  <c r="I50" i="47"/>
  <c r="F38" i="47"/>
  <c r="F37" i="47"/>
  <c r="L110" i="47"/>
  <c r="K110" i="47"/>
  <c r="F168" i="47"/>
  <c r="M176" i="47"/>
  <c r="I176" i="47"/>
  <c r="N176" i="47"/>
  <c r="N177" i="47" s="1"/>
  <c r="F148" i="47"/>
  <c r="F233" i="47"/>
  <c r="L248" i="47"/>
  <c r="L249" i="47" s="1"/>
  <c r="M240" i="47"/>
  <c r="M267" i="47" s="1"/>
  <c r="M74" i="59" s="1"/>
  <c r="F213" i="47"/>
  <c r="J248" i="47"/>
  <c r="J249" i="47" s="1"/>
  <c r="G241" i="47"/>
  <c r="I240" i="47"/>
  <c r="I267" i="47" s="1"/>
  <c r="I74" i="59" s="1"/>
  <c r="F33" i="47"/>
  <c r="F93" i="47"/>
  <c r="M118" i="47"/>
  <c r="M119" i="47" s="1"/>
  <c r="J51" i="47"/>
  <c r="M51" i="47"/>
  <c r="F67" i="47"/>
  <c r="N175" i="47"/>
  <c r="L175" i="47"/>
  <c r="J175" i="47"/>
  <c r="H175" i="47"/>
  <c r="L176" i="47"/>
  <c r="M175" i="47"/>
  <c r="M203" i="47" s="1"/>
  <c r="M47" i="59" s="1"/>
  <c r="K175" i="47"/>
  <c r="K203" i="47" s="1"/>
  <c r="K47" i="59" s="1"/>
  <c r="I175" i="47"/>
  <c r="I203" i="47" s="1"/>
  <c r="I47" i="59" s="1"/>
  <c r="G111" i="47"/>
  <c r="F169" i="47"/>
  <c r="F163" i="47"/>
  <c r="F83" i="47"/>
  <c r="G110" i="47"/>
  <c r="G138" i="47" s="1"/>
  <c r="G20" i="59" s="1"/>
  <c r="F97" i="47"/>
  <c r="F157" i="47"/>
  <c r="F149" i="47"/>
  <c r="H176" i="47"/>
  <c r="F224" i="47"/>
  <c r="G247" i="47"/>
  <c r="G268" i="47" s="1"/>
  <c r="G75" i="59" s="1"/>
  <c r="F229" i="47"/>
  <c r="H248" i="47"/>
  <c r="H249" i="47" s="1"/>
  <c r="F223" i="47"/>
  <c r="F218" i="47"/>
  <c r="N240" i="47"/>
  <c r="N267" i="47" s="1"/>
  <c r="N74" i="59" s="1"/>
  <c r="L240" i="47"/>
  <c r="H240" i="47"/>
  <c r="F21" i="47"/>
  <c r="F36" i="47"/>
  <c r="F41" i="47"/>
  <c r="G55" i="47"/>
  <c r="F55" i="47" s="1"/>
  <c r="F32" i="47"/>
  <c r="L50" i="47"/>
  <c r="L51" i="47" s="1"/>
  <c r="K50" i="47"/>
  <c r="F28" i="47"/>
  <c r="H50" i="47"/>
  <c r="F23" i="47"/>
  <c r="G50" i="47"/>
  <c r="G51" i="47" s="1"/>
  <c r="F22" i="47"/>
  <c r="G117" i="47"/>
  <c r="G139" i="47" s="1"/>
  <c r="G21" i="59" s="1"/>
  <c r="H118" i="47"/>
  <c r="H119" i="47" s="1"/>
  <c r="F103" i="47"/>
  <c r="M111" i="47"/>
  <c r="K111" i="47"/>
  <c r="I111" i="47"/>
  <c r="F89" i="47"/>
  <c r="N110" i="47"/>
  <c r="J110" i="47"/>
  <c r="N111" i="47"/>
  <c r="L111" i="47"/>
  <c r="J111" i="47"/>
  <c r="H111" i="47"/>
  <c r="M110" i="47"/>
  <c r="M138" i="47" s="1"/>
  <c r="M20" i="59" s="1"/>
  <c r="I110" i="47"/>
  <c r="F158" i="47"/>
  <c r="G176" i="47"/>
  <c r="F152" i="47"/>
  <c r="G175" i="47"/>
  <c r="G203" i="47" s="1"/>
  <c r="G47" i="59" s="1"/>
  <c r="F164" i="47"/>
  <c r="K183" i="47"/>
  <c r="K184" i="47" s="1"/>
  <c r="F42" i="47"/>
  <c r="G49" i="47"/>
  <c r="G74" i="47" s="1"/>
  <c r="F104" i="47"/>
  <c r="F102" i="47"/>
  <c r="G242" i="47"/>
  <c r="G243" i="47" s="1"/>
  <c r="G263" i="47" s="1"/>
  <c r="G57" i="47"/>
  <c r="J177" i="47"/>
  <c r="K248" i="47"/>
  <c r="K249" i="47" s="1"/>
  <c r="N118" i="47"/>
  <c r="N119" i="47" s="1"/>
  <c r="J118" i="47"/>
  <c r="J119" i="47" s="1"/>
  <c r="J183" i="47"/>
  <c r="J184" i="47" s="1"/>
  <c r="I51" i="47"/>
  <c r="N57" i="47"/>
  <c r="N58" i="47" s="1"/>
  <c r="M57" i="47"/>
  <c r="M58" i="47" s="1"/>
  <c r="L57" i="47"/>
  <c r="L58" i="47" s="1"/>
  <c r="K57" i="47"/>
  <c r="K58" i="47" s="1"/>
  <c r="J57" i="47"/>
  <c r="J58" i="47" s="1"/>
  <c r="H57" i="47"/>
  <c r="H58" i="47" s="1"/>
  <c r="K118" i="47"/>
  <c r="K119" i="47" s="1"/>
  <c r="I248" i="47"/>
  <c r="I249" i="47" s="1"/>
  <c r="M248" i="47"/>
  <c r="M249" i="47" s="1"/>
  <c r="N183" i="47"/>
  <c r="N184" i="47" s="1"/>
  <c r="G86" i="49"/>
  <c r="F86" i="49" s="1"/>
  <c r="G59" i="49"/>
  <c r="F114" i="40"/>
  <c r="F83" i="40"/>
  <c r="F41" i="40"/>
  <c r="F99" i="40"/>
  <c r="F56" i="40"/>
  <c r="F25" i="40"/>
  <c r="I119" i="47"/>
  <c r="M49" i="47"/>
  <c r="M74" i="47" s="1"/>
  <c r="K49" i="47"/>
  <c r="I49" i="47"/>
  <c r="F116" i="47"/>
  <c r="K243" i="47"/>
  <c r="K263" i="47" s="1"/>
  <c r="F26" i="47"/>
  <c r="N49" i="47"/>
  <c r="L49" i="47"/>
  <c r="L74" i="47" s="1"/>
  <c r="J49" i="47"/>
  <c r="H49" i="47"/>
  <c r="N249" i="47"/>
  <c r="F182" i="47"/>
  <c r="N58" i="49"/>
  <c r="F125" i="30"/>
  <c r="F246" i="21"/>
  <c r="F108" i="45"/>
  <c r="F106" i="45"/>
  <c r="F104" i="45"/>
  <c r="F99" i="45"/>
  <c r="F94" i="45"/>
  <c r="F92" i="45"/>
  <c r="F90" i="45"/>
  <c r="F85" i="45"/>
  <c r="F83" i="45"/>
  <c r="F76" i="45"/>
  <c r="F74" i="45"/>
  <c r="F69" i="45"/>
  <c r="F67" i="45"/>
  <c r="F59" i="45"/>
  <c r="F50" i="45"/>
  <c r="F32" i="45"/>
  <c r="F14" i="45"/>
  <c r="F56" i="47"/>
  <c r="I57" i="47"/>
  <c r="I58" i="47" s="1"/>
  <c r="F246" i="47"/>
  <c r="M183" i="47"/>
  <c r="M184" i="47" s="1"/>
  <c r="F217" i="47"/>
  <c r="F42" i="45"/>
  <c r="F123" i="45"/>
  <c r="F129" i="45"/>
  <c r="F157" i="45"/>
  <c r="M409" i="45"/>
  <c r="M103" i="30" s="1"/>
  <c r="K409" i="45"/>
  <c r="K103" i="30" s="1"/>
  <c r="I409" i="45"/>
  <c r="I103" i="30" s="1"/>
  <c r="G409" i="45"/>
  <c r="F230" i="40"/>
  <c r="M41" i="49"/>
  <c r="F41" i="49" s="1"/>
  <c r="F284" i="17"/>
  <c r="F89" i="17"/>
  <c r="G100" i="17"/>
  <c r="G102" i="17" s="1"/>
  <c r="F281" i="17"/>
  <c r="L58" i="49"/>
  <c r="N31" i="49"/>
  <c r="H14" i="49"/>
  <c r="F14" i="49" s="1"/>
  <c r="F188" i="17"/>
  <c r="M17" i="49"/>
  <c r="M31" i="49" s="1"/>
  <c r="M196" i="17"/>
  <c r="F179" i="17"/>
  <c r="I44" i="49"/>
  <c r="I58" i="49" s="1"/>
  <c r="F275" i="17"/>
  <c r="I292" i="17"/>
  <c r="F92" i="17"/>
  <c r="F84" i="17"/>
  <c r="F98" i="17"/>
  <c r="F181" i="17"/>
  <c r="F111" i="17"/>
  <c r="N23" i="49"/>
  <c r="H23" i="49"/>
  <c r="K23" i="49"/>
  <c r="J23" i="49"/>
  <c r="I23" i="49"/>
  <c r="G154" i="48"/>
  <c r="J50" i="49"/>
  <c r="N77" i="49"/>
  <c r="L77" i="49"/>
  <c r="J77" i="49"/>
  <c r="H77" i="49"/>
  <c r="F132" i="30"/>
  <c r="L23" i="49"/>
  <c r="L50" i="49"/>
  <c r="G156" i="48"/>
  <c r="M77" i="49"/>
  <c r="K77" i="49"/>
  <c r="I77" i="49"/>
  <c r="F290" i="17"/>
  <c r="F194" i="17"/>
  <c r="N388" i="17"/>
  <c r="L388" i="17"/>
  <c r="I69" i="49"/>
  <c r="F381" i="17"/>
  <c r="F69" i="49"/>
  <c r="F386" i="17"/>
  <c r="F385" i="17"/>
  <c r="F377" i="17"/>
  <c r="F372" i="17"/>
  <c r="F123" i="30"/>
  <c r="F117" i="30"/>
  <c r="N276" i="21"/>
  <c r="N341" i="21" s="1"/>
  <c r="J276" i="21"/>
  <c r="J341" i="21" s="1"/>
  <c r="F134" i="30"/>
  <c r="F127" i="30"/>
  <c r="F248" i="21"/>
  <c r="F115" i="30"/>
  <c r="F243" i="21"/>
  <c r="G276" i="21"/>
  <c r="G341" i="21" s="1"/>
  <c r="K276" i="21"/>
  <c r="K341" i="21" s="1"/>
  <c r="F22" i="30"/>
  <c r="F60" i="30"/>
  <c r="F65" i="30"/>
  <c r="F39" i="45"/>
  <c r="F33" i="45"/>
  <c r="F30" i="45"/>
  <c r="F24" i="45"/>
  <c r="F21" i="45"/>
  <c r="F15" i="45"/>
  <c r="F12" i="45"/>
  <c r="G206" i="45"/>
  <c r="I206" i="45"/>
  <c r="K206" i="45"/>
  <c r="M206" i="45"/>
  <c r="H206" i="45"/>
  <c r="J206" i="45"/>
  <c r="L206" i="45"/>
  <c r="N206" i="45"/>
  <c r="H233" i="21"/>
  <c r="F104" i="30"/>
  <c r="F16" i="30"/>
  <c r="F20" i="30"/>
  <c r="M270" i="21"/>
  <c r="M272" i="21"/>
  <c r="G271" i="21"/>
  <c r="K43" i="16"/>
  <c r="P43" i="16"/>
  <c r="G17" i="57" s="1"/>
  <c r="J36" i="16"/>
  <c r="R58" i="16"/>
  <c r="S58" i="16" s="1"/>
  <c r="N53" i="16"/>
  <c r="O53" i="16" s="1"/>
  <c r="P53" i="16" s="1"/>
  <c r="Q53" i="16" s="1"/>
  <c r="R53" i="16" s="1"/>
  <c r="S53" i="16" s="1"/>
  <c r="L118" i="47"/>
  <c r="L119" i="47" s="1"/>
  <c r="G183" i="47"/>
  <c r="H183" i="47"/>
  <c r="H184" i="47" s="1"/>
  <c r="I183" i="47"/>
  <c r="I184" i="47" s="1"/>
  <c r="L183" i="47"/>
  <c r="L184" i="47" s="1"/>
  <c r="F68" i="49"/>
  <c r="F380" i="17"/>
  <c r="F384" i="17"/>
  <c r="F376" i="17"/>
  <c r="K85" i="49"/>
  <c r="F102" i="39"/>
  <c r="J71" i="49"/>
  <c r="J85" i="49" s="1"/>
  <c r="F371" i="17"/>
  <c r="F370" i="17"/>
  <c r="G85" i="49"/>
  <c r="L219" i="47"/>
  <c r="L241" i="47" s="1"/>
  <c r="L242" i="47" s="1"/>
  <c r="L243" i="47" s="1"/>
  <c r="L263" i="47" s="1"/>
  <c r="L137" i="7"/>
  <c r="L42" i="16"/>
  <c r="M43" i="16"/>
  <c r="H219" i="47"/>
  <c r="H137" i="7"/>
  <c r="F117" i="7"/>
  <c r="F137" i="7" s="1"/>
  <c r="K137" i="7"/>
  <c r="N137" i="7"/>
  <c r="I37" i="16"/>
  <c r="I17" i="37"/>
  <c r="F17" i="49"/>
  <c r="J58" i="49"/>
  <c r="H85" i="49"/>
  <c r="I31" i="49"/>
  <c r="F42" i="49"/>
  <c r="G58" i="49"/>
  <c r="G31" i="49"/>
  <c r="K83" i="17"/>
  <c r="K32" i="17"/>
  <c r="G189" i="17"/>
  <c r="G15" i="59" s="1"/>
  <c r="F15" i="59" s="1"/>
  <c r="F121" i="17"/>
  <c r="G185" i="17"/>
  <c r="F185" i="17" s="1"/>
  <c r="F117" i="17"/>
  <c r="H178" i="17"/>
  <c r="H16" i="59" s="1"/>
  <c r="H31" i="59" s="1"/>
  <c r="H128" i="17"/>
  <c r="N180" i="17"/>
  <c r="J276" i="17"/>
  <c r="J224" i="17"/>
  <c r="K44" i="49"/>
  <c r="K58" i="49" s="1"/>
  <c r="K292" i="17"/>
  <c r="M43" i="49"/>
  <c r="M58" i="49" s="1"/>
  <c r="N277" i="17"/>
  <c r="I70" i="49"/>
  <c r="I85" i="49" s="1"/>
  <c r="I388" i="17"/>
  <c r="M71" i="49"/>
  <c r="M85" i="49" s="1"/>
  <c r="M388" i="17"/>
  <c r="G196" i="17"/>
  <c r="F206" i="17"/>
  <c r="F208" i="17"/>
  <c r="F216" i="17"/>
  <c r="F110" i="17"/>
  <c r="F112" i="17"/>
  <c r="F120" i="17"/>
  <c r="F20" i="17"/>
  <c r="F30" i="17"/>
  <c r="F285" i="17"/>
  <c r="F15" i="17"/>
  <c r="F21" i="17"/>
  <c r="H388" i="17"/>
  <c r="J16" i="49"/>
  <c r="J31" i="49" s="1"/>
  <c r="H32" i="17"/>
  <c r="L32" i="17"/>
  <c r="G128" i="17"/>
  <c r="K128" i="17"/>
  <c r="F217" i="17"/>
  <c r="I224" i="17"/>
  <c r="M224" i="17"/>
  <c r="F85" i="17"/>
  <c r="G32" i="17"/>
  <c r="I93" i="17"/>
  <c r="F25" i="17"/>
  <c r="I83" i="17"/>
  <c r="I32" i="17"/>
  <c r="M82" i="17"/>
  <c r="M32" i="17"/>
  <c r="I193" i="17"/>
  <c r="J180" i="17"/>
  <c r="J128" i="17"/>
  <c r="K16" i="49"/>
  <c r="K31" i="49" s="1"/>
  <c r="K196" i="17"/>
  <c r="L178" i="17"/>
  <c r="L16" i="59" s="1"/>
  <c r="L31" i="59" s="1"/>
  <c r="L128" i="17"/>
  <c r="G277" i="17"/>
  <c r="F209" i="17"/>
  <c r="H274" i="17"/>
  <c r="H43" i="59" s="1"/>
  <c r="H58" i="59" s="1"/>
  <c r="H224" i="17"/>
  <c r="L276" i="17"/>
  <c r="L292" i="17" s="1"/>
  <c r="L224" i="17"/>
  <c r="F373" i="17"/>
  <c r="K388" i="17"/>
  <c r="G277" i="21" l="1"/>
  <c r="G346" i="21" s="1"/>
  <c r="J203" i="47"/>
  <c r="J47" i="59" s="1"/>
  <c r="M23" i="49"/>
  <c r="J74" i="47"/>
  <c r="H203" i="47"/>
  <c r="H47" i="59" s="1"/>
  <c r="L203" i="47"/>
  <c r="L47" i="59" s="1"/>
  <c r="N178" i="47"/>
  <c r="N198" i="47" s="1"/>
  <c r="K138" i="47"/>
  <c r="K20" i="59" s="1"/>
  <c r="H74" i="47"/>
  <c r="K74" i="47"/>
  <c r="K232" i="21"/>
  <c r="K30" i="102"/>
  <c r="K231" i="56"/>
  <c r="N138" i="47"/>
  <c r="N20" i="59" s="1"/>
  <c r="K31" i="100"/>
  <c r="H232" i="56"/>
  <c r="J232" i="21"/>
  <c r="K30" i="101"/>
  <c r="J231" i="56"/>
  <c r="G194" i="21"/>
  <c r="G193" i="56"/>
  <c r="G159" i="21"/>
  <c r="G158" i="56"/>
  <c r="G165" i="21"/>
  <c r="G164" i="56"/>
  <c r="I233" i="21"/>
  <c r="F233" i="21" s="1"/>
  <c r="K31" i="99"/>
  <c r="I232" i="56"/>
  <c r="I149" i="21"/>
  <c r="C15" i="99"/>
  <c r="I148" i="56"/>
  <c r="I221" i="21"/>
  <c r="K25" i="99"/>
  <c r="I220" i="56"/>
  <c r="G171" i="21"/>
  <c r="G170" i="56"/>
  <c r="I217" i="21"/>
  <c r="K21" i="99"/>
  <c r="I216" i="56"/>
  <c r="I151" i="21"/>
  <c r="C17" i="99"/>
  <c r="I150" i="56"/>
  <c r="H145" i="21"/>
  <c r="C11" i="100"/>
  <c r="H144" i="56"/>
  <c r="G182" i="21"/>
  <c r="G181" i="56"/>
  <c r="G216" i="56"/>
  <c r="G183" i="56"/>
  <c r="G151" i="21"/>
  <c r="G150" i="56"/>
  <c r="I194" i="21"/>
  <c r="G23" i="99"/>
  <c r="I193" i="56"/>
  <c r="H151" i="21"/>
  <c r="C17" i="100"/>
  <c r="H150" i="56"/>
  <c r="H159" i="21"/>
  <c r="H270" i="21" s="1"/>
  <c r="C25" i="100"/>
  <c r="H158" i="56"/>
  <c r="H169" i="21"/>
  <c r="C35" i="100"/>
  <c r="H168" i="56"/>
  <c r="J145" i="21"/>
  <c r="C11" i="101"/>
  <c r="J144" i="56"/>
  <c r="J151" i="21"/>
  <c r="C17" i="101"/>
  <c r="J150" i="56"/>
  <c r="J161" i="21"/>
  <c r="C27" i="101"/>
  <c r="J160" i="56"/>
  <c r="J171" i="21"/>
  <c r="C37" i="101"/>
  <c r="J170" i="56"/>
  <c r="K149" i="21"/>
  <c r="C15" i="102"/>
  <c r="K148" i="56"/>
  <c r="K159" i="21"/>
  <c r="C25" i="102"/>
  <c r="K158" i="56"/>
  <c r="K169" i="21"/>
  <c r="C35" i="102"/>
  <c r="K168" i="56"/>
  <c r="L151" i="21"/>
  <c r="C17" i="103"/>
  <c r="L150" i="56"/>
  <c r="L159" i="21"/>
  <c r="L270" i="21" s="1"/>
  <c r="C25" i="103"/>
  <c r="L158" i="56"/>
  <c r="L169" i="21"/>
  <c r="C35" i="103"/>
  <c r="L168" i="56"/>
  <c r="N145" i="21"/>
  <c r="C11" i="105"/>
  <c r="N144" i="56"/>
  <c r="N151" i="21"/>
  <c r="C17" i="105"/>
  <c r="N150" i="56"/>
  <c r="N161" i="21"/>
  <c r="C27" i="105"/>
  <c r="N160" i="56"/>
  <c r="N169" i="21"/>
  <c r="C35" i="105"/>
  <c r="N168" i="56"/>
  <c r="H188" i="21"/>
  <c r="G17" i="100"/>
  <c r="H187" i="56"/>
  <c r="H194" i="21"/>
  <c r="G23" i="100"/>
  <c r="H193" i="56"/>
  <c r="I184" i="21"/>
  <c r="G13" i="99"/>
  <c r="I183" i="56"/>
  <c r="J188" i="21"/>
  <c r="G17" i="101"/>
  <c r="J187" i="56"/>
  <c r="J194" i="21"/>
  <c r="G23" i="101"/>
  <c r="J193" i="56"/>
  <c r="K182" i="21"/>
  <c r="K181" i="56"/>
  <c r="K188" i="21"/>
  <c r="G17" i="102"/>
  <c r="K187" i="56"/>
  <c r="K196" i="21"/>
  <c r="G25" i="102"/>
  <c r="K195" i="56"/>
  <c r="L190" i="21"/>
  <c r="G19" i="103"/>
  <c r="L189" i="56"/>
  <c r="M182" i="21"/>
  <c r="M181" i="56"/>
  <c r="N182" i="21"/>
  <c r="N181" i="56"/>
  <c r="N188" i="21"/>
  <c r="G17" i="105"/>
  <c r="N187" i="56"/>
  <c r="N194" i="21"/>
  <c r="G23" i="105"/>
  <c r="N193" i="56"/>
  <c r="H207" i="21"/>
  <c r="K11" i="100"/>
  <c r="H206" i="56"/>
  <c r="H213" i="21"/>
  <c r="H272" i="21" s="1"/>
  <c r="K17" i="100"/>
  <c r="H212" i="56"/>
  <c r="J207" i="21"/>
  <c r="K11" i="101"/>
  <c r="J206" i="56"/>
  <c r="J213" i="21"/>
  <c r="J272" i="21" s="1"/>
  <c r="K17" i="101"/>
  <c r="J212" i="56"/>
  <c r="J219" i="21"/>
  <c r="K23" i="101"/>
  <c r="J218" i="56"/>
  <c r="H138" i="47"/>
  <c r="H20" i="59" s="1"/>
  <c r="G267" i="47"/>
  <c r="G74" i="59" s="1"/>
  <c r="F44" i="59"/>
  <c r="F17" i="59"/>
  <c r="H221" i="21"/>
  <c r="K25" i="100"/>
  <c r="H220" i="56"/>
  <c r="K207" i="21"/>
  <c r="K11" i="102"/>
  <c r="K206" i="56"/>
  <c r="K217" i="21"/>
  <c r="K21" i="102"/>
  <c r="K216" i="56"/>
  <c r="K221" i="21"/>
  <c r="K25" i="102"/>
  <c r="K220" i="56"/>
  <c r="L209" i="21"/>
  <c r="K13" i="103"/>
  <c r="L208" i="56"/>
  <c r="L217" i="21"/>
  <c r="K21" i="103"/>
  <c r="L216" i="56"/>
  <c r="L221" i="21"/>
  <c r="K25" i="103"/>
  <c r="L220" i="56"/>
  <c r="N209" i="21"/>
  <c r="K13" i="105"/>
  <c r="N208" i="56"/>
  <c r="N217" i="21"/>
  <c r="K21" i="105"/>
  <c r="N216" i="56"/>
  <c r="N221" i="21"/>
  <c r="K25" i="105"/>
  <c r="N220" i="56"/>
  <c r="G213" i="21"/>
  <c r="G272" i="21" s="1"/>
  <c r="G212" i="56"/>
  <c r="G161" i="21"/>
  <c r="G160" i="56"/>
  <c r="N233" i="21"/>
  <c r="K31" i="105"/>
  <c r="N232" i="56"/>
  <c r="J233" i="21"/>
  <c r="K31" i="101"/>
  <c r="J232" i="56"/>
  <c r="F232" i="56" s="1"/>
  <c r="F188" i="56"/>
  <c r="I232" i="21"/>
  <c r="K30" i="99"/>
  <c r="I231" i="56"/>
  <c r="M232" i="21"/>
  <c r="K30" i="104"/>
  <c r="M231" i="56"/>
  <c r="N74" i="47"/>
  <c r="I74" i="47"/>
  <c r="I138" i="47"/>
  <c r="I20" i="59" s="1"/>
  <c r="J138" i="47"/>
  <c r="J20" i="59" s="1"/>
  <c r="L267" i="47"/>
  <c r="L74" i="59" s="1"/>
  <c r="N203" i="47"/>
  <c r="N47" i="59" s="1"/>
  <c r="L138" i="47"/>
  <c r="L20" i="59" s="1"/>
  <c r="F326" i="45"/>
  <c r="F322" i="45"/>
  <c r="N232" i="21"/>
  <c r="K30" i="105"/>
  <c r="N231" i="56"/>
  <c r="I189" i="21"/>
  <c r="F189" i="21" s="1"/>
  <c r="G18" i="99"/>
  <c r="I188" i="56"/>
  <c r="G208" i="56"/>
  <c r="G220" i="56"/>
  <c r="G190" i="21"/>
  <c r="G189" i="56"/>
  <c r="I206" i="21"/>
  <c r="F206" i="21" s="1"/>
  <c r="F550" i="21" s="1"/>
  <c r="K10" i="99"/>
  <c r="I205" i="56"/>
  <c r="G188" i="21"/>
  <c r="G187" i="56"/>
  <c r="G195" i="56"/>
  <c r="H184" i="21"/>
  <c r="H183" i="56"/>
  <c r="G145" i="21"/>
  <c r="F145" i="21" s="1"/>
  <c r="G144" i="56"/>
  <c r="F144" i="56" s="1"/>
  <c r="H155" i="21"/>
  <c r="C21" i="100"/>
  <c r="H154" i="56"/>
  <c r="H165" i="21"/>
  <c r="C31" i="100"/>
  <c r="H164" i="56"/>
  <c r="H171" i="21"/>
  <c r="C37" i="100"/>
  <c r="H170" i="56"/>
  <c r="J149" i="21"/>
  <c r="J270" i="21" s="1"/>
  <c r="C15" i="101"/>
  <c r="J148" i="56"/>
  <c r="J159" i="21"/>
  <c r="C25" i="101"/>
  <c r="J158" i="56"/>
  <c r="J165" i="21"/>
  <c r="C31" i="101"/>
  <c r="J164" i="56"/>
  <c r="K145" i="21"/>
  <c r="C11" i="102"/>
  <c r="K144" i="56"/>
  <c r="K155" i="21"/>
  <c r="C21" i="102"/>
  <c r="K154" i="56"/>
  <c r="K161" i="21"/>
  <c r="C27" i="102"/>
  <c r="K160" i="56"/>
  <c r="K171" i="21"/>
  <c r="C37" i="102"/>
  <c r="K170" i="56"/>
  <c r="L155" i="21"/>
  <c r="C21" i="103"/>
  <c r="L154" i="56"/>
  <c r="L165" i="21"/>
  <c r="C31" i="103"/>
  <c r="L164" i="56"/>
  <c r="L171" i="21"/>
  <c r="C37" i="103"/>
  <c r="L170" i="56"/>
  <c r="N149" i="21"/>
  <c r="N270" i="21" s="1"/>
  <c r="C15" i="105"/>
  <c r="N148" i="56"/>
  <c r="N155" i="21"/>
  <c r="C21" i="105"/>
  <c r="N154" i="56"/>
  <c r="N165" i="21"/>
  <c r="C31" i="105"/>
  <c r="N164" i="56"/>
  <c r="N171" i="21"/>
  <c r="C37" i="105"/>
  <c r="N170" i="56"/>
  <c r="H190" i="21"/>
  <c r="G19" i="100"/>
  <c r="H189" i="56"/>
  <c r="I182" i="21"/>
  <c r="G11" i="99"/>
  <c r="I181" i="56"/>
  <c r="J182" i="21"/>
  <c r="G11" i="101"/>
  <c r="J181" i="56"/>
  <c r="J190" i="21"/>
  <c r="G19" i="101"/>
  <c r="J189" i="56"/>
  <c r="J196" i="21"/>
  <c r="G25" i="101"/>
  <c r="J195" i="56"/>
  <c r="K184" i="21"/>
  <c r="K183" i="56"/>
  <c r="K190" i="21"/>
  <c r="G19" i="102"/>
  <c r="K189" i="56"/>
  <c r="K194" i="21"/>
  <c r="G23" i="102"/>
  <c r="K193" i="56"/>
  <c r="L188" i="21"/>
  <c r="G17" i="103"/>
  <c r="L187" i="56"/>
  <c r="L194" i="21"/>
  <c r="G23" i="103"/>
  <c r="L193" i="56"/>
  <c r="M184" i="21"/>
  <c r="M183" i="56"/>
  <c r="N184" i="21"/>
  <c r="N183" i="56"/>
  <c r="N190" i="21"/>
  <c r="G19" i="105"/>
  <c r="N189" i="56"/>
  <c r="N196" i="21"/>
  <c r="G25" i="105"/>
  <c r="N195" i="56"/>
  <c r="H209" i="21"/>
  <c r="K13" i="100"/>
  <c r="H208" i="56"/>
  <c r="H219" i="21"/>
  <c r="K23" i="100"/>
  <c r="H218" i="56"/>
  <c r="J209" i="21"/>
  <c r="K13" i="101"/>
  <c r="J208" i="56"/>
  <c r="J217" i="21"/>
  <c r="K21" i="101"/>
  <c r="J216" i="56"/>
  <c r="J267" i="47"/>
  <c r="J74" i="59" s="1"/>
  <c r="F68" i="59"/>
  <c r="J221" i="21"/>
  <c r="K25" i="101"/>
  <c r="J220" i="56"/>
  <c r="K213" i="21"/>
  <c r="K272" i="21" s="1"/>
  <c r="K17" i="102"/>
  <c r="K212" i="56"/>
  <c r="K219" i="21"/>
  <c r="K23" i="102"/>
  <c r="K218" i="56"/>
  <c r="L207" i="21"/>
  <c r="K11" i="103"/>
  <c r="L206" i="56"/>
  <c r="L213" i="21"/>
  <c r="L272" i="21" s="1"/>
  <c r="K17" i="103"/>
  <c r="L212" i="56"/>
  <c r="L219" i="21"/>
  <c r="K23" i="103"/>
  <c r="L218" i="56"/>
  <c r="N207" i="21"/>
  <c r="K11" i="105"/>
  <c r="N206" i="56"/>
  <c r="N213" i="21"/>
  <c r="N272" i="21" s="1"/>
  <c r="K17" i="105"/>
  <c r="N212" i="56"/>
  <c r="N219" i="21"/>
  <c r="K23" i="105"/>
  <c r="N218" i="56"/>
  <c r="G207" i="21"/>
  <c r="G206" i="56"/>
  <c r="G155" i="21"/>
  <c r="G154" i="56"/>
  <c r="G169" i="21"/>
  <c r="G168" i="56"/>
  <c r="K271" i="21"/>
  <c r="F148" i="56"/>
  <c r="F216" i="56"/>
  <c r="L233" i="21"/>
  <c r="K31" i="103"/>
  <c r="L232" i="56"/>
  <c r="M271" i="21"/>
  <c r="F205" i="56"/>
  <c r="K267" i="47"/>
  <c r="K74" i="59" s="1"/>
  <c r="N30" i="57"/>
  <c r="N66" i="57" s="1"/>
  <c r="N30" i="37"/>
  <c r="L30" i="57"/>
  <c r="L66" i="57" s="1"/>
  <c r="L30" i="37"/>
  <c r="L294" i="17"/>
  <c r="L39" i="59"/>
  <c r="H390" i="17"/>
  <c r="H66" i="59"/>
  <c r="G198" i="17"/>
  <c r="G12" i="59"/>
  <c r="J390" i="17"/>
  <c r="J66" i="59"/>
  <c r="L390" i="17"/>
  <c r="L66" i="59"/>
  <c r="F16" i="59"/>
  <c r="N58" i="59"/>
  <c r="L58" i="59"/>
  <c r="J58" i="59"/>
  <c r="F42" i="59"/>
  <c r="I31" i="59"/>
  <c r="F31" i="59" s="1"/>
  <c r="M390" i="17"/>
  <c r="M66" i="59"/>
  <c r="I390" i="17"/>
  <c r="I66" i="59"/>
  <c r="I294" i="17"/>
  <c r="I39" i="59"/>
  <c r="F71" i="59"/>
  <c r="F14" i="59"/>
  <c r="F41" i="59"/>
  <c r="G390" i="17"/>
  <c r="G66" i="59"/>
  <c r="N86" i="59"/>
  <c r="F86" i="59" s="1"/>
  <c r="F72" i="59"/>
  <c r="N390" i="17"/>
  <c r="N66" i="59"/>
  <c r="M294" i="17"/>
  <c r="M39" i="59"/>
  <c r="M198" i="17"/>
  <c r="M12" i="59"/>
  <c r="K390" i="17"/>
  <c r="K66" i="59"/>
  <c r="K85" i="59"/>
  <c r="F85" i="59" s="1"/>
  <c r="F70" i="59"/>
  <c r="K294" i="17"/>
  <c r="K39" i="59"/>
  <c r="F43" i="59"/>
  <c r="K58" i="59"/>
  <c r="K198" i="17"/>
  <c r="K12" i="59"/>
  <c r="K50" i="49"/>
  <c r="M50" i="49"/>
  <c r="N50" i="49"/>
  <c r="F244" i="21"/>
  <c r="I276" i="21"/>
  <c r="I341" i="21" s="1"/>
  <c r="M276" i="21"/>
  <c r="M341" i="21" s="1"/>
  <c r="F241" i="21"/>
  <c r="F245" i="21"/>
  <c r="H50" i="49"/>
  <c r="H50" i="59"/>
  <c r="I50" i="49"/>
  <c r="I50" i="59"/>
  <c r="G50" i="49"/>
  <c r="G50" i="59"/>
  <c r="F50" i="59" s="1"/>
  <c r="F241" i="56"/>
  <c r="F243" i="56"/>
  <c r="F245" i="56"/>
  <c r="F240" i="56"/>
  <c r="F242" i="56"/>
  <c r="F244" i="56"/>
  <c r="G77" i="49"/>
  <c r="F77" i="49" s="1"/>
  <c r="G77" i="59"/>
  <c r="F77" i="59" s="1"/>
  <c r="G23" i="49"/>
  <c r="G23" i="59"/>
  <c r="F23" i="59" s="1"/>
  <c r="I277" i="21"/>
  <c r="I346" i="21" s="1"/>
  <c r="K277" i="21"/>
  <c r="K346" i="21" s="1"/>
  <c r="M277" i="21"/>
  <c r="M346" i="21" s="1"/>
  <c r="H277" i="21"/>
  <c r="H346" i="21" s="1"/>
  <c r="J277" i="21"/>
  <c r="J346" i="21" s="1"/>
  <c r="L277" i="21"/>
  <c r="L346" i="21" s="1"/>
  <c r="N277" i="21"/>
  <c r="N346" i="21" s="1"/>
  <c r="M177" i="47"/>
  <c r="F50" i="47"/>
  <c r="G177" i="47"/>
  <c r="H177" i="47"/>
  <c r="L177" i="47"/>
  <c r="I177" i="47"/>
  <c r="L48" i="49"/>
  <c r="L57" i="49" s="1"/>
  <c r="L57" i="59"/>
  <c r="L34" i="57" s="1"/>
  <c r="L72" i="57" s="1"/>
  <c r="H21" i="49"/>
  <c r="H30" i="49" s="1"/>
  <c r="H30" i="59"/>
  <c r="H33" i="57" s="1"/>
  <c r="H71" i="57" s="1"/>
  <c r="I21" i="49"/>
  <c r="I30" i="49" s="1"/>
  <c r="I30" i="59"/>
  <c r="I33" i="57" s="1"/>
  <c r="I71" i="57" s="1"/>
  <c r="N48" i="49"/>
  <c r="N57" i="49" s="1"/>
  <c r="N57" i="59"/>
  <c r="N34" i="57" s="1"/>
  <c r="N72" i="57" s="1"/>
  <c r="I75" i="49"/>
  <c r="I84" i="59"/>
  <c r="I35" i="57" s="1"/>
  <c r="N21" i="49"/>
  <c r="N30" i="49" s="1"/>
  <c r="N30" i="59"/>
  <c r="N33" i="57" s="1"/>
  <c r="N71" i="57" s="1"/>
  <c r="N47" i="49"/>
  <c r="K48" i="49"/>
  <c r="K57" i="49" s="1"/>
  <c r="K57" i="59"/>
  <c r="K34" i="57" s="1"/>
  <c r="K72" i="57" s="1"/>
  <c r="H75" i="49"/>
  <c r="H84" i="49" s="1"/>
  <c r="H84" i="59"/>
  <c r="H35" i="57" s="1"/>
  <c r="M21" i="49"/>
  <c r="M30" i="49" s="1"/>
  <c r="M30" i="59"/>
  <c r="M33" i="57" s="1"/>
  <c r="L75" i="49"/>
  <c r="L84" i="49" s="1"/>
  <c r="L84" i="59"/>
  <c r="L35" i="57" s="1"/>
  <c r="L74" i="49"/>
  <c r="L82" i="59"/>
  <c r="H48" i="49"/>
  <c r="H57" i="49" s="1"/>
  <c r="H57" i="59"/>
  <c r="H34" i="57" s="1"/>
  <c r="L21" i="49"/>
  <c r="L30" i="49" s="1"/>
  <c r="L30" i="59"/>
  <c r="L33" i="57" s="1"/>
  <c r="I48" i="49"/>
  <c r="I57" i="49" s="1"/>
  <c r="I57" i="59"/>
  <c r="I34" i="57" s="1"/>
  <c r="M48" i="49"/>
  <c r="M57" i="59"/>
  <c r="M34" i="57" s="1"/>
  <c r="N75" i="49"/>
  <c r="N84" i="49" s="1"/>
  <c r="N84" i="59"/>
  <c r="N35" i="57" s="1"/>
  <c r="K74" i="49"/>
  <c r="M75" i="49"/>
  <c r="M84" i="49" s="1"/>
  <c r="M84" i="59"/>
  <c r="M35" i="57" s="1"/>
  <c r="M73" i="57" s="1"/>
  <c r="K21" i="49"/>
  <c r="K30" i="49" s="1"/>
  <c r="K30" i="59"/>
  <c r="K33" i="57" s="1"/>
  <c r="K71" i="57" s="1"/>
  <c r="J48" i="49"/>
  <c r="J57" i="49" s="1"/>
  <c r="J57" i="59"/>
  <c r="J34" i="57" s="1"/>
  <c r="J72" i="57" s="1"/>
  <c r="J21" i="49"/>
  <c r="J30" i="49" s="1"/>
  <c r="J30" i="59"/>
  <c r="J33" i="57" s="1"/>
  <c r="J71" i="57" s="1"/>
  <c r="K75" i="49"/>
  <c r="K84" i="49" s="1"/>
  <c r="K84" i="59"/>
  <c r="K35" i="57" s="1"/>
  <c r="K73" i="57" s="1"/>
  <c r="G74" i="49"/>
  <c r="I112" i="47"/>
  <c r="M112" i="47"/>
  <c r="J75" i="49"/>
  <c r="J84" i="49" s="1"/>
  <c r="J84" i="59"/>
  <c r="J35" i="57" s="1"/>
  <c r="J73" i="57" s="1"/>
  <c r="M30" i="37"/>
  <c r="M30" i="57"/>
  <c r="M66" i="57" s="1"/>
  <c r="I30" i="37"/>
  <c r="I66" i="37" s="1"/>
  <c r="I30" i="57"/>
  <c r="I66" i="57" s="1"/>
  <c r="I29" i="37"/>
  <c r="I65" i="37" s="1"/>
  <c r="I29" i="57"/>
  <c r="I65" i="57" s="1"/>
  <c r="H30" i="37"/>
  <c r="H30" i="57"/>
  <c r="H66" i="57" s="1"/>
  <c r="G30" i="37"/>
  <c r="G66" i="37" s="1"/>
  <c r="G30" i="57"/>
  <c r="J30" i="37"/>
  <c r="J66" i="37" s="1"/>
  <c r="J30" i="57"/>
  <c r="J66" i="57" s="1"/>
  <c r="K30" i="37"/>
  <c r="K66" i="37" s="1"/>
  <c r="K30" i="57"/>
  <c r="K66" i="57" s="1"/>
  <c r="N28" i="37"/>
  <c r="N28" i="57"/>
  <c r="N64" i="57" s="1"/>
  <c r="L29" i="37"/>
  <c r="L65" i="37" s="1"/>
  <c r="L29" i="57"/>
  <c r="L65" i="57" s="1"/>
  <c r="N29" i="37"/>
  <c r="N65" i="37" s="1"/>
  <c r="N29" i="57"/>
  <c r="N65" i="57" s="1"/>
  <c r="K28" i="37"/>
  <c r="K28" i="57"/>
  <c r="K64" i="57" s="1"/>
  <c r="J28" i="37"/>
  <c r="J28" i="57"/>
  <c r="J64" i="57" s="1"/>
  <c r="M29" i="37"/>
  <c r="M65" i="37" s="1"/>
  <c r="M29" i="57"/>
  <c r="M65" i="57" s="1"/>
  <c r="K29" i="37"/>
  <c r="K65" i="37" s="1"/>
  <c r="K29" i="57"/>
  <c r="K65" i="57" s="1"/>
  <c r="G28" i="37"/>
  <c r="G28" i="57"/>
  <c r="G29" i="37"/>
  <c r="G65" i="37" s="1"/>
  <c r="G29" i="57"/>
  <c r="I28" i="37"/>
  <c r="I28" i="57"/>
  <c r="I64" i="57" s="1"/>
  <c r="I68" i="57" s="1"/>
  <c r="J29" i="37"/>
  <c r="J65" i="37" s="1"/>
  <c r="J29" i="57"/>
  <c r="J65" i="57" s="1"/>
  <c r="M28" i="37"/>
  <c r="M28" i="57"/>
  <c r="M64" i="57" s="1"/>
  <c r="M68" i="57" s="1"/>
  <c r="J178" i="47"/>
  <c r="J198" i="47" s="1"/>
  <c r="H33" i="37"/>
  <c r="H34" i="37"/>
  <c r="H72" i="37" s="1"/>
  <c r="H72" i="57"/>
  <c r="L35" i="37"/>
  <c r="L73" i="57"/>
  <c r="N33" i="37"/>
  <c r="K34" i="37"/>
  <c r="K72" i="37" s="1"/>
  <c r="L265" i="47"/>
  <c r="H35" i="37"/>
  <c r="H73" i="37" s="1"/>
  <c r="H73" i="57"/>
  <c r="M33" i="37"/>
  <c r="M71" i="57"/>
  <c r="G265" i="47"/>
  <c r="L34" i="37"/>
  <c r="L72" i="37" s="1"/>
  <c r="L33" i="37"/>
  <c r="L71" i="57"/>
  <c r="N35" i="37"/>
  <c r="N73" i="37" s="1"/>
  <c r="N73" i="57"/>
  <c r="N34" i="37"/>
  <c r="N72" i="37" s="1"/>
  <c r="I34" i="37"/>
  <c r="I72" i="37" s="1"/>
  <c r="I72" i="57"/>
  <c r="I33" i="37"/>
  <c r="M35" i="37"/>
  <c r="M73" i="37" s="1"/>
  <c r="K33" i="37"/>
  <c r="J34" i="37"/>
  <c r="J72" i="37" s="1"/>
  <c r="J33" i="37"/>
  <c r="K35" i="37"/>
  <c r="N265" i="47"/>
  <c r="I265" i="47"/>
  <c r="J35" i="37"/>
  <c r="J73" i="37" s="1"/>
  <c r="M265" i="47"/>
  <c r="J265" i="47"/>
  <c r="K265" i="47"/>
  <c r="G200" i="47"/>
  <c r="G201" i="47"/>
  <c r="I135" i="47"/>
  <c r="I136" i="47"/>
  <c r="J136" i="47"/>
  <c r="J135" i="47"/>
  <c r="G135" i="47"/>
  <c r="G136" i="47"/>
  <c r="K200" i="47"/>
  <c r="K201" i="47"/>
  <c r="J201" i="47"/>
  <c r="J200" i="47"/>
  <c r="N201" i="47"/>
  <c r="N200" i="47"/>
  <c r="L136" i="47"/>
  <c r="L135" i="47"/>
  <c r="M135" i="47"/>
  <c r="M136" i="47"/>
  <c r="N136" i="47"/>
  <c r="N135" i="47"/>
  <c r="I200" i="47"/>
  <c r="I201" i="47"/>
  <c r="M200" i="47"/>
  <c r="M201" i="47"/>
  <c r="H201" i="47"/>
  <c r="H200" i="47"/>
  <c r="L201" i="47"/>
  <c r="L200" i="47"/>
  <c r="K135" i="47"/>
  <c r="K136" i="47"/>
  <c r="H136" i="47"/>
  <c r="H135" i="47"/>
  <c r="J243" i="47"/>
  <c r="J263" i="47" s="1"/>
  <c r="N52" i="47"/>
  <c r="N72" i="47" s="1"/>
  <c r="M113" i="47"/>
  <c r="M133" i="47" s="1"/>
  <c r="F277" i="17"/>
  <c r="M243" i="47"/>
  <c r="M263" i="47" s="1"/>
  <c r="F176" i="47"/>
  <c r="M57" i="49"/>
  <c r="F88" i="17"/>
  <c r="F280" i="17"/>
  <c r="F180" i="17"/>
  <c r="F397" i="45"/>
  <c r="I91" i="30"/>
  <c r="F395" i="45"/>
  <c r="I89" i="30"/>
  <c r="F386" i="45"/>
  <c r="I80" i="30"/>
  <c r="I41" i="30"/>
  <c r="F347" i="45"/>
  <c r="F342" i="45"/>
  <c r="I36" i="30"/>
  <c r="F332" i="45"/>
  <c r="I26" i="30"/>
  <c r="F327" i="45"/>
  <c r="I21" i="30"/>
  <c r="G196" i="21"/>
  <c r="I87" i="30"/>
  <c r="F393" i="45"/>
  <c r="H54" i="30"/>
  <c r="F360" i="45"/>
  <c r="G209" i="21"/>
  <c r="F390" i="45"/>
  <c r="I84" i="30"/>
  <c r="F373" i="45"/>
  <c r="I67" i="30"/>
  <c r="F370" i="45"/>
  <c r="I64" i="30"/>
  <c r="F365" i="45"/>
  <c r="I59" i="30"/>
  <c r="F359" i="45"/>
  <c r="H53" i="30"/>
  <c r="F343" i="45"/>
  <c r="I37" i="30"/>
  <c r="G184" i="21"/>
  <c r="F184" i="21" s="1"/>
  <c r="F55" i="30"/>
  <c r="I31" i="30"/>
  <c r="F337" i="45"/>
  <c r="F333" i="45"/>
  <c r="I27" i="30"/>
  <c r="F396" i="45"/>
  <c r="I90" i="30"/>
  <c r="F384" i="45"/>
  <c r="I78" i="30"/>
  <c r="F348" i="45"/>
  <c r="I42" i="30"/>
  <c r="I40" i="30"/>
  <c r="F346" i="45"/>
  <c r="I35" i="30"/>
  <c r="F341" i="45"/>
  <c r="I25" i="30"/>
  <c r="F331" i="45"/>
  <c r="G221" i="21"/>
  <c r="F221" i="21" s="1"/>
  <c r="F92" i="30"/>
  <c r="F77" i="30"/>
  <c r="F389" i="45"/>
  <c r="I83" i="30"/>
  <c r="F385" i="45"/>
  <c r="I79" i="30"/>
  <c r="F372" i="45"/>
  <c r="I66" i="30"/>
  <c r="F367" i="45"/>
  <c r="I61" i="30"/>
  <c r="I58" i="30"/>
  <c r="F364" i="45"/>
  <c r="I52" i="30"/>
  <c r="F358" i="45"/>
  <c r="F323" i="45"/>
  <c r="H17" i="30"/>
  <c r="G217" i="21"/>
  <c r="F217" i="21" s="1"/>
  <c r="F88" i="30"/>
  <c r="F338" i="45"/>
  <c r="I32" i="30"/>
  <c r="F336" i="45"/>
  <c r="I30" i="30"/>
  <c r="F321" i="45"/>
  <c r="I15" i="30"/>
  <c r="K112" i="47"/>
  <c r="K113" i="47" s="1"/>
  <c r="K133" i="47" s="1"/>
  <c r="N243" i="47"/>
  <c r="N263" i="47" s="1"/>
  <c r="M178" i="47"/>
  <c r="M198" i="47" s="1"/>
  <c r="I243" i="47"/>
  <c r="I263" i="47" s="1"/>
  <c r="I178" i="47"/>
  <c r="I198" i="47" s="1"/>
  <c r="F175" i="47"/>
  <c r="K178" i="47"/>
  <c r="K198" i="47" s="1"/>
  <c r="J112" i="47"/>
  <c r="J113" i="47" s="1"/>
  <c r="J133" i="47" s="1"/>
  <c r="N112" i="47"/>
  <c r="N113" i="47" s="1"/>
  <c r="N133" i="47" s="1"/>
  <c r="G112" i="47"/>
  <c r="G113" i="47" s="1"/>
  <c r="G133" i="47" s="1"/>
  <c r="H112" i="47"/>
  <c r="H113" i="47" s="1"/>
  <c r="H133" i="47" s="1"/>
  <c r="L112" i="47"/>
  <c r="L113" i="47" s="1"/>
  <c r="L133" i="47" s="1"/>
  <c r="M52" i="47"/>
  <c r="M72" i="47" s="1"/>
  <c r="J52" i="47"/>
  <c r="J72" i="47" s="1"/>
  <c r="F74" i="47"/>
  <c r="K34" i="26" s="1"/>
  <c r="G178" i="47"/>
  <c r="G198" i="47" s="1"/>
  <c r="G52" i="47"/>
  <c r="G72" i="47" s="1"/>
  <c r="I113" i="47"/>
  <c r="I133" i="47" s="1"/>
  <c r="H51" i="47"/>
  <c r="H52" i="47" s="1"/>
  <c r="H72" i="47" s="1"/>
  <c r="K51" i="47"/>
  <c r="K52" i="47" s="1"/>
  <c r="F49" i="47"/>
  <c r="G58" i="47"/>
  <c r="H178" i="47"/>
  <c r="H198" i="47" s="1"/>
  <c r="L178" i="47"/>
  <c r="L198" i="47" s="1"/>
  <c r="F110" i="47"/>
  <c r="I52" i="47"/>
  <c r="I72" i="47" s="1"/>
  <c r="L52" i="47"/>
  <c r="L72" i="47" s="1"/>
  <c r="F111" i="47"/>
  <c r="F240" i="47"/>
  <c r="F117" i="47"/>
  <c r="G118" i="47"/>
  <c r="G119" i="47" s="1"/>
  <c r="G248" i="47"/>
  <c r="F247" i="47"/>
  <c r="I84" i="49"/>
  <c r="F57" i="47"/>
  <c r="K66" i="49"/>
  <c r="K82" i="49" s="1"/>
  <c r="J66" i="49"/>
  <c r="L66" i="49"/>
  <c r="L82" i="49" s="1"/>
  <c r="N66" i="49"/>
  <c r="H66" i="49"/>
  <c r="M66" i="49"/>
  <c r="I66" i="49"/>
  <c r="L39" i="49"/>
  <c r="M39" i="49"/>
  <c r="K39" i="49"/>
  <c r="I39" i="49"/>
  <c r="K12" i="49"/>
  <c r="M12" i="49"/>
  <c r="G12" i="49"/>
  <c r="G103" i="30"/>
  <c r="F409" i="45"/>
  <c r="I196" i="17"/>
  <c r="F153" i="48"/>
  <c r="K33" i="26" s="1"/>
  <c r="F155" i="48"/>
  <c r="M33" i="26" s="1"/>
  <c r="F154" i="48"/>
  <c r="L33" i="26" s="1"/>
  <c r="F156" i="48"/>
  <c r="N33" i="26" s="1"/>
  <c r="F388" i="17"/>
  <c r="F341" i="21"/>
  <c r="F206" i="45"/>
  <c r="J37" i="16"/>
  <c r="G17" i="37"/>
  <c r="L12" i="26"/>
  <c r="F183" i="47"/>
  <c r="G184" i="47"/>
  <c r="N66" i="37"/>
  <c r="M66" i="37"/>
  <c r="L66" i="37"/>
  <c r="H66" i="37"/>
  <c r="K73" i="37"/>
  <c r="L73" i="37"/>
  <c r="I38" i="16"/>
  <c r="H241" i="47"/>
  <c r="H267" i="47" s="1"/>
  <c r="H74" i="59" s="1"/>
  <c r="F219" i="47"/>
  <c r="L43" i="16"/>
  <c r="H43" i="49"/>
  <c r="H292" i="17"/>
  <c r="F274" i="17"/>
  <c r="L16" i="49"/>
  <c r="L31" i="49" s="1"/>
  <c r="L196" i="17"/>
  <c r="G292" i="17"/>
  <c r="F83" i="17"/>
  <c r="J292" i="17"/>
  <c r="F276" i="17"/>
  <c r="I100" i="17"/>
  <c r="I102" i="17" s="1"/>
  <c r="F70" i="49"/>
  <c r="F71" i="49"/>
  <c r="F44" i="49"/>
  <c r="M100" i="17"/>
  <c r="M102" i="17" s="1"/>
  <c r="F93" i="17"/>
  <c r="F82" i="17"/>
  <c r="J196" i="17"/>
  <c r="H16" i="49"/>
  <c r="H196" i="17"/>
  <c r="F178" i="17"/>
  <c r="F189" i="17"/>
  <c r="G15" i="49"/>
  <c r="K100" i="17"/>
  <c r="K102" i="17" s="1"/>
  <c r="F85" i="49"/>
  <c r="F177" i="47" l="1"/>
  <c r="F50" i="49"/>
  <c r="F390" i="17"/>
  <c r="N32" i="26" s="1"/>
  <c r="F66" i="59"/>
  <c r="F138" i="47"/>
  <c r="F102" i="17"/>
  <c r="F23" i="49"/>
  <c r="C10" i="99"/>
  <c r="I143" i="56"/>
  <c r="F143" i="56" s="1"/>
  <c r="C25" i="99"/>
  <c r="I158" i="56"/>
  <c r="C27" i="99"/>
  <c r="I160" i="56"/>
  <c r="F160" i="56" s="1"/>
  <c r="C12" i="100"/>
  <c r="H145" i="56"/>
  <c r="F145" i="56" s="1"/>
  <c r="G19" i="99"/>
  <c r="I189" i="56"/>
  <c r="G24" i="99"/>
  <c r="I194" i="56"/>
  <c r="F194" i="56" s="1"/>
  <c r="K12" i="99"/>
  <c r="I207" i="56"/>
  <c r="F207" i="56" s="1"/>
  <c r="K16" i="99"/>
  <c r="I211" i="56"/>
  <c r="F211" i="56" s="1"/>
  <c r="C20" i="99"/>
  <c r="I153" i="56"/>
  <c r="F153" i="56" s="1"/>
  <c r="C30" i="99"/>
  <c r="I163" i="56"/>
  <c r="F163" i="56" s="1"/>
  <c r="C35" i="99"/>
  <c r="I168" i="56"/>
  <c r="F168" i="56" s="1"/>
  <c r="C26" i="99"/>
  <c r="I159" i="56"/>
  <c r="F159" i="56" s="1"/>
  <c r="C36" i="99"/>
  <c r="I169" i="56"/>
  <c r="F169" i="56" s="1"/>
  <c r="K269" i="21"/>
  <c r="M269" i="21"/>
  <c r="L269" i="21"/>
  <c r="F150" i="56"/>
  <c r="F151" i="21"/>
  <c r="F158" i="56"/>
  <c r="G270" i="21"/>
  <c r="G231" i="56"/>
  <c r="F231" i="56" s="1"/>
  <c r="G10" i="99"/>
  <c r="I180" i="56"/>
  <c r="F180" i="56" s="1"/>
  <c r="G16" i="99"/>
  <c r="I186" i="56"/>
  <c r="F186" i="56" s="1"/>
  <c r="C37" i="99"/>
  <c r="I170" i="56"/>
  <c r="F170" i="56" s="1"/>
  <c r="K11" i="99"/>
  <c r="I206" i="56"/>
  <c r="F206" i="56" s="1"/>
  <c r="K23" i="99"/>
  <c r="I218" i="56"/>
  <c r="F218" i="56" s="1"/>
  <c r="C22" i="99"/>
  <c r="I155" i="56"/>
  <c r="F155" i="56" s="1"/>
  <c r="C32" i="99"/>
  <c r="I165" i="56"/>
  <c r="F165" i="56" s="1"/>
  <c r="H181" i="56"/>
  <c r="G17" i="99"/>
  <c r="I187" i="56"/>
  <c r="F187" i="56" s="1"/>
  <c r="G22" i="99"/>
  <c r="I192" i="56"/>
  <c r="F192" i="56" s="1"/>
  <c r="I196" i="21"/>
  <c r="G25" i="99"/>
  <c r="I195" i="56"/>
  <c r="K17" i="99"/>
  <c r="I212" i="56"/>
  <c r="H182" i="56"/>
  <c r="F182" i="56" s="1"/>
  <c r="K20" i="99"/>
  <c r="I215" i="56"/>
  <c r="F215" i="56" s="1"/>
  <c r="C16" i="99"/>
  <c r="I149" i="56"/>
  <c r="F149" i="56" s="1"/>
  <c r="C21" i="99"/>
  <c r="I154" i="56"/>
  <c r="F154" i="56" s="1"/>
  <c r="C31" i="99"/>
  <c r="I164" i="56"/>
  <c r="I209" i="21"/>
  <c r="K13" i="99"/>
  <c r="I208" i="56"/>
  <c r="F208" i="56" s="1"/>
  <c r="K22" i="99"/>
  <c r="I217" i="56"/>
  <c r="F217" i="56" s="1"/>
  <c r="K24" i="99"/>
  <c r="I219" i="56"/>
  <c r="F219" i="56" s="1"/>
  <c r="F189" i="56"/>
  <c r="F195" i="56"/>
  <c r="F212" i="56"/>
  <c r="F220" i="56"/>
  <c r="N269" i="21"/>
  <c r="K270" i="21"/>
  <c r="J269" i="21"/>
  <c r="F183" i="56"/>
  <c r="F181" i="56"/>
  <c r="F149" i="21"/>
  <c r="F493" i="21" s="1"/>
  <c r="F164" i="56"/>
  <c r="F193" i="56"/>
  <c r="F194" i="21"/>
  <c r="F628" i="21" s="1"/>
  <c r="H198" i="17"/>
  <c r="H12" i="59"/>
  <c r="H28" i="59" s="1"/>
  <c r="J294" i="17"/>
  <c r="J39" i="59"/>
  <c r="G294" i="17"/>
  <c r="G39" i="59"/>
  <c r="H294" i="17"/>
  <c r="F294" i="17" s="1"/>
  <c r="H39" i="59"/>
  <c r="H55" i="59" s="1"/>
  <c r="I198" i="17"/>
  <c r="I12" i="59"/>
  <c r="F58" i="59"/>
  <c r="J198" i="17"/>
  <c r="J12" i="59"/>
  <c r="J28" i="59" s="1"/>
  <c r="L198" i="17"/>
  <c r="L12" i="59"/>
  <c r="N330" i="21"/>
  <c r="M332" i="21"/>
  <c r="M345" i="21" s="1"/>
  <c r="M347" i="21" s="1"/>
  <c r="M469" i="21" s="1"/>
  <c r="J330" i="21"/>
  <c r="M331" i="21"/>
  <c r="F346" i="21"/>
  <c r="F268" i="47"/>
  <c r="F204" i="47"/>
  <c r="L47" i="49"/>
  <c r="L55" i="49" s="1"/>
  <c r="L55" i="59"/>
  <c r="I20" i="49"/>
  <c r="I28" i="59"/>
  <c r="G47" i="49"/>
  <c r="L20" i="49"/>
  <c r="L28" i="59"/>
  <c r="G20" i="49"/>
  <c r="J20" i="49"/>
  <c r="I74" i="49"/>
  <c r="I82" i="59"/>
  <c r="N74" i="49"/>
  <c r="N82" i="49" s="1"/>
  <c r="N82" i="59"/>
  <c r="M74" i="49"/>
  <c r="M82" i="49" s="1"/>
  <c r="M82" i="59"/>
  <c r="M20" i="49"/>
  <c r="M28" i="49" s="1"/>
  <c r="M28" i="59"/>
  <c r="J74" i="49"/>
  <c r="J82" i="49" s="1"/>
  <c r="J82" i="59"/>
  <c r="K82" i="59"/>
  <c r="F48" i="59"/>
  <c r="G57" i="59"/>
  <c r="G21" i="49"/>
  <c r="F21" i="49" s="1"/>
  <c r="H47" i="49"/>
  <c r="H20" i="49"/>
  <c r="N20" i="49"/>
  <c r="K47" i="49"/>
  <c r="K55" i="49" s="1"/>
  <c r="K55" i="59"/>
  <c r="I47" i="49"/>
  <c r="I55" i="49" s="1"/>
  <c r="I55" i="59"/>
  <c r="M47" i="49"/>
  <c r="M55" i="49" s="1"/>
  <c r="M55" i="59"/>
  <c r="K20" i="49"/>
  <c r="K28" i="49" s="1"/>
  <c r="K28" i="59"/>
  <c r="J47" i="49"/>
  <c r="F47" i="49" s="1"/>
  <c r="J55" i="59"/>
  <c r="F30" i="37"/>
  <c r="L28" i="37"/>
  <c r="L28" i="57"/>
  <c r="L64" i="57" s="1"/>
  <c r="L68" i="57" s="1"/>
  <c r="G65" i="57"/>
  <c r="G64" i="57"/>
  <c r="J68" i="57"/>
  <c r="K68" i="57"/>
  <c r="N68" i="57"/>
  <c r="G66" i="57"/>
  <c r="F66" i="57" s="1"/>
  <c r="F30" i="57"/>
  <c r="F119" i="47"/>
  <c r="N75" i="57"/>
  <c r="N85" i="57" s="1"/>
  <c r="M34" i="37"/>
  <c r="M72" i="37" s="1"/>
  <c r="M72" i="57"/>
  <c r="F267" i="47"/>
  <c r="M75" i="57"/>
  <c r="H75" i="57"/>
  <c r="I35" i="37"/>
  <c r="I73" i="37" s="1"/>
  <c r="I73" i="57"/>
  <c r="I75" i="57" s="1"/>
  <c r="H265" i="47"/>
  <c r="F265" i="47" s="1"/>
  <c r="N36" i="26" s="1"/>
  <c r="J75" i="57"/>
  <c r="K75" i="57"/>
  <c r="L75" i="57"/>
  <c r="F203" i="47"/>
  <c r="F112" i="47"/>
  <c r="F178" i="47"/>
  <c r="F135" i="47"/>
  <c r="L34" i="26" s="1"/>
  <c r="J64" i="37"/>
  <c r="J68" i="37" s="1"/>
  <c r="F66" i="49"/>
  <c r="F80" i="30"/>
  <c r="I159" i="21"/>
  <c r="F159" i="21" s="1"/>
  <c r="F503" i="21" s="1"/>
  <c r="F30" i="30"/>
  <c r="I190" i="21"/>
  <c r="F190" i="21" s="1"/>
  <c r="F61" i="30"/>
  <c r="I208" i="21"/>
  <c r="F208" i="21" s="1"/>
  <c r="F79" i="30"/>
  <c r="I154" i="21"/>
  <c r="F154" i="21" s="1"/>
  <c r="F498" i="21" s="1"/>
  <c r="F25" i="30"/>
  <c r="I169" i="21"/>
  <c r="F169" i="21" s="1"/>
  <c r="F513" i="21" s="1"/>
  <c r="F40" i="30"/>
  <c r="I156" i="21"/>
  <c r="F156" i="21" s="1"/>
  <c r="F27" i="30"/>
  <c r="H182" i="21"/>
  <c r="F182" i="21" s="1"/>
  <c r="F626" i="21" s="1"/>
  <c r="F53" i="30"/>
  <c r="I193" i="21"/>
  <c r="F193" i="21" s="1"/>
  <c r="F537" i="21" s="1"/>
  <c r="F64" i="30"/>
  <c r="I213" i="21"/>
  <c r="F213" i="21" s="1"/>
  <c r="F557" i="21" s="1"/>
  <c r="F84" i="30"/>
  <c r="F67" i="30"/>
  <c r="I155" i="21"/>
  <c r="F155" i="21" s="1"/>
  <c r="F26" i="30"/>
  <c r="I218" i="21"/>
  <c r="F218" i="21" s="1"/>
  <c r="F89" i="30"/>
  <c r="I181" i="21"/>
  <c r="F52" i="30"/>
  <c r="I171" i="21"/>
  <c r="F171" i="21" s="1"/>
  <c r="F42" i="30"/>
  <c r="I219" i="21"/>
  <c r="F219" i="21" s="1"/>
  <c r="F90" i="30"/>
  <c r="H183" i="21"/>
  <c r="F183" i="21" s="1"/>
  <c r="F54" i="30"/>
  <c r="F196" i="21"/>
  <c r="I170" i="21"/>
  <c r="F170" i="21" s="1"/>
  <c r="F41" i="30"/>
  <c r="I144" i="21"/>
  <c r="F15" i="30"/>
  <c r="I161" i="21"/>
  <c r="F161" i="21" s="1"/>
  <c r="F32" i="30"/>
  <c r="H146" i="21"/>
  <c r="F17" i="30"/>
  <c r="I195" i="21"/>
  <c r="F195" i="21" s="1"/>
  <c r="F66" i="30"/>
  <c r="I212" i="21"/>
  <c r="F83" i="30"/>
  <c r="I164" i="21"/>
  <c r="F164" i="21" s="1"/>
  <c r="F508" i="21" s="1"/>
  <c r="F35" i="30"/>
  <c r="I166" i="21"/>
  <c r="F166" i="21" s="1"/>
  <c r="F37" i="30"/>
  <c r="I188" i="21"/>
  <c r="F188" i="21" s="1"/>
  <c r="F627" i="21" s="1"/>
  <c r="F59" i="30"/>
  <c r="I150" i="21"/>
  <c r="F150" i="21" s="1"/>
  <c r="F623" i="21" s="1"/>
  <c r="F21" i="30"/>
  <c r="I165" i="21"/>
  <c r="F165" i="21" s="1"/>
  <c r="F625" i="21" s="1"/>
  <c r="F36" i="30"/>
  <c r="I220" i="21"/>
  <c r="F220" i="21" s="1"/>
  <c r="F91" i="30"/>
  <c r="I187" i="21"/>
  <c r="F187" i="21" s="1"/>
  <c r="F531" i="21" s="1"/>
  <c r="F58" i="30"/>
  <c r="I207" i="21"/>
  <c r="F207" i="21" s="1"/>
  <c r="F78" i="30"/>
  <c r="I160" i="21"/>
  <c r="F160" i="21" s="1"/>
  <c r="F31" i="30"/>
  <c r="F209" i="21"/>
  <c r="I216" i="21"/>
  <c r="F216" i="21" s="1"/>
  <c r="F87" i="30"/>
  <c r="F118" i="47"/>
  <c r="F113" i="47"/>
  <c r="I82" i="49"/>
  <c r="F133" i="47"/>
  <c r="F201" i="47"/>
  <c r="M36" i="26" s="1"/>
  <c r="F200" i="47"/>
  <c r="M35" i="26" s="1"/>
  <c r="F198" i="47"/>
  <c r="K72" i="47"/>
  <c r="F52" i="47"/>
  <c r="F58" i="47"/>
  <c r="F51" i="47"/>
  <c r="G249" i="47"/>
  <c r="F248" i="47"/>
  <c r="H39" i="49"/>
  <c r="H55" i="49" s="1"/>
  <c r="J39" i="49"/>
  <c r="G39" i="49"/>
  <c r="H12" i="49"/>
  <c r="H28" i="49" s="1"/>
  <c r="J12" i="49"/>
  <c r="I12" i="49"/>
  <c r="I28" i="49" s="1"/>
  <c r="L12" i="49"/>
  <c r="L28" i="49" s="1"/>
  <c r="L71" i="37"/>
  <c r="L75" i="37" s="1"/>
  <c r="L90" i="37" s="1"/>
  <c r="G64" i="37"/>
  <c r="G68" i="37" s="1"/>
  <c r="I64" i="37"/>
  <c r="I68" i="37" s="1"/>
  <c r="K64" i="37"/>
  <c r="K68" i="37" s="1"/>
  <c r="L64" i="37"/>
  <c r="L68" i="37" s="1"/>
  <c r="N71" i="37"/>
  <c r="N75" i="37" s="1"/>
  <c r="N90" i="37" s="1"/>
  <c r="F103" i="30"/>
  <c r="G232" i="21"/>
  <c r="M466" i="21"/>
  <c r="M123" i="56" s="1"/>
  <c r="M64" i="37"/>
  <c r="M68" i="37" s="1"/>
  <c r="M71" i="37"/>
  <c r="M75" i="37" s="1"/>
  <c r="M90" i="37" s="1"/>
  <c r="N64" i="37"/>
  <c r="N68" i="37" s="1"/>
  <c r="K71" i="37"/>
  <c r="K75" i="37" s="1"/>
  <c r="K90" i="37" s="1"/>
  <c r="H71" i="37"/>
  <c r="H75" i="37" s="1"/>
  <c r="J71" i="37"/>
  <c r="J75" i="37" s="1"/>
  <c r="J90" i="37" s="1"/>
  <c r="I71" i="37"/>
  <c r="J38" i="16"/>
  <c r="F184" i="47"/>
  <c r="G48" i="49"/>
  <c r="F276" i="21"/>
  <c r="F277" i="21"/>
  <c r="F66" i="37"/>
  <c r="H242" i="47"/>
  <c r="F241" i="47"/>
  <c r="I39" i="16"/>
  <c r="F15" i="49"/>
  <c r="G30" i="49"/>
  <c r="H31" i="49"/>
  <c r="F16" i="49"/>
  <c r="H58" i="49"/>
  <c r="F43" i="49"/>
  <c r="N41" i="26" l="1"/>
  <c r="F20" i="49"/>
  <c r="J55" i="49"/>
  <c r="J28" i="49"/>
  <c r="F198" i="17"/>
  <c r="M472" i="21"/>
  <c r="M129" i="56" s="1"/>
  <c r="M475" i="21"/>
  <c r="M132" i="56" s="1"/>
  <c r="M476" i="21"/>
  <c r="M133" i="56" s="1"/>
  <c r="M468" i="21"/>
  <c r="M125" i="56" s="1"/>
  <c r="M467" i="21"/>
  <c r="M124" i="56" s="1"/>
  <c r="M473" i="21"/>
  <c r="M130" i="56" s="1"/>
  <c r="M465" i="21"/>
  <c r="M122" i="56" s="1"/>
  <c r="M474" i="21"/>
  <c r="M131" i="56" s="1"/>
  <c r="G28" i="49"/>
  <c r="J273" i="21"/>
  <c r="J336" i="21" s="1"/>
  <c r="J327" i="21"/>
  <c r="J326" i="21"/>
  <c r="J335" i="21" s="1"/>
  <c r="J337" i="21" s="1"/>
  <c r="J331" i="21"/>
  <c r="N326" i="21"/>
  <c r="N335" i="21" s="1"/>
  <c r="N337" i="21" s="1"/>
  <c r="N273" i="21"/>
  <c r="N336" i="21" s="1"/>
  <c r="N327" i="21"/>
  <c r="M273" i="21"/>
  <c r="M336" i="21" s="1"/>
  <c r="M326" i="21"/>
  <c r="M327" i="21"/>
  <c r="M340" i="21" s="1"/>
  <c r="M342" i="21" s="1"/>
  <c r="M455" i="21" s="1"/>
  <c r="M112" i="56" s="1"/>
  <c r="M330" i="21"/>
  <c r="K326" i="21"/>
  <c r="K330" i="21"/>
  <c r="K332" i="21"/>
  <c r="K345" i="21" s="1"/>
  <c r="K347" i="21" s="1"/>
  <c r="K273" i="21"/>
  <c r="K336" i="21" s="1"/>
  <c r="K327" i="21"/>
  <c r="K331" i="21"/>
  <c r="N332" i="21"/>
  <c r="N345" i="21" s="1"/>
  <c r="N347" i="21" s="1"/>
  <c r="N472" i="21" s="1"/>
  <c r="N129" i="56" s="1"/>
  <c r="J332" i="21"/>
  <c r="J345" i="21" s="1"/>
  <c r="J347" i="21" s="1"/>
  <c r="N331" i="21"/>
  <c r="L327" i="21"/>
  <c r="L331" i="21"/>
  <c r="L332" i="21"/>
  <c r="L345" i="21" s="1"/>
  <c r="L347" i="21" s="1"/>
  <c r="L326" i="21"/>
  <c r="L330" i="21"/>
  <c r="L273" i="21"/>
  <c r="L336" i="21" s="1"/>
  <c r="N469" i="21"/>
  <c r="N126" i="56" s="1"/>
  <c r="N473" i="21"/>
  <c r="N130" i="56" s="1"/>
  <c r="J473" i="21"/>
  <c r="J130" i="56" s="1"/>
  <c r="J468" i="21"/>
  <c r="J125" i="56" s="1"/>
  <c r="J469" i="21"/>
  <c r="J126" i="56" s="1"/>
  <c r="J476" i="21"/>
  <c r="J133" i="56" s="1"/>
  <c r="N600" i="21"/>
  <c r="M607" i="21"/>
  <c r="J607" i="21"/>
  <c r="M600" i="21"/>
  <c r="M126" i="56"/>
  <c r="K17" i="38"/>
  <c r="K23" i="38" s="1"/>
  <c r="K24" i="38" s="1"/>
  <c r="K25" i="38" s="1"/>
  <c r="N17" i="38"/>
  <c r="N23" i="38" s="1"/>
  <c r="N24" i="38" s="1"/>
  <c r="N25" i="38" s="1"/>
  <c r="M17" i="38"/>
  <c r="M23" i="38" s="1"/>
  <c r="M24" i="38" s="1"/>
  <c r="M25" i="38" s="1"/>
  <c r="L17" i="38"/>
  <c r="L23" i="38" s="1"/>
  <c r="L24" i="38" s="1"/>
  <c r="L25" i="38" s="1"/>
  <c r="I17" i="38"/>
  <c r="I23" i="38" s="1"/>
  <c r="I24" i="38" s="1"/>
  <c r="I25" i="38" s="1"/>
  <c r="J17" i="38"/>
  <c r="J23" i="38" s="1"/>
  <c r="J24" i="38" s="1"/>
  <c r="J25" i="38" s="1"/>
  <c r="G17" i="38"/>
  <c r="G23" i="38" s="1"/>
  <c r="F57" i="59"/>
  <c r="G34" i="57"/>
  <c r="F75" i="59"/>
  <c r="G84" i="59"/>
  <c r="F21" i="59"/>
  <c r="G30" i="59"/>
  <c r="F20" i="59"/>
  <c r="G28" i="59"/>
  <c r="F47" i="59"/>
  <c r="G55" i="59"/>
  <c r="F139" i="47"/>
  <c r="G82" i="59"/>
  <c r="H28" i="37"/>
  <c r="H64" i="37" s="1"/>
  <c r="H28" i="57"/>
  <c r="H29" i="37"/>
  <c r="H65" i="37" s="1"/>
  <c r="F65" i="37" s="1"/>
  <c r="H29" i="57"/>
  <c r="G68" i="57"/>
  <c r="I75" i="37"/>
  <c r="I90" i="37" s="1"/>
  <c r="I85" i="57"/>
  <c r="J85" i="57"/>
  <c r="H85" i="57"/>
  <c r="G33" i="37"/>
  <c r="F33" i="37" s="1"/>
  <c r="L85" i="57"/>
  <c r="K85" i="57"/>
  <c r="M85" i="57"/>
  <c r="I271" i="21"/>
  <c r="F271" i="21" s="1"/>
  <c r="F181" i="21"/>
  <c r="F525" i="21" s="1"/>
  <c r="F624" i="21"/>
  <c r="I272" i="21"/>
  <c r="F272" i="21" s="1"/>
  <c r="F212" i="21"/>
  <c r="F556" i="21" s="1"/>
  <c r="H269" i="21"/>
  <c r="F146" i="21"/>
  <c r="I270" i="21"/>
  <c r="F270" i="21" s="1"/>
  <c r="F144" i="21"/>
  <c r="F488" i="21" s="1"/>
  <c r="I269" i="21"/>
  <c r="F72" i="47"/>
  <c r="F136" i="47"/>
  <c r="L35" i="26" s="1"/>
  <c r="G75" i="49"/>
  <c r="F249" i="47"/>
  <c r="F232" i="21"/>
  <c r="G269" i="21"/>
  <c r="J359" i="21"/>
  <c r="J16" i="56" s="1"/>
  <c r="J358" i="21"/>
  <c r="J15" i="56" s="1"/>
  <c r="J373" i="21"/>
  <c r="J30" i="56" s="1"/>
  <c r="J383" i="21"/>
  <c r="J40" i="56" s="1"/>
  <c r="J402" i="21"/>
  <c r="J59" i="56" s="1"/>
  <c r="J421" i="21"/>
  <c r="J78" i="56" s="1"/>
  <c r="J431" i="21"/>
  <c r="J88" i="56" s="1"/>
  <c r="J445" i="21"/>
  <c r="J102" i="56" s="1"/>
  <c r="J368" i="21"/>
  <c r="J25" i="56" s="1"/>
  <c r="J378" i="21"/>
  <c r="J35" i="56" s="1"/>
  <c r="J395" i="21"/>
  <c r="J52" i="56" s="1"/>
  <c r="J401" i="21"/>
  <c r="J58" i="56" s="1"/>
  <c r="J407" i="21"/>
  <c r="J64" i="56" s="1"/>
  <c r="J420" i="21"/>
  <c r="J77" i="56" s="1"/>
  <c r="J430" i="21"/>
  <c r="J87" i="56" s="1"/>
  <c r="J434" i="21"/>
  <c r="J91" i="56" s="1"/>
  <c r="J363" i="21"/>
  <c r="J20" i="56" s="1"/>
  <c r="J369" i="21"/>
  <c r="J26" i="56" s="1"/>
  <c r="J379" i="21"/>
  <c r="J36" i="56" s="1"/>
  <c r="J396" i="21"/>
  <c r="J53" i="56" s="1"/>
  <c r="J408" i="21"/>
  <c r="J65" i="56" s="1"/>
  <c r="J429" i="21"/>
  <c r="J86" i="56" s="1"/>
  <c r="J433" i="21"/>
  <c r="J90" i="56" s="1"/>
  <c r="J364" i="21"/>
  <c r="J21" i="56" s="1"/>
  <c r="J374" i="21"/>
  <c r="J31" i="56" s="1"/>
  <c r="J384" i="21"/>
  <c r="J41" i="56" s="1"/>
  <c r="J397" i="21"/>
  <c r="J54" i="56" s="1"/>
  <c r="J403" i="21"/>
  <c r="J60" i="56" s="1"/>
  <c r="J409" i="21"/>
  <c r="J66" i="56" s="1"/>
  <c r="J422" i="21"/>
  <c r="J79" i="56" s="1"/>
  <c r="J432" i="21"/>
  <c r="J89" i="56" s="1"/>
  <c r="J446" i="21"/>
  <c r="J103" i="56" s="1"/>
  <c r="N402" i="21"/>
  <c r="N59" i="56" s="1"/>
  <c r="N445" i="21"/>
  <c r="N102" i="56" s="1"/>
  <c r="N378" i="21"/>
  <c r="N35" i="56" s="1"/>
  <c r="N401" i="21"/>
  <c r="N58" i="56" s="1"/>
  <c r="N420" i="21"/>
  <c r="N77" i="56" s="1"/>
  <c r="N430" i="21"/>
  <c r="N87" i="56" s="1"/>
  <c r="N358" i="21"/>
  <c r="N15" i="56" s="1"/>
  <c r="N369" i="21"/>
  <c r="N26" i="56" s="1"/>
  <c r="N379" i="21"/>
  <c r="N36" i="56" s="1"/>
  <c r="N396" i="21"/>
  <c r="N53" i="56" s="1"/>
  <c r="N408" i="21"/>
  <c r="N65" i="56" s="1"/>
  <c r="N429" i="21"/>
  <c r="N86" i="56" s="1"/>
  <c r="N433" i="21"/>
  <c r="N90" i="56" s="1"/>
  <c r="N364" i="21"/>
  <c r="N21" i="56" s="1"/>
  <c r="N374" i="21"/>
  <c r="N31" i="56" s="1"/>
  <c r="N384" i="21"/>
  <c r="N41" i="56" s="1"/>
  <c r="N397" i="21"/>
  <c r="N54" i="56" s="1"/>
  <c r="N403" i="21"/>
  <c r="N60" i="56" s="1"/>
  <c r="N409" i="21"/>
  <c r="N66" i="56" s="1"/>
  <c r="N422" i="21"/>
  <c r="N79" i="56" s="1"/>
  <c r="N432" i="21"/>
  <c r="N89" i="56" s="1"/>
  <c r="N446" i="21"/>
  <c r="N103" i="56" s="1"/>
  <c r="N359" i="21"/>
  <c r="N16" i="56" s="1"/>
  <c r="N363" i="21"/>
  <c r="N20" i="56" s="1"/>
  <c r="N373" i="21"/>
  <c r="N30" i="56" s="1"/>
  <c r="N383" i="21"/>
  <c r="N40" i="56" s="1"/>
  <c r="N421" i="21"/>
  <c r="N78" i="56" s="1"/>
  <c r="N431" i="21"/>
  <c r="N88" i="56" s="1"/>
  <c r="N368" i="21"/>
  <c r="N25" i="56" s="1"/>
  <c r="N395" i="21"/>
  <c r="N52" i="56" s="1"/>
  <c r="N407" i="21"/>
  <c r="N64" i="56" s="1"/>
  <c r="N434" i="21"/>
  <c r="N91" i="56" s="1"/>
  <c r="H90" i="37"/>
  <c r="J39" i="16"/>
  <c r="F48" i="49"/>
  <c r="G57" i="49"/>
  <c r="G55" i="49"/>
  <c r="F29" i="37"/>
  <c r="I40" i="16"/>
  <c r="H243" i="47"/>
  <c r="F242" i="47"/>
  <c r="G71" i="37"/>
  <c r="F58" i="49"/>
  <c r="F30" i="49"/>
  <c r="F31" i="49"/>
  <c r="L335" i="21" l="1"/>
  <c r="L337" i="21" s="1"/>
  <c r="M461" i="21"/>
  <c r="M118" i="56" s="1"/>
  <c r="M454" i="21"/>
  <c r="M111" i="56" s="1"/>
  <c r="M459" i="21"/>
  <c r="M116" i="56" s="1"/>
  <c r="M458" i="21"/>
  <c r="M115" i="56" s="1"/>
  <c r="M457" i="21"/>
  <c r="M114" i="56" s="1"/>
  <c r="M456" i="21"/>
  <c r="M113" i="56" s="1"/>
  <c r="G24" i="38"/>
  <c r="N474" i="21"/>
  <c r="N131" i="56" s="1"/>
  <c r="L469" i="21"/>
  <c r="L468" i="21"/>
  <c r="L125" i="56" s="1"/>
  <c r="L467" i="21"/>
  <c r="L124" i="56" s="1"/>
  <c r="L466" i="21"/>
  <c r="L123" i="56" s="1"/>
  <c r="L476" i="21"/>
  <c r="L465" i="21"/>
  <c r="L122" i="56" s="1"/>
  <c r="L475" i="21"/>
  <c r="L132" i="56" s="1"/>
  <c r="L474" i="21"/>
  <c r="L131" i="56" s="1"/>
  <c r="L473" i="21"/>
  <c r="L130" i="56" s="1"/>
  <c r="L472" i="21"/>
  <c r="L129" i="56" s="1"/>
  <c r="L340" i="21"/>
  <c r="L342" i="21" s="1"/>
  <c r="J467" i="21"/>
  <c r="J124" i="56" s="1"/>
  <c r="J465" i="21"/>
  <c r="J122" i="56" s="1"/>
  <c r="J474" i="21"/>
  <c r="J131" i="56" s="1"/>
  <c r="J466" i="21"/>
  <c r="J123" i="56" s="1"/>
  <c r="J475" i="21"/>
  <c r="J132" i="56" s="1"/>
  <c r="J472" i="21"/>
  <c r="J129" i="56" s="1"/>
  <c r="K340" i="21"/>
  <c r="K342" i="21" s="1"/>
  <c r="K472" i="21"/>
  <c r="K129" i="56" s="1"/>
  <c r="K467" i="21"/>
  <c r="K124" i="56" s="1"/>
  <c r="K468" i="21"/>
  <c r="K125" i="56" s="1"/>
  <c r="K465" i="21"/>
  <c r="K122" i="56" s="1"/>
  <c r="K475" i="21"/>
  <c r="K132" i="56" s="1"/>
  <c r="K476" i="21"/>
  <c r="K473" i="21"/>
  <c r="K130" i="56" s="1"/>
  <c r="K469" i="21"/>
  <c r="K466" i="21"/>
  <c r="K123" i="56" s="1"/>
  <c r="K474" i="21"/>
  <c r="K131" i="56" s="1"/>
  <c r="K335" i="21"/>
  <c r="K337" i="21" s="1"/>
  <c r="J340" i="21"/>
  <c r="J342" i="21" s="1"/>
  <c r="N465" i="21"/>
  <c r="N122" i="56" s="1"/>
  <c r="N475" i="21"/>
  <c r="N132" i="56" s="1"/>
  <c r="N466" i="21"/>
  <c r="N123" i="56" s="1"/>
  <c r="N468" i="21"/>
  <c r="N125" i="56" s="1"/>
  <c r="N476" i="21"/>
  <c r="N467" i="21"/>
  <c r="N124" i="56" s="1"/>
  <c r="M335" i="21"/>
  <c r="M337" i="21" s="1"/>
  <c r="N340" i="21"/>
  <c r="N342" i="21" s="1"/>
  <c r="J600" i="21"/>
  <c r="N268" i="56"/>
  <c r="J268" i="56"/>
  <c r="F28" i="37"/>
  <c r="F30" i="59"/>
  <c r="G33" i="57"/>
  <c r="F33" i="57" s="1"/>
  <c r="F84" i="59"/>
  <c r="G35" i="57"/>
  <c r="H64" i="57"/>
  <c r="F28" i="57"/>
  <c r="H65" i="57"/>
  <c r="F65" i="57" s="1"/>
  <c r="F29" i="57"/>
  <c r="F34" i="57"/>
  <c r="G72" i="57"/>
  <c r="F72" i="57" s="1"/>
  <c r="I332" i="21"/>
  <c r="I345" i="21" s="1"/>
  <c r="I347" i="21" s="1"/>
  <c r="I326" i="21"/>
  <c r="I327" i="21"/>
  <c r="I330" i="21"/>
  <c r="I331" i="21"/>
  <c r="I273" i="21"/>
  <c r="I336" i="21" s="1"/>
  <c r="H331" i="21"/>
  <c r="H273" i="21"/>
  <c r="H336" i="21" s="1"/>
  <c r="H327" i="21"/>
  <c r="H326" i="21"/>
  <c r="H330" i="21"/>
  <c r="H332" i="21"/>
  <c r="H345" i="21" s="1"/>
  <c r="H347" i="21" s="1"/>
  <c r="G84" i="49"/>
  <c r="F75" i="49"/>
  <c r="G82" i="49"/>
  <c r="G326" i="21"/>
  <c r="G330" i="21"/>
  <c r="G273" i="21"/>
  <c r="G332" i="21"/>
  <c r="G345" i="21" s="1"/>
  <c r="G331" i="21"/>
  <c r="G327" i="21"/>
  <c r="F269" i="21"/>
  <c r="J40" i="16"/>
  <c r="G34" i="37"/>
  <c r="F57" i="49"/>
  <c r="F64" i="37"/>
  <c r="F68" i="37" s="1"/>
  <c r="F85" i="37" s="1"/>
  <c r="H68" i="37"/>
  <c r="H263" i="47"/>
  <c r="F243" i="47"/>
  <c r="I41" i="16"/>
  <c r="M269" i="56" l="1"/>
  <c r="G25" i="38"/>
  <c r="G71" i="57"/>
  <c r="N456" i="21"/>
  <c r="N113" i="56" s="1"/>
  <c r="N455" i="21"/>
  <c r="N112" i="56" s="1"/>
  <c r="N274" i="56" s="1"/>
  <c r="N459" i="21"/>
  <c r="N116" i="56" s="1"/>
  <c r="N457" i="21"/>
  <c r="N114" i="56" s="1"/>
  <c r="N461" i="21"/>
  <c r="N118" i="56" s="1"/>
  <c r="N454" i="21"/>
  <c r="N111" i="56" s="1"/>
  <c r="N458" i="21"/>
  <c r="N115" i="56" s="1"/>
  <c r="L363" i="21"/>
  <c r="L20" i="56" s="1"/>
  <c r="L379" i="21"/>
  <c r="L36" i="56" s="1"/>
  <c r="L433" i="21"/>
  <c r="L90" i="56" s="1"/>
  <c r="L374" i="21"/>
  <c r="L31" i="56" s="1"/>
  <c r="L397" i="21"/>
  <c r="L54" i="56" s="1"/>
  <c r="L409" i="21"/>
  <c r="L66" i="56" s="1"/>
  <c r="L432" i="21"/>
  <c r="L89" i="56" s="1"/>
  <c r="L359" i="21"/>
  <c r="L16" i="56" s="1"/>
  <c r="L373" i="21"/>
  <c r="L30" i="56" s="1"/>
  <c r="L402" i="21"/>
  <c r="L59" i="56" s="1"/>
  <c r="L431" i="21"/>
  <c r="L88" i="56" s="1"/>
  <c r="L368" i="21"/>
  <c r="L25" i="56" s="1"/>
  <c r="L395" i="21"/>
  <c r="L52" i="56" s="1"/>
  <c r="L407" i="21"/>
  <c r="L64" i="56" s="1"/>
  <c r="L369" i="21"/>
  <c r="L26" i="56" s="1"/>
  <c r="L396" i="21"/>
  <c r="L53" i="56" s="1"/>
  <c r="L429" i="21"/>
  <c r="L86" i="56" s="1"/>
  <c r="L364" i="21"/>
  <c r="L21" i="56" s="1"/>
  <c r="L384" i="21"/>
  <c r="L41" i="56" s="1"/>
  <c r="L403" i="21"/>
  <c r="L60" i="56" s="1"/>
  <c r="L422" i="21"/>
  <c r="L79" i="56" s="1"/>
  <c r="L446" i="21"/>
  <c r="L103" i="56" s="1"/>
  <c r="L358" i="21"/>
  <c r="L15" i="56" s="1"/>
  <c r="L383" i="21"/>
  <c r="L40" i="56" s="1"/>
  <c r="L421" i="21"/>
  <c r="L78" i="56" s="1"/>
  <c r="L445" i="21"/>
  <c r="L102" i="56" s="1"/>
  <c r="L378" i="21"/>
  <c r="L35" i="56" s="1"/>
  <c r="L401" i="21"/>
  <c r="L58" i="56" s="1"/>
  <c r="L420" i="21"/>
  <c r="L77" i="56" s="1"/>
  <c r="L434" i="21"/>
  <c r="L91" i="56" s="1"/>
  <c r="L408" i="21"/>
  <c r="L65" i="56" s="1"/>
  <c r="L430" i="21"/>
  <c r="L87" i="56" s="1"/>
  <c r="K359" i="21"/>
  <c r="K16" i="56" s="1"/>
  <c r="K374" i="21"/>
  <c r="K31" i="56" s="1"/>
  <c r="K397" i="21"/>
  <c r="K54" i="56" s="1"/>
  <c r="K409" i="21"/>
  <c r="K66" i="56" s="1"/>
  <c r="K432" i="21"/>
  <c r="K89" i="56" s="1"/>
  <c r="K373" i="21"/>
  <c r="K30" i="56" s="1"/>
  <c r="K402" i="21"/>
  <c r="K59" i="56" s="1"/>
  <c r="K431" i="21"/>
  <c r="K88" i="56" s="1"/>
  <c r="K358" i="21"/>
  <c r="K15" i="56" s="1"/>
  <c r="K368" i="21"/>
  <c r="K25" i="56" s="1"/>
  <c r="K395" i="21"/>
  <c r="K52" i="56" s="1"/>
  <c r="K407" i="21"/>
  <c r="K64" i="56" s="1"/>
  <c r="K430" i="21"/>
  <c r="K87" i="56" s="1"/>
  <c r="K369" i="21"/>
  <c r="K26" i="56" s="1"/>
  <c r="K396" i="21"/>
  <c r="K53" i="56" s="1"/>
  <c r="K429" i="21"/>
  <c r="K86" i="56" s="1"/>
  <c r="K364" i="21"/>
  <c r="K21" i="56" s="1"/>
  <c r="K384" i="21"/>
  <c r="K41" i="56" s="1"/>
  <c r="K403" i="21"/>
  <c r="K60" i="56" s="1"/>
  <c r="K422" i="21"/>
  <c r="K79" i="56" s="1"/>
  <c r="K446" i="21"/>
  <c r="K103" i="56" s="1"/>
  <c r="K383" i="21"/>
  <c r="K40" i="56" s="1"/>
  <c r="K421" i="21"/>
  <c r="K78" i="56" s="1"/>
  <c r="K445" i="21"/>
  <c r="K102" i="56" s="1"/>
  <c r="K363" i="21"/>
  <c r="K20" i="56" s="1"/>
  <c r="K378" i="21"/>
  <c r="K35" i="56" s="1"/>
  <c r="K401" i="21"/>
  <c r="K58" i="56" s="1"/>
  <c r="K420" i="21"/>
  <c r="K77" i="56" s="1"/>
  <c r="K434" i="21"/>
  <c r="K91" i="56" s="1"/>
  <c r="K379" i="21"/>
  <c r="K36" i="56" s="1"/>
  <c r="K408" i="21"/>
  <c r="K65" i="56" s="1"/>
  <c r="K433" i="21"/>
  <c r="K90" i="56" s="1"/>
  <c r="L459" i="21"/>
  <c r="L116" i="56" s="1"/>
  <c r="L454" i="21"/>
  <c r="L111" i="56" s="1"/>
  <c r="L455" i="21"/>
  <c r="L112" i="56" s="1"/>
  <c r="L456" i="21"/>
  <c r="L113" i="56" s="1"/>
  <c r="L457" i="21"/>
  <c r="L114" i="56" s="1"/>
  <c r="L458" i="21"/>
  <c r="L115" i="56" s="1"/>
  <c r="L461" i="21"/>
  <c r="L118" i="56" s="1"/>
  <c r="L133" i="56"/>
  <c r="L607" i="21"/>
  <c r="L126" i="56"/>
  <c r="L600" i="21"/>
  <c r="M364" i="21"/>
  <c r="M21" i="56" s="1"/>
  <c r="M396" i="21"/>
  <c r="M53" i="56" s="1"/>
  <c r="M402" i="21"/>
  <c r="M59" i="56" s="1"/>
  <c r="M432" i="21"/>
  <c r="M89" i="56" s="1"/>
  <c r="M397" i="21"/>
  <c r="M54" i="56" s="1"/>
  <c r="M359" i="21"/>
  <c r="M16" i="56" s="1"/>
  <c r="M429" i="21"/>
  <c r="M86" i="56" s="1"/>
  <c r="M407" i="21"/>
  <c r="M64" i="56" s="1"/>
  <c r="M431" i="21"/>
  <c r="M88" i="56" s="1"/>
  <c r="M409" i="21"/>
  <c r="M66" i="56" s="1"/>
  <c r="M433" i="21"/>
  <c r="M90" i="56" s="1"/>
  <c r="M379" i="21"/>
  <c r="M36" i="56" s="1"/>
  <c r="M420" i="21"/>
  <c r="M77" i="56" s="1"/>
  <c r="M378" i="21"/>
  <c r="M35" i="56" s="1"/>
  <c r="M445" i="21"/>
  <c r="M102" i="56" s="1"/>
  <c r="M383" i="21"/>
  <c r="M40" i="56" s="1"/>
  <c r="M422" i="21"/>
  <c r="M79" i="56" s="1"/>
  <c r="M384" i="21"/>
  <c r="M41" i="56" s="1"/>
  <c r="M430" i="21"/>
  <c r="M87" i="56" s="1"/>
  <c r="M395" i="21"/>
  <c r="M52" i="56" s="1"/>
  <c r="M358" i="21"/>
  <c r="M15" i="56" s="1"/>
  <c r="M369" i="21"/>
  <c r="M26" i="56" s="1"/>
  <c r="M368" i="21"/>
  <c r="M25" i="56" s="1"/>
  <c r="M373" i="21"/>
  <c r="M30" i="56" s="1"/>
  <c r="M374" i="21"/>
  <c r="M31" i="56" s="1"/>
  <c r="M408" i="21"/>
  <c r="M65" i="56" s="1"/>
  <c r="M434" i="21"/>
  <c r="M91" i="56" s="1"/>
  <c r="M401" i="21"/>
  <c r="M58" i="56" s="1"/>
  <c r="M363" i="21"/>
  <c r="M20" i="56" s="1"/>
  <c r="M421" i="21"/>
  <c r="M78" i="56" s="1"/>
  <c r="M446" i="21"/>
  <c r="M103" i="56" s="1"/>
  <c r="M403" i="21"/>
  <c r="M60" i="56" s="1"/>
  <c r="N133" i="56"/>
  <c r="N607" i="21"/>
  <c r="J456" i="21"/>
  <c r="J113" i="56" s="1"/>
  <c r="J458" i="21"/>
  <c r="J115" i="56" s="1"/>
  <c r="J461" i="21"/>
  <c r="J118" i="56" s="1"/>
  <c r="J454" i="21"/>
  <c r="J111" i="56" s="1"/>
  <c r="J455" i="21"/>
  <c r="J112" i="56" s="1"/>
  <c r="J274" i="56" s="1"/>
  <c r="J457" i="21"/>
  <c r="J114" i="56" s="1"/>
  <c r="J459" i="21"/>
  <c r="J116" i="56" s="1"/>
  <c r="K126" i="56"/>
  <c r="K600" i="21"/>
  <c r="K133" i="56"/>
  <c r="K607" i="21"/>
  <c r="K455" i="21"/>
  <c r="K112" i="56" s="1"/>
  <c r="K457" i="21"/>
  <c r="K114" i="56" s="1"/>
  <c r="K459" i="21"/>
  <c r="K116" i="56" s="1"/>
  <c r="K461" i="21"/>
  <c r="K118" i="56" s="1"/>
  <c r="K454" i="21"/>
  <c r="K111" i="56" s="1"/>
  <c r="K456" i="21"/>
  <c r="K113" i="56" s="1"/>
  <c r="K458" i="21"/>
  <c r="K115" i="56" s="1"/>
  <c r="H17" i="38"/>
  <c r="H23" i="38" s="1"/>
  <c r="H82" i="59"/>
  <c r="F82" i="59" s="1"/>
  <c r="F105" i="59" s="1"/>
  <c r="F25" i="57" s="1"/>
  <c r="F74" i="59"/>
  <c r="H68" i="57"/>
  <c r="F64" i="57"/>
  <c r="F68" i="57" s="1"/>
  <c r="F16" i="58" s="1"/>
  <c r="F35" i="57"/>
  <c r="G73" i="57"/>
  <c r="F73" i="57" s="1"/>
  <c r="F71" i="57"/>
  <c r="I335" i="21"/>
  <c r="I337" i="21" s="1"/>
  <c r="I340" i="21"/>
  <c r="I342" i="21" s="1"/>
  <c r="I456" i="21" s="1"/>
  <c r="I113" i="56" s="1"/>
  <c r="H465" i="21"/>
  <c r="H122" i="56" s="1"/>
  <c r="H474" i="21"/>
  <c r="H131" i="56" s="1"/>
  <c r="H467" i="21"/>
  <c r="H124" i="56" s="1"/>
  <c r="H469" i="21"/>
  <c r="H466" i="21"/>
  <c r="H123" i="56" s="1"/>
  <c r="H475" i="21"/>
  <c r="H132" i="56" s="1"/>
  <c r="H472" i="21"/>
  <c r="H129" i="56" s="1"/>
  <c r="H476" i="21"/>
  <c r="H468" i="21"/>
  <c r="H125" i="56" s="1"/>
  <c r="H473" i="21"/>
  <c r="H130" i="56" s="1"/>
  <c r="I457" i="21"/>
  <c r="I114" i="56" s="1"/>
  <c r="H335" i="21"/>
  <c r="H337" i="21" s="1"/>
  <c r="H340" i="21"/>
  <c r="H342" i="21" s="1"/>
  <c r="I469" i="21"/>
  <c r="I476" i="21"/>
  <c r="I468" i="21"/>
  <c r="I125" i="56" s="1"/>
  <c r="I475" i="21"/>
  <c r="I132" i="56" s="1"/>
  <c r="I467" i="21"/>
  <c r="I124" i="56" s="1"/>
  <c r="I474" i="21"/>
  <c r="I131" i="56" s="1"/>
  <c r="I466" i="21"/>
  <c r="I123" i="56" s="1"/>
  <c r="I473" i="21"/>
  <c r="I130" i="56" s="1"/>
  <c r="I465" i="21"/>
  <c r="I122" i="56" s="1"/>
  <c r="I472" i="21"/>
  <c r="I129" i="56" s="1"/>
  <c r="G35" i="37"/>
  <c r="F84" i="49"/>
  <c r="G340" i="21"/>
  <c r="G342" i="21" s="1"/>
  <c r="F345" i="21"/>
  <c r="G347" i="21"/>
  <c r="F273" i="21"/>
  <c r="G336" i="21"/>
  <c r="F336" i="21" s="1"/>
  <c r="G335" i="21"/>
  <c r="J41" i="16"/>
  <c r="G72" i="37"/>
  <c r="F72" i="37" s="1"/>
  <c r="F34" i="37"/>
  <c r="I42" i="16"/>
  <c r="H74" i="49"/>
  <c r="H82" i="49" s="1"/>
  <c r="F263" i="47"/>
  <c r="F71" i="37"/>
  <c r="L274" i="56" l="1"/>
  <c r="L100" i="107" s="1"/>
  <c r="H24" i="38"/>
  <c r="F23" i="38"/>
  <c r="M268" i="56"/>
  <c r="M270" i="56" s="1"/>
  <c r="M10" i="61" s="1"/>
  <c r="M274" i="56"/>
  <c r="K268" i="56"/>
  <c r="L268" i="56"/>
  <c r="N269" i="56"/>
  <c r="N270" i="56" s="1"/>
  <c r="N10" i="61" s="1"/>
  <c r="N100" i="107"/>
  <c r="N275" i="56"/>
  <c r="J100" i="107"/>
  <c r="J276" i="56"/>
  <c r="J275" i="56"/>
  <c r="J101" i="107" s="1"/>
  <c r="K269" i="56"/>
  <c r="K274" i="56"/>
  <c r="J269" i="56"/>
  <c r="J270" i="56" s="1"/>
  <c r="J10" i="61" s="1"/>
  <c r="L269" i="56"/>
  <c r="I458" i="21"/>
  <c r="I115" i="56" s="1"/>
  <c r="I454" i="21"/>
  <c r="I111" i="56" s="1"/>
  <c r="I459" i="21"/>
  <c r="I116" i="56" s="1"/>
  <c r="I600" i="21"/>
  <c r="I126" i="56"/>
  <c r="I607" i="21"/>
  <c r="I133" i="56"/>
  <c r="H607" i="21"/>
  <c r="H133" i="56"/>
  <c r="H600" i="21"/>
  <c r="H126" i="56"/>
  <c r="F75" i="57"/>
  <c r="F17" i="58" s="1"/>
  <c r="G75" i="57"/>
  <c r="I455" i="21"/>
  <c r="I112" i="56" s="1"/>
  <c r="I461" i="21"/>
  <c r="I118" i="56" s="1"/>
  <c r="I358" i="21"/>
  <c r="I15" i="56" s="1"/>
  <c r="I420" i="21"/>
  <c r="I77" i="56" s="1"/>
  <c r="I429" i="21"/>
  <c r="I86" i="56" s="1"/>
  <c r="I374" i="21"/>
  <c r="I31" i="56" s="1"/>
  <c r="I409" i="21"/>
  <c r="I66" i="56" s="1"/>
  <c r="I373" i="21"/>
  <c r="I30" i="56" s="1"/>
  <c r="I431" i="21"/>
  <c r="I88" i="56" s="1"/>
  <c r="I407" i="21"/>
  <c r="I64" i="56" s="1"/>
  <c r="I378" i="21"/>
  <c r="I35" i="56" s="1"/>
  <c r="I369" i="21"/>
  <c r="I26" i="56" s="1"/>
  <c r="I397" i="21"/>
  <c r="I54" i="56" s="1"/>
  <c r="I363" i="21"/>
  <c r="I20" i="56" s="1"/>
  <c r="I368" i="21"/>
  <c r="I25" i="56" s="1"/>
  <c r="I430" i="21"/>
  <c r="I87" i="56" s="1"/>
  <c r="I433" i="21"/>
  <c r="I90" i="56" s="1"/>
  <c r="I384" i="21"/>
  <c r="I41" i="56" s="1"/>
  <c r="I422" i="21"/>
  <c r="I79" i="56" s="1"/>
  <c r="I383" i="21"/>
  <c r="I40" i="56" s="1"/>
  <c r="I445" i="21"/>
  <c r="I102" i="56" s="1"/>
  <c r="I434" i="21"/>
  <c r="I91" i="56" s="1"/>
  <c r="I432" i="21"/>
  <c r="I89" i="56" s="1"/>
  <c r="I401" i="21"/>
  <c r="I58" i="56" s="1"/>
  <c r="I396" i="21"/>
  <c r="I53" i="56" s="1"/>
  <c r="I364" i="21"/>
  <c r="I21" i="56" s="1"/>
  <c r="I403" i="21"/>
  <c r="I60" i="56" s="1"/>
  <c r="I446" i="21"/>
  <c r="I103" i="56" s="1"/>
  <c r="I421" i="21"/>
  <c r="I78" i="56" s="1"/>
  <c r="I395" i="21"/>
  <c r="I52" i="56" s="1"/>
  <c r="I408" i="21"/>
  <c r="I65" i="56" s="1"/>
  <c r="I359" i="21"/>
  <c r="I16" i="56" s="1"/>
  <c r="I402" i="21"/>
  <c r="I59" i="56" s="1"/>
  <c r="I379" i="21"/>
  <c r="I36" i="56" s="1"/>
  <c r="H456" i="21"/>
  <c r="H113" i="56" s="1"/>
  <c r="H458" i="21"/>
  <c r="H115" i="56" s="1"/>
  <c r="H461" i="21"/>
  <c r="H118" i="56" s="1"/>
  <c r="H455" i="21"/>
  <c r="H112" i="56" s="1"/>
  <c r="H459" i="21"/>
  <c r="H116" i="56" s="1"/>
  <c r="H454" i="21"/>
  <c r="H111" i="56" s="1"/>
  <c r="H457" i="21"/>
  <c r="H114" i="56" s="1"/>
  <c r="H383" i="21"/>
  <c r="H40" i="56" s="1"/>
  <c r="H445" i="21"/>
  <c r="H102" i="56" s="1"/>
  <c r="H401" i="21"/>
  <c r="H58" i="56" s="1"/>
  <c r="H434" i="21"/>
  <c r="H91" i="56" s="1"/>
  <c r="H396" i="21"/>
  <c r="H53" i="56" s="1"/>
  <c r="H364" i="21"/>
  <c r="H21" i="56" s="1"/>
  <c r="H403" i="21"/>
  <c r="H60" i="56" s="1"/>
  <c r="H446" i="21"/>
  <c r="H103" i="56" s="1"/>
  <c r="H378" i="21"/>
  <c r="H35" i="56" s="1"/>
  <c r="H369" i="21"/>
  <c r="H26" i="56" s="1"/>
  <c r="H429" i="21"/>
  <c r="H86" i="56" s="1"/>
  <c r="H422" i="21"/>
  <c r="H79" i="56" s="1"/>
  <c r="H359" i="21"/>
  <c r="H16" i="56" s="1"/>
  <c r="H402" i="21"/>
  <c r="H59" i="56" s="1"/>
  <c r="H368" i="21"/>
  <c r="H25" i="56" s="1"/>
  <c r="H407" i="21"/>
  <c r="H64" i="56" s="1"/>
  <c r="H363" i="21"/>
  <c r="H20" i="56" s="1"/>
  <c r="H408" i="21"/>
  <c r="H65" i="56" s="1"/>
  <c r="H374" i="21"/>
  <c r="H31" i="56" s="1"/>
  <c r="H409" i="21"/>
  <c r="H66" i="56" s="1"/>
  <c r="H421" i="21"/>
  <c r="H78" i="56" s="1"/>
  <c r="H373" i="21"/>
  <c r="H30" i="56" s="1"/>
  <c r="H431" i="21"/>
  <c r="H88" i="56" s="1"/>
  <c r="H395" i="21"/>
  <c r="H52" i="56" s="1"/>
  <c r="H430" i="21"/>
  <c r="H87" i="56" s="1"/>
  <c r="H379" i="21"/>
  <c r="H36" i="56" s="1"/>
  <c r="H433" i="21"/>
  <c r="H90" i="56" s="1"/>
  <c r="H397" i="21"/>
  <c r="H54" i="56" s="1"/>
  <c r="H432" i="21"/>
  <c r="H89" i="56" s="1"/>
  <c r="H358" i="21"/>
  <c r="H15" i="56" s="1"/>
  <c r="H420" i="21"/>
  <c r="H77" i="56" s="1"/>
  <c r="H384" i="21"/>
  <c r="H41" i="56" s="1"/>
  <c r="G73" i="37"/>
  <c r="F73" i="37" s="1"/>
  <c r="F75" i="37" s="1"/>
  <c r="F35" i="37"/>
  <c r="F340" i="21"/>
  <c r="G466" i="21"/>
  <c r="G467" i="21"/>
  <c r="G469" i="21"/>
  <c r="G476" i="21"/>
  <c r="G474" i="21"/>
  <c r="G472" i="21"/>
  <c r="G475" i="21"/>
  <c r="G468" i="21"/>
  <c r="G465" i="21"/>
  <c r="G473" i="21"/>
  <c r="F335" i="21"/>
  <c r="G337" i="21"/>
  <c r="G455" i="21"/>
  <c r="G112" i="56" s="1"/>
  <c r="G459" i="21"/>
  <c r="G116" i="56" s="1"/>
  <c r="G457" i="21"/>
  <c r="G461" i="21"/>
  <c r="G458" i="21"/>
  <c r="G456" i="21"/>
  <c r="G113" i="56" s="1"/>
  <c r="G454" i="21"/>
  <c r="J42" i="16"/>
  <c r="F74" i="49"/>
  <c r="F82" i="49"/>
  <c r="F105" i="49" s="1"/>
  <c r="I43" i="16"/>
  <c r="L275" i="56" l="1"/>
  <c r="L101" i="107" s="1"/>
  <c r="L106" i="107" s="1"/>
  <c r="L114" i="107" s="1"/>
  <c r="H25" i="38"/>
  <c r="F25" i="38" s="1"/>
  <c r="F24" i="38"/>
  <c r="H274" i="56"/>
  <c r="J105" i="107"/>
  <c r="J113" i="107" s="1"/>
  <c r="J104" i="107"/>
  <c r="J112" i="107" s="1"/>
  <c r="K270" i="56"/>
  <c r="K10" i="61" s="1"/>
  <c r="M100" i="107"/>
  <c r="M275" i="56"/>
  <c r="M101" i="107" s="1"/>
  <c r="I274" i="56"/>
  <c r="K100" i="107"/>
  <c r="K275" i="56"/>
  <c r="K101" i="107" s="1"/>
  <c r="N276" i="56"/>
  <c r="N101" i="107"/>
  <c r="N75" i="39"/>
  <c r="N51" i="39"/>
  <c r="N106" i="107"/>
  <c r="N114" i="107" s="1"/>
  <c r="N104" i="107"/>
  <c r="N112" i="107" s="1"/>
  <c r="N105" i="107"/>
  <c r="N113" i="107" s="1"/>
  <c r="L270" i="56"/>
  <c r="L10" i="61" s="1"/>
  <c r="I269" i="56"/>
  <c r="F589" i="21"/>
  <c r="G115" i="56"/>
  <c r="F588" i="21"/>
  <c r="G114" i="56"/>
  <c r="F596" i="21"/>
  <c r="G122" i="56"/>
  <c r="F606" i="21"/>
  <c r="G132" i="56"/>
  <c r="F605" i="21"/>
  <c r="G131" i="56"/>
  <c r="G600" i="21"/>
  <c r="G126" i="56"/>
  <c r="F597" i="21"/>
  <c r="G123" i="56"/>
  <c r="F592" i="21"/>
  <c r="G118" i="56"/>
  <c r="F604" i="21"/>
  <c r="G130" i="56"/>
  <c r="F599" i="21"/>
  <c r="G125" i="56"/>
  <c r="F603" i="21"/>
  <c r="G129" i="56"/>
  <c r="G607" i="21"/>
  <c r="G133" i="56"/>
  <c r="F598" i="21"/>
  <c r="G124" i="56"/>
  <c r="H269" i="56"/>
  <c r="F585" i="21"/>
  <c r="G111" i="56"/>
  <c r="H268" i="56"/>
  <c r="I268" i="56"/>
  <c r="I270" i="56" s="1"/>
  <c r="I10" i="61" s="1"/>
  <c r="G85" i="57"/>
  <c r="F85" i="57" s="1"/>
  <c r="F590" i="21"/>
  <c r="F587" i="21"/>
  <c r="F586" i="21"/>
  <c r="G75" i="37"/>
  <c r="G90" i="37" s="1"/>
  <c r="F90" i="37" s="1"/>
  <c r="G430" i="21"/>
  <c r="G403" i="21"/>
  <c r="G379" i="21"/>
  <c r="G359" i="21"/>
  <c r="G429" i="21"/>
  <c r="G402" i="21"/>
  <c r="G378" i="21"/>
  <c r="G358" i="21"/>
  <c r="G15" i="56" s="1"/>
  <c r="G432" i="21"/>
  <c r="G408" i="21"/>
  <c r="G384" i="21"/>
  <c r="G364" i="21"/>
  <c r="G431" i="21"/>
  <c r="G407" i="21"/>
  <c r="G383" i="21"/>
  <c r="G363" i="21"/>
  <c r="G434" i="21"/>
  <c r="G420" i="21"/>
  <c r="G396" i="21"/>
  <c r="G369" i="21"/>
  <c r="G433" i="21"/>
  <c r="G409" i="21"/>
  <c r="G395" i="21"/>
  <c r="G368" i="21"/>
  <c r="G446" i="21"/>
  <c r="G422" i="21"/>
  <c r="G401" i="21"/>
  <c r="G374" i="21"/>
  <c r="G445" i="21"/>
  <c r="G421" i="21"/>
  <c r="G397" i="21"/>
  <c r="G373" i="21"/>
  <c r="J43" i="16"/>
  <c r="F25" i="37"/>
  <c r="L104" i="107" l="1"/>
  <c r="L112" i="107" s="1"/>
  <c r="L105" i="107"/>
  <c r="L113" i="107" s="1"/>
  <c r="L276" i="56"/>
  <c r="N60" i="20"/>
  <c r="I32" i="20"/>
  <c r="N61" i="20"/>
  <c r="G90" i="20"/>
  <c r="J32" i="20"/>
  <c r="H148" i="20"/>
  <c r="H12" i="57" s="1"/>
  <c r="N148" i="20"/>
  <c r="N12" i="37" s="1"/>
  <c r="I119" i="20"/>
  <c r="H90" i="20"/>
  <c r="G32" i="20"/>
  <c r="G148" i="20"/>
  <c r="G12" i="57" s="1"/>
  <c r="N119" i="20"/>
  <c r="M90" i="20"/>
  <c r="I148" i="20"/>
  <c r="I12" i="57" s="1"/>
  <c r="H61" i="20"/>
  <c r="H119" i="20"/>
  <c r="M61" i="20"/>
  <c r="G61" i="20"/>
  <c r="G119" i="20"/>
  <c r="H32" i="20"/>
  <c r="N90" i="20"/>
  <c r="F51" i="39"/>
  <c r="N125" i="17"/>
  <c r="N221" i="17"/>
  <c r="F75" i="39"/>
  <c r="N74" i="39"/>
  <c r="N50" i="39"/>
  <c r="N26" i="39"/>
  <c r="I100" i="107"/>
  <c r="I275" i="56"/>
  <c r="I101" i="107" s="1"/>
  <c r="I276" i="56"/>
  <c r="H100" i="107"/>
  <c r="H275" i="56"/>
  <c r="H101" i="107" s="1"/>
  <c r="N27" i="39"/>
  <c r="K276" i="56"/>
  <c r="K106" i="107"/>
  <c r="K114" i="107" s="1"/>
  <c r="K105" i="107"/>
  <c r="K113" i="107" s="1"/>
  <c r="K104" i="107"/>
  <c r="K112" i="107" s="1"/>
  <c r="M276" i="56"/>
  <c r="M104" i="107"/>
  <c r="M112" i="107" s="1"/>
  <c r="M105" i="107"/>
  <c r="M113" i="107" s="1"/>
  <c r="M106" i="107"/>
  <c r="M114" i="107" s="1"/>
  <c r="L118" i="20"/>
  <c r="J60" i="20"/>
  <c r="G269" i="56"/>
  <c r="H270" i="56"/>
  <c r="H10" i="61" s="1"/>
  <c r="J148" i="20"/>
  <c r="J12" i="37" s="1"/>
  <c r="I61" i="20"/>
  <c r="M119" i="20"/>
  <c r="M148" i="20"/>
  <c r="M12" i="37" s="1"/>
  <c r="M32" i="20"/>
  <c r="L61" i="20"/>
  <c r="L90" i="20"/>
  <c r="L119" i="20"/>
  <c r="L148" i="20"/>
  <c r="L12" i="37" s="1"/>
  <c r="N32" i="20"/>
  <c r="I90" i="20"/>
  <c r="L32" i="20"/>
  <c r="K61" i="20"/>
  <c r="K90" i="20"/>
  <c r="K119" i="20"/>
  <c r="K148" i="20"/>
  <c r="K12" i="37" s="1"/>
  <c r="K32" i="20"/>
  <c r="J61" i="20"/>
  <c r="J90" i="20"/>
  <c r="J119" i="20"/>
  <c r="M118" i="20"/>
  <c r="I31" i="20"/>
  <c r="N118" i="20"/>
  <c r="I12" i="37"/>
  <c r="M89" i="20"/>
  <c r="J89" i="20"/>
  <c r="H60" i="20"/>
  <c r="I60" i="20"/>
  <c r="H118" i="20"/>
  <c r="F504" i="21"/>
  <c r="G30" i="56"/>
  <c r="F552" i="21"/>
  <c r="G78" i="56"/>
  <c r="F505" i="21"/>
  <c r="G31" i="56"/>
  <c r="F553" i="21"/>
  <c r="G79" i="56"/>
  <c r="F499" i="21"/>
  <c r="G25" i="56"/>
  <c r="F540" i="21"/>
  <c r="G66" i="56"/>
  <c r="F500" i="21"/>
  <c r="G26" i="56"/>
  <c r="F551" i="21"/>
  <c r="G77" i="56"/>
  <c r="F494" i="21"/>
  <c r="G20" i="56"/>
  <c r="F538" i="21"/>
  <c r="G64" i="56"/>
  <c r="F495" i="21"/>
  <c r="G21" i="56"/>
  <c r="F539" i="21"/>
  <c r="G65" i="56"/>
  <c r="F533" i="21"/>
  <c r="G59" i="56"/>
  <c r="F490" i="21"/>
  <c r="G16" i="56"/>
  <c r="F534" i="21"/>
  <c r="G60" i="56"/>
  <c r="F528" i="21"/>
  <c r="G54" i="56"/>
  <c r="F576" i="21"/>
  <c r="G102" i="56"/>
  <c r="F532" i="21"/>
  <c r="G58" i="56"/>
  <c r="F577" i="21"/>
  <c r="H130" i="20" s="1"/>
  <c r="G103" i="56"/>
  <c r="F526" i="21"/>
  <c r="G52" i="56"/>
  <c r="F564" i="21"/>
  <c r="G90" i="56"/>
  <c r="F527" i="21"/>
  <c r="G53" i="56"/>
  <c r="F565" i="21"/>
  <c r="G91" i="56"/>
  <c r="F514" i="21"/>
  <c r="G40" i="56"/>
  <c r="F562" i="21"/>
  <c r="G88" i="56"/>
  <c r="F515" i="21"/>
  <c r="G41" i="56"/>
  <c r="F563" i="21"/>
  <c r="G89" i="56"/>
  <c r="F509" i="21"/>
  <c r="G35" i="56"/>
  <c r="F560" i="21"/>
  <c r="G86" i="56"/>
  <c r="F510" i="21"/>
  <c r="G36" i="56"/>
  <c r="F561" i="21"/>
  <c r="G87" i="56"/>
  <c r="K147" i="20"/>
  <c r="L31" i="20"/>
  <c r="J147" i="20"/>
  <c r="G147" i="20"/>
  <c r="H89" i="20"/>
  <c r="N147" i="20"/>
  <c r="H147" i="20"/>
  <c r="G89" i="20"/>
  <c r="G118" i="20"/>
  <c r="H31" i="20"/>
  <c r="M147" i="20"/>
  <c r="K118" i="20"/>
  <c r="G31" i="20"/>
  <c r="L147" i="20"/>
  <c r="J118" i="20"/>
  <c r="K31" i="20"/>
  <c r="N31" i="20"/>
  <c r="K89" i="20"/>
  <c r="M60" i="20"/>
  <c r="I147" i="20"/>
  <c r="N89" i="20"/>
  <c r="K60" i="20"/>
  <c r="I89" i="20"/>
  <c r="L60" i="20"/>
  <c r="M31" i="20"/>
  <c r="G60" i="20"/>
  <c r="L89" i="20"/>
  <c r="I118" i="20"/>
  <c r="J31" i="20"/>
  <c r="F489" i="21"/>
  <c r="L14" i="20"/>
  <c r="L72" i="20" l="1"/>
  <c r="G72" i="20"/>
  <c r="I101" i="20"/>
  <c r="M12" i="57"/>
  <c r="H12" i="37"/>
  <c r="M128" i="20"/>
  <c r="K128" i="20"/>
  <c r="G43" i="20"/>
  <c r="J128" i="20"/>
  <c r="N130" i="20"/>
  <c r="N72" i="20"/>
  <c r="J12" i="57"/>
  <c r="G12" i="37"/>
  <c r="F12" i="37" s="1"/>
  <c r="F617" i="21"/>
  <c r="F635" i="21" s="1"/>
  <c r="J43" i="20"/>
  <c r="N12" i="57"/>
  <c r="J99" i="20"/>
  <c r="K41" i="20"/>
  <c r="J72" i="20"/>
  <c r="K14" i="20"/>
  <c r="N14" i="20"/>
  <c r="K130" i="20"/>
  <c r="M101" i="20"/>
  <c r="I14" i="20"/>
  <c r="F616" i="21"/>
  <c r="F634" i="21" s="1"/>
  <c r="L70" i="20"/>
  <c r="H72" i="20"/>
  <c r="N128" i="20"/>
  <c r="K70" i="20"/>
  <c r="I99" i="20"/>
  <c r="M41" i="20"/>
  <c r="J130" i="20"/>
  <c r="K43" i="20"/>
  <c r="M72" i="20"/>
  <c r="G14" i="20"/>
  <c r="N43" i="20"/>
  <c r="I130" i="20"/>
  <c r="J14" i="20"/>
  <c r="K72" i="20"/>
  <c r="N101" i="20"/>
  <c r="I43" i="20"/>
  <c r="M14" i="20"/>
  <c r="G101" i="20"/>
  <c r="L130" i="20"/>
  <c r="H14" i="20"/>
  <c r="G274" i="56"/>
  <c r="G275" i="56" s="1"/>
  <c r="G101" i="107" s="1"/>
  <c r="L40" i="20"/>
  <c r="K12" i="57"/>
  <c r="M43" i="20"/>
  <c r="M130" i="20"/>
  <c r="L43" i="20"/>
  <c r="J101" i="20"/>
  <c r="L101" i="20"/>
  <c r="I72" i="20"/>
  <c r="K42" i="20"/>
  <c r="H101" i="20"/>
  <c r="H43" i="20"/>
  <c r="G130" i="20"/>
  <c r="K101" i="20"/>
  <c r="H127" i="20"/>
  <c r="H12" i="20"/>
  <c r="J42" i="20"/>
  <c r="F119" i="20"/>
  <c r="F619" i="21"/>
  <c r="F637" i="21" s="1"/>
  <c r="H70" i="20"/>
  <c r="M70" i="20"/>
  <c r="L41" i="20"/>
  <c r="J12" i="20"/>
  <c r="J41" i="20"/>
  <c r="J70" i="20"/>
  <c r="M99" i="20"/>
  <c r="K12" i="20"/>
  <c r="I70" i="20"/>
  <c r="K98" i="20"/>
  <c r="J71" i="20"/>
  <c r="F148" i="20"/>
  <c r="I98" i="20"/>
  <c r="G127" i="20"/>
  <c r="I129" i="20"/>
  <c r="G128" i="20"/>
  <c r="F615" i="21"/>
  <c r="F633" i="21" s="1"/>
  <c r="F61" i="20"/>
  <c r="N70" i="20"/>
  <c r="M12" i="20"/>
  <c r="H41" i="20"/>
  <c r="N12" i="20"/>
  <c r="I12" i="20"/>
  <c r="N99" i="20"/>
  <c r="H128" i="20"/>
  <c r="L99" i="20"/>
  <c r="L12" i="20"/>
  <c r="I41" i="20"/>
  <c r="G41" i="20"/>
  <c r="G12" i="20"/>
  <c r="L128" i="20"/>
  <c r="I128" i="20"/>
  <c r="G70" i="20"/>
  <c r="K99" i="20"/>
  <c r="G99" i="20"/>
  <c r="N41" i="20"/>
  <c r="H99" i="20"/>
  <c r="M40" i="20"/>
  <c r="J127" i="20"/>
  <c r="I40" i="20"/>
  <c r="G69" i="20"/>
  <c r="L129" i="20"/>
  <c r="M13" i="20"/>
  <c r="L100" i="20"/>
  <c r="L12" i="57"/>
  <c r="G100" i="107"/>
  <c r="H106" i="107"/>
  <c r="H114" i="107" s="1"/>
  <c r="H105" i="107"/>
  <c r="H113" i="107" s="1"/>
  <c r="H104" i="107"/>
  <c r="H112" i="107" s="1"/>
  <c r="F26" i="39"/>
  <c r="N30" i="39"/>
  <c r="N28" i="17"/>
  <c r="F74" i="39"/>
  <c r="F78" i="39" s="1"/>
  <c r="N78" i="39"/>
  <c r="N220" i="17"/>
  <c r="N289" i="17"/>
  <c r="F289" i="17" s="1"/>
  <c r="F221" i="17"/>
  <c r="N29" i="17"/>
  <c r="F27" i="39"/>
  <c r="H276" i="56"/>
  <c r="I106" i="107"/>
  <c r="I114" i="107" s="1"/>
  <c r="I104" i="107"/>
  <c r="I112" i="107" s="1"/>
  <c r="I105" i="107"/>
  <c r="I113" i="107" s="1"/>
  <c r="N124" i="17"/>
  <c r="F50" i="39"/>
  <c r="F54" i="39" s="1"/>
  <c r="N54" i="39"/>
  <c r="N193" i="17"/>
  <c r="F193" i="17" s="1"/>
  <c r="F125" i="17"/>
  <c r="N13" i="20"/>
  <c r="I127" i="20"/>
  <c r="F618" i="21"/>
  <c r="F636" i="21" s="1"/>
  <c r="F644" i="21" s="1"/>
  <c r="L98" i="20"/>
  <c r="I42" i="20"/>
  <c r="G11" i="20"/>
  <c r="H11" i="20"/>
  <c r="K127" i="20"/>
  <c r="J11" i="20"/>
  <c r="K11" i="20"/>
  <c r="M98" i="20"/>
  <c r="L69" i="20"/>
  <c r="H69" i="20"/>
  <c r="H13" i="20"/>
  <c r="N129" i="20"/>
  <c r="I13" i="20"/>
  <c r="G71" i="20"/>
  <c r="L13" i="20"/>
  <c r="J13" i="20"/>
  <c r="G13" i="20"/>
  <c r="H129" i="20"/>
  <c r="M129" i="20"/>
  <c r="I71" i="20"/>
  <c r="M71" i="20"/>
  <c r="K71" i="20"/>
  <c r="M42" i="20"/>
  <c r="G100" i="20"/>
  <c r="L42" i="20"/>
  <c r="J100" i="20"/>
  <c r="G42" i="20"/>
  <c r="I100" i="20"/>
  <c r="G129" i="20"/>
  <c r="H42" i="20"/>
  <c r="J129" i="20"/>
  <c r="K13" i="20"/>
  <c r="N100" i="20"/>
  <c r="H71" i="20"/>
  <c r="M100" i="20"/>
  <c r="K129" i="20"/>
  <c r="H100" i="20"/>
  <c r="N42" i="20"/>
  <c r="N71" i="20"/>
  <c r="L71" i="20"/>
  <c r="K100" i="20"/>
  <c r="N11" i="20"/>
  <c r="F90" i="20"/>
  <c r="F32" i="20"/>
  <c r="K69" i="20"/>
  <c r="L127" i="20"/>
  <c r="M69" i="20"/>
  <c r="N40" i="20"/>
  <c r="G40" i="20"/>
  <c r="J69" i="20"/>
  <c r="K40" i="20"/>
  <c r="M11" i="20"/>
  <c r="I11" i="20"/>
  <c r="H40" i="20"/>
  <c r="N127" i="20"/>
  <c r="H98" i="20"/>
  <c r="J98" i="20"/>
  <c r="G98" i="20"/>
  <c r="I69" i="20"/>
  <c r="M127" i="20"/>
  <c r="L11" i="20"/>
  <c r="N98" i="20"/>
  <c r="J40" i="20"/>
  <c r="F614" i="21"/>
  <c r="F632" i="21" s="1"/>
  <c r="F642" i="21" s="1"/>
  <c r="G268" i="56"/>
  <c r="G270" i="56" s="1"/>
  <c r="G10" i="61" s="1"/>
  <c r="I11" i="37"/>
  <c r="I11" i="57"/>
  <c r="L11" i="37"/>
  <c r="L11" i="57"/>
  <c r="N11" i="37"/>
  <c r="N11" i="57"/>
  <c r="G11" i="37"/>
  <c r="G11" i="57"/>
  <c r="M11" i="37"/>
  <c r="M11" i="57"/>
  <c r="H11" i="37"/>
  <c r="H11" i="57"/>
  <c r="J11" i="37"/>
  <c r="J11" i="57"/>
  <c r="K11" i="37"/>
  <c r="K11" i="57"/>
  <c r="F31" i="20"/>
  <c r="F60" i="20"/>
  <c r="F89" i="20"/>
  <c r="F118" i="20"/>
  <c r="N69" i="20"/>
  <c r="F147" i="20"/>
  <c r="F72" i="20" l="1"/>
  <c r="F643" i="21"/>
  <c r="F130" i="20"/>
  <c r="F101" i="20"/>
  <c r="F12" i="20"/>
  <c r="F12" i="57"/>
  <c r="F14" i="20"/>
  <c r="F43" i="20"/>
  <c r="F30" i="39"/>
  <c r="F99" i="20"/>
  <c r="F645" i="21"/>
  <c r="F127" i="20"/>
  <c r="F71" i="20"/>
  <c r="F42" i="20"/>
  <c r="F13" i="20"/>
  <c r="F70" i="20"/>
  <c r="F41" i="20"/>
  <c r="F100" i="20"/>
  <c r="F129" i="20"/>
  <c r="F128" i="20"/>
  <c r="F40" i="20"/>
  <c r="F11" i="20"/>
  <c r="N288" i="17"/>
  <c r="N224" i="17"/>
  <c r="F220" i="17"/>
  <c r="F224" i="17" s="1"/>
  <c r="G276" i="56"/>
  <c r="F276" i="56" s="1"/>
  <c r="N192" i="17"/>
  <c r="F124" i="17"/>
  <c r="F128" i="17" s="1"/>
  <c r="N128" i="17"/>
  <c r="N97" i="17"/>
  <c r="F97" i="17" s="1"/>
  <c r="F29" i="17"/>
  <c r="N96" i="17"/>
  <c r="F28" i="17"/>
  <c r="N32" i="17"/>
  <c r="G105" i="107"/>
  <c r="G113" i="107" s="1"/>
  <c r="F113" i="107" s="1"/>
  <c r="F120" i="107" s="1"/>
  <c r="G106" i="107"/>
  <c r="G114" i="107" s="1"/>
  <c r="F114" i="107" s="1"/>
  <c r="F121" i="107" s="1"/>
  <c r="G104" i="107"/>
  <c r="G112" i="107" s="1"/>
  <c r="F112" i="107" s="1"/>
  <c r="F119" i="107" s="1"/>
  <c r="F98" i="20"/>
  <c r="N42" i="26" s="1"/>
  <c r="F11" i="37"/>
  <c r="F641" i="21"/>
  <c r="F270" i="56"/>
  <c r="F18" i="61" s="1"/>
  <c r="F11" i="57"/>
  <c r="F10" i="61"/>
  <c r="F69" i="20"/>
  <c r="M42" i="26" l="1"/>
  <c r="F32" i="17"/>
  <c r="H46" i="20"/>
  <c r="K42" i="26"/>
  <c r="L42" i="26"/>
  <c r="H104" i="20"/>
  <c r="F45" i="37"/>
  <c r="F45" i="57"/>
  <c r="F47" i="37"/>
  <c r="F47" i="57"/>
  <c r="F96" i="17"/>
  <c r="F100" i="17" s="1"/>
  <c r="N100" i="17"/>
  <c r="N102" i="17" s="1"/>
  <c r="K32" i="26" s="1"/>
  <c r="K39" i="26" s="1"/>
  <c r="F46" i="37"/>
  <c r="F46" i="57"/>
  <c r="N18" i="59"/>
  <c r="N18" i="49"/>
  <c r="F192" i="17"/>
  <c r="F196" i="17" s="1"/>
  <c r="N196" i="17"/>
  <c r="N45" i="59"/>
  <c r="N45" i="49"/>
  <c r="F288" i="17"/>
  <c r="F292" i="17" s="1"/>
  <c r="N292" i="17"/>
  <c r="G104" i="20"/>
  <c r="I104" i="20"/>
  <c r="G133" i="20"/>
  <c r="I46" i="20"/>
  <c r="N104" i="20"/>
  <c r="K133" i="20"/>
  <c r="N17" i="20"/>
  <c r="G17" i="20"/>
  <c r="L17" i="20"/>
  <c r="L104" i="20"/>
  <c r="M17" i="20"/>
  <c r="N133" i="20"/>
  <c r="M104" i="20"/>
  <c r="J104" i="20"/>
  <c r="K104" i="20"/>
  <c r="J46" i="20"/>
  <c r="K46" i="20"/>
  <c r="J133" i="20"/>
  <c r="L46" i="20"/>
  <c r="M46" i="20"/>
  <c r="M133" i="20"/>
  <c r="N46" i="20"/>
  <c r="G75" i="20"/>
  <c r="H75" i="20"/>
  <c r="G46" i="20"/>
  <c r="I133" i="20"/>
  <c r="M75" i="20"/>
  <c r="N75" i="20"/>
  <c r="I75" i="20"/>
  <c r="H17" i="20"/>
  <c r="J75" i="20"/>
  <c r="I17" i="20"/>
  <c r="L133" i="20"/>
  <c r="K75" i="20"/>
  <c r="J17" i="20"/>
  <c r="L75" i="20"/>
  <c r="K17" i="20"/>
  <c r="H133" i="20"/>
  <c r="F104" i="20" l="1"/>
  <c r="N39" i="59"/>
  <c r="N294" i="17"/>
  <c r="M32" i="26" s="1"/>
  <c r="N39" i="49"/>
  <c r="N59" i="49"/>
  <c r="F59" i="49" s="1"/>
  <c r="F45" i="49"/>
  <c r="N12" i="59"/>
  <c r="N198" i="17"/>
  <c r="L32" i="26" s="1"/>
  <c r="N12" i="49"/>
  <c r="N32" i="49"/>
  <c r="F32" i="49" s="1"/>
  <c r="F18" i="49"/>
  <c r="F48" i="57"/>
  <c r="F45" i="59"/>
  <c r="N59" i="59"/>
  <c r="F59" i="59" s="1"/>
  <c r="F18" i="59"/>
  <c r="N32" i="59"/>
  <c r="F32" i="59" s="1"/>
  <c r="F48" i="37"/>
  <c r="F133" i="20"/>
  <c r="F135" i="20" s="1"/>
  <c r="J144" i="20" s="1"/>
  <c r="J13" i="57" s="1"/>
  <c r="F75" i="20"/>
  <c r="F77" i="20" s="1"/>
  <c r="H86" i="20" s="1"/>
  <c r="F17" i="20"/>
  <c r="F19" i="20" s="1"/>
  <c r="F46" i="20"/>
  <c r="F48" i="20" s="1"/>
  <c r="J13" i="37"/>
  <c r="F106" i="20"/>
  <c r="M80" i="20" l="1"/>
  <c r="K80" i="20"/>
  <c r="G86" i="20"/>
  <c r="L83" i="20"/>
  <c r="J83" i="20"/>
  <c r="N80" i="20"/>
  <c r="L82" i="20"/>
  <c r="K82" i="20"/>
  <c r="N82" i="20"/>
  <c r="N86" i="20"/>
  <c r="I86" i="20"/>
  <c r="G82" i="20"/>
  <c r="K83" i="20"/>
  <c r="G80" i="20"/>
  <c r="J81" i="20"/>
  <c r="J82" i="20"/>
  <c r="M83" i="20"/>
  <c r="L80" i="20"/>
  <c r="K81" i="20"/>
  <c r="L86" i="20"/>
  <c r="M86" i="20"/>
  <c r="K86" i="20"/>
  <c r="M82" i="20"/>
  <c r="I80" i="20"/>
  <c r="H83" i="20"/>
  <c r="G81" i="20"/>
  <c r="H82" i="20"/>
  <c r="G83" i="20"/>
  <c r="L81" i="20"/>
  <c r="M81" i="20"/>
  <c r="I82" i="20"/>
  <c r="J80" i="20"/>
  <c r="I83" i="20"/>
  <c r="N81" i="20"/>
  <c r="H80" i="20"/>
  <c r="N83" i="20"/>
  <c r="I81" i="20"/>
  <c r="H81" i="20"/>
  <c r="J86" i="20"/>
  <c r="F51" i="37"/>
  <c r="F50" i="37"/>
  <c r="F12" i="49"/>
  <c r="N28" i="49"/>
  <c r="F28" i="49" s="1"/>
  <c r="F103" i="49" s="1"/>
  <c r="F23" i="37" s="1"/>
  <c r="F12" i="59"/>
  <c r="N28" i="59"/>
  <c r="F28" i="59" s="1"/>
  <c r="F103" i="59" s="1"/>
  <c r="F23" i="57" s="1"/>
  <c r="M40" i="26"/>
  <c r="M41" i="26"/>
  <c r="F20" i="58"/>
  <c r="F51" i="57"/>
  <c r="F50" i="57"/>
  <c r="L40" i="26"/>
  <c r="L39" i="26"/>
  <c r="N55" i="49"/>
  <c r="F55" i="49" s="1"/>
  <c r="F104" i="49" s="1"/>
  <c r="F24" i="37" s="1"/>
  <c r="F39" i="49"/>
  <c r="N55" i="59"/>
  <c r="F55" i="59" s="1"/>
  <c r="F104" i="59" s="1"/>
  <c r="F24" i="57" s="1"/>
  <c r="F39" i="59"/>
  <c r="J138" i="20"/>
  <c r="K138" i="20"/>
  <c r="M138" i="20"/>
  <c r="N138" i="20"/>
  <c r="L144" i="20"/>
  <c r="L13" i="57" s="1"/>
  <c r="M139" i="20"/>
  <c r="L139" i="20"/>
  <c r="N139" i="20"/>
  <c r="H139" i="20"/>
  <c r="K144" i="20"/>
  <c r="K13" i="57" s="1"/>
  <c r="G140" i="20"/>
  <c r="M141" i="20"/>
  <c r="H140" i="20"/>
  <c r="I141" i="20"/>
  <c r="H138" i="20"/>
  <c r="K141" i="20"/>
  <c r="I140" i="20"/>
  <c r="J141" i="20"/>
  <c r="I144" i="20"/>
  <c r="I13" i="57" s="1"/>
  <c r="N144" i="20"/>
  <c r="N13" i="57" s="1"/>
  <c r="M144" i="20"/>
  <c r="M13" i="57" s="1"/>
  <c r="K140" i="20"/>
  <c r="I138" i="20"/>
  <c r="H141" i="20"/>
  <c r="N141" i="20"/>
  <c r="J139" i="20"/>
  <c r="N140" i="20"/>
  <c r="L138" i="20"/>
  <c r="G139" i="20"/>
  <c r="J140" i="20"/>
  <c r="G138" i="20"/>
  <c r="G141" i="20"/>
  <c r="K139" i="20"/>
  <c r="M140" i="20"/>
  <c r="L140" i="20"/>
  <c r="L141" i="20"/>
  <c r="I139" i="20"/>
  <c r="G144" i="20"/>
  <c r="G13" i="57" s="1"/>
  <c r="H144" i="20"/>
  <c r="H13" i="57" s="1"/>
  <c r="K13" i="37"/>
  <c r="J110" i="20"/>
  <c r="M110" i="20"/>
  <c r="M112" i="20"/>
  <c r="K112" i="20"/>
  <c r="I109" i="20"/>
  <c r="M109" i="20"/>
  <c r="L111" i="20"/>
  <c r="J111" i="20"/>
  <c r="N111" i="20"/>
  <c r="H111" i="20"/>
  <c r="N110" i="20"/>
  <c r="K110" i="20"/>
  <c r="H110" i="20"/>
  <c r="G112" i="20"/>
  <c r="H109" i="20"/>
  <c r="G109" i="20"/>
  <c r="I110" i="20"/>
  <c r="I112" i="20"/>
  <c r="J112" i="20"/>
  <c r="H112" i="20"/>
  <c r="K109" i="20"/>
  <c r="L109" i="20"/>
  <c r="G111" i="20"/>
  <c r="I111" i="20"/>
  <c r="M111" i="20"/>
  <c r="K111" i="20"/>
  <c r="L110" i="20"/>
  <c r="G110" i="20"/>
  <c r="N112" i="20"/>
  <c r="L112" i="20"/>
  <c r="J109" i="20"/>
  <c r="N109" i="20"/>
  <c r="G115" i="20"/>
  <c r="I115" i="20"/>
  <c r="K115" i="20"/>
  <c r="M115" i="20"/>
  <c r="H115" i="20"/>
  <c r="J115" i="20"/>
  <c r="L115" i="20"/>
  <c r="N115" i="20"/>
  <c r="L52" i="20"/>
  <c r="K52" i="20"/>
  <c r="G54" i="20"/>
  <c r="L54" i="20"/>
  <c r="M51" i="20"/>
  <c r="L51" i="20"/>
  <c r="G53" i="20"/>
  <c r="N53" i="20"/>
  <c r="I52" i="20"/>
  <c r="N52" i="20"/>
  <c r="N54" i="20"/>
  <c r="J54" i="20"/>
  <c r="G51" i="20"/>
  <c r="H51" i="20"/>
  <c r="J53" i="20"/>
  <c r="I53" i="20"/>
  <c r="J52" i="20"/>
  <c r="M52" i="20"/>
  <c r="M54" i="20"/>
  <c r="H54" i="20"/>
  <c r="I51" i="20"/>
  <c r="L53" i="20"/>
  <c r="H53" i="20"/>
  <c r="H52" i="20"/>
  <c r="G52" i="20"/>
  <c r="K54" i="20"/>
  <c r="I54" i="20"/>
  <c r="N51" i="20"/>
  <c r="K51" i="20"/>
  <c r="J51" i="20"/>
  <c r="K53" i="20"/>
  <c r="M53" i="20"/>
  <c r="H57" i="20"/>
  <c r="L57" i="20"/>
  <c r="M57" i="20"/>
  <c r="I57" i="20"/>
  <c r="K57" i="20"/>
  <c r="G57" i="20"/>
  <c r="N57" i="20"/>
  <c r="J57" i="20"/>
  <c r="J23" i="20"/>
  <c r="H23" i="20"/>
  <c r="N25" i="20"/>
  <c r="H22" i="20"/>
  <c r="K22" i="20"/>
  <c r="J24" i="20"/>
  <c r="M23" i="20"/>
  <c r="I23" i="20"/>
  <c r="G23" i="20"/>
  <c r="J25" i="20"/>
  <c r="I25" i="20"/>
  <c r="H25" i="20"/>
  <c r="I22" i="20"/>
  <c r="H24" i="20"/>
  <c r="M24" i="20"/>
  <c r="G24" i="20"/>
  <c r="K23" i="20"/>
  <c r="K25" i="20"/>
  <c r="G22" i="20"/>
  <c r="J22" i="20"/>
  <c r="K24" i="20"/>
  <c r="N22" i="20"/>
  <c r="N23" i="20"/>
  <c r="L23" i="20"/>
  <c r="G25" i="20"/>
  <c r="M25" i="20"/>
  <c r="L25" i="20"/>
  <c r="M22" i="20"/>
  <c r="L22" i="20"/>
  <c r="N24" i="20"/>
  <c r="I24" i="20"/>
  <c r="L24" i="20"/>
  <c r="G28" i="20"/>
  <c r="L28" i="20"/>
  <c r="M28" i="20"/>
  <c r="H28" i="20"/>
  <c r="H34" i="20" s="1"/>
  <c r="I28" i="20"/>
  <c r="J28" i="20"/>
  <c r="K28" i="20"/>
  <c r="N28" i="20"/>
  <c r="J92" i="20" l="1"/>
  <c r="G92" i="20"/>
  <c r="N92" i="20"/>
  <c r="N13" i="37"/>
  <c r="J10" i="37"/>
  <c r="J28" i="38" s="1"/>
  <c r="G13" i="37"/>
  <c r="F13" i="57"/>
  <c r="I10" i="57"/>
  <c r="I14" i="57" s="1"/>
  <c r="L150" i="20"/>
  <c r="L26" i="108" s="1"/>
  <c r="K150" i="20"/>
  <c r="K26" i="108" s="1"/>
  <c r="G10" i="37"/>
  <c r="G28" i="38" s="1"/>
  <c r="N10" i="37"/>
  <c r="N41" i="108" s="1"/>
  <c r="H10" i="57"/>
  <c r="H14" i="57" s="1"/>
  <c r="J150" i="20"/>
  <c r="J26" i="108" s="1"/>
  <c r="I92" i="20"/>
  <c r="H92" i="20"/>
  <c r="L92" i="20"/>
  <c r="K92" i="20"/>
  <c r="F82" i="20"/>
  <c r="M92" i="20"/>
  <c r="N150" i="20"/>
  <c r="N26" i="108" s="1"/>
  <c r="N28" i="38"/>
  <c r="K10" i="37"/>
  <c r="K14" i="37" s="1"/>
  <c r="M10" i="37"/>
  <c r="J10" i="57"/>
  <c r="J14" i="57" s="1"/>
  <c r="F144" i="20"/>
  <c r="M150" i="20"/>
  <c r="M26" i="108" s="1"/>
  <c r="I13" i="37"/>
  <c r="N10" i="57"/>
  <c r="N14" i="57" s="1"/>
  <c r="H13" i="37"/>
  <c r="M10" i="57"/>
  <c r="M14" i="57" s="1"/>
  <c r="L10" i="57"/>
  <c r="L14" i="57" s="1"/>
  <c r="H150" i="20"/>
  <c r="H26" i="108" s="1"/>
  <c r="G150" i="20"/>
  <c r="G26" i="108" s="1"/>
  <c r="M13" i="37"/>
  <c r="I150" i="20"/>
  <c r="I26" i="108" s="1"/>
  <c r="H10" i="37"/>
  <c r="L13" i="37"/>
  <c r="G10" i="57"/>
  <c r="G14" i="57" s="1"/>
  <c r="L10" i="37"/>
  <c r="K10" i="57"/>
  <c r="K14" i="57" s="1"/>
  <c r="I10" i="37"/>
  <c r="N34" i="20"/>
  <c r="J34" i="20"/>
  <c r="L34" i="20"/>
  <c r="J63" i="20"/>
  <c r="G63" i="20"/>
  <c r="L63" i="20"/>
  <c r="F111" i="20"/>
  <c r="F112" i="20"/>
  <c r="I63" i="20"/>
  <c r="L121" i="20"/>
  <c r="H121" i="20"/>
  <c r="N121" i="20"/>
  <c r="J121" i="20"/>
  <c r="M121" i="20"/>
  <c r="I121" i="20"/>
  <c r="F110" i="20"/>
  <c r="F138" i="20"/>
  <c r="F141" i="20"/>
  <c r="F139" i="20"/>
  <c r="F140" i="20"/>
  <c r="F109" i="20"/>
  <c r="K121" i="20"/>
  <c r="G121" i="20"/>
  <c r="F115" i="20"/>
  <c r="N63" i="20"/>
  <c r="K63" i="20"/>
  <c r="M63" i="20"/>
  <c r="H63" i="20"/>
  <c r="F80" i="20"/>
  <c r="F86" i="20"/>
  <c r="F81" i="20"/>
  <c r="F83" i="20"/>
  <c r="K34" i="20"/>
  <c r="I34" i="20"/>
  <c r="M34" i="20"/>
  <c r="G34" i="20"/>
  <c r="F52" i="20"/>
  <c r="F51" i="20"/>
  <c r="F53" i="20"/>
  <c r="F54" i="20"/>
  <c r="F57" i="20"/>
  <c r="F28" i="20"/>
  <c r="F25" i="20"/>
  <c r="F22" i="20"/>
  <c r="F23" i="20"/>
  <c r="F24" i="20"/>
  <c r="J14" i="37" l="1"/>
  <c r="G41" i="108"/>
  <c r="J41" i="108"/>
  <c r="N14" i="37"/>
  <c r="M14" i="37"/>
  <c r="G14" i="37"/>
  <c r="H14" i="37"/>
  <c r="F92" i="20"/>
  <c r="H28" i="38"/>
  <c r="H41" i="108"/>
  <c r="M28" i="38"/>
  <c r="M41" i="108"/>
  <c r="I28" i="38"/>
  <c r="I41" i="108"/>
  <c r="L28" i="38"/>
  <c r="L41" i="108"/>
  <c r="F26" i="108"/>
  <c r="M27" i="108" s="1"/>
  <c r="K28" i="38"/>
  <c r="K41" i="108"/>
  <c r="F13" i="37"/>
  <c r="F10" i="57"/>
  <c r="F150" i="20"/>
  <c r="I14" i="37"/>
  <c r="F10" i="37"/>
  <c r="F14" i="57"/>
  <c r="L14" i="37"/>
  <c r="F63" i="20"/>
  <c r="F121" i="20"/>
  <c r="F34" i="20"/>
  <c r="F41" i="108" l="1"/>
  <c r="F14" i="37"/>
  <c r="F28" i="38"/>
  <c r="F27" i="108"/>
  <c r="N27" i="108"/>
  <c r="L27" i="108"/>
  <c r="J27" i="108"/>
  <c r="K27" i="108"/>
  <c r="G27" i="108"/>
  <c r="I27" i="108"/>
  <c r="H27" i="108"/>
  <c r="N43" i="26"/>
  <c r="N50" i="26" s="1"/>
  <c r="M43" i="26"/>
  <c r="M50" i="26" s="1"/>
  <c r="L43" i="26"/>
  <c r="L50" i="26" s="1"/>
  <c r="N51" i="26" l="1"/>
  <c r="N30" i="108"/>
  <c r="M51" i="26"/>
  <c r="M30" i="108"/>
  <c r="L51" i="26"/>
  <c r="L30" i="108"/>
  <c r="F53" i="26"/>
  <c r="F20" i="57" l="1"/>
  <c r="F58" i="57" s="1"/>
  <c r="F31" i="108"/>
  <c r="F20" i="37"/>
  <c r="F57" i="37" s="1"/>
  <c r="F57" i="57" l="1"/>
  <c r="F59" i="57"/>
  <c r="F58" i="37"/>
  <c r="F59" i="37"/>
  <c r="F61" i="57" l="1"/>
  <c r="F15" i="58" s="1"/>
  <c r="F26" i="58" s="1"/>
  <c r="F19" i="61" s="1"/>
  <c r="F21" i="61" s="1"/>
  <c r="F22" i="61" s="1"/>
  <c r="F61" i="37"/>
  <c r="F81" i="57" l="1"/>
  <c r="F82" i="57" s="1"/>
  <c r="J84" i="57" s="1"/>
  <c r="J86" i="57" s="1"/>
  <c r="J11" i="61" s="1"/>
  <c r="J13" i="61" s="1"/>
  <c r="F81" i="37"/>
  <c r="F86" i="37" s="1"/>
  <c r="F87" i="37" s="1"/>
  <c r="N84" i="57" l="1"/>
  <c r="N86" i="57" s="1"/>
  <c r="N11" i="61" s="1"/>
  <c r="N13" i="61" s="1"/>
  <c r="M84" i="57"/>
  <c r="M86" i="57" s="1"/>
  <c r="M11" i="61" s="1"/>
  <c r="M13" i="61" s="1"/>
  <c r="J29" i="61"/>
  <c r="J98" i="37" s="1"/>
  <c r="J9" i="108" s="1"/>
  <c r="G84" i="57"/>
  <c r="G86" i="57" s="1"/>
  <c r="G11" i="61" s="1"/>
  <c r="G13" i="61" s="1"/>
  <c r="K84" i="57"/>
  <c r="K86" i="57" s="1"/>
  <c r="K11" i="61" s="1"/>
  <c r="K13" i="61" s="1"/>
  <c r="L84" i="57"/>
  <c r="L86" i="57" s="1"/>
  <c r="L11" i="61" s="1"/>
  <c r="L29" i="61" s="1"/>
  <c r="L98" i="37" s="1"/>
  <c r="L16" i="108" s="1"/>
  <c r="I84" i="57"/>
  <c r="I86" i="57" s="1"/>
  <c r="I11" i="61" s="1"/>
  <c r="H84" i="57"/>
  <c r="H86" i="57" s="1"/>
  <c r="H11" i="61" s="1"/>
  <c r="H29" i="61" s="1"/>
  <c r="H98" i="37" s="1"/>
  <c r="H16" i="108" s="1"/>
  <c r="N89" i="37"/>
  <c r="N91" i="37" s="1"/>
  <c r="N92" i="37" s="1"/>
  <c r="N93" i="37" s="1"/>
  <c r="N101" i="37" s="1"/>
  <c r="N11" i="108" s="1"/>
  <c r="K89" i="37"/>
  <c r="K91" i="37" s="1"/>
  <c r="K92" i="37" s="1"/>
  <c r="K93" i="37" s="1"/>
  <c r="K101" i="37" s="1"/>
  <c r="K11" i="108" s="1"/>
  <c r="I89" i="37"/>
  <c r="I91" i="37" s="1"/>
  <c r="I92" i="37" s="1"/>
  <c r="I93" i="37" s="1"/>
  <c r="I101" i="37" s="1"/>
  <c r="I11" i="108" s="1"/>
  <c r="J89" i="37"/>
  <c r="J91" i="37" s="1"/>
  <c r="J92" i="37" s="1"/>
  <c r="J93" i="37" s="1"/>
  <c r="J101" i="37" s="1"/>
  <c r="J11" i="108" s="1"/>
  <c r="L89" i="37"/>
  <c r="L91" i="37" s="1"/>
  <c r="L92" i="37" s="1"/>
  <c r="L93" i="37" s="1"/>
  <c r="L101" i="37" s="1"/>
  <c r="L11" i="108" s="1"/>
  <c r="M89" i="37"/>
  <c r="M91" i="37" s="1"/>
  <c r="M92" i="37" s="1"/>
  <c r="M93" i="37" s="1"/>
  <c r="M101" i="37" s="1"/>
  <c r="M11" i="108" s="1"/>
  <c r="H89" i="37"/>
  <c r="H91" i="37" s="1"/>
  <c r="H92" i="37" s="1"/>
  <c r="H93" i="37" s="1"/>
  <c r="H101" i="37" s="1"/>
  <c r="H11" i="108" s="1"/>
  <c r="G89" i="37"/>
  <c r="G91" i="37" s="1"/>
  <c r="G92" i="37" s="1"/>
  <c r="G93" i="37" s="1"/>
  <c r="G101" i="37" s="1"/>
  <c r="G11" i="108" s="1"/>
  <c r="H11" i="38" l="1"/>
  <c r="L13" i="61"/>
  <c r="L11" i="38"/>
  <c r="H9" i="108"/>
  <c r="N29" i="61"/>
  <c r="N98" i="37" s="1"/>
  <c r="N11" i="38" s="1"/>
  <c r="K29" i="61"/>
  <c r="K98" i="37" s="1"/>
  <c r="K11" i="38" s="1"/>
  <c r="G29" i="61"/>
  <c r="G98" i="37" s="1"/>
  <c r="L9" i="108"/>
  <c r="H99" i="37"/>
  <c r="H10" i="108" s="1"/>
  <c r="L99" i="37"/>
  <c r="L10" i="108" s="1"/>
  <c r="M29" i="61"/>
  <c r="M98" i="37" s="1"/>
  <c r="M99" i="37" s="1"/>
  <c r="M10" i="108" s="1"/>
  <c r="H13" i="61"/>
  <c r="F11" i="61"/>
  <c r="J11" i="38"/>
  <c r="J16" i="108"/>
  <c r="F86" i="57"/>
  <c r="J99" i="37"/>
  <c r="J10" i="108" s="1"/>
  <c r="F84" i="57"/>
  <c r="I13" i="61"/>
  <c r="I29" i="61"/>
  <c r="I98" i="37" s="1"/>
  <c r="F11" i="108"/>
  <c r="F101" i="37"/>
  <c r="F91" i="37"/>
  <c r="F89" i="37"/>
  <c r="K9" i="108" l="1"/>
  <c r="N9" i="108"/>
  <c r="K99" i="37"/>
  <c r="K10" i="108" s="1"/>
  <c r="K16" i="108"/>
  <c r="N99" i="37"/>
  <c r="N103" i="37" s="1"/>
  <c r="N105" i="37" s="1"/>
  <c r="N16" i="108"/>
  <c r="F13" i="61"/>
  <c r="H103" i="37"/>
  <c r="H105" i="37" s="1"/>
  <c r="H13" i="108" s="1"/>
  <c r="M11" i="38"/>
  <c r="M9" i="108"/>
  <c r="M16" i="108"/>
  <c r="L103" i="37"/>
  <c r="L105" i="37" s="1"/>
  <c r="L13" i="108" s="1"/>
  <c r="J103" i="37"/>
  <c r="J105" i="37" s="1"/>
  <c r="J12" i="38" s="1"/>
  <c r="J34" i="38" s="1"/>
  <c r="J35" i="38" s="1"/>
  <c r="J36" i="38" s="1"/>
  <c r="J41" i="38" s="1"/>
  <c r="F29" i="61"/>
  <c r="M103" i="37"/>
  <c r="M105" i="37" s="1"/>
  <c r="M12" i="38" s="1"/>
  <c r="M34" i="38" s="1"/>
  <c r="M39" i="38" s="1"/>
  <c r="I16" i="108"/>
  <c r="I99" i="37"/>
  <c r="I9" i="108"/>
  <c r="I11" i="38"/>
  <c r="G9" i="108"/>
  <c r="G16" i="108"/>
  <c r="G11" i="38"/>
  <c r="G99" i="37"/>
  <c r="G10" i="108" s="1"/>
  <c r="K103" i="37" l="1"/>
  <c r="K105" i="37" s="1"/>
  <c r="K12" i="38" s="1"/>
  <c r="K34" i="38" s="1"/>
  <c r="N10" i="108"/>
  <c r="L12" i="38"/>
  <c r="L34" i="38" s="1"/>
  <c r="L39" i="38" s="1"/>
  <c r="F9" i="108"/>
  <c r="H12" i="38"/>
  <c r="H34" i="38" s="1"/>
  <c r="H39" i="38" s="1"/>
  <c r="M13" i="108"/>
  <c r="J13" i="108"/>
  <c r="F16" i="108"/>
  <c r="I10" i="108"/>
  <c r="I103" i="37"/>
  <c r="I105" i="37" s="1"/>
  <c r="J40" i="38"/>
  <c r="J39" i="38"/>
  <c r="N12" i="38"/>
  <c r="N34" i="38" s="1"/>
  <c r="N13" i="108"/>
  <c r="M35" i="38"/>
  <c r="M40" i="38" s="1"/>
  <c r="F99" i="37"/>
  <c r="F103" i="37" s="1"/>
  <c r="F105" i="37" s="1"/>
  <c r="G103" i="37"/>
  <c r="G105" i="37" s="1"/>
  <c r="F10" i="108" l="1"/>
  <c r="K13" i="108"/>
  <c r="L35" i="38"/>
  <c r="L40" i="38" s="1"/>
  <c r="H35" i="38"/>
  <c r="H40" i="38" s="1"/>
  <c r="I13" i="108"/>
  <c r="I12" i="38"/>
  <c r="I34" i="38" s="1"/>
  <c r="G12" i="38"/>
  <c r="G34" i="38" s="1"/>
  <c r="G39" i="38" s="1"/>
  <c r="G13" i="108"/>
  <c r="N35" i="38"/>
  <c r="N39" i="38"/>
  <c r="K35" i="38"/>
  <c r="K39" i="38"/>
  <c r="M36" i="38"/>
  <c r="M41" i="38" s="1"/>
  <c r="L36" i="38" l="1"/>
  <c r="L41" i="38" s="1"/>
  <c r="H36" i="38"/>
  <c r="H41" i="38" s="1"/>
  <c r="I39" i="38"/>
  <c r="I35" i="38"/>
  <c r="G35" i="38"/>
  <c r="G36" i="38" s="1"/>
  <c r="F34" i="38"/>
  <c r="F39" i="38"/>
  <c r="K36" i="38"/>
  <c r="K41" i="38" s="1"/>
  <c r="K40" i="38"/>
  <c r="N36" i="38"/>
  <c r="N41" i="38" s="1"/>
  <c r="N40" i="38"/>
  <c r="I40" i="38" l="1"/>
  <c r="I36" i="38"/>
  <c r="I41" i="38" s="1"/>
  <c r="G40" i="38"/>
  <c r="F40" i="38" s="1"/>
  <c r="F35" i="38"/>
  <c r="G41" i="38"/>
  <c r="F36" i="38" l="1"/>
  <c r="F41" i="38"/>
</calcChain>
</file>

<file path=xl/comments1.xml><?xml version="1.0" encoding="utf-8"?>
<comments xmlns="http://schemas.openxmlformats.org/spreadsheetml/2006/main">
  <authors>
    <author>Adriaansen, Paul</author>
  </authors>
  <commentList>
    <comment ref="G150" authorId="0">
      <text>
        <r>
          <rPr>
            <sz val="8"/>
            <color indexed="81"/>
            <rFont val="Tahoma"/>
            <family val="2"/>
          </rPr>
          <t>Getal voor aanpassing wordt hier berekend door verschil tussen oorspronkelijke en nieuwe opgave te nemen</t>
        </r>
      </text>
    </comment>
    <comment ref="G168" authorId="0">
      <text>
        <r>
          <rPr>
            <sz val="8"/>
            <color indexed="81"/>
            <rFont val="Tahoma"/>
            <family val="2"/>
          </rPr>
          <t>Getal voor aanpassing wordt hier berekend door verschil tussen oorspronkelijke en nieuwe opgave te nemen</t>
        </r>
      </text>
    </comment>
    <comment ref="G186" authorId="0">
      <text>
        <r>
          <rPr>
            <sz val="8"/>
            <color indexed="81"/>
            <rFont val="Tahoma"/>
            <family val="2"/>
          </rPr>
          <t>Getal voor aanpassing wordt hier berekend door verschil tussen oorspronkelijke en nieuwe opgave te nemen</t>
        </r>
      </text>
    </comment>
    <comment ref="G204" authorId="0">
      <text>
        <r>
          <rPr>
            <sz val="8"/>
            <color indexed="81"/>
            <rFont val="Tahoma"/>
            <family val="2"/>
          </rPr>
          <t>Getal voor aanpassing wordt hier berekend door verschil tussen oorspronkelijke en nieuwe opgave te nemen</t>
        </r>
      </text>
    </comment>
  </commentList>
</comments>
</file>

<file path=xl/comments10.xml><?xml version="1.0" encoding="utf-8"?>
<comments xmlns="http://schemas.openxmlformats.org/spreadsheetml/2006/main">
  <authors>
    <author>Adriaansen, Paul</author>
  </authors>
  <commentList>
    <comment ref="N38" authorId="0">
      <text>
        <r>
          <rPr>
            <sz val="8"/>
            <color indexed="81"/>
            <rFont val="Tahoma"/>
            <family val="2"/>
          </rPr>
          <t>Deze regels zijn niet gebruikt voor aanpassingen. Aanpassingen hebben plaatsgevonden op de input-tabbladen, daarbij is steeds ook een toelichting opgenomen.</t>
        </r>
      </text>
    </comment>
    <comment ref="N66" authorId="0">
      <text>
        <r>
          <rPr>
            <sz val="8"/>
            <color indexed="81"/>
            <rFont val="Tahoma"/>
            <family val="2"/>
          </rPr>
          <t>In deze berekening worden de opbrengsten uit af- en heraansluiten gesaldeerd (i.p.v. de kosten geëlimineerd).
Deze bewerking komt ook terug in de jaren 2010-2012.</t>
        </r>
      </text>
    </comment>
    <comment ref="N134" authorId="0">
      <text>
        <r>
          <rPr>
            <sz val="8"/>
            <color indexed="81"/>
            <rFont val="Tahoma"/>
            <family val="2"/>
          </rPr>
          <t>Deze regels zijn niet gebruikt voor aanpassingen. Aanpassingen hebben plaatsgevonden op de input-tabbladen, daarbij is steeds ook een toelichting opgenomen.</t>
        </r>
      </text>
    </comment>
    <comment ref="N230" authorId="0">
      <text>
        <r>
          <rPr>
            <sz val="8"/>
            <color indexed="81"/>
            <rFont val="Tahoma"/>
            <family val="2"/>
          </rPr>
          <t>Deze regels zijn niet gebruikt voor aanpassingen. Aanpassingen hebben plaatsgevonden op de input-tabbladen, daarbij is steeds ook een toelichting opgenomen.</t>
        </r>
      </text>
    </comment>
    <comment ref="N326" authorId="0">
      <text>
        <r>
          <rPr>
            <sz val="8"/>
            <color indexed="81"/>
            <rFont val="Tahoma"/>
            <family val="2"/>
          </rPr>
          <t>Deze regels zijn niet gebruikt voor aanpassingen. Aanpassingen hebben plaatsgevonden op de input-tabbladen, daarbij is steeds ook een toelichting opgenomen.</t>
        </r>
      </text>
    </comment>
  </commentList>
</comments>
</file>

<file path=xl/comments11.xml><?xml version="1.0" encoding="utf-8"?>
<comments xmlns="http://schemas.openxmlformats.org/spreadsheetml/2006/main">
  <authors>
    <author>Klok, Hilbert</author>
  </authors>
  <commentList>
    <comment ref="J93" authorId="0">
      <text>
        <r>
          <rPr>
            <sz val="8"/>
            <color indexed="81"/>
            <rFont val="Tahoma"/>
            <family val="2"/>
          </rPr>
          <t>Deze wordt direct overgenomen uit stap 1a aangezien dit getal voor Enexis 2012 al wel is gesplitst in Kleinverbruik en Grootverbruik.</t>
        </r>
      </text>
    </comment>
    <comment ref="J97" authorId="0">
      <text>
        <r>
          <rPr>
            <sz val="8"/>
            <color indexed="81"/>
            <rFont val="Tahoma"/>
            <family val="2"/>
          </rPr>
          <t>Deze wordt direct overgenomen uit stap 1a aangezien dit getal voor Enexis 2012 al wel is gesplitst in Kleinverbruik en Grootverbruik.</t>
        </r>
      </text>
    </comment>
    <comment ref="J106" authorId="0">
      <text>
        <r>
          <rPr>
            <sz val="8"/>
            <color indexed="81"/>
            <rFont val="Tahoma"/>
            <family val="2"/>
          </rPr>
          <t>Deze wordt direct overgenomen uit stap 1a aangezien dit getal voor Enexis 2012 al wel is gesplitst in Kleinverbruik en Grootverbruik.</t>
        </r>
      </text>
    </comment>
  </commentList>
</comments>
</file>

<file path=xl/comments12.xml><?xml version="1.0" encoding="utf-8"?>
<comments xmlns="http://schemas.openxmlformats.org/spreadsheetml/2006/main">
  <authors>
    <author>Adriaansen, Paul</author>
  </authors>
  <commentList>
    <comment ref="I21" authorId="0">
      <text>
        <r>
          <rPr>
            <sz val="8"/>
            <color indexed="81"/>
            <rFont val="Tahoma"/>
            <family val="2"/>
          </rPr>
          <t>Aanpassing gegevens augustus 2016: nieuwe waarden PV-berekening i.v.m. aanpassing gegevens in x-factorberekening NE5R</t>
        </r>
      </text>
    </comment>
    <comment ref="J22" authorId="0">
      <text>
        <r>
          <rPr>
            <sz val="8"/>
            <color indexed="81"/>
            <rFont val="Tahoma"/>
            <family val="2"/>
          </rPr>
          <t>Aanpassing gegevens augustus 2016: nieuwe waarden PV-berekening i.v.m. aanpassing gegevens in x-factorberekening NE5R</t>
        </r>
      </text>
    </comment>
    <comment ref="K23" authorId="0">
      <text>
        <r>
          <rPr>
            <sz val="8"/>
            <color indexed="81"/>
            <rFont val="Tahoma"/>
            <family val="2"/>
          </rPr>
          <t>Aanpassing gegevens augustus 2016: nieuwe waarden PV-berekening i.v.m. aanpassing gegevens in x-factorberekening NE5R</t>
        </r>
      </text>
    </comment>
  </commentList>
</comments>
</file>

<file path=xl/comments2.xml><?xml version="1.0" encoding="utf-8"?>
<comments xmlns="http://schemas.openxmlformats.org/spreadsheetml/2006/main">
  <authors>
    <author>Spee, Luuk</author>
    <author>Adriaansen, Paul</author>
    <author>Vaanhold, Jorieke</author>
  </authors>
  <commentList>
    <comment ref="K12" authorId="0">
      <text>
        <r>
          <rPr>
            <sz val="8"/>
            <color indexed="81"/>
            <rFont val="Tahoma"/>
            <family val="2"/>
          </rPr>
          <t>Oorspronkelijke opgave van Liander, opgehoogd i.v.m. inkoop op overgedragen netten, minus saldering van inkoopkosten transport van TenneT bij Liander</t>
        </r>
        <r>
          <rPr>
            <sz val="8"/>
            <color indexed="81"/>
            <rFont val="Tahoma"/>
            <family val="2"/>
          </rPr>
          <t xml:space="preserve">
</t>
        </r>
      </text>
    </comment>
    <comment ref="M12" authorId="0">
      <text>
        <r>
          <rPr>
            <sz val="8"/>
            <color indexed="81"/>
            <rFont val="Tahoma"/>
            <family val="2"/>
          </rPr>
          <t xml:space="preserve">Aanpassing in verband met afwikkeling van inkoopkosten in 2011 die zagen op eerdere jaren.
</t>
        </r>
      </text>
    </comment>
    <comment ref="N26" authorId="1">
      <text>
        <r>
          <rPr>
            <sz val="8"/>
            <color indexed="81"/>
            <rFont val="Tahoma"/>
            <family val="2"/>
          </rPr>
          <t xml:space="preserve">Op basis van opgave van Westland ven totaal, gesplitst op basis van omzetten.
</t>
        </r>
      </text>
    </comment>
    <comment ref="I28" authorId="2">
      <text>
        <r>
          <rPr>
            <sz val="8"/>
            <color indexed="81"/>
            <rFont val="Tahoma"/>
            <family val="2"/>
          </rPr>
          <t>Aanpassing gegevens augustus 2016: 
eliminatie dubbeltelling dubieuze debiteuren</t>
        </r>
      </text>
    </comment>
    <comment ref="K36" authorId="0">
      <text>
        <r>
          <rPr>
            <sz val="8"/>
            <color indexed="81"/>
            <rFont val="Tahoma"/>
            <family val="2"/>
          </rPr>
          <t>Ophoging i.v.m. kosten PAV bij TenneT (2012), minus saldering  inkoopkosten transport van TenneT bij Liander.</t>
        </r>
      </text>
    </comment>
    <comment ref="M36" authorId="0">
      <text>
        <r>
          <rPr>
            <sz val="8"/>
            <color indexed="81"/>
            <rFont val="Tahoma"/>
            <family val="2"/>
          </rPr>
          <t xml:space="preserve">Aanpassing in verband met afwikkeling van inkoopkosten in 2011 die zagen op eerdere jaren.
</t>
        </r>
      </text>
    </comment>
    <comment ref="N50" authorId="1">
      <text>
        <r>
          <rPr>
            <sz val="8"/>
            <color indexed="81"/>
            <rFont val="Tahoma"/>
            <family val="2"/>
          </rPr>
          <t xml:space="preserve">Op basis van opgave van Westland ven totaal, gesplitst op basis van omzetten.
</t>
        </r>
      </text>
    </comment>
    <comment ref="I52" authorId="2">
      <text>
        <r>
          <rPr>
            <sz val="8"/>
            <color indexed="81"/>
            <rFont val="Tahoma"/>
            <family val="2"/>
          </rPr>
          <t xml:space="preserve">Aanpassing gegevens augustus 2016: 
eliminatie dubbeltelling dubieuze debiteuren
</t>
        </r>
      </text>
    </comment>
    <comment ref="K60" authorId="0">
      <text>
        <r>
          <rPr>
            <sz val="8"/>
            <color indexed="81"/>
            <rFont val="Tahoma"/>
            <family val="2"/>
          </rPr>
          <t xml:space="preserve">Ophoging i.v.m. kosten PAV bij TenneT (2012)
</t>
        </r>
      </text>
    </comment>
    <comment ref="M60" authorId="0">
      <text>
        <r>
          <rPr>
            <sz val="8"/>
            <color indexed="81"/>
            <rFont val="Tahoma"/>
            <family val="2"/>
          </rPr>
          <t xml:space="preserve">Aanpassing in verband met afwikkeling van inkoopkosten in 2011 die zagen op eerdere jaren.
</t>
        </r>
      </text>
    </comment>
    <comment ref="N74" authorId="1">
      <text>
        <r>
          <rPr>
            <sz val="8"/>
            <color indexed="81"/>
            <rFont val="Tahoma"/>
            <family val="2"/>
          </rPr>
          <t xml:space="preserve">Op basis van opgave van Westland ven totaal, gesplitst op basis van omzetten.
</t>
        </r>
      </text>
    </comment>
    <comment ref="I76" authorId="2">
      <text>
        <r>
          <rPr>
            <sz val="8"/>
            <color indexed="81"/>
            <rFont val="Tahoma"/>
            <family val="2"/>
          </rPr>
          <t>Aanpassing gegevens augustus 2016: 
eliminatie dubbeltelling dubieuze debiteuren</t>
        </r>
      </text>
    </comment>
    <comment ref="K84" authorId="0">
      <text>
        <r>
          <rPr>
            <sz val="8"/>
            <color indexed="81"/>
            <rFont val="Tahoma"/>
            <family val="2"/>
          </rPr>
          <t xml:space="preserve">Verlaging i.v.m. verschuiving kosten PAV bij TenneT uit 2012 naar eerdere jaren. Voor 2009 geldt dat dit bedrag over 7 maanden in mindering moet worden gebracht.
</t>
        </r>
      </text>
    </comment>
    <comment ref="I100" authorId="2">
      <text>
        <r>
          <rPr>
            <sz val="8"/>
            <color indexed="81"/>
            <rFont val="Tahoma"/>
            <family val="2"/>
          </rPr>
          <t xml:space="preserve">Aanpassing gegevens augustus 2016: 
eliminatie dubbeltelling dubieuze debiteuren
</t>
        </r>
      </text>
    </comment>
  </commentList>
</comments>
</file>

<file path=xl/comments3.xml><?xml version="1.0" encoding="utf-8"?>
<comments xmlns="http://schemas.openxmlformats.org/spreadsheetml/2006/main">
  <authors>
    <author>Leeuwen, Daan van</author>
    <author>padriaansen</author>
    <author>Adriaansen, Paul</author>
    <author>Vaanhold, Jorieke</author>
  </authors>
  <commentList>
    <comment ref="I19" authorId="0">
      <text>
        <r>
          <rPr>
            <b/>
            <sz val="8"/>
            <color indexed="81"/>
            <rFont val="Tahoma"/>
            <family val="2"/>
          </rPr>
          <t xml:space="preserve">Niet gespecificeerd
</t>
        </r>
      </text>
    </comment>
    <comment ref="J19" authorId="0">
      <text>
        <r>
          <rPr>
            <b/>
            <sz val="8"/>
            <color indexed="81"/>
            <rFont val="Tahoma"/>
            <family val="2"/>
          </rPr>
          <t>Kapitaallastenvergoeding</t>
        </r>
      </text>
    </comment>
    <comment ref="M19" authorId="0">
      <text>
        <r>
          <rPr>
            <b/>
            <sz val="8"/>
            <color indexed="81"/>
            <rFont val="Tahoma"/>
            <family val="2"/>
          </rPr>
          <t>PAV Maatwerk meerlengte</t>
        </r>
      </text>
    </comment>
    <comment ref="K20" authorId="0">
      <text>
        <r>
          <rPr>
            <b/>
            <sz val="8"/>
            <color indexed="81"/>
            <rFont val="Tahoma"/>
            <family val="2"/>
          </rPr>
          <t xml:space="preserve">Doorbelasting aan gelieerde partijen
</t>
        </r>
      </text>
    </comment>
    <comment ref="J21" authorId="0">
      <text>
        <r>
          <rPr>
            <b/>
            <sz val="8"/>
            <color indexed="81"/>
            <rFont val="Tahoma"/>
            <family val="2"/>
          </rPr>
          <t>Verhuur en dienstverlening</t>
        </r>
      </text>
    </comment>
    <comment ref="K21" authorId="0">
      <text>
        <r>
          <rPr>
            <b/>
            <sz val="8"/>
            <color indexed="81"/>
            <rFont val="Tahoma"/>
            <family val="2"/>
          </rPr>
          <t>Uitbetaling Medegebruiksvergoeding</t>
        </r>
      </text>
    </comment>
    <comment ref="J23" authorId="0">
      <text>
        <r>
          <rPr>
            <b/>
            <sz val="8"/>
            <color indexed="81"/>
            <rFont val="Tahoma"/>
            <family val="2"/>
          </rPr>
          <t>Afronding</t>
        </r>
      </text>
    </comment>
    <comment ref="I35" authorId="0">
      <text>
        <r>
          <rPr>
            <b/>
            <sz val="8"/>
            <color indexed="81"/>
            <rFont val="Tahoma"/>
            <family val="2"/>
          </rPr>
          <t xml:space="preserve">Niet gespecificeerd
</t>
        </r>
      </text>
    </comment>
    <comment ref="M35" authorId="0">
      <text>
        <r>
          <rPr>
            <b/>
            <sz val="8"/>
            <color indexed="81"/>
            <rFont val="Tahoma"/>
            <family val="2"/>
          </rPr>
          <t>PAV Maatwerk meerlengte</t>
        </r>
      </text>
    </comment>
    <comment ref="K36" authorId="0">
      <text>
        <r>
          <rPr>
            <b/>
            <sz val="8"/>
            <color indexed="81"/>
            <rFont val="Tahoma"/>
            <family val="2"/>
          </rPr>
          <t xml:space="preserve">Doorbelasting aan gelieerde partijen
</t>
        </r>
      </text>
    </comment>
    <comment ref="J37" authorId="0">
      <text>
        <r>
          <rPr>
            <b/>
            <sz val="8"/>
            <color indexed="81"/>
            <rFont val="Tahoma"/>
            <family val="2"/>
          </rPr>
          <t>Verhuur en dienstverlening</t>
        </r>
      </text>
    </comment>
    <comment ref="K37" authorId="0">
      <text>
        <r>
          <rPr>
            <b/>
            <sz val="8"/>
            <color indexed="81"/>
            <rFont val="Tahoma"/>
            <family val="2"/>
          </rPr>
          <t>Uitbetaling Medegebruiksvergoeding</t>
        </r>
      </text>
    </comment>
    <comment ref="J39" authorId="0">
      <text>
        <r>
          <rPr>
            <b/>
            <sz val="8"/>
            <color indexed="81"/>
            <rFont val="Tahoma"/>
            <family val="2"/>
          </rPr>
          <t>Afronding</t>
        </r>
      </text>
    </comment>
    <comment ref="K50" authorId="0">
      <text>
        <r>
          <rPr>
            <b/>
            <sz val="8"/>
            <color indexed="81"/>
            <rFont val="Tahoma"/>
            <family val="2"/>
          </rPr>
          <t xml:space="preserve">Diversen
</t>
        </r>
      </text>
    </comment>
    <comment ref="L50" authorId="0">
      <text>
        <r>
          <rPr>
            <b/>
            <sz val="8"/>
            <color indexed="81"/>
            <rFont val="Tahoma"/>
            <family val="2"/>
          </rPr>
          <t xml:space="preserve">Opbrengsten uit koers, afrondings, prijs en magazijnverschillen </t>
        </r>
      </text>
    </comment>
    <comment ref="N50" authorId="0">
      <text>
        <r>
          <rPr>
            <b/>
            <sz val="8"/>
            <color indexed="81"/>
            <rFont val="Tahoma"/>
            <family val="2"/>
          </rPr>
          <t>Overige omzetten artikel 16</t>
        </r>
      </text>
    </comment>
    <comment ref="N51" authorId="0">
      <text>
        <r>
          <rPr>
            <b/>
            <sz val="8"/>
            <color indexed="81"/>
            <rFont val="Tahoma"/>
            <family val="2"/>
          </rPr>
          <t>Afwikkelling allocatieverschillen</t>
        </r>
      </text>
    </comment>
    <comment ref="J77" authorId="0">
      <text>
        <r>
          <rPr>
            <b/>
            <sz val="8"/>
            <color indexed="81"/>
            <rFont val="Tahoma"/>
            <family val="2"/>
          </rPr>
          <t>Kapitaallastenvergoeding</t>
        </r>
      </text>
    </comment>
    <comment ref="M77" authorId="0">
      <text>
        <r>
          <rPr>
            <b/>
            <sz val="8"/>
            <color indexed="81"/>
            <rFont val="Tahoma"/>
            <family val="2"/>
          </rPr>
          <t>PAV Maatwerk meerlengte</t>
        </r>
      </text>
    </comment>
    <comment ref="K78" authorId="0">
      <text>
        <r>
          <rPr>
            <b/>
            <sz val="8"/>
            <color indexed="81"/>
            <rFont val="Tahoma"/>
            <family val="2"/>
          </rPr>
          <t>Doorbelasting aan gelieerde partijen</t>
        </r>
      </text>
    </comment>
    <comment ref="J79" authorId="0">
      <text>
        <r>
          <rPr>
            <b/>
            <sz val="8"/>
            <color indexed="81"/>
            <rFont val="Tahoma"/>
            <family val="2"/>
          </rPr>
          <t xml:space="preserve">Verhuur en dienstverlening
</t>
        </r>
      </text>
    </comment>
    <comment ref="K79" authorId="0">
      <text>
        <r>
          <rPr>
            <b/>
            <sz val="8"/>
            <color indexed="81"/>
            <rFont val="Tahoma"/>
            <family val="2"/>
          </rPr>
          <t>Uitbetaling Medegebruiksvergoeding</t>
        </r>
      </text>
    </comment>
    <comment ref="M93" authorId="0">
      <text>
        <r>
          <rPr>
            <b/>
            <sz val="8"/>
            <color indexed="81"/>
            <rFont val="Tahoma"/>
            <family val="2"/>
          </rPr>
          <t>PAV Maatwerk meerlengte</t>
        </r>
      </text>
    </comment>
    <comment ref="K94" authorId="0">
      <text>
        <r>
          <rPr>
            <b/>
            <sz val="8"/>
            <color indexed="81"/>
            <rFont val="Tahoma"/>
            <family val="2"/>
          </rPr>
          <t>Doorbelasting aan gelieerde partijen</t>
        </r>
      </text>
    </comment>
    <comment ref="J95" authorId="0">
      <text>
        <r>
          <rPr>
            <b/>
            <sz val="8"/>
            <color indexed="81"/>
            <rFont val="Tahoma"/>
            <family val="2"/>
          </rPr>
          <t xml:space="preserve">Verhuur en dienstverlening
</t>
        </r>
      </text>
    </comment>
    <comment ref="K95" authorId="0">
      <text>
        <r>
          <rPr>
            <b/>
            <sz val="8"/>
            <color indexed="81"/>
            <rFont val="Tahoma"/>
            <family val="2"/>
          </rPr>
          <t>Uitbetaling Medegebruiksvergoeding</t>
        </r>
      </text>
    </comment>
    <comment ref="K108" authorId="0">
      <text>
        <r>
          <rPr>
            <b/>
            <sz val="8"/>
            <color indexed="81"/>
            <rFont val="Tahoma"/>
            <family val="2"/>
          </rPr>
          <t>Diversen</t>
        </r>
      </text>
    </comment>
    <comment ref="L108" authorId="0">
      <text>
        <r>
          <rPr>
            <b/>
            <sz val="8"/>
            <color indexed="81"/>
            <rFont val="Tahoma"/>
            <family val="2"/>
          </rPr>
          <t xml:space="preserve">Opbrengsten uit koers, afrondings, prijs en magazijnverschillen </t>
        </r>
      </text>
    </comment>
    <comment ref="N108" authorId="1">
      <text>
        <r>
          <rPr>
            <sz val="8"/>
            <color indexed="81"/>
            <rFont val="Tahoma"/>
            <family val="2"/>
          </rPr>
          <t xml:space="preserve">
Overige omzetten artikel 16</t>
        </r>
      </text>
    </comment>
    <comment ref="N109" authorId="0">
      <text>
        <r>
          <rPr>
            <b/>
            <sz val="8"/>
            <color indexed="81"/>
            <rFont val="Tahoma"/>
            <family val="2"/>
          </rPr>
          <t>Afwikkelling allocatieverschillen</t>
        </r>
      </text>
    </comment>
    <comment ref="K135" authorId="0">
      <text>
        <r>
          <rPr>
            <b/>
            <sz val="8"/>
            <color indexed="81"/>
            <rFont val="Tahoma"/>
            <family val="2"/>
          </rPr>
          <t>Verschillen tussen Codata (p*q) en omzetverantwoording</t>
        </r>
      </text>
    </comment>
    <comment ref="M135" authorId="0">
      <text>
        <r>
          <rPr>
            <b/>
            <sz val="8"/>
            <color indexed="81"/>
            <rFont val="Tahoma"/>
            <family val="2"/>
          </rPr>
          <t>PAV Maatwerk meerlengte</t>
        </r>
      </text>
    </comment>
    <comment ref="J136" authorId="0">
      <text>
        <r>
          <rPr>
            <b/>
            <sz val="8"/>
            <color indexed="81"/>
            <rFont val="Tahoma"/>
            <family val="2"/>
          </rPr>
          <t>uitvoeringsregeling tegemoetkoming capaciteitstarief</t>
        </r>
      </text>
    </comment>
    <comment ref="K136" authorId="0">
      <text>
        <r>
          <rPr>
            <b/>
            <sz val="8"/>
            <color indexed="81"/>
            <rFont val="Tahoma"/>
            <family val="2"/>
          </rPr>
          <t xml:space="preserve">Doorbelasting aan gelieerde partijen
</t>
        </r>
      </text>
    </comment>
    <comment ref="M136" authorId="0">
      <text>
        <r>
          <rPr>
            <b/>
            <sz val="8"/>
            <color indexed="81"/>
            <rFont val="Tahoma"/>
            <family val="2"/>
          </rPr>
          <t xml:space="preserve">Overige opbrengsten
</t>
        </r>
      </text>
    </comment>
    <comment ref="J137" authorId="0">
      <text>
        <r>
          <rPr>
            <b/>
            <sz val="8"/>
            <color indexed="81"/>
            <rFont val="Tahoma"/>
            <family val="2"/>
          </rPr>
          <t>Verhuur en dienstverlening</t>
        </r>
      </text>
    </comment>
    <comment ref="K137" authorId="0">
      <text>
        <r>
          <rPr>
            <b/>
            <sz val="8"/>
            <color indexed="81"/>
            <rFont val="Tahoma"/>
            <family val="2"/>
          </rPr>
          <t xml:space="preserve">Uitbetaling Medegebruiksvergoeding
</t>
        </r>
      </text>
    </comment>
    <comment ref="M151" authorId="0">
      <text>
        <r>
          <rPr>
            <b/>
            <sz val="8"/>
            <color indexed="81"/>
            <rFont val="Tahoma"/>
            <family val="2"/>
          </rPr>
          <t>PAV Maatwerk meerlengte</t>
        </r>
      </text>
    </comment>
    <comment ref="J152" authorId="0">
      <text>
        <r>
          <rPr>
            <b/>
            <sz val="8"/>
            <color indexed="81"/>
            <rFont val="Tahoma"/>
            <family val="2"/>
          </rPr>
          <t>Uitvoeringsregeling tegemoetkoming capaciteitstarief</t>
        </r>
      </text>
    </comment>
    <comment ref="K152" authorId="0">
      <text>
        <r>
          <rPr>
            <b/>
            <sz val="8"/>
            <color indexed="81"/>
            <rFont val="Tahoma"/>
            <family val="2"/>
          </rPr>
          <t xml:space="preserve">Doorbelasting aan gelieerde partijen
</t>
        </r>
      </text>
    </comment>
    <comment ref="J153" authorId="0">
      <text>
        <r>
          <rPr>
            <b/>
            <sz val="8"/>
            <color indexed="81"/>
            <rFont val="Tahoma"/>
            <family val="2"/>
          </rPr>
          <t>Verhuur en dienstverlening</t>
        </r>
      </text>
    </comment>
    <comment ref="K153" authorId="0">
      <text>
        <r>
          <rPr>
            <b/>
            <sz val="8"/>
            <color indexed="81"/>
            <rFont val="Tahoma"/>
            <family val="2"/>
          </rPr>
          <t xml:space="preserve">Uitbetaling Medegebruiksvergoeding
</t>
        </r>
      </text>
    </comment>
    <comment ref="K166" authorId="0">
      <text>
        <r>
          <rPr>
            <b/>
            <sz val="8"/>
            <color indexed="81"/>
            <rFont val="Tahoma"/>
            <family val="2"/>
          </rPr>
          <t xml:space="preserve">Diversen
</t>
        </r>
      </text>
    </comment>
    <comment ref="L166" authorId="0">
      <text>
        <r>
          <rPr>
            <b/>
            <sz val="8"/>
            <color indexed="81"/>
            <rFont val="Tahoma"/>
            <family val="2"/>
          </rPr>
          <t xml:space="preserve">Opbrengsten uit koers, afrondings, prijs en magazijnverschillen </t>
        </r>
      </text>
    </comment>
    <comment ref="N166" authorId="1">
      <text>
        <r>
          <rPr>
            <sz val="8"/>
            <color indexed="81"/>
            <rFont val="Tahoma"/>
            <family val="2"/>
          </rPr>
          <t>Overige omzetten artikel 16</t>
        </r>
      </text>
    </comment>
    <comment ref="N167" authorId="0">
      <text>
        <r>
          <rPr>
            <b/>
            <sz val="8"/>
            <color indexed="81"/>
            <rFont val="Tahoma"/>
            <family val="2"/>
          </rPr>
          <t>Afwikkelling allocatieverschillen</t>
        </r>
      </text>
    </comment>
    <comment ref="M180" authorId="2">
      <text>
        <r>
          <rPr>
            <sz val="8"/>
            <color indexed="81"/>
            <rFont val="Tahoma"/>
            <family val="2"/>
          </rPr>
          <t>Overdracht van netten aan Tennet in 2011 is in mindering gebracht op investeringenbedragen (betreft geen desinvestering die in GAW blijft).  Zodoende wordt opbrengst (ad 4,7 mln.) hier niet in mindering gebracht.</t>
        </r>
      </text>
    </comment>
    <comment ref="J193" authorId="0">
      <text>
        <r>
          <rPr>
            <b/>
            <sz val="8"/>
            <color indexed="81"/>
            <rFont val="Tahoma"/>
            <family val="2"/>
          </rPr>
          <t>Verhuur en dienstverlening</t>
        </r>
      </text>
    </comment>
    <comment ref="K193" authorId="0">
      <text>
        <r>
          <rPr>
            <b/>
            <sz val="8"/>
            <color indexed="81"/>
            <rFont val="Tahoma"/>
            <family val="2"/>
          </rPr>
          <t>Doorbelasting aan gelieerde partijen</t>
        </r>
      </text>
    </comment>
    <comment ref="M193" authorId="0">
      <text>
        <r>
          <rPr>
            <b/>
            <sz val="8"/>
            <color indexed="81"/>
            <rFont val="Tahoma"/>
            <family val="2"/>
          </rPr>
          <t xml:space="preserve">Overige opbrengsten
</t>
        </r>
      </text>
    </comment>
    <comment ref="K194" authorId="0">
      <text>
        <r>
          <rPr>
            <b/>
            <sz val="8"/>
            <color indexed="81"/>
            <rFont val="Tahoma"/>
            <family val="2"/>
          </rPr>
          <t>Verschillen tussen Codata (p*q) en omzetverantwoording</t>
        </r>
      </text>
    </comment>
    <comment ref="J209" authorId="0">
      <text>
        <r>
          <rPr>
            <b/>
            <sz val="8"/>
            <color indexed="81"/>
            <rFont val="Tahoma"/>
            <family val="2"/>
          </rPr>
          <t>Verhuur en dienstverlening</t>
        </r>
      </text>
    </comment>
    <comment ref="K209" authorId="0">
      <text>
        <r>
          <rPr>
            <b/>
            <sz val="8"/>
            <color indexed="81"/>
            <rFont val="Tahoma"/>
            <family val="2"/>
          </rPr>
          <t>Doorbelasting aan gelieerde partijen</t>
        </r>
      </text>
    </comment>
    <comment ref="K224" authorId="0">
      <text>
        <r>
          <rPr>
            <b/>
            <sz val="8"/>
            <color indexed="81"/>
            <rFont val="Tahoma"/>
            <family val="2"/>
          </rPr>
          <t xml:space="preserve">Diverse omzet
</t>
        </r>
      </text>
    </comment>
    <comment ref="L224" authorId="0">
      <text>
        <r>
          <rPr>
            <b/>
            <sz val="8"/>
            <color indexed="81"/>
            <rFont val="Tahoma"/>
            <family val="2"/>
          </rPr>
          <t>Opbrengsten uit koers, afrondings, prijs en magazijnverschillen</t>
        </r>
      </text>
    </comment>
    <comment ref="N224" authorId="0">
      <text>
        <r>
          <rPr>
            <b/>
            <sz val="8"/>
            <color indexed="81"/>
            <rFont val="Tahoma"/>
            <family val="2"/>
          </rPr>
          <t>Overige omzetten artikel 16</t>
        </r>
      </text>
    </comment>
    <comment ref="K225" authorId="0">
      <text>
        <r>
          <rPr>
            <b/>
            <sz val="8"/>
            <color indexed="81"/>
            <rFont val="Tahoma"/>
            <family val="2"/>
          </rPr>
          <t xml:space="preserve">Diverse opbrengsten
</t>
        </r>
      </text>
    </comment>
    <comment ref="N225" authorId="0">
      <text>
        <r>
          <rPr>
            <b/>
            <sz val="8"/>
            <color indexed="81"/>
            <rFont val="Tahoma"/>
            <family val="2"/>
          </rPr>
          <t>Verrekening allocatieverschillen</t>
        </r>
      </text>
    </comment>
    <comment ref="N234" authorId="3">
      <text>
        <r>
          <rPr>
            <sz val="8"/>
            <color indexed="81"/>
            <rFont val="Tahoma"/>
            <family val="2"/>
          </rPr>
          <t xml:space="preserve">Aanpassing augustus 2016: Aangepast naar afgeboekt bedrag i.p.v. in rekening gebrachte kosten 2012
</t>
        </r>
      </text>
    </comment>
  </commentList>
</comments>
</file>

<file path=xl/comments4.xml><?xml version="1.0" encoding="utf-8"?>
<comments xmlns="http://schemas.openxmlformats.org/spreadsheetml/2006/main">
  <authors>
    <author>padriaansen</author>
  </authors>
  <commentList>
    <comment ref="G29" authorId="0">
      <text>
        <r>
          <rPr>
            <sz val="8"/>
            <color indexed="81"/>
            <rFont val="Tahoma"/>
            <family val="2"/>
          </rPr>
          <t xml:space="preserve">Opgeteld voor MS-T en MS-D (niet gesplitst uitgevraagd). Maar hier niet relevant voor berekening
</t>
        </r>
      </text>
    </comment>
  </commentList>
</comments>
</file>

<file path=xl/comments5.xml><?xml version="1.0" encoding="utf-8"?>
<comments xmlns="http://schemas.openxmlformats.org/spreadsheetml/2006/main">
  <authors>
    <author>Adriaansen, Paul</author>
  </authors>
  <commentList>
    <comment ref="M82" authorId="0">
      <text>
        <r>
          <rPr>
            <sz val="8"/>
            <color indexed="81"/>
            <rFont val="Tahoma"/>
            <family val="2"/>
          </rPr>
          <t xml:space="preserve">Wijziging gegevens (augustus 2016):  naast verbetering in de berekenig is hier een aanpassing doorgevoerd in het investeringsbedrag Stedin 2011 (leidt ook tot aangepaste waarden in 2012). Zie tabblad 'Aanpassing gegevens' voor toelichting.
</t>
        </r>
      </text>
    </comment>
  </commentList>
</comments>
</file>

<file path=xl/comments6.xml><?xml version="1.0" encoding="utf-8"?>
<comments xmlns="http://schemas.openxmlformats.org/spreadsheetml/2006/main">
  <authors>
    <author>Adriaansen, Paul</author>
  </authors>
  <commentList>
    <comment ref="O18" authorId="0">
      <text>
        <r>
          <rPr>
            <sz val="8"/>
            <color indexed="81"/>
            <rFont val="Tahoma"/>
            <family val="2"/>
          </rPr>
          <t>125.000 uit rapportage Ecorys, minus 29.000 eenmalige kosten toe te wijzen aan 2017.</t>
        </r>
      </text>
    </comment>
  </commentList>
</comments>
</file>

<file path=xl/comments7.xml><?xml version="1.0" encoding="utf-8"?>
<comments xmlns="http://schemas.openxmlformats.org/spreadsheetml/2006/main">
  <authors>
    <author>Adriaansen, Paul</author>
  </authors>
  <commentList>
    <comment ref="B39" authorId="0">
      <text>
        <r>
          <rPr>
            <sz val="8"/>
            <color indexed="81"/>
            <rFont val="Tahoma"/>
            <family val="2"/>
          </rPr>
          <t>Wijziging aangebracht in zomer 2016: Aangepaste indeling  (o.b.v. uitspraak CBb), zie toelichting op Blad 'Aanpassing gegevens (zomer2016)'</t>
        </r>
      </text>
    </comment>
    <comment ref="F39" authorId="0">
      <text>
        <r>
          <rPr>
            <sz val="8"/>
            <color indexed="81"/>
            <rFont val="Tahoma"/>
            <family val="2"/>
          </rPr>
          <t>Wijziging aangebracht in zomer 2016: Aangepaste indeling  (o.b.v. uitspraak CBb), zie toelichting op Blad 'Aanpassing gegevens (zomer2016)'</t>
        </r>
      </text>
    </comment>
    <comment ref="J39" authorId="0">
      <text>
        <r>
          <rPr>
            <sz val="8"/>
            <color indexed="81"/>
            <rFont val="Tahoma"/>
            <family val="2"/>
          </rPr>
          <t>Wijziging aangebracht in zomer 2016: Aangepaste indeling  (o.b.v. uitspraak CBb), zie toelichting op Blad 'Aanpassing gegevens (zomer2016)'</t>
        </r>
      </text>
    </comment>
    <comment ref="N39" authorId="0">
      <text>
        <r>
          <rPr>
            <sz val="8"/>
            <color indexed="81"/>
            <rFont val="Tahoma"/>
            <family val="2"/>
          </rPr>
          <t>Wijziging aangebracht in zomer 2016: Aangepaste indeling  (o.b.v. uitspraak CBb), zie toelichting op Blad 'Aanpassing gegevens (zomer2016)'</t>
        </r>
      </text>
    </comment>
    <comment ref="V39" authorId="0">
      <text>
        <r>
          <rPr>
            <sz val="8"/>
            <color indexed="81"/>
            <rFont val="Tahoma"/>
            <family val="2"/>
          </rPr>
          <t>Wijziging aangebracht in zomer 2016: Aangepaste indeling  (o.b.v. uitspraak CBb), zie toelichting op Blad 'Aanpassing gegevens (zomer2016)'</t>
        </r>
      </text>
    </comment>
    <comment ref="J83" authorId="0">
      <text>
        <r>
          <rPr>
            <sz val="8"/>
            <color indexed="81"/>
            <rFont val="Tahoma"/>
            <family val="2"/>
          </rPr>
          <t>Extra regel, eerder niet opgenomen in tabel</t>
        </r>
      </text>
    </comment>
    <comment ref="X83" authorId="0">
      <text>
        <r>
          <rPr>
            <sz val="8"/>
            <color indexed="81"/>
            <rFont val="Tahoma"/>
            <family val="2"/>
          </rPr>
          <t>berekening handmatig aangepast omdat in 2010 nog geen opgave werd gedaan over de categorie "3-6MVA".</t>
        </r>
      </text>
    </comment>
    <comment ref="K85" authorId="0">
      <text>
        <r>
          <rPr>
            <sz val="8"/>
            <color indexed="81"/>
            <rFont val="Tahoma"/>
            <family val="2"/>
          </rPr>
          <t>Formule uitgebreid met extra regel</t>
        </r>
      </text>
    </comment>
    <comment ref="L92" authorId="0">
      <text>
        <r>
          <rPr>
            <sz val="8"/>
            <color indexed="81"/>
            <rFont val="Tahoma"/>
            <family val="2"/>
          </rPr>
          <t>Formule uitgebreid met extra categorie</t>
        </r>
      </text>
    </comment>
    <comment ref="J112" authorId="0">
      <text>
        <r>
          <rPr>
            <sz val="8"/>
            <color indexed="81"/>
            <rFont val="Tahoma"/>
            <family val="2"/>
          </rPr>
          <t>Extra regel, eerder niet opgenomen in tabel</t>
        </r>
      </text>
    </comment>
    <comment ref="X112" authorId="0">
      <text>
        <r>
          <rPr>
            <sz val="8"/>
            <color indexed="81"/>
            <rFont val="Tahoma"/>
            <family val="2"/>
          </rPr>
          <t>berekening handmatig aangepast omdat in 2010 nog geen opgave werd gedaan over de categorie "3-6MVA".</t>
        </r>
      </text>
    </comment>
    <comment ref="L119" authorId="0">
      <text>
        <r>
          <rPr>
            <sz val="8"/>
            <color indexed="81"/>
            <rFont val="Tahoma"/>
            <family val="2"/>
          </rPr>
          <t>Formule uitgebreid met extra categorie</t>
        </r>
      </text>
    </comment>
  </commentList>
</comments>
</file>

<file path=xl/comments8.xml><?xml version="1.0" encoding="utf-8"?>
<comments xmlns="http://schemas.openxmlformats.org/spreadsheetml/2006/main">
  <authors>
    <author>Adriaansen, Paul</author>
  </authors>
  <commentList>
    <comment ref="B39" authorId="0">
      <text>
        <r>
          <rPr>
            <sz val="8"/>
            <color indexed="81"/>
            <rFont val="Tahoma"/>
            <family val="2"/>
          </rPr>
          <t>Wijziging aangebracht in zomer 2016: Aangepaste indeling  (o.b.v. uitspraak CBb), zie toelichting op Blad 'Aanpassing gegevens (zomer2016)'</t>
        </r>
      </text>
    </comment>
    <comment ref="F39" authorId="0">
      <text>
        <r>
          <rPr>
            <sz val="8"/>
            <color indexed="81"/>
            <rFont val="Tahoma"/>
            <family val="2"/>
          </rPr>
          <t>Wijziging aangebracht in zomer 2016: Aangepaste indeling  (o.b.v. uitspraak CBb), zie toelichting op Blad 'Aanpassing gegevens (zomer2016)'</t>
        </r>
      </text>
    </comment>
    <comment ref="J39" authorId="0">
      <text>
        <r>
          <rPr>
            <sz val="8"/>
            <color indexed="81"/>
            <rFont val="Tahoma"/>
            <family val="2"/>
          </rPr>
          <t>Wijziging aangebracht in zomer 2016: Aangepaste indeling  (o.b.v. uitspraak CBb), zie toelichting op Blad 'Aanpassing gegevens (zomer2016)'</t>
        </r>
      </text>
    </comment>
    <comment ref="N39" authorId="0">
      <text>
        <r>
          <rPr>
            <sz val="8"/>
            <color indexed="81"/>
            <rFont val="Tahoma"/>
            <family val="2"/>
          </rPr>
          <t>Wijziging aangebracht in zomer 2016: Aangepaste indeling  (o.b.v. uitspraak CBb), zie toelichting op Blad 'Aanpassing gegevens (zomer2016)'</t>
        </r>
      </text>
    </comment>
    <comment ref="V39" authorId="0">
      <text>
        <r>
          <rPr>
            <sz val="8"/>
            <color indexed="81"/>
            <rFont val="Tahoma"/>
            <family val="2"/>
          </rPr>
          <t>Wijziging aangebracht in zomer 2016: Aangepaste indeling  (o.b.v. uitspraak CBb), zie toelichting op Blad 'Aanpassing gegevens (zomer2016)'</t>
        </r>
      </text>
    </comment>
  </commentList>
</comments>
</file>

<file path=xl/comments9.xml><?xml version="1.0" encoding="utf-8"?>
<comments xmlns="http://schemas.openxmlformats.org/spreadsheetml/2006/main">
  <authors>
    <author>Ruijter, Johan de</author>
  </authors>
  <commentList>
    <comment ref="D31" authorId="0">
      <text>
        <r>
          <rPr>
            <sz val="8"/>
            <color indexed="81"/>
            <rFont val="Tahoma"/>
            <family val="2"/>
          </rPr>
          <t xml:space="preserve">Wijziging doorgevoerd nav
mailwisseling Stedin-ACM september 2014
</t>
        </r>
      </text>
    </comment>
  </commentList>
</comments>
</file>

<file path=xl/sharedStrings.xml><?xml version="1.0" encoding="utf-8"?>
<sst xmlns="http://schemas.openxmlformats.org/spreadsheetml/2006/main" count="12837" uniqueCount="1543">
  <si>
    <t>Jaar</t>
  </si>
  <si>
    <t>Berekening van operationele kosten</t>
  </si>
  <si>
    <t>Dit blad geeft een overzicht van de data met betrekking tot de operationele kosten en standaardiseert de door netbeheerders opgegeven kosten tot stadaard kostenposten.</t>
  </si>
  <si>
    <t>JAAR 2009 TARIEVEN</t>
  </si>
  <si>
    <t>JAAR 2009 VOLUME</t>
  </si>
  <si>
    <t>JAAR 2010 TARIEVEN</t>
  </si>
  <si>
    <t>JAAR 2010 VOLUME</t>
  </si>
  <si>
    <t>JAAR 2011 TARIEVEN</t>
  </si>
  <si>
    <t>JAAR 2011 VOLUME</t>
  </si>
  <si>
    <t>JAAR 2012 TARIEVEN</t>
  </si>
  <si>
    <t>JAAR 2012 VOLUME</t>
  </si>
  <si>
    <t>X-factorberekening</t>
  </si>
  <si>
    <t>Productiviteitsdata OPEX Elektriciteit</t>
  </si>
  <si>
    <t>Dit blad bevat alle PRD-gegevens over de OPEX voor Elektriciteit zoals ingediend door de netbeheerders.</t>
  </si>
  <si>
    <t>Onderstaand is per verslagjaar de meest recente opgave betrokken die door de netbeheerder is ingediend.</t>
  </si>
  <si>
    <t>Productiviteitsdata Overige Opbrengsten Elektriciteit</t>
  </si>
  <si>
    <t>Dit blad bevat alle PRD-gegevens over de Overige opbrnegsten uit gereguleerde activiteiten voor Elektriciteit zoals ingediend door de netbeheerders.</t>
  </si>
  <si>
    <t>Gegevens Overige opbrengsten over verslagjaar: 2009</t>
  </si>
  <si>
    <t>Opgegeven opbrengsten niet-tariefgereguleerde activiteiten</t>
  </si>
  <si>
    <t>TD: Uitgevoerde werkzaamheden transportdienst (bijv. verwijderingen)</t>
  </si>
  <si>
    <t>AD: Verplaatsen, wijzigen of verwijderen van aansluitingen</t>
  </si>
  <si>
    <t>AD: PAV Maatwerkaansluitingen</t>
  </si>
  <si>
    <t>AD: Tijdelijke aansluitingen</t>
  </si>
  <si>
    <t>AD: Afsluiten en heraansluiten</t>
  </si>
  <si>
    <t>TD + AD: Opbrengst uit verhuur en verkoop materialen e.d.</t>
  </si>
  <si>
    <t>Diverse en overig 1 (zie toelichting in opmerking)</t>
  </si>
  <si>
    <t>Diverse en overig 2 (zie toelichting in opmerking)</t>
  </si>
  <si>
    <t>Diverse en overig 3 (zie toelichting in opmerking)</t>
  </si>
  <si>
    <t>Diverse en overig 4 (zie toelichting in opmerking)</t>
  </si>
  <si>
    <t>Diverse en overig 5 (zie toelichting in opmerking)</t>
  </si>
  <si>
    <t>Opgegeven te salderen kosten niet-tariefgereguleerde activiteiten</t>
  </si>
  <si>
    <t>Opgegeven niet-tariefinkomsten uit tariefgereguleerde activiteiten</t>
  </si>
  <si>
    <t>Fraude en leegstand: In rekening gebrachte elektriciteit</t>
  </si>
  <si>
    <t>Fraude en leegstand: In rekening gebrachte transport- en aansluitvergoeding</t>
  </si>
  <si>
    <t>Fraude en leegstand: In rekening gebrachte overige kosten</t>
  </si>
  <si>
    <t>TD + AD: In rekening gebrachte schades en storingen</t>
  </si>
  <si>
    <t>TD + AD: In rekening gebrachte incasso, administratie- en aanmaningskosten</t>
  </si>
  <si>
    <t>Gegevens Overige opbrengsten over verslagjaar: 2010</t>
  </si>
  <si>
    <t>Gegevens Overige opbrengsten over verslagjaar: 2011</t>
  </si>
  <si>
    <t>Gegevens Overige opbrengsten over verslagjaar: 2012</t>
  </si>
  <si>
    <t>Productiviteitsdata Volumes Transportdienst Elektriciteit</t>
  </si>
  <si>
    <t>Dit blad bevat alle PRD-gegevens over de Volumes van de transportdienst voor Elektriciteit zoals ingediend door de netbeheerders.</t>
  </si>
  <si>
    <t>Gegevens Volumes TD over verslagjaar: 2009</t>
  </si>
  <si>
    <t>kW max per jaar</t>
  </si>
  <si>
    <t>kVArh blindvermogen</t>
  </si>
  <si>
    <t>Kleinverbruikers (t/m 3*80 A op LS) capaciteitstarieven per afnemerscategorie</t>
  </si>
  <si>
    <t>t/m 3*25A + alle 1-fase aansluitingen1</t>
  </si>
  <si>
    <t>Gegevens Volumes TD over verslagjaar: 2010</t>
  </si>
  <si>
    <t>Gegevens Volumes TD over verslagjaar: 2011</t>
  </si>
  <si>
    <t>A. NETVLAKKEN HS en TS</t>
  </si>
  <si>
    <t>B. NETVLAKKEN MS</t>
  </si>
  <si>
    <t>C. NETVLAKKEN LS (incl. kleinverbruikers)</t>
  </si>
  <si>
    <t>(1) Met uitzondering van de 1*6A aansluitingen op het geschakeld net.</t>
  </si>
  <si>
    <t>D. BLINDVERMOGEN</t>
  </si>
  <si>
    <t>Gegevens Volumes TD over verslagjaar: 2012</t>
  </si>
  <si>
    <t>Tarieven Transportdienst Elektriciteit 2013</t>
  </si>
  <si>
    <t>Dit blad bevat alle Tarieven voor de transportdienst voor Elektriciteit zoals die zijn vastgesteld in de tarievenbesluiten voor het jaar 2013</t>
  </si>
  <si>
    <t>De gegevens zijn ontleend aan de opgenomen bedragen in de Bijlage bij het tarievenbesluit van iedere netbeheerder</t>
  </si>
  <si>
    <t>Tarieven Transportdienst voor het jaar 2013</t>
  </si>
  <si>
    <t>Productiviteitsdata Volumes Invoeding (DCO) Elektriciteit</t>
  </si>
  <si>
    <t>Dit blad bevat alle PRD-gegevens over de Volumes van Invoeding voor Elektriciteit zoals ingediend door de netbeheerders.</t>
  </si>
  <si>
    <t>Gegevens Volumes Invoeding over verslagjaar: 2009</t>
  </si>
  <si>
    <t>Gegevens Volumes Invoeding over verslagjaar: 2010</t>
  </si>
  <si>
    <t>Gegevens Volumes Invoeding over verslagjaar: 2011</t>
  </si>
  <si>
    <t>Gegevens Volumes Invoeding over verslagjaar: 2012</t>
  </si>
  <si>
    <t>Standaardisatie EAV en PAV (obv PRD)</t>
  </si>
  <si>
    <t>Standaardisatie volumes Transportdienst Elektriciteit</t>
  </si>
  <si>
    <t>Ophalen volumes TD over verslagjaar: 2009</t>
  </si>
  <si>
    <t>Ophalen volumes TD over verslagjaar: 2010</t>
  </si>
  <si>
    <t>Berekening Rekenvolumes</t>
  </si>
  <si>
    <t>Rekenvolumes Transportdienst 2014-2016 (o.b.v. gemiddelde 2010-2012)</t>
  </si>
  <si>
    <t>Bewerken  gegevens OPEX over verslagjaar: 2011</t>
  </si>
  <si>
    <t>Bewerken  gegevens OPEX over verslagjaar: 2012</t>
  </si>
  <si>
    <t>OPHALEN RUWE OPEX (zoals opgegeven in PRD)</t>
  </si>
  <si>
    <t>NETTO-OPEX T.B.V. REGULERING</t>
  </si>
  <si>
    <t>Totaal netto-OPEX (ten behoeve van tariefregulering)</t>
  </si>
  <si>
    <t>Opgegeven opbrengsten uit desinvesteringen</t>
  </si>
  <si>
    <t>Opbrengsten uit desinvesteringen</t>
  </si>
  <si>
    <t>Ophalen relevante parameters</t>
  </si>
  <si>
    <t>Begininkomsten 2013</t>
  </si>
  <si>
    <t>Eindinkomsten 2016</t>
  </si>
  <si>
    <t>EAV (incl. meerlengte)</t>
  </si>
  <si>
    <t>in EUR, pp 2013</t>
  </si>
  <si>
    <t>CPI</t>
  </si>
  <si>
    <t>Toelichting bij dit bestand</t>
  </si>
  <si>
    <t>X-factor voor de periode 2014-2016</t>
  </si>
  <si>
    <t>X-factor voor de periode 2014-2016 (onafgerond)</t>
  </si>
  <si>
    <t>SO Periodieke aansluitvergoeding</t>
  </si>
  <si>
    <t>SO Eenmalige aansluitvergoeding</t>
  </si>
  <si>
    <t>Ophalen te gebruiken gegevens</t>
  </si>
  <si>
    <t>Productiviteitsverandering 2013-2016</t>
  </si>
  <si>
    <t>Besparingen invoering nieuwe marktmodel (sectortotaal)</t>
  </si>
  <si>
    <t>Inkomsten uit Eenmalige Aansluitvergoedingen</t>
  </si>
  <si>
    <t>CPI en Productiviteitsverandering</t>
  </si>
  <si>
    <t>Genormaliseerde totale kosten 2010</t>
  </si>
  <si>
    <t>Genormaliseerde totale kosten 2011</t>
  </si>
  <si>
    <t>Genormaliseerde totale kosten 2012</t>
  </si>
  <si>
    <t>Genormaliseerde totale kosten 2010 in efficiëntie-niveau en prijspeil 2013</t>
  </si>
  <si>
    <t>Dit blad geeft een overzicht van de omzet uit de Eenmalige Aansluitvergoeding van de regionale netbeheerders voor de jaren 2009-2012</t>
  </si>
  <si>
    <t>Berekening Eenmalige Aansluitvergoedingen</t>
  </si>
  <si>
    <t>Ophalen volumes en Tarieven EAV voor verslagjaar: 2009</t>
  </si>
  <si>
    <t>VOLUMES EAV</t>
  </si>
  <si>
    <t>TARIEVEN EAV</t>
  </si>
  <si>
    <t>Ophalen volumes en Tarieven EAV voor verslagjaar: 2010</t>
  </si>
  <si>
    <t>Ophalen volumes en Tarieven EAV voor verslagjaar: 2011</t>
  </si>
  <si>
    <t>Ophalen volumes en Tarieven EAV voor verslagjaar: 2012</t>
  </si>
  <si>
    <t>Berekening totaalbedrag Eenmalige aansluitvergoedingen</t>
  </si>
  <si>
    <t>EAV 2009</t>
  </si>
  <si>
    <t>EAV 2010</t>
  </si>
  <si>
    <t>EAV 2011</t>
  </si>
  <si>
    <t>EAV 2012</t>
  </si>
  <si>
    <t>Inschatting SO 2013 (met toepassing rekenvolumes 2014-2016)</t>
  </si>
  <si>
    <t>OPHALEN GEGEVENS</t>
  </si>
  <si>
    <t>Waarvan:</t>
  </si>
  <si>
    <t>Lokale Heffingen: precario</t>
  </si>
  <si>
    <t>Lokale Heffingen: gedoogbelastingen</t>
  </si>
  <si>
    <t>Netto operationele kosten</t>
  </si>
  <si>
    <t>BEREKENING TOTALE KOSTEN</t>
  </si>
  <si>
    <t>SO Transportdienst op basis van Rekenvolumes 2014-2016</t>
  </si>
  <si>
    <t>Genormaliseerde totale kosten 2011 in efficiëntie-niveau en prijspeil 2013</t>
  </si>
  <si>
    <t>Genormaliseerde totale kosten 2012 in efficiëntie-niveau en prijspeil 2013</t>
  </si>
  <si>
    <t>Gemiddelde genormaliseerde totale kosten in efficiëntie-niveau 2013</t>
  </si>
  <si>
    <t>Berekening gemiddelde kosten ORV Lokale Heffingen</t>
  </si>
  <si>
    <t>Kosten voor ORV Lokale Heffingen 2010 in efficiëntie-niveau en prijspeil 2013</t>
  </si>
  <si>
    <t>Kosten voor ORV Lokale Heffingen 2011 in efficiëntie-niveau en prijspeil 2013</t>
  </si>
  <si>
    <t>Kosten voor ORV Lokale Heffingen 2012 in efficiëntie-niveau en prijspeil 2013</t>
  </si>
  <si>
    <t>Gemiddelde kosten ORV Lokale Heffingen in efficiëntie-niveau 2013</t>
  </si>
  <si>
    <t>EUR/#, pp 2013</t>
  </si>
  <si>
    <t>Berekening Eindinkomsten</t>
  </si>
  <si>
    <t>Berekening X-factor</t>
  </si>
  <si>
    <t>Efficiënte kosten 2016 per netbeheerder</t>
  </si>
  <si>
    <t>Inschatting efficiënte kosten ORV Lokale Heffingen 2016</t>
  </si>
  <si>
    <t>Van 2010</t>
  </si>
  <si>
    <t>Van 2011</t>
  </si>
  <si>
    <t>Van 2012</t>
  </si>
  <si>
    <t>Naar 2013</t>
  </si>
  <si>
    <t>CPI naar 2013</t>
  </si>
  <si>
    <t>Kostengegevens inkoop Transport</t>
  </si>
  <si>
    <t>Uitkomsten x- en q-factorberekening</t>
  </si>
  <si>
    <t>Q-factor voor de periode 2014-2016</t>
  </si>
  <si>
    <t>Voorcalculatorische inschatting inkoopkosten transport</t>
  </si>
  <si>
    <t>Inschatting inkoopkosten transport 2014</t>
  </si>
  <si>
    <t>Inschatting inkoopkosten transport 2015</t>
  </si>
  <si>
    <t>Inschatting inkoopkosten transport 2016</t>
  </si>
  <si>
    <t>Volumeniveau waar bovenstaande inschattingen op zijn gebaseerd</t>
  </si>
  <si>
    <t>Toegestane Inkomsten 2014 voor toepassing wettelijke formule</t>
  </si>
  <si>
    <t>Toegestane Inkomsten 2015 voor toepassing wettelijke formule</t>
  </si>
  <si>
    <t>Toegestane Inkomsten 2016 voor toepassing wettelijke formule</t>
  </si>
  <si>
    <t>Samengestelde output op basis van rekenvolumes 2014-2016</t>
  </si>
  <si>
    <t>Inkoopkosten transport 2010 in efficiëntie-niveau en prijspeil 2013</t>
  </si>
  <si>
    <t>Berekening gemiddelde kosten Inkoopkosten Transport</t>
  </si>
  <si>
    <t>Inkoopkosten transport 2011 in efficiëntie-niveau en prijspeil 2013</t>
  </si>
  <si>
    <t>Inkoopkosten transport 2012 in efficiëntie-niveau en prijspeil 2013</t>
  </si>
  <si>
    <t>Gemiddelde inkoopkosten transport in efficiëntie-niveau 2013</t>
  </si>
  <si>
    <t>Inschatting van CPI 2014-2016 (per jaar)</t>
  </si>
  <si>
    <t>EUR, pp 2016</t>
  </si>
  <si>
    <t>Eindinkomsten 2016 t.b.v. de x-factorberekening in geschat prijspeil 2016</t>
  </si>
  <si>
    <t>EUR, pp 2014</t>
  </si>
  <si>
    <t>EUR, pp 2015</t>
  </si>
  <si>
    <t>Indicatieve tariefruimte 2014 op basis van verwachte CPI</t>
  </si>
  <si>
    <t>Indicatieve tariefruimte 2015 op basis van verwachte CPI</t>
  </si>
  <si>
    <t>Indicatieve tariefruimte 2016 op basis van verwachte CPI</t>
  </si>
  <si>
    <t>Berekening productiviteitsverandering</t>
  </si>
  <si>
    <t>Van 2009</t>
  </si>
  <si>
    <t>in #</t>
  </si>
  <si>
    <t>Jaarlijkse productiviteitsverandering</t>
  </si>
  <si>
    <t>Inschatting productiviteitsverandering 2013-2016</t>
  </si>
  <si>
    <t>Jaarlijkse PV + 1</t>
  </si>
  <si>
    <t>Cogas</t>
  </si>
  <si>
    <t>DNWB</t>
  </si>
  <si>
    <t>Endinet</t>
  </si>
  <si>
    <t>Enexis</t>
  </si>
  <si>
    <t>Liander</t>
  </si>
  <si>
    <t>RENDO</t>
  </si>
  <si>
    <t>Stedin</t>
  </si>
  <si>
    <t>Westland</t>
  </si>
  <si>
    <t>Totaal</t>
  </si>
  <si>
    <t>Totaal / algemeen</t>
  </si>
  <si>
    <t>Import gegevens uit GAW sheet</t>
  </si>
  <si>
    <t>Gegevens uit GAW sheet over verslagjaar: 2009</t>
  </si>
  <si>
    <t>in EUR, pp 2009</t>
  </si>
  <si>
    <t>in EUR, pp 2010</t>
  </si>
  <si>
    <t>in EUR, pp 2011</t>
  </si>
  <si>
    <t>in EUR, pp 2012</t>
  </si>
  <si>
    <t>CPI Data (bron CBS)</t>
  </si>
  <si>
    <t>CPI (volgens wettelijke formule)</t>
  </si>
  <si>
    <t>CPI (in rij vorm)</t>
  </si>
  <si>
    <t>CPI-tabel</t>
  </si>
  <si>
    <t>VAN</t>
  </si>
  <si>
    <t>NAAR</t>
  </si>
  <si>
    <t>CPI-tabel (van en naar omgedraaid)</t>
  </si>
  <si>
    <t>Gegevens uit GAW sheet over verslagjaar: 2010</t>
  </si>
  <si>
    <t>Gegevens uit GAW sheet over verslagjaar: 2011</t>
  </si>
  <si>
    <t>Gegevens uit GAW sheet over verslagjaar: 2012</t>
  </si>
  <si>
    <t>Inkoop</t>
  </si>
  <si>
    <t>Inkoop transport bij landelijk netbeheerder</t>
  </si>
  <si>
    <t>Inkoop transport bij regionale netbeheerder(s)</t>
  </si>
  <si>
    <t xml:space="preserve">Inkoop energie en vermogen </t>
  </si>
  <si>
    <t>Reguliere operationele kosten</t>
  </si>
  <si>
    <t>Personeelskosten, uitbesteed werk en andere externe kosten</t>
  </si>
  <si>
    <t>Overige kosten</t>
  </si>
  <si>
    <t>Lokale Heffingen</t>
  </si>
  <si>
    <t>Precario</t>
  </si>
  <si>
    <t>Gedoogbelastingen</t>
  </si>
  <si>
    <t>Voorzieningen</t>
  </si>
  <si>
    <t>Totaal operationele kosten uit gereguleerde activiteiten</t>
  </si>
  <si>
    <t>Gegevens OPEX over verslagjaar: 2009</t>
  </si>
  <si>
    <t>Gegevens OPEX over verslagjaar: 2010</t>
  </si>
  <si>
    <t>Gegevens OPEX over verslagjaar: 2011</t>
  </si>
  <si>
    <t>Gegevens OPEX over verslagjaar: 2012</t>
  </si>
  <si>
    <t>Afnemers MS (1-20 kV) - TRANSPORT</t>
  </si>
  <si>
    <t>Afnemers MS (1-20 kV) - DISTRIBUTIE</t>
  </si>
  <si>
    <t>Afnemers HS (110-150 kV)</t>
  </si>
  <si>
    <t>Vastrecht transportdienst</t>
  </si>
  <si>
    <t>kW gecontracteerd per jaar</t>
  </si>
  <si>
    <t>kW max per maand</t>
  </si>
  <si>
    <t>Afnemers HS (110-150 kV) maximaal 600 uur per jaar</t>
  </si>
  <si>
    <t>kW max per week</t>
  </si>
  <si>
    <t>Afnemers TS (25-50 kV)</t>
  </si>
  <si>
    <t>Afnemers TS (25-50 kV) maximaal 600 uur per jaar</t>
  </si>
  <si>
    <t xml:space="preserve">Afnemers Trafo HS+TS/MS </t>
  </si>
  <si>
    <t>Afnemers Trafo HS+TS/MS maximaal 600 uur per jaar</t>
  </si>
  <si>
    <t>Afnemers MS (1-20 kV) - Transport</t>
  </si>
  <si>
    <t>kW gecontracteerd</t>
  </si>
  <si>
    <t>kWh tarief normaal</t>
  </si>
  <si>
    <t>Afnemers MS (1-20 kV) - Distributie</t>
  </si>
  <si>
    <t>Afnemers Trafo MS/LS</t>
  </si>
  <si>
    <t xml:space="preserve">Afnemers LS </t>
  </si>
  <si>
    <t>kWh tarief laag</t>
  </si>
  <si>
    <t>Kleinverbruikers (t/m 3*80 A op LS)</t>
  </si>
  <si>
    <t>Vastrecht transportdienst t/m 1*6A LS geschakeld</t>
  </si>
  <si>
    <t>Vastrecht transportdienst t/m 3*80A op LS</t>
  </si>
  <si>
    <t>Kleinverbruikers (t/m 3*80 A op LS) capaciteitstarieven</t>
  </si>
  <si>
    <t>&gt; 3*63A t/m 3*80A</t>
  </si>
  <si>
    <t>&gt; 3*50A t/m 3*63A</t>
  </si>
  <si>
    <t>&gt; 3*35A t/m 3*50A</t>
  </si>
  <si>
    <t>&gt; 3*25A t/m 3*35A</t>
  </si>
  <si>
    <t>t/m 3*25A + alle 1-fase aansluitingen (1)</t>
  </si>
  <si>
    <t>t/m 1*6A op het geschakeld net</t>
  </si>
  <si>
    <t>kVArh blindvermogen MS en hoger</t>
  </si>
  <si>
    <t>kVArh blindvermogen lager dan MS</t>
  </si>
  <si>
    <t>#</t>
  </si>
  <si>
    <t>Invoeding TS (25-50 kV)</t>
  </si>
  <si>
    <t>kWh-invoeding, tot</t>
  </si>
  <si>
    <t>kWmax-invoedingssaldo, tot</t>
  </si>
  <si>
    <t>kWmax-invoedingssaldo, max</t>
  </si>
  <si>
    <t xml:space="preserve">Invoeding Trafo HS+TS/MS </t>
  </si>
  <si>
    <t>Invoeding MS (1-20 kV) - Transport</t>
  </si>
  <si>
    <t>Invoeding MS (1-20 kV) - Distributie</t>
  </si>
  <si>
    <t>Invoeding Trafo MS/LS</t>
  </si>
  <si>
    <t>Hiermee maken we de kosten van de verschillende netbeheerders onderling vergelijkbaar en toepasbaar voor de berekekning van de x factor.</t>
  </si>
  <si>
    <t>t/m 1 x 6A geschakeld net</t>
  </si>
  <si>
    <t>t/m 3*25 A</t>
  </si>
  <si>
    <t>&gt;3*25A t/m 3*80A</t>
  </si>
  <si>
    <t>MS en &gt;MS</t>
  </si>
  <si>
    <t>LS &amp; Trafo MS/LS</t>
  </si>
  <si>
    <t>Dit blad geeft een overzicht van de rekenvolumes van de regionale netbeheerders voor de jaren 2014-2016.</t>
  </si>
  <si>
    <t>Standaardisatie Output (SO)</t>
  </si>
  <si>
    <t>Berekening wegingsfactoren</t>
  </si>
  <si>
    <t>%</t>
  </si>
  <si>
    <t/>
  </si>
  <si>
    <t>MS</t>
  </si>
  <si>
    <t>&gt;MS</t>
  </si>
  <si>
    <t>Bewerken  gegevens OPEX over verslagjaar: 2009</t>
  </si>
  <si>
    <t>Bewerken  gegevens OPEX over verslagjaar: 2010</t>
  </si>
  <si>
    <t>Rekenvolumes Invoeding 2014-2016 (o.b.v. gemiddelde 2010-2012)</t>
  </si>
  <si>
    <t>Wegingsfactoren transportdienst</t>
  </si>
  <si>
    <t>Aansluitdienst</t>
  </si>
  <si>
    <t>Netvlakken HS en TS</t>
  </si>
  <si>
    <t>Netvlakken LS (incl. kleinverbruikers)</t>
  </si>
  <si>
    <t>Blindvermogen</t>
  </si>
  <si>
    <t>Netvlakken MS</t>
  </si>
  <si>
    <t>PAV (incl. meerlengte)</t>
  </si>
  <si>
    <t>SO 2010</t>
  </si>
  <si>
    <t>SO 2011</t>
  </si>
  <si>
    <t>SO 2012</t>
  </si>
  <si>
    <t>Kosteneffecten door invoering leveranciersmodel voor de verslagjaren 2009-2016</t>
  </si>
  <si>
    <t>Afschrijvingen</t>
  </si>
  <si>
    <t>Eenheid</t>
  </si>
  <si>
    <t>SO Transportdienst</t>
  </si>
  <si>
    <t>SO Invoeding</t>
  </si>
  <si>
    <t>Transportdienst</t>
  </si>
  <si>
    <t>Start-GAW (excl. bijzonderheden)</t>
  </si>
  <si>
    <t>Investeringsbedrag boekjaar Start-GAW</t>
  </si>
  <si>
    <t>Afschrijvingen Start-GAW</t>
  </si>
  <si>
    <t>Boekwaarde Start-GAW</t>
  </si>
  <si>
    <t>Nieuwe Investeringen (excl. Bijzonderheden)</t>
  </si>
  <si>
    <t>Investeringsbedrag boekjaar</t>
  </si>
  <si>
    <t>Boekwaarde</t>
  </si>
  <si>
    <t>Bijzonderheid: precario</t>
  </si>
  <si>
    <t>Investeringsbedrag boekjaar precario</t>
  </si>
  <si>
    <t>Afschrijvingen precario</t>
  </si>
  <si>
    <t>Boekwaarde precario</t>
  </si>
  <si>
    <t>Bijzonderheid: UI's</t>
  </si>
  <si>
    <t>Investeringsbedrag UI's</t>
  </si>
  <si>
    <t>Afschrijvingen UI's</t>
  </si>
  <si>
    <t>Boekwaarde UI's</t>
  </si>
  <si>
    <t>Bijzonderheid: overgenomen netten</t>
  </si>
  <si>
    <t>Investeringsbedrag overgenomen netten</t>
  </si>
  <si>
    <t>Afschrijvingen overgenomen netten</t>
  </si>
  <si>
    <t>Boekwaarde overgenomen netten</t>
  </si>
  <si>
    <t>Totalen</t>
  </si>
  <si>
    <t>Investeringsbedrag</t>
  </si>
  <si>
    <t>Boekwaarde (ultimo jaar)</t>
  </si>
  <si>
    <t>OPHALEN RUWE GEGEVENS (zoals berekend in GAW-sheet)</t>
  </si>
  <si>
    <t>GAW</t>
  </si>
  <si>
    <t>Vermogenskostenvergoeding</t>
  </si>
  <si>
    <t>Berekening van Kapitaalkosten</t>
  </si>
  <si>
    <t xml:space="preserve">Op dit blad worden de Kapitaalkosten berekend voor gebruik in de maatstaf. </t>
  </si>
  <si>
    <t>Er bestaat tevens de mogelijkheid om salderingen toe te passen op de kapitaalkosten en verder worden de opbrengsten uit desinvesteringen verrekend met de kapitaalkosten</t>
  </si>
  <si>
    <t>Kapitaalkosten</t>
  </si>
  <si>
    <t>SALDERING OPBRENGSTEN EN OVERIGE AANPASSINGEN</t>
  </si>
  <si>
    <t>BEREKENING RUWE KAPITAALKOSTEN</t>
  </si>
  <si>
    <t>Kapitaalkosten voor Maatstaf</t>
  </si>
  <si>
    <t>Kapitaalkosten ORV Lokale Heffingen</t>
  </si>
  <si>
    <t>Te salderen overige opbrengsten uit PAV Maatwerk</t>
  </si>
  <si>
    <t>Overige met kapitaalkosten te salderen overige opbrengsten</t>
  </si>
  <si>
    <t>Te salderen opbrengsten uit desinvesteringen</t>
  </si>
  <si>
    <t>NETTO-KAPITAALKOSTEN T.B.V. REGULERING</t>
  </si>
  <si>
    <t>Netto-kapitaalkosten voor maatstaf</t>
  </si>
  <si>
    <t>Bewerken  gegevens Kapitaalkosten over verslagjaar: 2009</t>
  </si>
  <si>
    <t>Bewerken  gegevens Kapitaalkosten over verslagjaar: 2010</t>
  </si>
  <si>
    <t>Bewerken  gegevens Kapitaalkosten over verslagjaar: 2011</t>
  </si>
  <si>
    <t>Bewerken  gegevens Kapitaalkosten over verslagjaar: 2012</t>
  </si>
  <si>
    <t>SO 2009</t>
  </si>
  <si>
    <t>PAV</t>
  </si>
  <si>
    <t>PAV Meerlenge 3-10 MVA</t>
  </si>
  <si>
    <t>EAV</t>
  </si>
  <si>
    <t>Standaardisatie EAV &lt; 25m</t>
  </si>
  <si>
    <t>Standaardisatie EAV &gt; 25m</t>
  </si>
  <si>
    <t>Overige inkoopkosten voor de gereguleerde activiteiten (artikel 16)</t>
  </si>
  <si>
    <t>Forfaitair bedrag voorziening dubieuze debiteuren kleinverbruik</t>
  </si>
  <si>
    <t>Forfaitair bedrag voorziening dubieuze debiteuren grootverbruik</t>
  </si>
  <si>
    <t>Totaal aan onttrekkingen uit voorzieningen</t>
  </si>
  <si>
    <t>EUR, pp 2009</t>
  </si>
  <si>
    <t>EUR, pp 2010</t>
  </si>
  <si>
    <t>EUR, pp 2011</t>
  </si>
  <si>
    <t>EUR, pp 2012</t>
  </si>
  <si>
    <t>EUR, pp 2013</t>
  </si>
  <si>
    <t>Totaal te salderen met kapitaalkosten (voor maatstaf)</t>
  </si>
  <si>
    <t>Kosten Inkoop Transport</t>
  </si>
  <si>
    <t>Kosten ORV Lokale Heffingen 2010</t>
  </si>
  <si>
    <t>Kosten ORV Lokale Heffingen 2011</t>
  </si>
  <si>
    <t>Kosten ORV Lokale Heffingen 2012</t>
  </si>
  <si>
    <t>BEREKENING GENORMALISEERDE TOTALE KOSTEN</t>
  </si>
  <si>
    <t>De onderliggende berekeningen van de jaarlijkse PV's worden zoveel mogelijk aangepast aan de methodische keuzes voor NE6R.</t>
  </si>
  <si>
    <t>Kosten ORV lokale heffingen voor 2010-2012</t>
  </si>
  <si>
    <t>Genormaliseerde totale kosten voor 2010-2012</t>
  </si>
  <si>
    <t>Kosten inkoop transport voor 2010-2012</t>
  </si>
  <si>
    <t>Kosten inkoop transport 2010</t>
  </si>
  <si>
    <t>Kosten inkoop transport 2011</t>
  </si>
  <si>
    <t>Kosten inkoop transport 2012</t>
  </si>
  <si>
    <t>Inschatting inkoopkosten transport (i.h.k.v. amendement Zijlstra)</t>
  </si>
  <si>
    <t>Indicatieve TI bedragen voor vaststelling tarieven</t>
  </si>
  <si>
    <t>TI bedragen waarop x-factor wordt toegepast (excl. inkoop transport)</t>
  </si>
  <si>
    <t>Indicatieve berekening Toegestane Inkomsten</t>
  </si>
  <si>
    <t>TI bedragen 2014-2016</t>
  </si>
  <si>
    <t>Efficiëntie kosten 2013 excl. ORV</t>
  </si>
  <si>
    <t>Efficiëntie kosten 2013 excl. ORV per eenheid SO (o.b.v. RV2013)</t>
  </si>
  <si>
    <t>Efficiënte kosten 2016 excl. ORV</t>
  </si>
  <si>
    <t>Efficiëntie kosten 2016 excl. ORV per eenheid SO (o.b.v. RV2013)</t>
  </si>
  <si>
    <t>Efficiënte kosten 2016 excl. ORV per netbeheerder</t>
  </si>
  <si>
    <t>EUR/#, pp 2016</t>
  </si>
  <si>
    <t>Begininkomstenniveau voor berekening x-factor (excl. Inkoop Transport)</t>
  </si>
  <si>
    <t>Eindinkomstenniveau voor berekening x-factor (excl. Inkoop Transport)</t>
  </si>
  <si>
    <t>Inkoopkosten transport 2016</t>
  </si>
  <si>
    <t>pre 2009</t>
  </si>
  <si>
    <t>Ophalen tarieven 2013 transportdienst</t>
  </si>
  <si>
    <t>Ophalen tarieven 2013 Aansluitdienst</t>
  </si>
  <si>
    <t>Nacalc. TI2008 a.g.v herstelbesluit NE4R (tweede helft)</t>
  </si>
  <si>
    <t>Nacalc. TI2009 a.g.v herstelbesluit NE4R (tweede helft)</t>
  </si>
  <si>
    <t>Nacalc. TI2010 a.g.v herstelbesluit NE4R (tweede helft)</t>
  </si>
  <si>
    <t>Nacalc. bijzonderheid: Uitgekeerde compensatievergoedingen 2009 (tweede helft)</t>
  </si>
  <si>
    <t>Nacalc. bijzonderheid: Uitgekeerde compensatievergoedingen 2010 (tweede helft)</t>
  </si>
  <si>
    <t>Nacalc. TI 2011 a.g.v. wijziging x-factoren NE5R</t>
  </si>
  <si>
    <t>Nacalc. TI 2012 a.g.v. wijziging x-factoren NE5R</t>
  </si>
  <si>
    <t>Nacalculatie vervanging schatting door data Lokale Heffingen 2011</t>
  </si>
  <si>
    <t>Nacalc. Inkoopkosten transport a.g.v. AI's TenneT 2011</t>
  </si>
  <si>
    <t>Nacalc. Gederfde inkomsten volumeverschuivingen coulance 2011</t>
  </si>
  <si>
    <t>Nacalc. Gederfde inkomsten volumeverschuivingen coulance 2012</t>
  </si>
  <si>
    <t>Bijzonderheid: AI voor DCO DNWB (voor NE5R) 2011</t>
  </si>
  <si>
    <t>Bijzonderheid: AI voor DCO DNWB (voor NE5R) 2012</t>
  </si>
  <si>
    <t>Bijzonderheid: nacalc.saldo verrekenen i.v.m. lagere tarieven Enexis over 2012</t>
  </si>
  <si>
    <t>Correcties te verrekenen met alleen tarieven transportdienst</t>
  </si>
  <si>
    <t>Correcties te verrekenen met tarieven transportdienst en PAV</t>
  </si>
  <si>
    <t>Correcties te verrekenen met tarieven transportdienst, PAV en EAV</t>
  </si>
  <si>
    <t>Ophalen rekenvolumes 2014-2016 Aansluitdienst</t>
  </si>
  <si>
    <t>Ophalen rekenvolumes  2014-2016 transportdienst</t>
  </si>
  <si>
    <t>Berekening inkomstenbedragen</t>
  </si>
  <si>
    <t>Waarvan: vastrecht op netvlak HS en TS</t>
  </si>
  <si>
    <t>Waarvan: vastrecht op netvlak MS</t>
  </si>
  <si>
    <t>Waarvan: vastrecht op netvlak LS en kleinverbruik</t>
  </si>
  <si>
    <t>Inkomsten transportdienst exclusief vastrecht</t>
  </si>
  <si>
    <t>Correctiebedragen a.g.v. nacalculaties in tarieven 2013</t>
  </si>
  <si>
    <t>Procentuele aanpassingen van de tarieven voor correctie voor nacalculaties</t>
  </si>
  <si>
    <t>Totaal te verrekenen correcties</t>
  </si>
  <si>
    <t>Aandelen te verrekenen correcties voor transportdienst en PAV</t>
  </si>
  <si>
    <t>Aandeel transportdienst</t>
  </si>
  <si>
    <t>Aandeel PAV</t>
  </si>
  <si>
    <t>Aandelen te verrekenen correcties voor transportdienst, PAV en EAV</t>
  </si>
  <si>
    <t>Aandeel EAV</t>
  </si>
  <si>
    <t>Betrokken inkomsten</t>
  </si>
  <si>
    <t>Procentuele aanpassing van de tarieven (positief is aanpassing naar beneden)</t>
  </si>
  <si>
    <t>Aanpassing tarieven PAV</t>
  </si>
  <si>
    <t>Aanpassing tarieven EAV</t>
  </si>
  <si>
    <t>Aanpassing tarieven transportdienst (exclusief vastrecht)</t>
  </si>
  <si>
    <t>Wegingsfactoren aansluitdienst</t>
  </si>
  <si>
    <t>Berekening wegingsfactoren voor invoeding</t>
  </si>
  <si>
    <t>Afnemers HS (110-150 kV), incl. max 600 uur</t>
  </si>
  <si>
    <t>Afnemers TS (25-50 kV), incl. max 600 uur</t>
  </si>
  <si>
    <t>Afnemers Trafo HS+TS/MS, incl. max 600 uur</t>
  </si>
  <si>
    <t>Totale volumes kWgecontracteerd per netvlak</t>
  </si>
  <si>
    <t>Invoeding Trafo HS + TS/MS</t>
  </si>
  <si>
    <t>Inschatting totale kosten per netvlak (excl. Vastrecht en blindvermogen)</t>
  </si>
  <si>
    <t>Overzicht volumes invoeding kWmax-invoedingssaldo, max</t>
  </si>
  <si>
    <t>Legenda celkleuren</t>
  </si>
  <si>
    <t>Data en input</t>
  </si>
  <si>
    <t>Berekende waarde</t>
  </si>
  <si>
    <t>Waarde die zonder berekening wordt overgenomen uit een andere cel</t>
  </si>
  <si>
    <t>Berekende of overgenomen waarde en tevens resultaat</t>
  </si>
  <si>
    <t>Waarde of berekening die speciale aandacht vraagt (toelichting in opmerking)</t>
  </si>
  <si>
    <t>Waarde of berekening die (vooralsnog) kennelijk onjuist of onvolledig is</t>
  </si>
  <si>
    <t>Tarieven 2013 Transpordienst t.b.v. wegingsfactoren (na aanpassing voor correcties)</t>
  </si>
  <si>
    <t>Tarieven 2013 Aansluitdienst t.b.v. wegingsfactoren (na aanpassing voor correcties)</t>
  </si>
  <si>
    <t>Berekening jaarlijkse PV 2009-2012</t>
  </si>
  <si>
    <t>Standaardisatie EAV t/m 25m</t>
  </si>
  <si>
    <t>Relevante correcties in tarieven 2013</t>
  </si>
  <si>
    <t xml:space="preserve">Onderstaande gegevens betreffende de volumes en tarieven van de PAV en EAV voor diverse jaren, na standaardisatie. Deze standaardisatie, die nodig is vanwege verschillende deelmarktgrenzen per netbeheerder, </t>
  </si>
  <si>
    <t>Dit blad geeft een overzicht van de data met betrekking tot de GAW berekening (GAW, afschrijvingen, etc., incl. UI's en afgekochte precario).</t>
  </si>
  <si>
    <t>Dit blad geeft een overzicht van de data met betrekking tot de kostenbesparingen van netbeheerders als gevolg van de invoering van het nieuwe marktmodel / leveranciersmodel.</t>
  </si>
  <si>
    <t>De data zijn per jaar de structurele kostenbesparingen voor de sector als geheel.</t>
  </si>
  <si>
    <t>Hiermee maken we de kosten van de verschillende netbeheerders onderling vergelijkbaar en toepasbaar voor de berekening van de x factor.</t>
  </si>
  <si>
    <t>Ook worden de diverse salderingen uitgevoerd die volgen uit de opgaven van de netbeheerders. Tot slot worden eventuele aanpassingen gedaan die volgen uit de beoordeling van de OPEX-gegevens door ACM.</t>
  </si>
  <si>
    <t>Dit blad bevat de berekening van de wegingsfactoren, incl. de berekening van de wegingsfactoren voor invoeding.</t>
  </si>
  <si>
    <t>Invoeding (kWmax-invoedingssaldo, max)</t>
  </si>
  <si>
    <t>Op dit blad wordt de samengestelde output (SO) berekend, incl. invoeding.</t>
  </si>
  <si>
    <t>Onderstaand worden de indicatieve TI-bedragen berekend die het resultaat vormen van de x-factorberekening. Deze bedragen hebben binnen de x-factor geen formele betekenis, maar dienen als richtbedrag.</t>
  </si>
  <si>
    <t>De daadwerkelijke TI-bedragen komen pas vast te staan bij het nemen van de jaarlijkse tarievenbesluiten.</t>
  </si>
  <si>
    <t>Bron / opmerking / formule</t>
  </si>
  <si>
    <t>(formule 8)</t>
  </si>
  <si>
    <t>(formule 3, deels)</t>
  </si>
  <si>
    <t>(formule 5)</t>
  </si>
  <si>
    <t>(formule 6)</t>
  </si>
  <si>
    <t>(formule 4)</t>
  </si>
  <si>
    <t>(formule 14)</t>
  </si>
  <si>
    <t>(formule 13)</t>
  </si>
  <si>
    <t>(formule 10)</t>
  </si>
  <si>
    <t>Inschatting van kosten voor invoeding per netvlak o.b.v. cascadering ("wegingsfactor invoeding")</t>
  </si>
  <si>
    <t>Samengestelde wegingsfactor incl. bovenliggende netvlakken</t>
  </si>
  <si>
    <t>(formule 15)</t>
  </si>
  <si>
    <t>(formule 21)</t>
  </si>
  <si>
    <t>(formule 22)</t>
  </si>
  <si>
    <t>(formule 23)</t>
  </si>
  <si>
    <t>(formule 24)</t>
  </si>
  <si>
    <t>(formule 27)</t>
  </si>
  <si>
    <t>(formule 32)</t>
  </si>
  <si>
    <t>(formule 31)</t>
  </si>
  <si>
    <t>(formule 35, deels)</t>
  </si>
  <si>
    <t>(formule 37)</t>
  </si>
  <si>
    <t>Gesplitst o.b.v. aanvullend dataverzoek Invoeding 2009 (zie X-factorberekening NE5R)</t>
  </si>
  <si>
    <t>Bedrag oninbare/afgeboekte facturen van in rekening gebrachte kosten n.a.v. fraude en leegstand</t>
  </si>
  <si>
    <t>Opgegeven bedrag (o.b.v. toelichting in PRD; in mindering brengen)</t>
  </si>
  <si>
    <t>Netto structurele besparing</t>
  </si>
  <si>
    <t>Eenmalige (incidentele) extra kosten</t>
  </si>
  <si>
    <t>Besparingen invoering nieuwe marktmodel elektriciteit</t>
  </si>
  <si>
    <t>Bron: Tabel 2.2 (pag. 55) van rapport Ecorys</t>
  </si>
  <si>
    <t>Genormaliseerd: totale kosten (al incl. EAV); excl. ORV's en Inkoop Transport; ook excl. Kosten voor dubieuze debiteuren maar wel excl. besparingen invoering Marktmodel (die er dus weer terug bij opgeteld)</t>
  </si>
  <si>
    <t>OPEX TD voor PV berekening</t>
  </si>
  <si>
    <t>Totale kosten voor PV berekening 2009-2010</t>
  </si>
  <si>
    <t>Totale kosten voor PV berekening 2010-2011</t>
  </si>
  <si>
    <t>Totale kosten voor PV berekening 2011-2012</t>
  </si>
  <si>
    <t>WACC NE4R (2008-2010)</t>
  </si>
  <si>
    <t>WACC NE5R (2011-2013)</t>
  </si>
  <si>
    <t>Kapitaalkosten voor PV-berekening (met WACC NE4R)</t>
  </si>
  <si>
    <t>Kapitaalkosten voor PV-berekening (met gemiddelde WACC NE4R/NE5R)</t>
  </si>
  <si>
    <t>Kapitaalkosten voor PV-berekening (met WACC NE5R)</t>
  </si>
  <si>
    <t>Bijdragen EAV</t>
  </si>
  <si>
    <t>-</t>
  </si>
  <si>
    <t>OPEX voor PV berekening</t>
  </si>
  <si>
    <t>Kapitaalkosten voor PV berekening (obv WACC NE4R)</t>
  </si>
  <si>
    <t>Kapitaalkosten voor PV berekening (obv WACC NE5R)</t>
  </si>
  <si>
    <t>Jaarlijkse productiviteitsverandering 2004-2005</t>
  </si>
  <si>
    <t>Jaarlijkse productiviteitsverandering 2005-2006</t>
  </si>
  <si>
    <t>Jaarlijkse productiviteitsverandering 2006-2007</t>
  </si>
  <si>
    <t>Jaarlijkse productiviteitsverandering 2007-2008</t>
  </si>
  <si>
    <t>Jaarlijkse productiviteitsverandering 2008-2009</t>
  </si>
  <si>
    <t>PRD Hybride set 2009</t>
  </si>
  <si>
    <t>PRD Hybride set 2010</t>
  </si>
  <si>
    <t>PRD Hybride set 2011</t>
  </si>
  <si>
    <t>PRD Gebruiksklare data 2012</t>
  </si>
  <si>
    <t>PRD Hybride Set 2009</t>
  </si>
  <si>
    <t>PRD Hybride Set 2010</t>
  </si>
  <si>
    <t>PRD Hybride Set 2011</t>
  </si>
  <si>
    <t>Relevante data in verband met invoering nieuwe marktmodel</t>
  </si>
  <si>
    <t>Inschatting dubieuze debiteuren kleinverbruik elektriciteit 2010</t>
  </si>
  <si>
    <t>Inschatting dubieuze debiteuren kleinverbruik elektriciteit 2011</t>
  </si>
  <si>
    <t>Inschatting dubieuze debiteuren kleinverbruik elektriciteit 2012</t>
  </si>
  <si>
    <t>Deze bedragen zijn incl. besparingen op dubieuze debiteuren</t>
  </si>
  <si>
    <t>Inschatting gemiddelde kosten dub.deb. kleinverbruik in prijspeil 2013</t>
  </si>
  <si>
    <t>Besparingsbedrag marktmodel (excl. effect dub.deb.) begin reguleringsperiode</t>
  </si>
  <si>
    <t>Besparingsbedrag marktmodel (excl. effect dub.deb.) einde reguleringsperiode</t>
  </si>
  <si>
    <t>PV 2005</t>
  </si>
  <si>
    <t>PV 2006</t>
  </si>
  <si>
    <t>PV 2007</t>
  </si>
  <si>
    <t>PV 2008</t>
  </si>
  <si>
    <t>PV 2009</t>
  </si>
  <si>
    <t>PV 2010</t>
  </si>
  <si>
    <t>PV 2011</t>
  </si>
  <si>
    <t>PV 2012</t>
  </si>
  <si>
    <t>Kapitaalkosten voor PV berekening (obv gem. WACC NE4R/NE5R)</t>
  </si>
  <si>
    <t>Berekening jaarlijkse prodctiviteitsveranderingen over de periode 2004-2009 (op basis van NE4R en NE5R)</t>
  </si>
  <si>
    <t>Relevant deel van CPI tabel</t>
  </si>
  <si>
    <t>Voor de jaren 2009 t/m 2012 zijn het de gerealiseerde besparingen. Voor de jaren 2013 t/m 2016 zijn het de verwachte besparingen.</t>
  </si>
  <si>
    <t>Netto-kapitaalkosten voor maatstaf aan het einde van de periode</t>
  </si>
  <si>
    <t>Besparingssaldo</t>
  </si>
  <si>
    <t>Besparingsbedrag t.o.v. 2009 (mee te nemen in NE6R)</t>
  </si>
  <si>
    <t>Gerealiseerde besparing 2010 (t.o.v. 2009; analyse Ecorys)</t>
  </si>
  <si>
    <t>Gerealiseerde besparing 2011  (t.o.v. 2009; analyse Ecorys)</t>
  </si>
  <si>
    <t>Gerealiseerde besparing 2012 (t.o.v. 2009; analyse Ecorys)</t>
  </si>
  <si>
    <t>Gerealiseerde besparing 2011 (t.o.v. 2009; analyse Ecorys)</t>
  </si>
  <si>
    <t>Ingeschatte besparingen Marktmodel  (t.o.v. 2009; analyse Ecorys)</t>
  </si>
  <si>
    <t>Gerealiseerde besparing 2010  (t.o.v. 2009; analyse Ecorys)</t>
  </si>
  <si>
    <t>Gerealiseerde besparing 2012  (t.o.v. 2009; analyse Ecorys)</t>
  </si>
  <si>
    <t>Ingeschatte besparing begin reguleringsperiode (2014 t.o.v. 2009; analyse Ecorys)</t>
  </si>
  <si>
    <t>Ingeschatte besparing einde reguleringsperiode (2016 t.o.v. 2009; analyse Ecorys)</t>
  </si>
  <si>
    <t>Bedrag t.o.v. besparing in 2009:</t>
  </si>
  <si>
    <t>Inschatting werkelijke kosten dubieuze debiteuren kleinverbruik 2010</t>
  </si>
  <si>
    <t>Inschatting werkelijke kosten dubieuze debiteuren kleinverbruik 2011</t>
  </si>
  <si>
    <t>Inschatting werkelijke kosten dubieuze debiteuren kleinverbruik 2012</t>
  </si>
  <si>
    <t xml:space="preserve">is uitgevoerd in een afzonderlijke berekening. </t>
  </si>
  <si>
    <t>Tariefbesluiten 2013 - website ACM</t>
  </si>
  <si>
    <t>Gestandaardiseerde volumes TD over verslagjaar: 2009 (inclusief eventuele aanpassingen na beoordeling door ACM)</t>
  </si>
  <si>
    <t>Gestandaardiseerde volumes TD over verslagjaar: 2010 (inclusief eventuele aanpassingen na beoordeling door ACM)</t>
  </si>
  <si>
    <t>Ophalen volumes TD over verslagjaar: 2011 (inclusief eventuele aanpassingen na beoordeling door ACM)</t>
  </si>
  <si>
    <t>Ophalen volumes TD over verslagjaar: 2012 (inclusief eventuele aanpassingen na beoordeling door ACM)</t>
  </si>
  <si>
    <t>SALDERING OVERIGE OPBRENGSTEN /  ELIMINATIE VAN BETROKKEN KOSTEN</t>
  </si>
  <si>
    <t>AANPASSINGEN O.B.V. BEOORDELING ACM</t>
  </si>
  <si>
    <t>Overige aanpassingen op de Kapitaalkosten (n.a.v. beoordeling ACM)</t>
  </si>
  <si>
    <t>Berekening begininkomsten</t>
  </si>
  <si>
    <t>Correctie voor weging Invoeding binnen Transportdienst</t>
  </si>
  <si>
    <t>Somproduct voor Transportdienst</t>
  </si>
  <si>
    <t>Somproduct voor Invoeding</t>
  </si>
  <si>
    <t>SO Aansluitdienst</t>
  </si>
  <si>
    <t>WACC NE6R (2014-2016)</t>
  </si>
  <si>
    <t>Ophalen tarieven 2013 na correcties - Transportdienst</t>
  </si>
  <si>
    <t>Ophalen tarieven 2013 na correcties - Aansluitdienst</t>
  </si>
  <si>
    <t>Rekenvolumes Transportdienst 2014-2016</t>
  </si>
  <si>
    <t xml:space="preserve">Rekenvolumes Aansluitdienst 2014-2016 </t>
  </si>
  <si>
    <t>Berekening Begininkomsten 2013</t>
  </si>
  <si>
    <t>Begininkomsten Transportdienst</t>
  </si>
  <si>
    <t>Begininkomsten Aansluitdienst</t>
  </si>
  <si>
    <t>De inschatting van de langjarige PV voor de periode 2013-2016 wordt gebaseerd op de jaarlijkse PV's in de periode 2004-2012 (eerste meetjaar is 2004-2005).</t>
  </si>
  <si>
    <t>De jaarlijkse productiviteitsveranderingen zijn gebaseerd op de x-factorberekeningen voor de periodes NE4R en NE5R. Op deze berekeningen zijn een aantal aanpassingen gemaakt, welke beschreven zijn in het methodebesluit.</t>
  </si>
  <si>
    <t>Een beschrijving van deze aanpassingen is opgenomen in het methodebesluit.</t>
  </si>
  <si>
    <t>Berekening langjarige productiviteitsverandering</t>
  </si>
  <si>
    <t>Voor de productiviteitsberekening over 2009-2012 wordt gebruik gemaakt van  de kostenniveaus voor de jaren 2009-2012 die op sommige punten zijn aangepast voor de PV-meting (ten behoeve van de methode in de periode 2014-2016).</t>
  </si>
  <si>
    <t>'Nieuwe' structurele besparingen 2013 (niveau 2012 + 5 maanden "nieuwe niveau")</t>
  </si>
  <si>
    <t>Berekening van genormaliseerde totale kosten (voor toepassing in de maatstaf)</t>
  </si>
  <si>
    <t>Berekening genormaliseerde totale kosten voor verslagjaar: 2010</t>
  </si>
  <si>
    <t>Berekening genormaliseerde totale kosten voor verslagjaar: 2011</t>
  </si>
  <si>
    <t>Berekening genormaliseerde totale kosten voor verslagjaar: 2012</t>
  </si>
  <si>
    <t>Berekening genormaliseerde totale kosten (voor toepassing in de maatstaf)</t>
  </si>
  <si>
    <t>Netto-kapitaalkosten (excl. ORV Lokale Heffingen) (WACC NE6R)</t>
  </si>
  <si>
    <t>Kapitaalkosten ORV Lokale Heffingen (WACC NE6R)</t>
  </si>
  <si>
    <t>Totale kosten (incl. EAV) (WACC NE6R)</t>
  </si>
  <si>
    <t>Kosten ORV Lokale Heffingen (WACC NE6R)</t>
  </si>
  <si>
    <t>Genormaliseerde totale kosten 2010 (WACC NE6R)</t>
  </si>
  <si>
    <t>Genormaliseerde totale kosten 2011 (WACC NE6R)</t>
  </si>
  <si>
    <t>Genormaliseerde totale kosten 2012 (WACC NE6R)</t>
  </si>
  <si>
    <t>Berekening van kostenbasis voor vaststellen van Efficiënte Kosten voor het jaar 2013</t>
  </si>
  <si>
    <t>Op dit blad worden de Totale kosten berekend voor gebruik in de kostenbasis voor het vaststellen van de efficiënte kosten voor het jaar 2013.</t>
  </si>
  <si>
    <t xml:space="preserve">Op dit blad worden de Totale kosten berekend voor gebruik in de maatstaf ("genormaliseerde totale kosten") voor de jaren 2010-2012. </t>
  </si>
  <si>
    <t>Berekening kostenbasis voor efficiënte kosten 2013 voor verslagjaar: 2010</t>
  </si>
  <si>
    <t>Berekening kostenbasis voor efficiënte kosten 2013 voor verslagjaar: 2011</t>
  </si>
  <si>
    <t>Berekening kostenbasis voor efficiënte kosten 2013 voor verslagjaar: 2012</t>
  </si>
  <si>
    <t>In deze berekening wordt gebruik gemaakt van de WACC voor NE6R omdat die als basis dient voor de berekening van de efficiënte kosten in 2016.</t>
  </si>
  <si>
    <t>Netto-kapitaalkosten (excl. ORV Lokale Heffingen) (WACC NE5R)</t>
  </si>
  <si>
    <t>Kapitaalkosten ORV Lokale Heffingen (WACC NE5R)</t>
  </si>
  <si>
    <t>Totale kosten (incl. EAV) (WACC NE5R)</t>
  </si>
  <si>
    <t>Kosten ORV Lokale Heffingen (WACC NE5R)</t>
  </si>
  <si>
    <t>Berekening kostenbasis voor efficiënte kosten 2013</t>
  </si>
  <si>
    <t>BEREKENING KOSTENBASIS VOOR EFF.KOSTEN 2013</t>
  </si>
  <si>
    <t>Deze kostenbasis is, op de WACC na, gelijk aan de genormaliseerde totale kosten: totale kosten (al incl. EAV); excl. ORV's en Inkoop Transport; ook excl. Kosten voor dubieuze debiteuren maar wel excl. besparingen invoering Marktmodel (die er dus weer terug bij opgeteld)</t>
  </si>
  <si>
    <t>Kapitaalkosten totaal (excl. ORV Lokale Heffngen) voor Eff.Kosten 2013 voor one-off-toets (met WACC NE5R)</t>
  </si>
  <si>
    <t>Kapitaalkosten ORV Lokale Heffngen voor Eff.Kosten 2013 voor one-off-toets (met WACC NE5R)</t>
  </si>
  <si>
    <t>Berekening gemiddelde kosten t.b.v. Efficiënte kosten 2013</t>
  </si>
  <si>
    <t>Berekening gemiddelde kostenbasis</t>
  </si>
  <si>
    <t>Kostenbasis efficiënte kosten 2013 voor 2010 in efficiëntie-niveau en prijspeil 2013</t>
  </si>
  <si>
    <t>Kostenbasis efficiënte kosten 2013 voor 2011 in efficiëntie-niveau en prijspeil 2013</t>
  </si>
  <si>
    <t>Kostenbasis efficiënte kosten 2013 voor 2012 in efficiëntie-niveau en prijspeil 2013</t>
  </si>
  <si>
    <t>Gemiddelde kostenbasis voor efficiënte kosten in efficiëntie-niveau 2013</t>
  </si>
  <si>
    <t>Efficiënte kosten 2013 (t.b.v. one-off) excl. ORV per netbeheerder</t>
  </si>
  <si>
    <t>Inschatting efficiënte kosten ORV Lokale Heffingen 2013  (t.b.v. one-off)</t>
  </si>
  <si>
    <t>Kostenbasis voor efficiënte kosten 2013 voor 2010 (WACC NE5R)</t>
  </si>
  <si>
    <t>Kostenbasis voor efficiënte kosten 2013 voor 2011 (WACC NE5R)</t>
  </si>
  <si>
    <t>Kostenbasis voor efficiënte kosten 2013 voor 2012 (WACC NE5R)</t>
  </si>
  <si>
    <t>Ingeschatte besparing 2013 (t.o.v. 2009; analyse Ecorys)</t>
  </si>
  <si>
    <t>Inschatting kosten 2013</t>
  </si>
  <si>
    <t>BEREKENING</t>
  </si>
  <si>
    <t>Toetsen voor de toepassing van de aanpassing van de begininkomsten naar efficiënte kosten 2013 ("one-off")</t>
  </si>
  <si>
    <t>Op dit blad worden de twee toetsen uitgevoerd die in het methodebesluit beschreven zijn in verband met de aanpassing van de begininkomsten.</t>
  </si>
  <si>
    <t>Begininkomsten NE6R (product van tarieven 2013 en rekenvolumes 2014-2016)</t>
  </si>
  <si>
    <t>Verschil tussen begininkomsten NE6R en Efficëntie kosten 2013</t>
  </si>
  <si>
    <t>Begininkomsten NE6R (product van tarieven 2013 en rekenvolumes 2014-2016) sector</t>
  </si>
  <si>
    <t>De uitkomsten van de beide toetsen zijn kwalitatief verwoord in het methodebesluit.</t>
  </si>
  <si>
    <t>Keuze voor toepassing one-off</t>
  </si>
  <si>
    <t>ACM kiest er voor de begininkomsten aan te passen naar het niveau van de efficiënte kosten 2013</t>
  </si>
  <si>
    <t>Begininkomsten (na aanpassing naar efficiënte kosten 2013; t.b.v. regulering NE6R)</t>
  </si>
  <si>
    <t>Ophalen besparingen marktmodel en kosten dub.deb.</t>
  </si>
  <si>
    <t>Berekening gemiddelde genormaliseerde totale kosten (WACC NE6R)</t>
  </si>
  <si>
    <t>Toets toepassingsvoorwaarde voor aanpassen begininkomsten naar efficiënte kosten 2013 (one-off)</t>
  </si>
  <si>
    <t>Efficiënte kosten 2013 per netbeheerder (t.b.v. toepassingsvoorwaarde one-off)</t>
  </si>
  <si>
    <t>Toets aanleiding voor aanpassen begininkomsten naar efficiënte kosten 2013 (one-off)</t>
  </si>
  <si>
    <t>De berekening vindt plaats op sectorniveau, omdat de aanleidingstoets op sectorniveau wordt uitgevoerd.</t>
  </si>
  <si>
    <t>Ophalen gemiddelden voor inschatting kosten 2013</t>
  </si>
  <si>
    <t>Gemiddelde kostenbasis voor kosten 2013 in efficiëntie-niveau 2013</t>
  </si>
  <si>
    <t>In deze berekening wordt gebruik gemaakt van de WACC voor NE5R omdat die als basis dient voor het inschatten van de kosten voor het jaar 2013, ten behoeve van de aanleidingstoets voor de one-off.</t>
  </si>
  <si>
    <t>Inschatting van de kosten voor het jaar 2013  (ten behoeve van 'aanleidingstoets one-off')</t>
  </si>
  <si>
    <t>Berekeningen efficiënte kosten 2013 ten behoeve van de toepassingsvoorwaarde van de one-off</t>
  </si>
  <si>
    <t>Berekening Efficiënte kosten 2013 t.b.v. toepassingsvoorwaarde one-off</t>
  </si>
  <si>
    <t>In deze berekening wordt gebruik gemaakt van de WACC voor NE5R omdat die als basis dient voor de berekening van de efficiënte kosten in 2013 ten behoeve van de toepassingsvoorwaarde voor aanpassing van de begininkomsten aan het efficiënte kostenniveau voor 2013 ("one-off").</t>
  </si>
  <si>
    <t>Berekening eindinkomsten 2016</t>
  </si>
  <si>
    <t>Begininkomsten (na aanpassing naar efficiënte kosten 2013)</t>
  </si>
  <si>
    <t>Delta</t>
  </si>
  <si>
    <t>Rendo</t>
  </si>
  <si>
    <t>JAAR 2013 TARIEVEN met Rekenvolumes (bedoeld voor wegingsfactoren NE6R)</t>
  </si>
  <si>
    <t>Dit blad haalt de ruwe gegevens op uit het blad overzicht per netbeheerder.</t>
  </si>
  <si>
    <t>Standaardisatie PAV en EAV: overzicht gegroepeerd per netbeheerder</t>
  </si>
  <si>
    <t>Gemiddelde volumes 2010-2012 en Tarieven 2013</t>
  </si>
  <si>
    <t>NE6R - Cogas - PAV</t>
  </si>
  <si>
    <t>2010-2012 / 2013</t>
  </si>
  <si>
    <t>Standaardisatie PAV</t>
  </si>
  <si>
    <t xml:space="preserve">Tarief </t>
  </si>
  <si>
    <t>Volumes</t>
  </si>
  <si>
    <t>NE6R - Cogas - EAV</t>
  </si>
  <si>
    <t>NE6R - Delta - PAV</t>
  </si>
  <si>
    <t>NE6R - Delta- EAV</t>
  </si>
  <si>
    <t>NE6R - Endinet- PAV</t>
  </si>
  <si>
    <t>NE6R - Endinet- EAV</t>
  </si>
  <si>
    <t>NE6R - Enexis - PAV</t>
  </si>
  <si>
    <t>NE6R - Enexis - EAV</t>
  </si>
  <si>
    <t>NE6R - Liander- PAV</t>
  </si>
  <si>
    <t>NE6R - Liander- EAV</t>
  </si>
  <si>
    <t>NE6R - Rendo- PAV</t>
  </si>
  <si>
    <t>NE6R - Rendo- EAV</t>
  </si>
  <si>
    <t>NE6R - Stedin- PAV</t>
  </si>
  <si>
    <t>NE6R - Stedin- EAV</t>
  </si>
  <si>
    <t>NE6R - Westland- PAV</t>
  </si>
  <si>
    <t>NE6R - Westland - EAV</t>
  </si>
  <si>
    <t>WESTLAND</t>
  </si>
  <si>
    <t>Standaardisatie</t>
  </si>
  <si>
    <t>NE6R Gewogen gemiddelde</t>
  </si>
  <si>
    <t>Geen verdere standaardisatie. Categorie is reeds uniform.</t>
  </si>
  <si>
    <t>Standaardisatie op basis van aansluitcapaciteit.</t>
  </si>
  <si>
    <t>&gt;3*80A t/m 630kVA</t>
  </si>
  <si>
    <t>NE6R - PAV Volumes en tarieven -  Westland</t>
  </si>
  <si>
    <t>NE6R</t>
  </si>
  <si>
    <t>2014-2016</t>
  </si>
  <si>
    <t>Periodieke aansluitvergoeding</t>
  </si>
  <si>
    <t xml:space="preserve">&gt;3,0 MVA en t/m 10 MVA     </t>
  </si>
  <si>
    <t>&gt;2,4 MVA en t/m 10 MVA</t>
  </si>
  <si>
    <t xml:space="preserve">&gt;2,4 MVA en t/m 10 MVA     </t>
  </si>
  <si>
    <t xml:space="preserve">&gt;=1,0 MW en t/m 3 MVA   </t>
  </si>
  <si>
    <t>&gt;= 1MW en t/m 2,4 MVA</t>
  </si>
  <si>
    <t xml:space="preserve">&gt;=1,0 MW en t/m 2,4 MVA   </t>
  </si>
  <si>
    <t>&gt;3*1500A en t/m 3*1600 A af sec zijde LS</t>
  </si>
  <si>
    <t>&gt;3*1200A en t/m 3*1500 A af sec zijde LS</t>
  </si>
  <si>
    <t>&gt;3*750A en t/m 3*1200 A af sec zijde LS</t>
  </si>
  <si>
    <t>&gt;3*500A en t/m 3*750 A af sec zijde LS</t>
  </si>
  <si>
    <t>&gt;3*480A en t/m 3*500 A af sec zijde LS</t>
  </si>
  <si>
    <t>&gt;3*400A en t/m 3*480 A af sec zijde LS</t>
  </si>
  <si>
    <t xml:space="preserve">&gt;3*250A en t/m 3*400 A af sec zijde LS  </t>
  </si>
  <si>
    <t xml:space="preserve">&gt;3*200A en t/m 3*250 A af sec zijde LS </t>
  </si>
  <si>
    <t xml:space="preserve">&gt;3*80A en t/m 3*200 A af sec zijde LS       </t>
  </si>
  <si>
    <t xml:space="preserve">&gt;3*63A en t/m 3*80A           </t>
  </si>
  <si>
    <t xml:space="preserve">&gt;3*50A en t/m 3*63A         </t>
  </si>
  <si>
    <t>&gt;3*35A en t/m 3*50A</t>
  </si>
  <si>
    <t>&gt;3*25A en t/m 3*35A</t>
  </si>
  <si>
    <t xml:space="preserve">&gt; 1*6A en t/m 3*25A  </t>
  </si>
  <si>
    <t>t/m 1*6A (geschakeld net)</t>
  </si>
  <si>
    <t>OMZET</t>
  </si>
  <si>
    <t>PAV meerlengte  3-10 MVA</t>
  </si>
  <si>
    <t>tarief</t>
  </si>
  <si>
    <t>volume</t>
  </si>
  <si>
    <t>3-10 MVA</t>
  </si>
  <si>
    <t>Indeling cf. tarievenblad per netbeheerder</t>
  </si>
  <si>
    <t>Standaardistatie PAV</t>
  </si>
  <si>
    <t>NE6R Westland - EAV Standaardisatie</t>
  </si>
  <si>
    <t xml:space="preserve">Standaardisatie op basis van aansluitcapaciteit (&gt;630 kVA). </t>
  </si>
  <si>
    <t>NE6R - EAV Volumes en tarieven -  Westland</t>
  </si>
  <si>
    <t>Eenmalige aansluitvergoeding &lt;25m</t>
  </si>
  <si>
    <t>1*6A geschakeld net</t>
  </si>
  <si>
    <t>t/m 3*25A</t>
  </si>
  <si>
    <t>&gt;3*1500A en t/m 3*1600A af sec. zijde LS</t>
  </si>
  <si>
    <t>&gt;3*1200A en t/m 3*1500A af sec. zijde LS</t>
  </si>
  <si>
    <t>&gt;3*50A en t/m 3*63A</t>
  </si>
  <si>
    <t>&gt;3*750A en t/m 3*1200A af sec. zijde LS</t>
  </si>
  <si>
    <t>&gt;3*63A en t/m 3*80A</t>
  </si>
  <si>
    <t>&gt;3*500A en t/m 3*750A af sec. zijde LS</t>
  </si>
  <si>
    <t>&gt;3*80A en t/m 3*200A af sec. zijde LS</t>
  </si>
  <si>
    <t>&gt;3*480A en t/m 3*500A af sec. zijde LS</t>
  </si>
  <si>
    <t>&gt;3*200A en t/m 3*250A af sec. zijde LS</t>
  </si>
  <si>
    <t>&gt;3*400A en t/m 3*480A af sec. zijde LS</t>
  </si>
  <si>
    <t>&gt;3*250A en t/m 3*400A af sec. zijde LS</t>
  </si>
  <si>
    <t>Standaardisatie
EAV &lt;25 meter</t>
  </si>
  <si>
    <t>Standaardisatie
EAV t/m 25 meter</t>
  </si>
  <si>
    <t>EAV &gt; 25 meter</t>
  </si>
  <si>
    <t>Standaardisatie
EAV &gt;25 meter</t>
  </si>
  <si>
    <t>NE6R Stedin</t>
  </si>
  <si>
    <t>NE6R - PAV Volumes en tarieven -  Stedin</t>
  </si>
  <si>
    <t>Tarief</t>
  </si>
  <si>
    <t>t/m 1*6 A</t>
  </si>
  <si>
    <t>&gt; 1*6A t/m 3*25A (voorheen &lt; 3*25A)</t>
  </si>
  <si>
    <t>&gt; 1*6A t/m 3*25A</t>
  </si>
  <si>
    <t>&gt; 3*25A t/m 3*80A (voorheen &gt; 3*25A)</t>
  </si>
  <si>
    <t>&gt; 3*25A t/m 3*80A</t>
  </si>
  <si>
    <t>&gt; 3*25A t/m 3*80A (voorheen LS)</t>
  </si>
  <si>
    <t>&gt; 3*80A t/m 175 kVA</t>
  </si>
  <si>
    <t>&gt; 175kVA t/m 1750kVA</t>
  </si>
  <si>
    <t>&gt; 1.750kVA t/m 3.000kVA</t>
  </si>
  <si>
    <t>&gt; 3.000kVA t/m 10.000kVA</t>
  </si>
  <si>
    <t>&gt;3,0 MVA en t/m 10 MVA</t>
  </si>
  <si>
    <t>Standaardisatie EAV</t>
  </si>
  <si>
    <t>NE6R - EAV Volumes en tarieven - Stedin</t>
  </si>
  <si>
    <t>1*6 A op geschakeld net</t>
  </si>
  <si>
    <t>&gt;1*6A t/m 3*25A</t>
  </si>
  <si>
    <t>&gt; 3*35A t/m 3*63A</t>
  </si>
  <si>
    <t>&gt;3*35A en t/m 3*63A</t>
  </si>
  <si>
    <t>&gt; 3*63 A t/m 3*80A</t>
  </si>
  <si>
    <t>&gt; 3*80A t/m 3*125A</t>
  </si>
  <si>
    <t>&gt;3*80A t/m 3*125 A</t>
  </si>
  <si>
    <t>&gt; 3*125A t/m 175kVA</t>
  </si>
  <si>
    <t>&gt;3*125 Amp t/m 175 kVA</t>
  </si>
  <si>
    <t>&gt; 175kVA t/m 630kVA</t>
  </si>
  <si>
    <t>&gt; 630kVA t/m 1.000kVA</t>
  </si>
  <si>
    <t>&gt; 1.000kVA t/m 1.750kVA</t>
  </si>
  <si>
    <t>NE6R Rendo</t>
  </si>
  <si>
    <t>NE6R - PAV Volumes en tarieven -  Rendo</t>
  </si>
  <si>
    <t>Afnemers MS (1-20 kV) - Transport (&gt; 2.0 MVA tot 10 MVA)</t>
  </si>
  <si>
    <t>Afnemers EHS/HS (&gt;=110 kV)</t>
  </si>
  <si>
    <t>Afnemers MS (1-20 kV) - Distributie (&gt; 1,2 MVA t/m 2,0 MVA)</t>
  </si>
  <si>
    <t>Afnemers Trafo MS/LS (0,15MVA t/m 1,2MVA)</t>
  </si>
  <si>
    <t>Afnemers Trafo HS + TS/MS</t>
  </si>
  <si>
    <t>Afnemers LS (&gt;3x80A t/m 3x225A)</t>
  </si>
  <si>
    <t>Afnemers &gt; 3x25A t/m 3x80A DT</t>
  </si>
  <si>
    <t>Afnemers &gt; 3x25A t/m 3x80A</t>
  </si>
  <si>
    <t>Afnemers 0  t/m 3x25A en 1x40A DT</t>
  </si>
  <si>
    <t>Afnemers 0  t/m 3x25A en 1x40A</t>
  </si>
  <si>
    <t>Afnemers 0  t/m 3x25A en 1x40A ET</t>
  </si>
  <si>
    <t>Afnemers 0 t/m 1x6A LS geschakeld</t>
  </si>
  <si>
    <t>,</t>
  </si>
  <si>
    <t>NE6R - EAV Volumes en tarieven -  Rendo</t>
  </si>
  <si>
    <t>0 t/m 1x6A LS geschakeld</t>
  </si>
  <si>
    <t>0 t/m 3x25A en 1x40A</t>
  </si>
  <si>
    <t>&gt;3x25A en t/m 3x40A</t>
  </si>
  <si>
    <t>&gt;3x40A en t/m 3x50A</t>
  </si>
  <si>
    <t>&gt;3x50A en t/m 3x63A</t>
  </si>
  <si>
    <t>&gt;3x63A en t/m 3x80A</t>
  </si>
  <si>
    <t xml:space="preserve">&gt;3x80A en t/m 3x100A </t>
  </si>
  <si>
    <t xml:space="preserve">&gt;3x100A en t/m 3x125A </t>
  </si>
  <si>
    <t xml:space="preserve">&gt;3x125A en t/m 3x160A </t>
  </si>
  <si>
    <t xml:space="preserve">&gt;3x160A en t/m 3x200A </t>
  </si>
  <si>
    <t xml:space="preserve">&gt;3x200A en t/m 3x225A </t>
  </si>
  <si>
    <t>&gt;0,15 t/m 0.63 MVA met LS meting</t>
  </si>
  <si>
    <t xml:space="preserve">&gt; 0.63 MVA t/m 1.2 MVA met LS meting </t>
  </si>
  <si>
    <t>&gt; 1.2 MVA t/m 2 MVA met MS meting</t>
  </si>
  <si>
    <t>&gt; 2 MVA t/m 5 MVA met MS meting</t>
  </si>
  <si>
    <t>&gt; 5 MVA tot 10 MVA met MS meting</t>
  </si>
  <si>
    <t>NE6R Liander</t>
  </si>
  <si>
    <t>NE6R - PAV Volumes en tarieven -  Liander</t>
  </si>
  <si>
    <t>&gt;3*25A en t/m 3*50A</t>
  </si>
  <si>
    <t>&gt;3*50A en t/m 3*80A</t>
  </si>
  <si>
    <t>&gt;3*50A en t/m 3*80A (incl.  "&gt; afnemers LS")</t>
  </si>
  <si>
    <t>&gt; afnemers LS</t>
  </si>
  <si>
    <t>&gt;3*80A en t/m 100 kVA af sec zijde trafo</t>
  </si>
  <si>
    <t>&gt;100 kVA en t/m 160 kVA af sec zijde trafo</t>
  </si>
  <si>
    <t>&gt;160 kVA en t/m 630 kVA met LS meting</t>
  </si>
  <si>
    <t>&gt;630 kVA en t/m 1000 kVA met LS meting</t>
  </si>
  <si>
    <t xml:space="preserve">&gt;1000 kVA en t/m 2 MVA </t>
  </si>
  <si>
    <t>&gt;1000 kVA en t/m 2,0 MVA</t>
  </si>
  <si>
    <t>&gt;2 MVA en t/m 5,0 MVA</t>
  </si>
  <si>
    <t>&gt;5 MVA en t/m 10,0 MVA</t>
  </si>
  <si>
    <t>t/m 1 x 6A op geschakeld net</t>
  </si>
  <si>
    <t>&gt;3 MVA en t/m 5,0 MVA</t>
  </si>
  <si>
    <t>NE6R - EAV Volumes en tarieven -  Liander</t>
  </si>
  <si>
    <t>&gt;3*25A t/m 3*50A</t>
  </si>
  <si>
    <t>t/m 3*25A (bouwaansluiting)</t>
  </si>
  <si>
    <t>&gt;3*50A t/m 3*80A</t>
  </si>
  <si>
    <t>&gt;3*80A t/m 100 kVA af sec zijde trafo</t>
  </si>
  <si>
    <t>&gt;100 kVA t/m 160 kVA af sec zijde trafo</t>
  </si>
  <si>
    <t>&gt;3*25A t/m 3*50A(bouwaansluiting)</t>
  </si>
  <si>
    <t>&gt;160 kVA t/m 630 kVA met LS meting</t>
  </si>
  <si>
    <t>&gt;3*50A t/m 3*80A(bouwaansluiting</t>
  </si>
  <si>
    <t>&gt;630 kVA t/m 1000 kVA met LS meting</t>
  </si>
  <si>
    <t xml:space="preserve">&gt;3*80A t/m 100 kVA af sec zijde trafo </t>
  </si>
  <si>
    <t>&gt;1000 kVA t/m 2 MVA  *)</t>
  </si>
  <si>
    <t>&gt;2 MVA t/m 5,0 MVA</t>
  </si>
  <si>
    <t>&gt;5 MVA t/m 10,0 MVA</t>
  </si>
  <si>
    <t>NE6R Enexis</t>
  </si>
  <si>
    <t>NE6R - PAV Volumes en tarieven -  Enexis</t>
  </si>
  <si>
    <t>Afnemers TS (25-50)   (30 MVA maatwerk aansluiting)</t>
  </si>
  <si>
    <t xml:space="preserve">Afnemers TS (25-50)  </t>
  </si>
  <si>
    <t>Aansl. cap. &gt; 6 MVA t/m 10 MVA  - ( indien aansl &gt; 10 MVA: maatwerk p.a.v.))</t>
  </si>
  <si>
    <t xml:space="preserve">Aansl. cap. &gt; 6 MVA t/m 10 MVA  </t>
  </si>
  <si>
    <t>Aansl. cap. &gt; 6 MVA t/m 10 MVA  - (indien aansl &gt; 10 MVA: maatwerk p.a.v.))</t>
  </si>
  <si>
    <t>Aansl. cap. &gt;1750 kVA t/m 6 MVA</t>
  </si>
  <si>
    <t>Aansl. cap. &gt;173 kVA t/m 1750 kVA</t>
  </si>
  <si>
    <t>Aansl. cap. &gt; 3x80A t/m 3x250A (173 kVA)</t>
  </si>
  <si>
    <t>Aansl. cap. &gt; 3x80A t/m 3x250A (173 kVA) fysiek aangesloten op LS</t>
  </si>
  <si>
    <t>Aansl. cap. &gt; 3x80A t/m 3x250A (173 kVA) \</t>
  </si>
  <si>
    <t>Afnemers &gt; 3 x 25A DT (doorlaatwaarde &gt;3x25A t/m 3x80A aangesloten op ls net)</t>
  </si>
  <si>
    <t xml:space="preserve">Afnemers &gt; 3 x 25A DT </t>
  </si>
  <si>
    <t>Afnemers &gt; 3 x 25A  t/m 3x80A</t>
  </si>
  <si>
    <t>Afnemers &gt; 3 x 25A ET (doorlaatwaarde &gt;3x25A t/m 3x80A aangesloten op ls net)</t>
  </si>
  <si>
    <t>Afnemers &gt; 3 x 25A ET</t>
  </si>
  <si>
    <t>Afnemers t/m 3 x 25A</t>
  </si>
  <si>
    <t>Afnemers t/m 3 x 25A DT (doorlaatwaarde t/m 3x25A aangesloten op ls net)</t>
  </si>
  <si>
    <t>Afnemers t/m 3 x 25A DT</t>
  </si>
  <si>
    <t>Afnemers t/m 6A (geschakeld ls net)</t>
  </si>
  <si>
    <t>Afnemers t/m 3 x 25A ET (doorlaatwaarde t/m 3x25A aangesloten op ls net)</t>
  </si>
  <si>
    <t xml:space="preserve">Afnemers t/m 3 x 25A ET </t>
  </si>
  <si>
    <t>Afnemers t/m 6A (geschakeld)</t>
  </si>
  <si>
    <t>PAV meerlengte &gt; 6 t/m 10 MVA n-1 veilige aansl.</t>
  </si>
  <si>
    <t>PAV &gt; 6 t/m 10 MVA</t>
  </si>
  <si>
    <t>PAV meerlengte 3 t/m 6 MVA n-1 veilige aansluiting</t>
  </si>
  <si>
    <t>PAV 3 t/m 6 MVA</t>
  </si>
  <si>
    <t xml:space="preserve"> </t>
  </si>
  <si>
    <t>NE6R - EAV Volumes en tarieven -  Enexis</t>
  </si>
  <si>
    <t xml:space="preserve">t/m 1*6 A </t>
  </si>
  <si>
    <t>t/m 1*6 A op geschakeld net</t>
  </si>
  <si>
    <t xml:space="preserve">&gt; 1*6A t/m 1*40A </t>
  </si>
  <si>
    <t xml:space="preserve">t/m 1*40A </t>
  </si>
  <si>
    <t>&gt; 1*40A t/m 3*25A</t>
  </si>
  <si>
    <t>&gt;3*25A en t/m 3*40A</t>
  </si>
  <si>
    <t>&gt;3*40A en t/m 3*50A</t>
  </si>
  <si>
    <t>&gt;3*80A en t/m 3*160A</t>
  </si>
  <si>
    <t>&gt;3*160A  t/m 3*250A</t>
  </si>
  <si>
    <t>&gt;3*250A (173 kVA) t/m 630 kVA</t>
  </si>
  <si>
    <t>630 kVA t/m 1750 kVA</t>
  </si>
  <si>
    <t>&gt; 630 kVA t/m 1750 kVA</t>
  </si>
  <si>
    <t>&gt; 1750 kVA t/m 6 MVA</t>
  </si>
  <si>
    <t>&gt;6,0 MVA en t/m 10 MVA</t>
  </si>
  <si>
    <t>NE6R Endinet</t>
  </si>
  <si>
    <t>NE6R - PAV Volumes en tarieven -  Endinet</t>
  </si>
  <si>
    <t>Afnemers MS (&gt; 3 MW )</t>
  </si>
  <si>
    <t xml:space="preserve">Afnemers MS (&gt; 3x250A t/m 3 MW) </t>
  </si>
  <si>
    <t>Afnemers MS (&gt; 3x250A t/m 3 MW)</t>
  </si>
  <si>
    <t>Afnemers Trafo MS/LS (&gt; 3x63A t/m 3x250A) aansluiting MS/LS</t>
  </si>
  <si>
    <t>Afnemers Trafo MS/LS (&gt; 3x63A t/m 3x250A)</t>
  </si>
  <si>
    <t>Afnemers Trafo MS/LS (&gt; 3x80A t/m 3x250A) aansluiting MS/LS</t>
  </si>
  <si>
    <t>Afnemers LS</t>
  </si>
  <si>
    <t>Afnemers &gt; 3x25A t/m 3x80A aangesloten op ls</t>
  </si>
  <si>
    <t>Afnemers &gt; 1x6A t/m 3x25A aangesloten op ls</t>
  </si>
  <si>
    <t>Afnemers LS geschakeld (t/m 1x6A)</t>
  </si>
  <si>
    <t>NE6R - EAV Volumes en tarieven -  Endinet</t>
  </si>
  <si>
    <t>0 t/m 1*6 A aansluting op geschakeld net</t>
  </si>
  <si>
    <t>&gt;3*25A t/m 3*63A</t>
  </si>
  <si>
    <t>&gt;3*63A t/m 3*80A</t>
  </si>
  <si>
    <t>&gt;3*80 A t/m 3*160A</t>
  </si>
  <si>
    <t>&gt;3*160 A t/m 250 A</t>
  </si>
  <si>
    <t>&gt;110 kVA t/m 630 kVA</t>
  </si>
  <si>
    <t>&gt;630 kVA t/m &lt;1 MVA</t>
  </si>
  <si>
    <t>&gt;1 MVA t/m 2 MVA</t>
  </si>
  <si>
    <t>&gt;5,0 MVA t/m 10 MVA</t>
  </si>
  <si>
    <t>NE6R DNWB</t>
  </si>
  <si>
    <t>NE6R - PAV Volumes en tarieven -  Delta</t>
  </si>
  <si>
    <t>TS</t>
  </si>
  <si>
    <t>Afnemers Trafo HS + TS/MS (&gt;2 MW t/m 10 MVA)</t>
  </si>
  <si>
    <t>HS/MS</t>
  </si>
  <si>
    <t>Afnemers MS (1-20 kV) - Distributie (&gt;0,2 MW t/m 2 MW)</t>
  </si>
  <si>
    <t>MS/LS</t>
  </si>
  <si>
    <t>Afnemers Trafo MS/LS (&gt;50 kW t/m 0,2 MW)</t>
  </si>
  <si>
    <t>Afnemers LS (&gt; 3*80A t/m 50 kW)</t>
  </si>
  <si>
    <t>LS 3*80A</t>
  </si>
  <si>
    <t>Afnemers &gt; 3 x 25A DT (&gt;3*25A t/m 3*80A)</t>
  </si>
  <si>
    <t>LS 3*63A</t>
  </si>
  <si>
    <t>Afnemers &gt; 3 x 25A (&gt;3*25A t/m 3*80A)</t>
  </si>
  <si>
    <t>Afnemers &gt; 3 x 25A ET (&gt;3*25A t/m 3*80A)</t>
  </si>
  <si>
    <t>LS 3*50A</t>
  </si>
  <si>
    <t>Afnemers &gt; 1*6A (&gt; 1*6A t/m 3*25A)</t>
  </si>
  <si>
    <t>Afnemers &gt; 1*6A DT (&gt; 1*6A t/m 3*25A)</t>
  </si>
  <si>
    <t>LS 3*35A</t>
  </si>
  <si>
    <t>Afnemers t/m 1 x 6A geschakeld net</t>
  </si>
  <si>
    <t>Afnemers &gt; 1*6A ET (&gt; 1*6A t/m 3*25A)</t>
  </si>
  <si>
    <t>LS 3*25A</t>
  </si>
  <si>
    <t>LS 1*6A (ET)</t>
  </si>
  <si>
    <t>NE6R - EAV Volumes en tarieven -  Delta</t>
  </si>
  <si>
    <t xml:space="preserve">t/m 1*6 A  geschakeld net </t>
  </si>
  <si>
    <t>&gt; 1*6A en t/m 3*25A</t>
  </si>
  <si>
    <t>&gt;50 kW en t/m 0,2 MW af sec. zijde LS</t>
  </si>
  <si>
    <t>&gt;0,2 MW en t/m 0.6 MW, LS meting</t>
  </si>
  <si>
    <t>&gt;0,6 MW en t/m 2.0 MW, MS meting</t>
  </si>
  <si>
    <t>&gt;2,0 MVA en t/m 5 MVA</t>
  </si>
  <si>
    <t>&gt;5,0 MVA en t/m 10 MVA</t>
  </si>
  <si>
    <t>NE6R Cogas</t>
  </si>
  <si>
    <t>NE6R - PAV Volumes en tarieven -  Cogas</t>
  </si>
  <si>
    <t>Afnemers MS (1-20 kV) - Distributie (&gt; 1,2 MVA t/m 3,0  MVA)</t>
  </si>
  <si>
    <t>Afnemers Trafo MS/LS (&gt;0,15 MVA t/m 1,2 MVA)</t>
  </si>
  <si>
    <t>Afnemers MS (1-20 kV) - Distributie (&gt; 3,0 MVA t/m 6,0  MVA)</t>
  </si>
  <si>
    <t>Afnemers LS (&gt;3*80A  t/m  3*225A)</t>
  </si>
  <si>
    <t>Afnemers &gt; 3*25A  t/m  3*80A  DT</t>
  </si>
  <si>
    <t>Afnemers &gt; 3*25A t/m 3*80A ET</t>
  </si>
  <si>
    <t>Afnemers &gt;  1* 6A  t/m 3* 25A DT</t>
  </si>
  <si>
    <t>Afnemers &gt; 3*25A  t/m  3*80A</t>
  </si>
  <si>
    <t>Afnemers &gt;  1* 6A  t/m 3* 25A ET</t>
  </si>
  <si>
    <t>Afnemers &gt;  1* 6A  t/m 3* 25A</t>
  </si>
  <si>
    <t>Afnemers 0 t/m 1* 6A  (OV)</t>
  </si>
  <si>
    <t>NE6R - EAV Volumes en tarieven -  Cogas</t>
  </si>
  <si>
    <t>0 t/m 1*6A  (OV)</t>
  </si>
  <si>
    <t>&gt; 1*6A  en t/m 3*25A</t>
  </si>
  <si>
    <t>&gt;3*80A en t/m 3*100A af sec. zijde LS-transformator</t>
  </si>
  <si>
    <t>&gt;3*100A en t/m 3*125A af sec.zijde LS-transformator</t>
  </si>
  <si>
    <t>&gt;3*125A en t/m 3*160A af sec.zijde LS-transformator</t>
  </si>
  <si>
    <t>&gt;3*160A en t/m 3*200A af sec.zijde LS-transformator</t>
  </si>
  <si>
    <t>&gt;3*200A en t/m 3*225A af sec.zijde LS-transformator</t>
  </si>
  <si>
    <t>&gt;0,15 MVA en t/m 0,63 MVA MS met  LS meting</t>
  </si>
  <si>
    <t>&gt;0,63 MVA en t/m 1,2 MVA MS met LS meting</t>
  </si>
  <si>
    <t>&gt;1,2 MVA en t/m 1,8 MVA MS met  MS meting</t>
  </si>
  <si>
    <t>&gt;1,8 MVA en t/m 2,4 MVA MS met  MS meting</t>
  </si>
  <si>
    <t>&gt;2,4 MVA en t/m 3,0 MVA MS met  MS meting</t>
  </si>
  <si>
    <t>&gt;3,0 MVA en t/m 6,0 MVA MS met  MS meting</t>
  </si>
  <si>
    <t>Standaardisatie volumes en tarieven Aansluitdienst</t>
  </si>
  <si>
    <t>PERIODIEKE AANSLUITVERGOEDING</t>
  </si>
  <si>
    <t>EENMALIGE AANSLUITVERGOEDING</t>
  </si>
  <si>
    <t>Rekenvolumes (na standaardisatie) 2014-2016 (o.b.v. gemiddelde over 2010-2012)</t>
  </si>
  <si>
    <t>Rekenvolumes na standaardisatie Aansluitdienst 2014-2016 (o.b.v. gemiddelde 2010-2012) (uitsluitend t.b.v. SO berekening, niet t.b.v. rekenvolumebesluit)</t>
  </si>
  <si>
    <t>WACC Bijlage bij methodebesluit NE4R</t>
  </si>
  <si>
    <t>WACC Bijlage bij methodebesluit NE5R</t>
  </si>
  <si>
    <t>WACC Bijlage bij methodebesluit NE6R</t>
  </si>
  <si>
    <t>Ingeschat rentepercentage voor 2014-2016 o.b.v. WACC berekening</t>
  </si>
  <si>
    <t>Overzicht WACC parameters</t>
  </si>
  <si>
    <t>WACC</t>
  </si>
  <si>
    <t>Afnemers HS (110-150 kV) max. 600 uur/jaar</t>
  </si>
  <si>
    <t>Afnemers TS (25-50 kV) max. 600 uur/jaar</t>
  </si>
  <si>
    <r>
      <t>t/m 3*25A + alle 1-fase aansluitingen</t>
    </r>
    <r>
      <rPr>
        <vertAlign val="superscript"/>
        <sz val="10"/>
        <rFont val="Arial"/>
        <family val="2"/>
      </rPr>
      <t>1</t>
    </r>
  </si>
  <si>
    <t>Afnemers Trafo HS+TS/MS max. 600 uur/jaar</t>
  </si>
  <si>
    <t>Rekenvolumes Aansluitdienst 2014-2016 (o.b.v. gemiddelde 2010-2012)</t>
  </si>
  <si>
    <t>Verschil tussen begininkomsten NE6R en inschatting van de kosten in 2013</t>
  </si>
  <si>
    <t>Berekening gemiddelde (genormaliseerde) kosten</t>
  </si>
  <si>
    <t>Er wordt in hoge mate gebruik gemaakt van de kostenbasis voor de berekening van de Efficiënte kosten voor het jaar 2013, ten behoeve van de toepassingsvoorwaarde van de one-off.</t>
  </si>
  <si>
    <t>Op dit blad worden de kosten berekend voor gebruik in inschatting van de kosten voor het jaar 2013, ten behoeve van de aanleidingstoets van de one-off.</t>
  </si>
  <si>
    <t>Op dit blad berekenen we de Efficiënte kosten 2013 zoals we die hanteren voor de vergelijking met de Begininkomsten: met toepassing van oude WACC (NE5R). Dit is de toepassingsvoorwaarde van de "one-off"</t>
  </si>
  <si>
    <t>Eénmalige aansluitvergoeding t/m 25 meter</t>
  </si>
  <si>
    <t>Eénmalige aansluitvergoeding per meter &gt; 25 meter</t>
  </si>
  <si>
    <t>PAV meerlengte &gt; 25 meter; aansluitingen 3-10 MVA</t>
  </si>
  <si>
    <t>Verschil als percentage van de begininkomsten</t>
  </si>
  <si>
    <t>Berekening efficiënte kosten 2013 t.b.v. berekening Eindinkomsten (maatstaf) (WACC NE6R)</t>
  </si>
  <si>
    <t>Efficiëntie kosten 2013 t.b.v. berekening Eindinkomsten 2016 excl. ORV  (WACC NE6R)</t>
  </si>
  <si>
    <t>Inschatting sectorkosten 2013</t>
  </si>
  <si>
    <t>Inschatting sectorkosten 2013 (incl. ORV) t.b.v. aanleidingstoets one-off</t>
  </si>
  <si>
    <t>Inschatting sectorkosten 2013 (t.b.v. aanleiding one-off)</t>
  </si>
  <si>
    <t>Samengestelde output voor PV berekening (excl. Invoeding)</t>
  </si>
  <si>
    <t>Kostenbasis voor efficiënte kosten 2013 (WACC NE5R)</t>
  </si>
  <si>
    <t>Splitsing klein/grootverbruik t.b.v. opdeling kosten dubieuze debiteuren</t>
  </si>
  <si>
    <t>Inkomsten kleinverbruik</t>
  </si>
  <si>
    <t>Inkomsten grootverbruik</t>
  </si>
  <si>
    <t>Inputgegevens Onttrekkingen Dubieuze Debiteuren</t>
  </si>
  <si>
    <t>NREI</t>
  </si>
  <si>
    <t>OBRA</t>
  </si>
  <si>
    <t>NXIS  (Ex. INTE)</t>
  </si>
  <si>
    <t>INTE</t>
  </si>
  <si>
    <t>LIAN (ex. HAAR)</t>
  </si>
  <si>
    <t>HAAR</t>
  </si>
  <si>
    <t>Data ontrekkingen dubieuze debiteuren - Type 1</t>
  </si>
  <si>
    <t>Gesplitst naar Elektriciteit / Gas:</t>
  </si>
  <si>
    <t>Nee</t>
  </si>
  <si>
    <t>Gesplitst naar Kleinverbruik / Grootverbruik:</t>
  </si>
  <si>
    <t>Ja</t>
  </si>
  <si>
    <t>Exclusief Meetdienst of andere niet-gereguleerde activiteiten:</t>
  </si>
  <si>
    <t>Elektriciteit &amp;Gas</t>
  </si>
  <si>
    <t>Onttrekkingen Dubieuze Debiteuren 2010</t>
  </si>
  <si>
    <t>Onttrekkingen Dubieuze Debiteuren 2011</t>
  </si>
  <si>
    <t>Onttrekkingen Dubieuze Debiteuren 2012</t>
  </si>
  <si>
    <t>Data ontrekkingen dubieuze debiteuren - Type 2</t>
  </si>
  <si>
    <t>Data ontrekkingen dubieuze debiteuren - Type 3</t>
  </si>
  <si>
    <t>Data ontrekkingen dubieuze debiteuren - Type 4</t>
  </si>
  <si>
    <t>Elektriciteit</t>
  </si>
  <si>
    <t>Gas</t>
  </si>
  <si>
    <t>Onttrekkingen Dubieuze Debiteuren 2010 Transportdienst</t>
  </si>
  <si>
    <t>Onttrekkingen Dubieuze Debiteuren 2010 Aansluitdienst</t>
  </si>
  <si>
    <t>Onttrekkingen Dubieuze Debiteuren 2010 - Totaal</t>
  </si>
  <si>
    <t>Onttrekkingen Dubieuze Debiteuren 2011 Transportdienst</t>
  </si>
  <si>
    <t>Onttrekkingen Dubieuze Debiteuren 2011 Aansluitdienst</t>
  </si>
  <si>
    <t>Onttrekkingen Dubieuze Debiteuren 2011 - Totaal</t>
  </si>
  <si>
    <t>Onttrekkingen Dubieuze Debiteuren 2012 Transportdienst</t>
  </si>
  <si>
    <t>Onttrekkingen Dubieuze Debiteuren 2012 Aansluitdienst</t>
  </si>
  <si>
    <t>Onttrekkingen Dubieuze Debiteuren 2012 - Totaal</t>
  </si>
  <si>
    <t>Onttrekkingen Dubieuze Debiteuren 2010 kleinverbruik</t>
  </si>
  <si>
    <t>Onttrekkingen Dubieuze Debiteuren 2011 kleinverbruik</t>
  </si>
  <si>
    <t>Onttrekkingen Dubieuze Debiteuren 2012 kleinverbruik</t>
  </si>
  <si>
    <t>Omzet Transport en Aansluitdienst Elektriciteit en Gas</t>
  </si>
  <si>
    <t>Productiviteitsdata 2010, 2011 en 2012</t>
  </si>
  <si>
    <t>Omzet transportdienst</t>
  </si>
  <si>
    <t>Omzet periodieke aansluitvergoeding (tariefgereguleerde deel)</t>
  </si>
  <si>
    <t>Totale omzet TD + PAV elektriciteit 2010</t>
  </si>
  <si>
    <t>Totale omzet TD + PAV gas 2010</t>
  </si>
  <si>
    <t>Totale omzet TD + PAV elektriciteit 2011</t>
  </si>
  <si>
    <t>Totale omzet TD + PAV gas 2011</t>
  </si>
  <si>
    <t>Totale omzet TD + PAV elektriciteit 2012</t>
  </si>
  <si>
    <t>Totale omzet TD + PAV gas 2012</t>
  </si>
  <si>
    <t>Omzet meetdienst E en G</t>
  </si>
  <si>
    <t>CPI2011</t>
  </si>
  <si>
    <t>CPI2012</t>
  </si>
  <si>
    <t>Aandeel omzet oxxio voor alle jaren voor zowel E als G</t>
  </si>
  <si>
    <t>Omzet meetdienst 2010 Elektriciteit</t>
  </si>
  <si>
    <t>Omzet meetdienst 2010 Elektriciteit (excl Oxxio)</t>
  </si>
  <si>
    <t>Omzet meetdienst 2010 Gas</t>
  </si>
  <si>
    <t>Omzet meetdienst 2010 Gas (excl Oxxio)</t>
  </si>
  <si>
    <t>Totale omzet meetdienst 2010 (excl Oxxio)</t>
  </si>
  <si>
    <t>Omzet meetdienst 2011 Elektriciteit</t>
  </si>
  <si>
    <t>Omzet meetdienst 2011 Elektriciteit (excl Oxxio)</t>
  </si>
  <si>
    <t>Omzet meetdienst 2011 Gas</t>
  </si>
  <si>
    <t>Omzet meetdienst 2011 Gas (excl Oxxio)</t>
  </si>
  <si>
    <t>Totale omzet meetdienst 2011 (excl Oxxio)</t>
  </si>
  <si>
    <t>Omzet meetdienst 2012 Elektriciteit</t>
  </si>
  <si>
    <t>waarvan omzet Oxxio</t>
  </si>
  <si>
    <t>Omzet meetdienst 2012 Elektriciteit (excl Oxxio)</t>
  </si>
  <si>
    <t>Omzet meetdienst 2012 Gas</t>
  </si>
  <si>
    <t>Omzet meetdienst 2012 Gas (excl Oxxio)</t>
  </si>
  <si>
    <t>Totale omzet meetdienst 2012 (excl Oxxio)</t>
  </si>
  <si>
    <t>Dit blad geeft een overzicht van de data met betrekking tot de kosten van dubieuze debiteuren.</t>
  </si>
  <si>
    <t>Dit is nodig om te voorkomen dat netbeheerders twee keer voor deze besparingen worden gecorrigeerd, namelijk via de correctie van de operationele kosten voor de forfaitaire voorzieningen dubieuze debiteuren kleinverbruik én voor de besparingen uit hoofde van het marktmodel.</t>
  </si>
  <si>
    <t>In deze laatste post is ook rekening gehouden met te realiseren besparingen op dubieuze debiteuren kleinverbruik.</t>
  </si>
  <si>
    <t>De data is afkomstig uit de productiviteitsdata 2010-2012 en specifiek de toelichting daarop.</t>
  </si>
  <si>
    <t>Van Westland geen data bekend over 2010. Hiervoor is inschatting gemaakt op basis van 0,5% van de betrokken omzet. Dit komt overeen met de forfaitaire vergoeding voor dubieuze debiteuren kleinverbruik waar netbeheerders volgens de RAR tot in 2013 recht op hadden.</t>
  </si>
  <si>
    <t>Ophalen data</t>
  </si>
  <si>
    <t>Type 1</t>
  </si>
  <si>
    <t>Type 2</t>
  </si>
  <si>
    <t>Type 3</t>
  </si>
  <si>
    <t>Type 4</t>
  </si>
  <si>
    <t>Onttrekkingen Dubieuze Debiteuren 2010 E</t>
  </si>
  <si>
    <t>Onttrekkingen Dubieuze Debiteuren 2011 E</t>
  </si>
  <si>
    <t>Onttrekkingen Dubieuze Debiteuren 2012 E</t>
  </si>
  <si>
    <t>Onttrekkingen Dubieuze Debiteuren 2010 G</t>
  </si>
  <si>
    <t>Onttrekkingen Dubieuze Debiteuren 2011 G</t>
  </si>
  <si>
    <t>Onttrekkingen Dubieuze Debiteuren 2012 G</t>
  </si>
  <si>
    <t>Totale omzet elektriciteit 2010</t>
  </si>
  <si>
    <t>Totale omzet elektriciteit 2011</t>
  </si>
  <si>
    <t>Totale omzet elektriciteit 2012</t>
  </si>
  <si>
    <t>Totale omzet gas 2010</t>
  </si>
  <si>
    <t>Totale omzet gas 2011</t>
  </si>
  <si>
    <t>Totale omzet gas 2012</t>
  </si>
  <si>
    <t>Omzet Meetdienst Elektriciteit en Gas</t>
  </si>
  <si>
    <t>Tussenberekening totale omzet</t>
  </si>
  <si>
    <t>Totale omzet elektriciteit en gas 2010 (inclusief meetdienst)</t>
  </si>
  <si>
    <t>Totale omzet elektriciteit en gas 2011 (inclusief meetdienst)</t>
  </si>
  <si>
    <t>Totale omzet elektriciteit en gas 2012 (inclusief meetdienst)</t>
  </si>
  <si>
    <t>Stap 1a: Type 1 en 2 corrigeren voor de meetdienst en splitsen in Elektriciteit en Gas</t>
  </si>
  <si>
    <t>Acties:</t>
  </si>
  <si>
    <t>Corrigeren Meetdienst of andere niet-gereguleerde activiteiten</t>
  </si>
  <si>
    <t>Splitsen naar elektriciteit en gas</t>
  </si>
  <si>
    <t>Ontrekkingen dubieuze debiteuren E exclusief meetdienst 2010</t>
  </si>
  <si>
    <t>Ontrekkingen dubieuze debiteuren E exclusief meetdienst 2011</t>
  </si>
  <si>
    <t>Ontrekkingen dubieuze debiteuren E exclusief meetdienst 2012</t>
  </si>
  <si>
    <t>Ontrekkingen dubieuze debiteuren G exclusief meetdienst 2010</t>
  </si>
  <si>
    <t>Ontrekkingen dubieuze debiteuren G exclusief meetdienst 2011</t>
  </si>
  <si>
    <t>Ontrekkingen dubieuze debiteuren G exclusief meetdienst 2012</t>
  </si>
  <si>
    <t>Stap 1b: Type 3 splitsen in Elektriciteit en Gas</t>
  </si>
  <si>
    <t>Stap 2: Splitsen naar kleinverbruik en grootverbruik</t>
  </si>
  <si>
    <t>Ophalen omzet E en G op basis van tarieven 2013 en rekenvolumina 2014-2016</t>
  </si>
  <si>
    <t>Toerekenen ontrekkingen dubieuze debiteuren aan deel dat betrekking heeft op kleinverbruik</t>
  </si>
  <si>
    <t>Omzetten Kleinverbruik en Grootverbruik (o.b.v. wegingsfactoren x rekenvolumina NE6R en NG5R)</t>
  </si>
  <si>
    <t>Omzet kleinverbruik E</t>
  </si>
  <si>
    <t>Omzet grootverbruik E</t>
  </si>
  <si>
    <t>Ontrekkingen dubieuze debiteuren E kleinverbruik 2010</t>
  </si>
  <si>
    <t>Ontrekkingen dubieuze debiteuren E kleinverbruik 2011</t>
  </si>
  <si>
    <t>Ontrekkingen dubieuze debiteuren E kleinverbruik 2012</t>
  </si>
  <si>
    <t>Inschatting werkelijke kosten dubieuze debiteuren kleinverbruik t.b.v. correctie besparingen marktmodel</t>
  </si>
  <si>
    <t>Totale omzet meetdienst 2010 E en G</t>
  </si>
  <si>
    <t>Totale omzet meetdienst 2011 E en G</t>
  </si>
  <si>
    <t>Totale omzet meetdienst 2012 E en G</t>
  </si>
  <si>
    <t>Totale omzet Elektriciteit en Gas</t>
  </si>
  <si>
    <t>Optelsom (gecorrigeerde) type 1, 2, 3 en 4</t>
  </si>
  <si>
    <t>Data ontrekkingen dubieuze debiteuren - Type 5</t>
  </si>
  <si>
    <t>Type 5</t>
  </si>
  <si>
    <t>Stap 3: Samenvoegen resulaten uit Stap 2 en data type 5</t>
  </si>
  <si>
    <t>Samenvoegen resulaten uit Stap 2 en data type 5</t>
  </si>
  <si>
    <t>(formule 48 en 49)</t>
  </si>
  <si>
    <t>(formule 47)</t>
  </si>
  <si>
    <t>(formule 45, deels)</t>
  </si>
  <si>
    <t>(formule 40)</t>
  </si>
  <si>
    <t>(formule 43 en 44)</t>
  </si>
  <si>
    <t>(formule 41)</t>
  </si>
  <si>
    <t>(formule 42)</t>
  </si>
  <si>
    <t>(formule 46)</t>
  </si>
  <si>
    <t>(formule 29)</t>
  </si>
  <si>
    <t>(formule 36)</t>
  </si>
  <si>
    <t>(formule 34)</t>
  </si>
  <si>
    <t>(formule 38)</t>
  </si>
  <si>
    <t>(formule 39, deels)</t>
  </si>
  <si>
    <t>(formule 33)</t>
  </si>
  <si>
    <t>(formule 12, indirect)</t>
  </si>
  <si>
    <t>(formule 11)</t>
  </si>
  <si>
    <t>(formule 11, afwijkend)</t>
  </si>
  <si>
    <t>(formule 17)</t>
  </si>
  <si>
    <t>(formule 68)</t>
  </si>
  <si>
    <t>PAV Meerlengte 3-10 MVA</t>
  </si>
  <si>
    <t>SO Transportdienst (excl. Invoeding)</t>
  </si>
  <si>
    <t>in EUR, pp 2009-2012</t>
  </si>
  <si>
    <t xml:space="preserve">In het methodebesluit is toegelicht dat bij de verrekening van de besparingen uit hoofde van het marktmodel er een correctie dient plaats te vinden voor de besparingen op dubieuze debiteuren kleinverbruik. </t>
  </si>
  <si>
    <t>De opgegeven ontrekkingen voor dubieuze debiteuren hebben geen betrekking op de opbrengsten behaald op de meters van Oxxio. Hiervoor wordt gecorrigeerd. Dit wordt gedaan op basis van de verhouding tussen de opbrengsten van Oxxio en de totaalomzet van de meetdienst Elektriciteit in het jaar 2012.</t>
  </si>
  <si>
    <t>Op al deze typen dienen nog een aantal verdeelslagen te worden gemaakt voor de uitiendelijke toerekening naar kleinverbruikers elektriciteit. ACM hanteert hiervoor de omzet van de verschillende diensten (transport &amp; aansluitdienst en meetdienst).</t>
  </si>
  <si>
    <t>Delta van 2012 naar 2013 (aanname: komt 100% voort uit invoering leveranciersmodel)</t>
  </si>
  <si>
    <t>5/9e deel van deze delta (omdat leveranciersmodel nu slechts 5 ipv 9 maanden actief is)</t>
  </si>
  <si>
    <t>Besparingsbedrag 2013 met aangepaste berekening i.v.m. invoering leveranciersmodel per 1 aug 2013</t>
  </si>
  <si>
    <t>Zaaknummer</t>
  </si>
  <si>
    <t>Kenmerk</t>
  </si>
  <si>
    <t>Op dit blad wordt de x-factor berekend voor de zesde reguleringsperiode elektriciteit.</t>
  </si>
  <si>
    <t xml:space="preserve">Afnemers MS (1-20 kV) </t>
  </si>
  <si>
    <t>Afnemers MS (1-20 kV)</t>
  </si>
  <si>
    <t>rekenvolume</t>
  </si>
  <si>
    <t xml:space="preserve">Aangezien netbeheerders niet allemaal dezelfde administratieve scheiding aanbrengen in deze data, zijn er vijf typen data voor 'onttrekkingen dubieuze debiteuren kleinverbuik' te onderscheiden. </t>
  </si>
  <si>
    <t>Op dit blad wordt de inschatting van de werkelijke kosten dubieuze debiteuren kleinverbruik berekend.</t>
  </si>
  <si>
    <t>Sector</t>
  </si>
  <si>
    <t>X-factor</t>
  </si>
  <si>
    <t>Q-factor</t>
  </si>
  <si>
    <t>Overige parameters</t>
  </si>
  <si>
    <t>WACC 2014-2016</t>
  </si>
  <si>
    <t>Productiviteitsverandering</t>
  </si>
  <si>
    <t>Samengestelde Output (SO)</t>
  </si>
  <si>
    <t>SO</t>
  </si>
  <si>
    <t>Aandeel SO</t>
  </si>
  <si>
    <t>Inschatting inkoopkosten transport (i.h.k.v. nacalculatie)</t>
  </si>
  <si>
    <t>Inschatting inkoopkosten transport 2014 - 2016</t>
  </si>
  <si>
    <t>Gebaseerd op gemiddelde inkoopkosten transport, in efficiëntieniveau 2013</t>
  </si>
  <si>
    <t>Jaarlijkse productiviteitsverandering (2005-2012)</t>
  </si>
  <si>
    <t>Langjarige productiviteitsverandering NE6R</t>
  </si>
  <si>
    <t>Volumeniveau waar bovenstaande inschatting op is gebaseerd</t>
  </si>
  <si>
    <t>Bijlage 1</t>
  </si>
  <si>
    <t>Eindinkomsten 2016 voor berekening x-factor (excl. Inkoop Transport)</t>
  </si>
  <si>
    <t>Begininkomsten 2013 voor toepassing x-factor</t>
  </si>
  <si>
    <t>Gegevens berekening totale inkomsten</t>
  </si>
  <si>
    <t>Gegevens berekening x-factor</t>
  </si>
  <si>
    <t>Resultaten x-factor en q-factor elektriciteit</t>
  </si>
  <si>
    <t>Deze tabel bevat een overzicht van de gehanteerde gegevens (op hoofdlijnen) om te komen tot vaststelling van de x- en q-factor voor regionale netbeheerders elektriciteit.</t>
  </si>
  <si>
    <t>Dit blad geeft een overzicht van de rekenvolumes van de regionale netbeheerders elektriciteit voor de jaren 2014-2016.</t>
  </si>
  <si>
    <t>Bron: Productiviteitsdata meetdomein</t>
  </si>
  <si>
    <t>Bron: Bestand: gawafschrijvingen-rnbe-2014tm2016-20130930</t>
  </si>
  <si>
    <t>Eventuele wijzigingen van gegevens die n.a.v. de beoordeling door ACM worden gedaan, zijn in onderstaand overzicht aangegeven in een paarse kleur.</t>
  </si>
  <si>
    <t>Om afwijkende formats in de brondata gelijk te trekken (o.a. met betrekking tot blindvermogen), worden op dit blad de ruwe volume gegevens gestandaardiseerd.</t>
  </si>
  <si>
    <t>Op dit blad worden de begininkomsten berekend. Deze zijn het somproduct van de tarieven in 2013 (na correctie voor nacalculaties die niet op 2013 zien) en de rekenvolumes voor de periode 2014-2016</t>
  </si>
  <si>
    <t>Netbeheerder:</t>
  </si>
  <si>
    <t xml:space="preserve">Bron gegevens: </t>
  </si>
  <si>
    <t>Aanpassing gegevens</t>
  </si>
  <si>
    <t>Oorspronkelijk</t>
  </si>
  <si>
    <t>Nieuw</t>
  </si>
  <si>
    <t>Aanpassing</t>
  </si>
  <si>
    <t>Brief Stedin 24 juni 2014</t>
  </si>
  <si>
    <t>EAV MS en &gt;MS</t>
  </si>
  <si>
    <t>M250</t>
  </si>
  <si>
    <t>Tabblad</t>
  </si>
  <si>
    <t>Cel</t>
  </si>
  <si>
    <t>Overzicht Vol &amp; Tar AD</t>
  </si>
  <si>
    <t>Formulefout. Nieuwe formule: ='Standaardisatie AD (per RNB)'!$V$213</t>
  </si>
  <si>
    <t>Gecorrigeerde productiviteitsdata 2009-2011</t>
  </si>
  <si>
    <t>Gegevens onjuist overgenomen</t>
  </si>
  <si>
    <t>PRD OPEX (2009-2012)</t>
  </si>
  <si>
    <t>H12</t>
  </si>
  <si>
    <t>H13</t>
  </si>
  <si>
    <t>H14</t>
  </si>
  <si>
    <t>H15</t>
  </si>
  <si>
    <t>H18</t>
  </si>
  <si>
    <t>H19</t>
  </si>
  <si>
    <t>H22</t>
  </si>
  <si>
    <t>H23</t>
  </si>
  <si>
    <t>H26</t>
  </si>
  <si>
    <t>H27</t>
  </si>
  <si>
    <t>H28</t>
  </si>
  <si>
    <t>H38</t>
  </si>
  <si>
    <t>H62</t>
  </si>
  <si>
    <t>Betreft:</t>
  </si>
  <si>
    <t>Aanpassing ongereguleerde deel DVO marktoperaties</t>
  </si>
  <si>
    <t>Aanpassing doorbelasting managementfee Joulz</t>
  </si>
  <si>
    <t>M43</t>
  </si>
  <si>
    <t>M19</t>
  </si>
  <si>
    <t>Eliminatie kapitaallastenvergoeding</t>
  </si>
  <si>
    <t>J64</t>
  </si>
  <si>
    <t>Onderzoek operationele kosten Stedin</t>
  </si>
  <si>
    <t>Onderzoek operationele kosten Enexis</t>
  </si>
  <si>
    <t>Berekening kapitaalkosten</t>
  </si>
  <si>
    <t>Aanpassing eenmalige compensatiekorting</t>
  </si>
  <si>
    <t>J18</t>
  </si>
  <si>
    <t>Onderzoek operationele kosten Liander</t>
  </si>
  <si>
    <t>ICT projecten niet gereguleerd</t>
  </si>
  <si>
    <t>K18</t>
  </si>
  <si>
    <t>Endinet, Enexis, Liander</t>
  </si>
  <si>
    <t>Mail Endinet 24-7-2014, PRD 2010 en 2011</t>
  </si>
  <si>
    <t>Onttrekkingen dubieuze debiteuren, type 2, Oost-Brabant</t>
  </si>
  <si>
    <t>Data dubieuze debiteuren</t>
  </si>
  <si>
    <t>Onttrekkingen dubieuze debiteuren, type 2, Haarlemmermeer</t>
  </si>
  <si>
    <t>Elektriciteit Omzet transportdienst</t>
  </si>
  <si>
    <t>K89</t>
  </si>
  <si>
    <t>Elektriciteit Omzet periodieke aansluitvergoeding (tariefgereguleerde deel)</t>
  </si>
  <si>
    <t>Gas Omzet transportdienst</t>
  </si>
  <si>
    <t>I94</t>
  </si>
  <si>
    <t>Gas Omzet periodieke aansluitvergoeding (tariefgereguleerde deel)</t>
  </si>
  <si>
    <t>J94</t>
  </si>
  <si>
    <t>K94</t>
  </si>
  <si>
    <t>S94</t>
  </si>
  <si>
    <t>T94</t>
  </si>
  <si>
    <t>U94</t>
  </si>
  <si>
    <t>V94</t>
  </si>
  <si>
    <t>W94</t>
  </si>
  <si>
    <t>X94</t>
  </si>
  <si>
    <t>J105</t>
  </si>
  <si>
    <t>U105</t>
  </si>
  <si>
    <t>V105</t>
  </si>
  <si>
    <t>T30</t>
  </si>
  <si>
    <t>X30</t>
  </si>
  <si>
    <t>K88</t>
  </si>
  <si>
    <t>I93</t>
  </si>
  <si>
    <t>J93</t>
  </si>
  <si>
    <t>K93</t>
  </si>
  <si>
    <t>S93</t>
  </si>
  <si>
    <t>T93</t>
  </si>
  <si>
    <t>U93</t>
  </si>
  <si>
    <t>V93</t>
  </si>
  <si>
    <t>W93</t>
  </si>
  <si>
    <t>X93</t>
  </si>
  <si>
    <t>J104</t>
  </si>
  <si>
    <t>U104</t>
  </si>
  <si>
    <t>V104</t>
  </si>
  <si>
    <t>Onttrekkingen dubieuze debiteuren Haarlemmermeer en Oost-Brabant en toevoeging/correctie omzetten</t>
  </si>
  <si>
    <t>Aanpassing Splitsingskosten</t>
  </si>
  <si>
    <t>behoudens de aanpassingen die onderstaand worden toegelicht.</t>
  </si>
  <si>
    <t>In onderstaande overzichten geldt steeds:</t>
  </si>
  <si>
    <t>Aanpassing: aanpassing van de gegevens op basis van een specifieke bron (wordt steeds genoemd).</t>
  </si>
  <si>
    <t>Toelichting bij berekening Gewijzigde x-factoren, q-factoren en rekenvolumina NE6R</t>
  </si>
  <si>
    <t xml:space="preserve">Dit Excel-bestand bevat het model waarmee de x-factoren voor de regionale netbeheerders elektriciteit voor de periode 2014 tot en met 2016 worden berekend. </t>
  </si>
  <si>
    <t>Dit bestand maakt onderdeel uit van de (gewijzigde) x/q/rv-besluiten voor de zesde periode voor de regionale netbeheerders elektriciteit (besluiten van PM 2014 met kenmerk PM).</t>
  </si>
  <si>
    <t xml:space="preserve">Dit bestand zoals dat nu tot stand is gekomen is volledig gebaseerd op de berekening voor de vaststelling van de x- en q-factoren en rekenvolumina NE6R van besluiten van 26 september 2013 met kenmerk 103999, </t>
  </si>
  <si>
    <t>Oorspronkelijke gegevens: gegevens zoals opgenomen in het model dat gepubliceerd is bij de gewijzigde x- en q-factoren en rekenvolumina NE6R van besluiten van 26 september 2013 met kenmerk 103999.</t>
  </si>
  <si>
    <t>Doorvoeren gegevens productiviteitsverandering 2004-2006 en 2006-2009</t>
  </si>
  <si>
    <t>G19</t>
  </si>
  <si>
    <t>H20</t>
  </si>
  <si>
    <t>I21</t>
  </si>
  <si>
    <t>J22</t>
  </si>
  <si>
    <t>K23</t>
  </si>
  <si>
    <t>In alle gevallen betreft het gegevens in euro's, weergegeven in het prijspeil van het investeringsjaar, of percentages bij de productiviteitsverandering.</t>
  </si>
  <si>
    <t>Nieuw berekende gegevens productiviteitsverandering in afzonderlijke bestanden (zie bijlagen)</t>
  </si>
  <si>
    <t>Aanpassing gegevens i.v.m. verbeterde inschatting inkoopkosten transport bij landelijke netbeheerder o.b.v. gerealiseerde volumes</t>
  </si>
  <si>
    <t>Reactie Liander van 22 augustus 2014 op conceptberekening en Berekening van de "nacalculatie Inkoopkosten Transport 2008-2010", zoals opgenomen in het tarievenbesluit voor 2014.</t>
  </si>
  <si>
    <t>K12</t>
  </si>
  <si>
    <t>J125</t>
  </si>
  <si>
    <t>Aanpassing kapitaalkostensheet: bijzondere waardevermindering Enexis (i.v.m. effecten desinvesteringen)</t>
  </si>
  <si>
    <t xml:space="preserve">Bron nieuwe gegevens: </t>
  </si>
  <si>
    <t>Mail Enexis 25 juli 2014</t>
  </si>
  <si>
    <t>Import GAW-sheet</t>
  </si>
  <si>
    <t>J16</t>
  </si>
  <si>
    <t>J17</t>
  </si>
  <si>
    <t>J50</t>
  </si>
  <si>
    <t>J51</t>
  </si>
  <si>
    <t>J83</t>
  </si>
  <si>
    <t>J84</t>
  </si>
  <si>
    <t>J116</t>
  </si>
  <si>
    <t>J117</t>
  </si>
  <si>
    <t>Aanpassing kapitaalkostensheet: investeringsgegevens Liander o.b.v.foutief geboekte investeringen (onterecht als investeringsbijdragen gepassiveerd)</t>
  </si>
  <si>
    <t>E-mail Liander aan ACM op 18 september 2013 en 25 juli 2014</t>
  </si>
  <si>
    <t>K16</t>
  </si>
  <si>
    <t>K17</t>
  </si>
  <si>
    <t>K50</t>
  </si>
  <si>
    <t>K51</t>
  </si>
  <si>
    <t>K83</t>
  </si>
  <si>
    <t>K84</t>
  </si>
  <si>
    <t>K116</t>
  </si>
  <si>
    <t>K117</t>
  </si>
  <si>
    <t xml:space="preserve">Nieuw: nieuwe gegevens zoals deze zijn opgenomen in de bladen. </t>
  </si>
  <si>
    <t>J42</t>
  </si>
  <si>
    <t>PAV Maatwerk. Verhouding OPEX/CAPEX 17,5% / 82,%% ipv 20%/80%</t>
  </si>
  <si>
    <t>PRD Ov. Opbrengsten (2009-2012)</t>
  </si>
  <si>
    <t>J31</t>
  </si>
  <si>
    <t>J89</t>
  </si>
  <si>
    <t>J147</t>
  </si>
  <si>
    <t>J205</t>
  </si>
  <si>
    <t>J21</t>
  </si>
  <si>
    <t>J37</t>
  </si>
  <si>
    <t>Diverse en overig 3</t>
  </si>
  <si>
    <t>Aanpassing meetdomein 1e halfjaar 2010</t>
  </si>
  <si>
    <t>Dit bestand bevat het rekenmodel waarmee ACM de x-factoren berekent. Deze x-factoren heeft ACM vastgesteld in de volgende x-factorbesluiten.</t>
  </si>
  <si>
    <t xml:space="preserve">Cogas Infra &amp; Beheer B.V. </t>
  </si>
  <si>
    <t xml:space="preserve">DELTA Netwerkbedrijf B.V. </t>
  </si>
  <si>
    <t xml:space="preserve">Enexis B.V. </t>
  </si>
  <si>
    <t xml:space="preserve">Liander N.V. </t>
  </si>
  <si>
    <t xml:space="preserve">Endinet B.V. </t>
  </si>
  <si>
    <t xml:space="preserve">RENDO Netbeheer B.V. </t>
  </si>
  <si>
    <t xml:space="preserve">Stedin Netbeheer B.V. </t>
  </si>
  <si>
    <t xml:space="preserve">Westland Infra Netbeheer B.V. </t>
  </si>
  <si>
    <t>Toelichting bij berekening gewijzigde x-factoren, q-factoren en rekenvolumina NE6R d.d. 11 september 2014</t>
  </si>
  <si>
    <t>14.0730.52</t>
  </si>
  <si>
    <t>14.0732.52</t>
  </si>
  <si>
    <t>14.0734.52</t>
  </si>
  <si>
    <t>14.0736.52</t>
  </si>
  <si>
    <t>14.0738.52</t>
  </si>
  <si>
    <t>14.0740.52</t>
  </si>
  <si>
    <t>14.0742.52</t>
  </si>
  <si>
    <t>14.0744.52</t>
  </si>
  <si>
    <t>ACM/DE/2014/205161</t>
  </si>
  <si>
    <t>ACM/DE/2014/205163</t>
  </si>
  <si>
    <t>ACM/DE/2014/205165</t>
  </si>
  <si>
    <t>ACM/DE/2014/205167</t>
  </si>
  <si>
    <t>ACM/DE/2014/205169</t>
  </si>
  <si>
    <t>ACM/DE/2014/205171</t>
  </si>
  <si>
    <t>ACM/DE/2014/205173</t>
  </si>
  <si>
    <t>ACM/DE/2014/205175</t>
  </si>
  <si>
    <t>Herstel x-factorbesluiten 2014-2016 Elektriciteit (NE6R) d.d. 11 september 2014</t>
  </si>
  <si>
    <t>Toelichting bij berekening Gewijzigde x-factoren, q-factoren en rekenvolumina NE5R</t>
  </si>
  <si>
    <t xml:space="preserve">Aanpassing: dubbele opgave voorzieningen dubieuze debiteuren </t>
  </si>
  <si>
    <t>Doorvoeren aanpassingen jaarlijkse productiviteitsverandering</t>
  </si>
  <si>
    <t>Eliminatie dubbeltelling dubieuze debiteuren</t>
  </si>
  <si>
    <t>PRD OPEX (2009-2012), I28</t>
  </si>
  <si>
    <t>PRD OPEX (2009-2012), I52</t>
  </si>
  <si>
    <t>PRD OPEX (2009-2012), I76</t>
  </si>
  <si>
    <t>PRD OPEX (2009-2012), I100</t>
  </si>
  <si>
    <t>Aanpassing: gewijzigde GAW a.g.v. foutieve opgave investeringen Stedin 2011</t>
  </si>
  <si>
    <t>Celverwijziging</t>
  </si>
  <si>
    <t>Import GAW-sheet, M82</t>
  </si>
  <si>
    <t>Import GAW-sheet, M83</t>
  </si>
  <si>
    <t>Import GAW-sheet, M84</t>
  </si>
  <si>
    <t>Import GAW-sheet, M116</t>
  </si>
  <si>
    <t>Import GAW-sheet, M117</t>
  </si>
  <si>
    <t>Nieuw (o.b.v. berekening in GAW-sheet)</t>
  </si>
  <si>
    <t>Onderliggende bron daarbij is e-mail van Stedin aan ACM van 5 maart 2015</t>
  </si>
  <si>
    <t>Aanpassing: gewijzigde EAV volumes Cogas 2011 en 2012</t>
  </si>
  <si>
    <t>E-mail van Cogas aan ACM, d.d. 15 januari 2016</t>
  </si>
  <si>
    <t>VOLUMES Eenmalige aansluitvergoeding &lt;25m</t>
  </si>
  <si>
    <t>VOLUMES EAV &gt; 25 meter</t>
  </si>
  <si>
    <t>Tabblad "Cogas", cel L67</t>
  </si>
  <si>
    <t>Tabblad "Cogas", cel L68</t>
  </si>
  <si>
    <t>Tabblad "Cogas", cel L69</t>
  </si>
  <si>
    <t>Tabblad "Cogas", cel L70</t>
  </si>
  <si>
    <t>Tabblad "Cogas", cel L71</t>
  </si>
  <si>
    <t>Tabblad "Cogas", cel L72</t>
  </si>
  <si>
    <t>Tabblad "Cogas", cel L73</t>
  </si>
  <si>
    <t>Tabblad "Cogas", cel L74</t>
  </si>
  <si>
    <t>Tabblad "Cogas", cel L75</t>
  </si>
  <si>
    <t>Tabblad "Cogas", cel L76</t>
  </si>
  <si>
    <t>Tabblad "Cogas", cel L77</t>
  </si>
  <si>
    <t>Tabblad "Cogas", cel L78</t>
  </si>
  <si>
    <t>Tabblad "Cogas", cel L79</t>
  </si>
  <si>
    <t>Tabblad "Cogas", cel L80</t>
  </si>
  <si>
    <t>Tabblad "Cogas", cel L81</t>
  </si>
  <si>
    <t>Tabblad "Cogas", cel L82</t>
  </si>
  <si>
    <t>Tabblad "Cogas", cel L96</t>
  </si>
  <si>
    <t>Tabblad "Cogas", cel L97</t>
  </si>
  <si>
    <t>Tabblad "Cogas", cel L98</t>
  </si>
  <si>
    <t>Tabblad "Cogas", cel L99</t>
  </si>
  <si>
    <t>Tabblad "Cogas", cel L100</t>
  </si>
  <si>
    <t>Tabblad "Cogas", cel L101</t>
  </si>
  <si>
    <t>Tabblad "Cogas", cel L102</t>
  </si>
  <si>
    <t>Tabblad "Cogas", cel L103</t>
  </si>
  <si>
    <t>Tabblad "Cogas", cel L104</t>
  </si>
  <si>
    <t>Tabblad "Cogas", cel L105</t>
  </si>
  <si>
    <t>Tabblad "Cogas", cel L106</t>
  </si>
  <si>
    <t>Tabblad "Cogas", cel L107</t>
  </si>
  <si>
    <t>Tabblad "Cogas", cel L108</t>
  </si>
  <si>
    <t>Tabblad "Cogas", cel L109</t>
  </si>
  <si>
    <t>Tabblad "Cogas", cel L110</t>
  </si>
  <si>
    <t>Tabblad "Cogas", cel L111</t>
  </si>
  <si>
    <t>Tabblad "Cogas", cel O67</t>
  </si>
  <si>
    <t>Tabblad "Cogas", cel O68</t>
  </si>
  <si>
    <t>Tabblad "Cogas", cel O69</t>
  </si>
  <si>
    <t>Tabblad "Cogas", cel O70</t>
  </si>
  <si>
    <t>Tabblad "Cogas", cel O71</t>
  </si>
  <si>
    <t>Tabblad "Cogas", cel O72</t>
  </si>
  <si>
    <t>Tabblad "Cogas", cel O73</t>
  </si>
  <si>
    <t>Tabblad "Cogas", cel O74</t>
  </si>
  <si>
    <t>Tabblad "Cogas", cel O75</t>
  </si>
  <si>
    <t>Tabblad "Cogas", cel O76</t>
  </si>
  <si>
    <t>Tabblad "Cogas", cel O77</t>
  </si>
  <si>
    <t>Tabblad "Cogas", cel O78</t>
  </si>
  <si>
    <t>Tabblad "Cogas", cel O79</t>
  </si>
  <si>
    <t>Tabblad "Cogas", cel O80</t>
  </si>
  <si>
    <t>Tabblad "Cogas", cel O81</t>
  </si>
  <si>
    <t>Tabblad "Cogas", cel O82</t>
  </si>
  <si>
    <t>Tabblad "Cogas", cel O83</t>
  </si>
  <si>
    <t>Tabblad "Cogas", cel O96</t>
  </si>
  <si>
    <t>Tabblad "Cogas", cel O97</t>
  </si>
  <si>
    <t>Tabblad "Cogas", cel O98</t>
  </si>
  <si>
    <t>Tabblad "Cogas", cel O99</t>
  </si>
  <si>
    <t>Tabblad "Cogas", cel O100</t>
  </si>
  <si>
    <t>Tabblad "Cogas", cel O101</t>
  </si>
  <si>
    <t>Tabblad "Cogas", cel O102</t>
  </si>
  <si>
    <t>Tabblad "Cogas", cel O103</t>
  </si>
  <si>
    <t>Tabblad "Cogas", cel O104</t>
  </si>
  <si>
    <t>Tabblad "Cogas", cel O105</t>
  </si>
  <si>
    <t>Tabblad "Cogas", cel O106</t>
  </si>
  <si>
    <t>Tabblad "Cogas", cel O107</t>
  </si>
  <si>
    <t>Tabblad "Cogas", cel O108</t>
  </si>
  <si>
    <t>Tabblad "Cogas", cel O109</t>
  </si>
  <si>
    <t>Tabblad "Cogas", cel O110</t>
  </si>
  <si>
    <t>Tabblad "Cogas", cel O111</t>
  </si>
  <si>
    <t>Tabblad "Cogas", cel O112</t>
  </si>
  <si>
    <t xml:space="preserve"> &gt;3,0 MVA en t/m 6,0 MVA MS met  MS meting </t>
  </si>
  <si>
    <t>(niet opgenomen)</t>
  </si>
  <si>
    <t>TARIEF Eenmalige aansluitvergoeding &lt;25m</t>
  </si>
  <si>
    <t>TARIEF EAV &gt; 25 meter</t>
  </si>
  <si>
    <t>Tabblad "Cogas", cel K83</t>
  </si>
  <si>
    <t>Tabblad "Cogas", cel K112</t>
  </si>
  <si>
    <t>Voor de zwaarste categorie moet ook het 2011 tarief nog worden opgenomen:</t>
  </si>
  <si>
    <t>De nieuwe indeling is ontleend aan de notitie die Netbeheer Nederland aan ACM heeft gestuurd op 26 juni 2015.</t>
  </si>
  <si>
    <t>Tabblad "Productiviteitsverandering", cel I21</t>
  </si>
  <si>
    <t>Tabblad "Productiviteitsverandering", cel J22</t>
  </si>
  <si>
    <t>Tabblad "Productiviteitsverandering", cel K23</t>
  </si>
  <si>
    <t>A1</t>
  </si>
  <si>
    <t xml:space="preserve">LS aansluitcapaciteit t/m 1 x 6A op geschakeld net </t>
  </si>
  <si>
    <t>A2.1</t>
  </si>
  <si>
    <t>LS aansluiting t/m 3*25A</t>
  </si>
  <si>
    <t>A2.2</t>
  </si>
  <si>
    <t>LS aansluiting &gt;3*25 A</t>
  </si>
  <si>
    <t>A3</t>
  </si>
  <si>
    <t>LS aansluiting of LS aansluiting af LS rek transformator t/m 3*1200 A</t>
  </si>
  <si>
    <t>A3, A4, A5</t>
  </si>
  <si>
    <t>LS aansluiting af LS rek transformator &gt;3*1200 A (A3)</t>
  </si>
  <si>
    <t xml:space="preserve">MS aansluiting met fysieke levering van LS, t/m 630 kVA (A5) </t>
  </si>
  <si>
    <t>Overige MS aansluitingen (A4, A5)</t>
  </si>
  <si>
    <t>A6</t>
  </si>
  <si>
    <t>MS aansluiting op MS net rail</t>
  </si>
  <si>
    <t>Nieuwe PAV categorie-indeling</t>
  </si>
  <si>
    <t>Oorspronkelijke indeling</t>
  </si>
  <si>
    <t>(inclusief kleurcode)</t>
  </si>
  <si>
    <t>Algemene beschrijving van de aanpassing van de gegevens</t>
  </si>
  <si>
    <t>Standaardisatie o.b.v.aansluitcapaciteit (&gt; 2,4 MVA) of op basis van technische omschrijving van de tariefcategorie.</t>
  </si>
  <si>
    <t xml:space="preserve">Standaardisatie o.b.v. aansluitcapaciteit (&gt;630 kVA) of op basis van technische omschrijving van de tariefcategorie. </t>
  </si>
  <si>
    <t>Categorieën (nieuwe categorisering)</t>
  </si>
  <si>
    <t>Categorie is reeds uniform.</t>
  </si>
  <si>
    <t>Oorspronkelijke indelingswijze</t>
  </si>
  <si>
    <t>Indeling ongewijzigd</t>
  </si>
  <si>
    <t>Enkele wijzigingen</t>
  </si>
  <si>
    <t>PAV meerlengte 3 - 10 MVA</t>
  </si>
  <si>
    <t>Categorie</t>
  </si>
  <si>
    <t>Wijzigingen voor Cogas</t>
  </si>
  <si>
    <t>Celverwijzing</t>
  </si>
  <si>
    <t>Tabblad 'Cogas', cel C20 en D20</t>
  </si>
  <si>
    <t>Tabblad 'Cogas', cel G20 en H20</t>
  </si>
  <si>
    <t>Tabblad 'Cogas', cel K20 en L20</t>
  </si>
  <si>
    <t>Tabblad 'Cogas', cel O22 en P22</t>
  </si>
  <si>
    <t>Tabblad 'Cogas', cel S22</t>
  </si>
  <si>
    <t>Tabblad 'Cogas', cel W22 en X22</t>
  </si>
  <si>
    <t>LS aansluiting af LS rek transformator &gt;3*1200 A (A3) / MS aansluiting met fysieke levering van LS, t/m 630 kVA (A5)  / Overige MS aansluitingen (A4, A5)</t>
  </si>
  <si>
    <t>Wijzigingen voor DNWB</t>
  </si>
  <si>
    <t>Tabblad 'DNWB', cel C20 en D20</t>
  </si>
  <si>
    <t>Tabblad 'DNWB', cel K20 en L20</t>
  </si>
  <si>
    <t>Tabblad 'DNWB', cel O20 en P20</t>
  </si>
  <si>
    <t>Tabblad 'DNWB', cel S20</t>
  </si>
  <si>
    <t>Tabblad 'DNWB', cel W20 en X20</t>
  </si>
  <si>
    <t>Nieuwe waarden overgenomen uit nieuwe GAW-berekening voor Stedin (zie aanvullend bestand, Tabblad 'Dashboard Netbeheerder')</t>
  </si>
  <si>
    <t>Tabblad 'DNWB', cel G19 en H19</t>
  </si>
  <si>
    <t>Wijzigingen voor Liander</t>
  </si>
  <si>
    <t>Tabblad 'Liander', cel S20</t>
  </si>
  <si>
    <t>Tabblad 'Liander', cel W20 en X20</t>
  </si>
  <si>
    <t>Tabblad 'Liander', cel G20 en H20</t>
  </si>
  <si>
    <t>Tabblad 'Liander', cel K21 en L21</t>
  </si>
  <si>
    <t>Tabblad 'Liander', cel O21 en P21</t>
  </si>
  <si>
    <t>Geen wijzigingen voor Endinet, Enexis en Westland</t>
  </si>
  <si>
    <t>Wijzigingen voor RENDO</t>
  </si>
  <si>
    <t>Tabblad 'RENDO', cel S20</t>
  </si>
  <si>
    <t>Tabblad 'RENDO', cel W20 en X20</t>
  </si>
  <si>
    <t>Tabblad 'RENDO', cel G17 en H17</t>
  </si>
  <si>
    <t>Tabblad 'RENDO', cel C17 en D17</t>
  </si>
  <si>
    <t>Tabblad 'Liander', cel C21 en D21</t>
  </si>
  <si>
    <t>Tabblad 'RENDO', cel K17 en L17</t>
  </si>
  <si>
    <t>Tabblad 'RENDO', cel O20 en P20</t>
  </si>
  <si>
    <t>Tabblad 'RENDO' cel C15 en D15</t>
  </si>
  <si>
    <t>Tabblad 'RENDO', cel G15 en H15</t>
  </si>
  <si>
    <t>Tabblad 'RENDO', cel K15 en L15</t>
  </si>
  <si>
    <t>Tabblad 'RENDO', cel O18 en P18</t>
  </si>
  <si>
    <t>Tabblad 'RENDO', cel S18</t>
  </si>
  <si>
    <t>Tabblad 'RENDO', cel W18 en X18</t>
  </si>
  <si>
    <t>Wijzigingen voor Stedin</t>
  </si>
  <si>
    <t>Tabblad 'Stedin' cel C21 en D21</t>
  </si>
  <si>
    <t>Tabblad 'Stedin', cel G21 en H21</t>
  </si>
  <si>
    <t>Tabblad 'Stedin', cel O20 en P20</t>
  </si>
  <si>
    <t>Tabblad 'Stedin', cel S20</t>
  </si>
  <si>
    <t>Tabblad 'Stedin', cel W20 en X20</t>
  </si>
  <si>
    <t>Tabblad 'Stedin', cel K20 en L20</t>
  </si>
  <si>
    <t>Alle (niet bij alle netbeheerders leidt de uitspraak van het CBb tot een materiële wijziging)</t>
  </si>
  <si>
    <t>Toelichting op cel 7.B.6 t/m 7.B.8 in reguleringsdata Westland 2012</t>
  </si>
  <si>
    <t>PRD Ov. Opbrengsten, N234</t>
  </si>
  <si>
    <t>Reactie van Endinet op de Winstenrapportage regionale netbeheerders 2008-2013 van 17 februari 2015</t>
  </si>
  <si>
    <t>Afgeboekt bedrag n.a.v. fraude en leegstand kleinverbruikers</t>
  </si>
  <si>
    <t>Doorvoeren aanpassingen Q-factor</t>
  </si>
  <si>
    <t>Nieuw berekende q-factoren in afzonderlijke bestand (zie bijlage)</t>
  </si>
  <si>
    <t>Q-factor Cogas</t>
  </si>
  <si>
    <t>Q-factor DNWB</t>
  </si>
  <si>
    <t>Q-factor Endinet</t>
  </si>
  <si>
    <t>Q-factor Enexis</t>
  </si>
  <si>
    <t>Q-factor Liander</t>
  </si>
  <si>
    <t>Q-factor RENDO</t>
  </si>
  <si>
    <t>Q-factor Stedin</t>
  </si>
  <si>
    <t>Q-factor Westland</t>
  </si>
  <si>
    <t>Tabblad "Indicatieve TI bedragen '14-'16", regel 13</t>
  </si>
  <si>
    <t>Nieuw berekende gegevens productiviteitsverandering in afzonderlijke bestanden (zie bijlage)</t>
  </si>
  <si>
    <t>Aanpassing: gewijzigde berekening GAW a.g.v. foutieve verwijzingen in GAW-berekeningsbestand</t>
  </si>
  <si>
    <t>Alle netbeheerders</t>
  </si>
  <si>
    <t xml:space="preserve">Bron: </t>
  </si>
  <si>
    <t>Naar aanleiding van een melding door Liander zijn enkele kleine berekeningsfouten in het GAW-bestand verbeterd</t>
  </si>
  <si>
    <t>Nieuwe waarden overgenomen uit nieuwe GAW-berekening voor alle netbeheerders (zie aanvullend bestand, Tabblad 'Dashboard Netbeheerder')</t>
  </si>
  <si>
    <t>Alle GAW gegevens van alle netbeheerders</t>
  </si>
  <si>
    <t>2009-2012</t>
  </si>
  <si>
    <t>alle inputcellen op tabblad "Import GAW-sheet"</t>
  </si>
  <si>
    <t>De oorspronkelijke waarden uit de GAW-sheet zoals deze zijn vastgesteld bij het vorige x-factorbesluit (van 11 september 2014) zijn terug te vinden op het tabblad "Import GAW-sheet (na sep 2014)" .</t>
  </si>
  <si>
    <t>Zie tabblad "Import GAW-sheet"</t>
  </si>
  <si>
    <t>In verband met de verbtering van enkele berekeningsfouten in de GAW-sheet</t>
  </si>
  <si>
    <t>is het effect van deze aanpassing niet afzonderlijk inzichtelijk te maken.</t>
  </si>
  <si>
    <t xml:space="preserve">Inzicht in de effecten van deze aanpassing volgt uit de aangepaste berekening </t>
  </si>
  <si>
    <t>in de GAW-sheet (zie tabblad "dashboard netbeheerder")</t>
  </si>
  <si>
    <t>Het tabblad "Import GAW" bevat het totaaleffect van de verbeterde berekening en de anapassing van gegevens bij Stedin.</t>
  </si>
  <si>
    <t>Bijlage 2 bij x-factorbesluit Cogas Infra &amp; Beheer B.V. - Rekenvolumes Elektriciteit</t>
  </si>
  <si>
    <r>
      <rPr>
        <vertAlign val="superscript"/>
        <sz val="10"/>
        <rFont val="Arial"/>
        <family val="2"/>
      </rPr>
      <t>1)</t>
    </r>
    <r>
      <rPr>
        <sz val="10"/>
        <rFont val="Arial"/>
        <family val="2"/>
      </rPr>
      <t xml:space="preserve"> Met uitzondering van de 1*6A aansluitingen op het geschakeld net.</t>
    </r>
  </si>
  <si>
    <t>Bijlage 2 bij x-factorbesluit DELTA Netwerkbedrijf B.V. - Rekenvolumes Elektriciteit</t>
  </si>
  <si>
    <t>Bijlage 2 bij x-factorbesluit Endinet B.V. - Rekenvolumes Elektriciteit</t>
  </si>
  <si>
    <t>Bijlage 2 bij x-factorbesluit Enexis B.V. - Rekenvolumes Elektriciteit</t>
  </si>
  <si>
    <t>Bijlage 2 bij x-factorbesluit Liander N.V. - Rekenvolumes Elektriciteit</t>
  </si>
  <si>
    <t>Bijlage 2 bij x-factorbesluit N.V. RENDO - Rekenvolumes Elektriciteit</t>
  </si>
  <si>
    <t>Bijlage 2 bij x-factorbesluit Stedin B.V. - Rekenvolumes Elektriciteit</t>
  </si>
  <si>
    <t>Bijlage 2 bij x-factorbesluit Westland Infra Netbeheer B.V. - Rekenvolumes Elektriciteit</t>
  </si>
  <si>
    <t>NB: Voor de leesbaarheid worden in deze bijlage de rekenvolumina afgerond weergegeven. Bij het vaststellen van tarieven wordt gebruik gemaakt van onafgeronde rekenvolumina.</t>
  </si>
  <si>
    <t>Aanpassing: foutief bedrag oninbare facturen voor in rekening gebrachte kosten kleinverbruikers n.a.v. fraude en leegstand Westland 2012</t>
  </si>
  <si>
    <t xml:space="preserve">Bron: gewijzigd Q-factormodel 2014-2016 elektriciteit (aug 2016) </t>
  </si>
  <si>
    <t>Bron: RNBs Elektriciteit 2014-2016 gewijzigde GAW-berekening (aug 2016)</t>
  </si>
  <si>
    <t>16.0786.52</t>
  </si>
  <si>
    <t>16.0788.52</t>
  </si>
  <si>
    <t>16.0791.52</t>
  </si>
  <si>
    <t>16.0793.52</t>
  </si>
  <si>
    <t>16.0795.52</t>
  </si>
  <si>
    <t>16.0797.52</t>
  </si>
  <si>
    <t>16.0800.52</t>
  </si>
  <si>
    <t>16.0802.52</t>
  </si>
  <si>
    <t>ACM/DE/2016/204809</t>
  </si>
  <si>
    <t>ACM/DE/2016/204811</t>
  </si>
  <si>
    <t>ACM/DE/2016/204813</t>
  </si>
  <si>
    <t>ACM/DE/2016/204815</t>
  </si>
  <si>
    <t>ACM/DE/2016/204817</t>
  </si>
  <si>
    <t>ACM/DE/2016/204819</t>
  </si>
  <si>
    <t>ACM/DE/2016/204821</t>
  </si>
  <si>
    <t>ACM/DE/2016/204823</t>
  </si>
  <si>
    <t>Toelichting bij berekening gewijzigde x-factoren, q-factoren en rekenvolumina NE6R d.d. 25 augustus 2016</t>
  </si>
  <si>
    <t>Wijziging x-factorbesluiten 2014-2016 Elektriciteit (NE6R) d.d. 25 augustus 2016</t>
  </si>
  <si>
    <t>Dit bestand maakt onderdeel uit van de (gewijzigde) x/q/rv-besluiten voor de zesde periode voor de regionale netbeheerders elektriciteit (besluiten van 25 augustus 2016).</t>
  </si>
  <si>
    <t xml:space="preserve">Dit bestand zoals dat nu tot stand is gekomen is volledig gebaseerd op de berekening voor de vaststelling van de x- en q-factoren en rekenvolumina NE6R van besluiten van 11 september 2014 </t>
  </si>
  <si>
    <t>Oorspronkelijke gegevens: gegevens zoals opgenomen in het model dat gepubliceerd is bij de gewijzigde x- en q-factoren en rekenvolumina NE6R van besluiten van 11 september 2014.</t>
  </si>
  <si>
    <t>Aanpassing in verband met (tussen-)uitspraak CBb van datum 5 maart 2015: gewijzigde indeling van PAV volumes in standaardcategorieën (conform voorstel Netbeheer Nederland 26 juni 2015)</t>
  </si>
  <si>
    <t>De uitspraak van het CBb van datum 5 maart 2015 heeft kenmerk ECLI:NL:CBB:2015:45.</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</si>
</sst>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 #,##0.00_ ;_ * \-#,##0.00_ ;_ * &quot;-&quot;??_ ;_ @_ "/>
    <numFmt numFmtId="164" formatCode="_-* #,##0_-;_-* #,##0\-;_-* &quot;-&quot;_-;_-@_-"/>
    <numFmt numFmtId="165" formatCode="_-* #,##0.00_-;_-* #,##0.00\-;_-* &quot;-&quot;??_-;_-@_-"/>
    <numFmt numFmtId="166" formatCode="_-* #,##0_-;_-* #,##0\-;_-* &quot;-&quot;??_-;_-@_-"/>
    <numFmt numFmtId="167" formatCode="0.000"/>
    <numFmt numFmtId="168" formatCode="_([$€]* #,##0.00_);_([$€]* \(#,##0.00\);_([$€]* &quot;-&quot;??_);_(@_)"/>
    <numFmt numFmtId="169" formatCode="_-* #,##0.000_-;_-* #,##0.000\-;_-* &quot;-&quot;??_-;_-@_-"/>
    <numFmt numFmtId="170" formatCode="0.0%"/>
    <numFmt numFmtId="171" formatCode="0.0000"/>
    <numFmt numFmtId="172" formatCode="_-* #,##0.0000_-;_-* #,##0.0000\-;_-* &quot;-&quot;??_-;_-@_-"/>
    <numFmt numFmtId="173" formatCode="_(* #,##0.00_);_(* \(#,##0.00\);_(* &quot;-&quot;??_);_(@_)"/>
    <numFmt numFmtId="174" formatCode="_ * #,##0_ ;_ * \-#,##0_ ;_ * &quot;-&quot;??_ ;_ @_ "/>
    <numFmt numFmtId="175" formatCode="0.000%"/>
  </numFmts>
  <fonts count="96">
    <font>
      <sz val="10"/>
      <name val="Arial"/>
    </font>
    <font>
      <sz val="11"/>
      <color theme="1"/>
      <name val="Calibri"/>
      <family val="2"/>
      <scheme val="minor"/>
    </font>
    <font>
      <sz val="10"/>
      <name val="Arial"/>
      <family val="2"/>
    </font>
    <font>
      <sz val="8"/>
      <name val="Arial"/>
      <family val="2"/>
    </font>
    <font>
      <b/>
      <sz val="10"/>
      <name val="Arial"/>
      <family val="2"/>
    </font>
    <font>
      <b/>
      <sz val="14"/>
      <name val="Arial"/>
      <family val="2"/>
    </font>
    <font>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color indexed="8"/>
      <name val="Arial"/>
      <family val="2"/>
    </font>
    <font>
      <i/>
      <sz val="10"/>
      <name val="Arial"/>
      <family val="2"/>
    </font>
    <font>
      <sz val="10"/>
      <color indexed="8"/>
      <name val="MS Sans Serif"/>
      <family val="2"/>
    </font>
    <font>
      <sz val="10"/>
      <name val="Comic Sans MS"/>
      <family val="4"/>
    </font>
    <font>
      <b/>
      <sz val="10"/>
      <name val="Arial"/>
      <family val="2"/>
    </font>
    <font>
      <b/>
      <i/>
      <sz val="10"/>
      <name val="Arial"/>
      <family val="2"/>
    </font>
    <font>
      <sz val="10"/>
      <color indexed="10"/>
      <name val="Arial"/>
      <family val="2"/>
    </font>
    <font>
      <sz val="8"/>
      <color indexed="81"/>
      <name val="Tahoma"/>
      <family val="2"/>
    </font>
    <font>
      <sz val="8"/>
      <name val="Arial"/>
      <family val="2"/>
    </font>
    <font>
      <sz val="8"/>
      <color indexed="8"/>
      <name val="Arial"/>
      <family val="2"/>
    </font>
    <font>
      <b/>
      <sz val="10"/>
      <color indexed="8"/>
      <name val="Arial"/>
      <family val="2"/>
    </font>
    <font>
      <sz val="8"/>
      <color indexed="8"/>
      <name val="Arial"/>
      <family val="2"/>
    </font>
    <font>
      <b/>
      <sz val="8"/>
      <name val="Arial"/>
      <family val="2"/>
    </font>
    <font>
      <sz val="10"/>
      <name val="Arial"/>
      <family val="2"/>
    </font>
    <font>
      <b/>
      <sz val="10"/>
      <color rgb="FFFF0000"/>
      <name val="Arial"/>
      <family val="2"/>
    </font>
    <font>
      <b/>
      <sz val="8"/>
      <color indexed="81"/>
      <name val="Tahoma"/>
      <family val="2"/>
    </font>
    <font>
      <sz val="10"/>
      <name val="Arial"/>
      <family val="2"/>
    </font>
    <font>
      <sz val="14"/>
      <name val="Arial"/>
      <family val="2"/>
    </font>
    <font>
      <b/>
      <sz val="12"/>
      <color indexed="9"/>
      <name val="Arial"/>
      <family val="2"/>
    </font>
    <font>
      <sz val="24"/>
      <name val="Arial"/>
      <family val="2"/>
    </font>
    <font>
      <b/>
      <sz val="12"/>
      <color theme="0"/>
      <name val="Arial"/>
      <family val="2"/>
    </font>
    <font>
      <b/>
      <sz val="8"/>
      <color theme="0"/>
      <name val="Arial"/>
      <family val="2"/>
    </font>
    <font>
      <b/>
      <sz val="12"/>
      <name val="Arial"/>
      <family val="2"/>
    </font>
    <font>
      <b/>
      <sz val="8"/>
      <color indexed="8"/>
      <name val="Arial"/>
      <family val="2"/>
    </font>
    <font>
      <b/>
      <sz val="8"/>
      <color indexed="9"/>
      <name val="Arial"/>
      <family val="2"/>
    </font>
    <font>
      <sz val="10"/>
      <name val="ScalaSans"/>
      <family val="2"/>
    </font>
    <font>
      <sz val="10"/>
      <color indexed="9"/>
      <name val="Arial"/>
      <family val="2"/>
    </font>
    <font>
      <sz val="12"/>
      <name val="Arial"/>
      <family val="2"/>
    </font>
    <font>
      <sz val="12"/>
      <name val="Times New Roman"/>
      <family val="1"/>
    </font>
    <font>
      <sz val="8"/>
      <color indexed="9"/>
      <name val="Arial"/>
      <family val="2"/>
    </font>
    <font>
      <sz val="10"/>
      <color indexed="8"/>
      <name val="EYInterstate Light"/>
      <family val="2"/>
    </font>
    <font>
      <sz val="10"/>
      <color indexed="9"/>
      <name val="EYInterstate Light"/>
      <family val="2"/>
    </font>
    <font>
      <sz val="10"/>
      <color indexed="20"/>
      <name val="EYInterstate Light"/>
      <family val="2"/>
    </font>
    <font>
      <b/>
      <sz val="10"/>
      <color indexed="52"/>
      <name val="EYInterstate Light"/>
      <family val="2"/>
    </font>
    <font>
      <b/>
      <sz val="10"/>
      <color indexed="9"/>
      <name val="EYInterstate Light"/>
      <family val="2"/>
    </font>
    <font>
      <i/>
      <sz val="10"/>
      <color indexed="23"/>
      <name val="EYInterstate Light"/>
      <family val="2"/>
    </font>
    <font>
      <sz val="10"/>
      <color indexed="17"/>
      <name val="EYInterstate Light"/>
      <family val="2"/>
    </font>
    <font>
      <b/>
      <sz val="15"/>
      <color indexed="56"/>
      <name val="EYInterstate Light"/>
      <family val="2"/>
    </font>
    <font>
      <b/>
      <sz val="13"/>
      <color indexed="56"/>
      <name val="EYInterstate Light"/>
      <family val="2"/>
    </font>
    <font>
      <b/>
      <sz val="11"/>
      <color indexed="56"/>
      <name val="EYInterstate Light"/>
      <family val="2"/>
    </font>
    <font>
      <sz val="10"/>
      <color indexed="62"/>
      <name val="EYInterstate Light"/>
      <family val="2"/>
    </font>
    <font>
      <sz val="10"/>
      <color indexed="52"/>
      <name val="EYInterstate Light"/>
      <family val="2"/>
    </font>
    <font>
      <sz val="10"/>
      <color indexed="60"/>
      <name val="EYInterstate Light"/>
      <family val="2"/>
    </font>
    <font>
      <sz val="9"/>
      <name val="Verdana"/>
      <family val="2"/>
    </font>
    <font>
      <b/>
      <sz val="10"/>
      <color indexed="63"/>
      <name val="EYInterstate Light"/>
      <family val="2"/>
    </font>
    <font>
      <b/>
      <sz val="10"/>
      <color indexed="8"/>
      <name val="EYInterstate Light"/>
      <family val="2"/>
    </font>
    <font>
      <sz val="10"/>
      <color indexed="10"/>
      <name val="EYInterstate Light"/>
      <family val="2"/>
    </font>
    <font>
      <b/>
      <sz val="10"/>
      <color theme="0"/>
      <name val="Arial"/>
      <family val="2"/>
    </font>
    <font>
      <vertAlign val="superscript"/>
      <sz val="10"/>
      <name val="Arial"/>
      <family val="2"/>
    </font>
    <font>
      <sz val="10"/>
      <name val="Arial"/>
      <family val="2"/>
    </font>
    <font>
      <sz val="10"/>
      <color theme="1"/>
      <name val="Arial"/>
      <family val="2"/>
    </font>
    <font>
      <sz val="11"/>
      <color theme="1"/>
      <name val="Arial"/>
      <family val="2"/>
    </font>
    <font>
      <b/>
      <sz val="11"/>
      <name val="Arial"/>
      <family val="2"/>
    </font>
    <font>
      <i/>
      <sz val="10"/>
      <color theme="1"/>
      <name val="Arial"/>
      <family val="2"/>
    </font>
    <font>
      <i/>
      <sz val="11"/>
      <color theme="1"/>
      <name val="Arial"/>
      <family val="2"/>
    </font>
    <font>
      <b/>
      <sz val="10"/>
      <color theme="1"/>
      <name val="Arial"/>
      <family val="2"/>
    </font>
    <font>
      <sz val="10"/>
      <color theme="1"/>
      <name val="Calibri"/>
      <family val="2"/>
      <scheme val="minor"/>
    </font>
    <font>
      <i/>
      <sz val="10"/>
      <color theme="1"/>
      <name val="Calibri"/>
      <family val="2"/>
      <scheme val="minor"/>
    </font>
    <font>
      <sz val="11"/>
      <color rgb="FFFF0000"/>
      <name val="Calibri"/>
      <family val="2"/>
      <scheme val="minor"/>
    </font>
    <font>
      <sz val="7"/>
      <color indexed="8"/>
      <name val="Arial"/>
      <family val="2"/>
    </font>
    <font>
      <sz val="9.5"/>
      <color theme="1"/>
      <name val="Arial"/>
      <family val="2"/>
    </font>
    <font>
      <sz val="9.5"/>
      <color rgb="FF000000"/>
      <name val="Arial"/>
      <family val="2"/>
    </font>
    <font>
      <i/>
      <sz val="10"/>
      <color indexed="8"/>
      <name val="Arial"/>
      <family val="2"/>
    </font>
    <font>
      <b/>
      <sz val="8"/>
      <color rgb="FFFF0000"/>
      <name val="Arial"/>
      <family val="2"/>
    </font>
    <font>
      <sz val="8"/>
      <color rgb="FFFF0000"/>
      <name val="Arial"/>
      <family val="2"/>
    </font>
    <font>
      <b/>
      <sz val="10"/>
      <color rgb="FF000000"/>
      <name val="Arial"/>
      <family val="2"/>
    </font>
    <font>
      <sz val="10"/>
      <color rgb="FF000000"/>
      <name val="Arial"/>
      <family val="2"/>
    </font>
    <font>
      <sz val="10"/>
      <name val="Tahoma"/>
      <family val="2"/>
    </font>
    <font>
      <b/>
      <sz val="14"/>
      <color theme="0"/>
      <name val="Arial"/>
      <family val="2"/>
    </font>
    <font>
      <sz val="9.5"/>
      <name val="Arial"/>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0"/>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1"/>
        <bgColor indexed="64"/>
      </patternFill>
    </fill>
    <fill>
      <patternFill patternType="solid">
        <fgColor rgb="FFFF3399"/>
        <bgColor indexed="64"/>
      </patternFill>
    </fill>
    <fill>
      <patternFill patternType="solid">
        <fgColor rgb="FFFFFF99"/>
        <bgColor indexed="64"/>
      </patternFill>
    </fill>
    <fill>
      <patternFill patternType="solid">
        <fgColor rgb="FFCCFFCC"/>
        <bgColor indexed="64"/>
      </patternFill>
    </fill>
    <fill>
      <patternFill patternType="solid">
        <fgColor rgb="FFCCFFFF"/>
        <bgColor indexed="64"/>
      </patternFill>
    </fill>
    <fill>
      <patternFill patternType="solid">
        <fgColor rgb="FFFFCC99"/>
        <bgColor indexed="64"/>
      </patternFill>
    </fill>
    <fill>
      <patternFill patternType="solid">
        <fgColor theme="0" tint="-0.249977111117893"/>
        <bgColor indexed="64"/>
      </patternFill>
    </fill>
    <fill>
      <patternFill patternType="solid">
        <fgColor rgb="FFFF99CC"/>
        <bgColor indexed="64"/>
      </patternFill>
    </fill>
    <fill>
      <patternFill patternType="solid">
        <fgColor theme="0" tint="-0.14999847407452621"/>
        <bgColor indexed="64"/>
      </patternFill>
    </fill>
    <fill>
      <patternFill patternType="solid">
        <fgColor indexed="12"/>
        <bgColor indexed="64"/>
      </patternFill>
    </fill>
    <fill>
      <patternFill patternType="solid">
        <fgColor indexed="44"/>
        <bgColor indexed="64"/>
      </patternFill>
    </fill>
    <fill>
      <patternFill patternType="solid">
        <fgColor indexed="51"/>
        <bgColor indexed="64"/>
      </patternFill>
    </fill>
    <fill>
      <patternFill patternType="solid">
        <fgColor indexed="50"/>
        <bgColor indexed="64"/>
      </patternFill>
    </fill>
    <fill>
      <patternFill patternType="solid">
        <fgColor theme="0"/>
        <bgColor indexed="64"/>
      </patternFill>
    </fill>
    <fill>
      <patternFill patternType="solid">
        <fgColor rgb="FF0070C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99FF"/>
        <bgColor indexed="64"/>
      </patternFill>
    </fill>
    <fill>
      <patternFill patternType="solid">
        <fgColor rgb="FFDBE91F"/>
        <bgColor indexed="64"/>
      </patternFill>
    </fill>
    <fill>
      <patternFill patternType="solid">
        <fgColor rgb="FFFFFFCC"/>
        <bgColor indexed="64"/>
      </patternFill>
    </fill>
    <fill>
      <patternFill patternType="solid">
        <fgColor rgb="FF99CCFF"/>
        <bgColor indexed="64"/>
      </patternFill>
    </fill>
    <fill>
      <patternFill patternType="solid">
        <fgColor rgb="FFFFCC00"/>
        <bgColor indexed="64"/>
      </patternFill>
    </fill>
    <fill>
      <patternFill patternType="solid">
        <fgColor rgb="FF99CC00"/>
        <bgColor indexed="64"/>
      </patternFill>
    </fill>
    <fill>
      <patternFill patternType="solid">
        <fgColor theme="5" tint="0.59999389629810485"/>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theme="0" tint="-0.14996795556505021"/>
      </right>
      <top style="thin">
        <color indexed="64"/>
      </top>
      <bottom style="hair">
        <color theme="0" tint="-0.14996795556505021"/>
      </bottom>
      <diagonal/>
    </border>
    <border>
      <left style="hair">
        <color theme="0" tint="-0.14996795556505021"/>
      </left>
      <right style="hair">
        <color theme="0" tint="-0.14996795556505021"/>
      </right>
      <top style="thin">
        <color indexed="64"/>
      </top>
      <bottom style="hair">
        <color theme="0" tint="-0.14996795556505021"/>
      </bottom>
      <diagonal/>
    </border>
    <border>
      <left style="hair">
        <color theme="0" tint="-0.14996795556505021"/>
      </left>
      <right style="thin">
        <color indexed="64"/>
      </right>
      <top style="thin">
        <color indexed="64"/>
      </top>
      <bottom style="hair">
        <color theme="0" tint="-0.14996795556505021"/>
      </bottom>
      <diagonal/>
    </border>
    <border>
      <left style="thin">
        <color indexed="64"/>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hair">
        <color theme="0" tint="-0.14996795556505021"/>
      </left>
      <right style="thin">
        <color indexed="64"/>
      </right>
      <top style="hair">
        <color theme="0" tint="-0.14996795556505021"/>
      </top>
      <bottom style="hair">
        <color theme="0" tint="-0.14996795556505021"/>
      </bottom>
      <diagonal/>
    </border>
    <border>
      <left style="thin">
        <color indexed="64"/>
      </left>
      <right style="hair">
        <color theme="0" tint="-0.14996795556505021"/>
      </right>
      <top style="hair">
        <color theme="0" tint="-0.14996795556505021"/>
      </top>
      <bottom style="thin">
        <color indexed="64"/>
      </bottom>
      <diagonal/>
    </border>
    <border>
      <left style="hair">
        <color theme="0" tint="-0.14996795556505021"/>
      </left>
      <right style="hair">
        <color theme="0" tint="-0.14996795556505021"/>
      </right>
      <top style="hair">
        <color theme="0" tint="-0.14996795556505021"/>
      </top>
      <bottom style="thin">
        <color indexed="64"/>
      </bottom>
      <diagonal/>
    </border>
    <border>
      <left style="hair">
        <color theme="0" tint="-0.14996795556505021"/>
      </left>
      <right style="thin">
        <color indexed="64"/>
      </right>
      <top style="hair">
        <color theme="0" tint="-0.14996795556505021"/>
      </top>
      <bottom style="thin">
        <color indexed="64"/>
      </bottom>
      <diagonal/>
    </border>
    <border>
      <left style="thin">
        <color indexed="64"/>
      </left>
      <right style="hair">
        <color theme="0" tint="-0.14996795556505021"/>
      </right>
      <top/>
      <bottom style="hair">
        <color theme="0" tint="-0.14996795556505021"/>
      </bottom>
      <diagonal/>
    </border>
    <border>
      <left style="hair">
        <color theme="0" tint="-0.14996795556505021"/>
      </left>
      <right style="hair">
        <color theme="0" tint="-0.14996795556505021"/>
      </right>
      <top/>
      <bottom style="hair">
        <color theme="0" tint="-0.14996795556505021"/>
      </bottom>
      <diagonal/>
    </border>
    <border>
      <left style="hair">
        <color theme="0" tint="-0.14996795556505021"/>
      </left>
      <right style="thin">
        <color indexed="64"/>
      </right>
      <top/>
      <bottom style="hair">
        <color theme="0" tint="-0.14996795556505021"/>
      </bottom>
      <diagonal/>
    </border>
    <border>
      <left style="thin">
        <color indexed="64"/>
      </left>
      <right style="hair">
        <color theme="0" tint="-0.14996795556505021"/>
      </right>
      <top/>
      <bottom style="thin">
        <color indexed="64"/>
      </bottom>
      <diagonal/>
    </border>
    <border>
      <left style="hair">
        <color theme="0" tint="-0.14996795556505021"/>
      </left>
      <right style="hair">
        <color theme="0" tint="-0.14996795556505021"/>
      </right>
      <top/>
      <bottom style="thin">
        <color indexed="64"/>
      </bottom>
      <diagonal/>
    </border>
    <border>
      <left style="hair">
        <color theme="0" tint="-0.14996795556505021"/>
      </left>
      <right style="thin">
        <color indexed="64"/>
      </right>
      <top/>
      <bottom style="thin">
        <color indexed="64"/>
      </bottom>
      <diagonal/>
    </border>
  </borders>
  <cellStyleXfs count="145">
    <xf numFmtId="0" fontId="0" fillId="0" borderId="0"/>
    <xf numFmtId="0" fontId="2"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0" fillId="20" borderId="1" applyNumberFormat="0" applyAlignment="0" applyProtection="0"/>
    <xf numFmtId="0" fontId="11" fillId="21" borderId="2" applyNumberFormat="0" applyAlignment="0" applyProtection="0"/>
    <xf numFmtId="0" fontId="11" fillId="21" borderId="2" applyNumberFormat="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9" fillId="0" borderId="3" applyNumberFormat="0" applyFill="0" applyAlignment="0" applyProtection="0"/>
    <xf numFmtId="0" fontId="13" fillId="4" borderId="0" applyNumberFormat="0" applyBorder="0" applyAlignment="0" applyProtection="0"/>
    <xf numFmtId="0" fontId="13" fillId="4" borderId="0" applyNumberFormat="0" applyBorder="0" applyAlignment="0" applyProtection="0"/>
    <xf numFmtId="0" fontId="14" fillId="0" borderId="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8" fillId="7" borderId="1" applyNumberFormat="0" applyAlignment="0" applyProtection="0"/>
    <xf numFmtId="165" fontId="2" fillId="0" borderId="0" applyFont="0" applyFill="0" applyBorder="0" applyAlignment="0" applyProtection="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19" fillId="0" borderId="3" applyNumberFormat="0" applyFill="0" applyAlignment="0" applyProtection="0"/>
    <xf numFmtId="0" fontId="20" fillId="22" borderId="0" applyNumberFormat="0" applyBorder="0" applyAlignment="0" applyProtection="0"/>
    <xf numFmtId="0" fontId="20" fillId="22" borderId="0" applyNumberFormat="0" applyBorder="0" applyAlignment="0" applyProtection="0"/>
    <xf numFmtId="0" fontId="29" fillId="0" borderId="0"/>
    <xf numFmtId="0" fontId="2" fillId="23" borderId="7" applyNumberFormat="0" applyFont="0" applyAlignment="0" applyProtection="0"/>
    <xf numFmtId="0" fontId="2" fillId="23" borderId="7" applyNumberFormat="0" applyFont="0" applyAlignment="0" applyProtection="0"/>
    <xf numFmtId="0" fontId="9" fillId="3" borderId="0" applyNumberFormat="0" applyBorder="0" applyAlignment="0" applyProtection="0"/>
    <xf numFmtId="0" fontId="21" fillId="20" borderId="8" applyNumberFormat="0" applyAlignment="0" applyProtection="0"/>
    <xf numFmtId="9" fontId="2" fillId="0" borderId="0" applyFont="0" applyFill="0" applyBorder="0" applyAlignment="0" applyProtection="0"/>
    <xf numFmtId="0" fontId="25" fillId="0" borderId="0"/>
    <xf numFmtId="0" fontId="2" fillId="0" borderId="0"/>
    <xf numFmtId="0" fontId="2" fillId="0" borderId="0"/>
    <xf numFmtId="0" fontId="2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3" fillId="0" borderId="9" applyNumberFormat="0" applyFill="0" applyAlignment="0" applyProtection="0"/>
    <xf numFmtId="0" fontId="21" fillId="20" borderId="8" applyNumberFormat="0" applyAlignment="0" applyProtection="0"/>
    <xf numFmtId="0" fontId="12"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165" fontId="25" fillId="0" borderId="0" applyFont="0" applyFill="0" applyBorder="0" applyAlignment="0" applyProtection="0"/>
    <xf numFmtId="0" fontId="25" fillId="0" borderId="0"/>
    <xf numFmtId="0" fontId="28" fillId="0" borderId="0"/>
    <xf numFmtId="0" fontId="25" fillId="0" borderId="0"/>
    <xf numFmtId="9" fontId="39" fillId="0" borderId="0" applyFont="0" applyFill="0" applyBorder="0" applyAlignment="0" applyProtection="0"/>
    <xf numFmtId="0" fontId="2" fillId="0" borderId="0"/>
    <xf numFmtId="0" fontId="2" fillId="0" borderId="0"/>
    <xf numFmtId="0" fontId="42" fillId="0" borderId="0" applyFill="0"/>
    <xf numFmtId="0" fontId="28" fillId="0" borderId="0"/>
    <xf numFmtId="0" fontId="2" fillId="0" borderId="0"/>
    <xf numFmtId="0" fontId="2" fillId="0" borderId="0"/>
    <xf numFmtId="0" fontId="54" fillId="0" borderId="0"/>
    <xf numFmtId="0" fontId="2" fillId="0" borderId="0"/>
    <xf numFmtId="0" fontId="28"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3" borderId="0" applyNumberFormat="0" applyBorder="0" applyAlignment="0" applyProtection="0"/>
    <xf numFmtId="0" fontId="59" fillId="20" borderId="1" applyNumberFormat="0" applyAlignment="0" applyProtection="0"/>
    <xf numFmtId="0" fontId="60" fillId="21" borderId="2" applyNumberFormat="0" applyAlignment="0" applyProtection="0"/>
    <xf numFmtId="173" fontId="54" fillId="0" borderId="0" applyFont="0" applyFill="0" applyBorder="0" applyAlignment="0" applyProtection="0"/>
    <xf numFmtId="43" fontId="54" fillId="0" borderId="0" applyFont="0" applyFill="0" applyBorder="0" applyAlignment="0" applyProtection="0"/>
    <xf numFmtId="168" fontId="2" fillId="0" borderId="0" applyFont="0" applyFill="0" applyBorder="0" applyAlignment="0" applyProtection="0"/>
    <xf numFmtId="0" fontId="61" fillId="0" borderId="0" applyNumberFormat="0" applyFill="0" applyBorder="0" applyAlignment="0" applyProtection="0"/>
    <xf numFmtId="0" fontId="62" fillId="4" borderId="0" applyNumberFormat="0" applyBorder="0" applyAlignment="0" applyProtection="0"/>
    <xf numFmtId="0" fontId="63" fillId="0" borderId="4" applyNumberFormat="0" applyFill="0" applyAlignment="0" applyProtection="0"/>
    <xf numFmtId="0" fontId="64" fillId="0" borderId="5" applyNumberFormat="0" applyFill="0" applyAlignment="0" applyProtection="0"/>
    <xf numFmtId="0" fontId="65" fillId="0" borderId="6" applyNumberFormat="0" applyFill="0" applyAlignment="0" applyProtection="0"/>
    <xf numFmtId="0" fontId="65" fillId="0" borderId="0" applyNumberFormat="0" applyFill="0" applyBorder="0" applyAlignment="0" applyProtection="0"/>
    <xf numFmtId="0" fontId="66" fillId="7" borderId="1" applyNumberFormat="0" applyAlignment="0" applyProtection="0"/>
    <xf numFmtId="165" fontId="2" fillId="0" borderId="0" applyFont="0" applyFill="0" applyBorder="0" applyAlignment="0" applyProtection="0"/>
    <xf numFmtId="0" fontId="67" fillId="0" borderId="3" applyNumberFormat="0" applyFill="0" applyAlignment="0" applyProtection="0"/>
    <xf numFmtId="0" fontId="68" fillId="22" borderId="0" applyNumberFormat="0" applyBorder="0" applyAlignment="0" applyProtection="0"/>
    <xf numFmtId="0" fontId="69" fillId="0" borderId="0"/>
    <xf numFmtId="0" fontId="54" fillId="0" borderId="0"/>
    <xf numFmtId="0" fontId="54" fillId="23" borderId="7" applyNumberFormat="0" applyFont="0" applyAlignment="0" applyProtection="0"/>
    <xf numFmtId="0" fontId="70" fillId="20" borderId="8" applyNumberFormat="0" applyAlignment="0" applyProtection="0"/>
    <xf numFmtId="0" fontId="22"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0" fontId="3" fillId="0" borderId="0" applyNumberFormat="0" applyFont="0" applyBorder="0" applyAlignment="0" applyProtection="0"/>
    <xf numFmtId="0" fontId="75" fillId="0" borderId="0"/>
    <xf numFmtId="165" fontId="2" fillId="0" borderId="0" applyFont="0" applyFill="0" applyBorder="0" applyAlignment="0" applyProtection="0"/>
    <xf numFmtId="0" fontId="1" fillId="0" borderId="0"/>
    <xf numFmtId="165"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8" fillId="0" borderId="0"/>
    <xf numFmtId="0" fontId="28" fillId="0" borderId="0"/>
    <xf numFmtId="0" fontId="28" fillId="0" borderId="0"/>
    <xf numFmtId="0" fontId="2" fillId="0" borderId="0"/>
  </cellStyleXfs>
  <cellXfs count="1214">
    <xf numFmtId="0" fontId="0" fillId="0" borderId="0" xfId="0"/>
    <xf numFmtId="0" fontId="5" fillId="24" borderId="10" xfId="0" applyFont="1" applyFill="1" applyBorder="1"/>
    <xf numFmtId="0" fontId="4" fillId="25" borderId="10" xfId="0" applyFont="1" applyFill="1" applyBorder="1"/>
    <xf numFmtId="0" fontId="4" fillId="0" borderId="0" xfId="0" applyFont="1"/>
    <xf numFmtId="0" fontId="6" fillId="0" borderId="0" xfId="0" applyFont="1"/>
    <xf numFmtId="0" fontId="4" fillId="24" borderId="10" xfId="0" applyFont="1" applyFill="1" applyBorder="1"/>
    <xf numFmtId="0" fontId="0" fillId="26" borderId="0" xfId="0" applyFill="1"/>
    <xf numFmtId="0" fontId="0" fillId="24" borderId="0" xfId="0" applyFill="1"/>
    <xf numFmtId="166" fontId="0" fillId="26" borderId="0" xfId="43" applyNumberFormat="1" applyFont="1" applyFill="1"/>
    <xf numFmtId="0" fontId="0" fillId="25" borderId="10" xfId="0" applyFill="1" applyBorder="1"/>
    <xf numFmtId="0" fontId="4" fillId="25" borderId="10" xfId="0" applyFont="1" applyFill="1" applyBorder="1" applyAlignment="1">
      <alignment horizontal="right"/>
    </xf>
    <xf numFmtId="0" fontId="25" fillId="0" borderId="0" xfId="0" applyFont="1" applyFill="1"/>
    <xf numFmtId="0" fontId="0" fillId="29" borderId="0" xfId="0" applyFill="1"/>
    <xf numFmtId="0" fontId="25" fillId="0" borderId="0" xfId="0" applyFont="1"/>
    <xf numFmtId="0" fontId="26" fillId="30" borderId="0" xfId="1" applyFont="1" applyFill="1" applyAlignment="1">
      <alignment horizontal="right"/>
    </xf>
    <xf numFmtId="0" fontId="26" fillId="30" borderId="0" xfId="1" applyFont="1" applyFill="1"/>
    <xf numFmtId="167" fontId="26" fillId="0" borderId="0" xfId="1" applyNumberFormat="1" applyFont="1" applyFill="1"/>
    <xf numFmtId="0" fontId="26" fillId="29" borderId="0" xfId="1" applyFont="1" applyFill="1"/>
    <xf numFmtId="0" fontId="26" fillId="31" borderId="0" xfId="1" applyFont="1" applyFill="1"/>
    <xf numFmtId="167" fontId="26" fillId="27" borderId="0" xfId="1" applyNumberFormat="1" applyFont="1" applyFill="1"/>
    <xf numFmtId="0" fontId="0" fillId="31" borderId="0" xfId="0" applyFill="1"/>
    <xf numFmtId="166" fontId="0" fillId="27" borderId="0" xfId="0" applyNumberFormat="1" applyFill="1"/>
    <xf numFmtId="0" fontId="4" fillId="0" borderId="0" xfId="0" applyFont="1" applyBorder="1"/>
    <xf numFmtId="0" fontId="0" fillId="0" borderId="0" xfId="0" applyBorder="1"/>
    <xf numFmtId="166" fontId="0" fillId="27" borderId="0" xfId="43" applyNumberFormat="1" applyFont="1" applyFill="1"/>
    <xf numFmtId="0" fontId="2" fillId="0" borderId="0" xfId="1" applyFont="1" applyBorder="1"/>
    <xf numFmtId="0" fontId="27" fillId="0" borderId="0" xfId="0" applyFont="1"/>
    <xf numFmtId="0" fontId="0" fillId="0" borderId="0" xfId="0" applyFill="1"/>
    <xf numFmtId="166" fontId="0" fillId="0" borderId="0" xfId="43" applyNumberFormat="1" applyFont="1" applyFill="1"/>
    <xf numFmtId="166" fontId="2" fillId="27" borderId="0" xfId="43" applyNumberFormat="1" applyFill="1"/>
    <xf numFmtId="10" fontId="0" fillId="26" borderId="0" xfId="0" applyNumberFormat="1" applyFill="1"/>
    <xf numFmtId="10" fontId="0" fillId="29" borderId="0" xfId="0" applyNumberFormat="1" applyFill="1"/>
    <xf numFmtId="166" fontId="0" fillId="0" borderId="0" xfId="0" applyNumberFormat="1"/>
    <xf numFmtId="9" fontId="0" fillId="0" borderId="0" xfId="0" applyNumberFormat="1"/>
    <xf numFmtId="166" fontId="0" fillId="29" borderId="0" xfId="0" applyNumberFormat="1" applyFill="1"/>
    <xf numFmtId="170" fontId="0" fillId="0" borderId="0" xfId="56" applyNumberFormat="1" applyFont="1"/>
    <xf numFmtId="166" fontId="2" fillId="0" borderId="0" xfId="43" applyNumberFormat="1" applyFill="1"/>
    <xf numFmtId="166" fontId="0" fillId="29" borderId="0" xfId="43" applyNumberFormat="1" applyFont="1" applyFill="1"/>
    <xf numFmtId="169" fontId="2" fillId="29" borderId="0" xfId="43" applyNumberFormat="1" applyFill="1"/>
    <xf numFmtId="166" fontId="2" fillId="26" borderId="0" xfId="43" applyNumberFormat="1" applyFill="1"/>
    <xf numFmtId="166" fontId="2" fillId="0" borderId="0" xfId="43" applyNumberFormat="1"/>
    <xf numFmtId="166" fontId="2" fillId="29" borderId="0" xfId="43" applyNumberFormat="1" applyFill="1"/>
    <xf numFmtId="10" fontId="0" fillId="32" borderId="0" xfId="56" applyNumberFormat="1" applyFont="1" applyFill="1"/>
    <xf numFmtId="10" fontId="0" fillId="0" borderId="0" xfId="56" applyNumberFormat="1" applyFont="1" applyFill="1"/>
    <xf numFmtId="164" fontId="34" fillId="0" borderId="0" xfId="1" applyNumberFormat="1" applyFont="1" applyFill="1" applyBorder="1" applyAlignment="1" applyProtection="1">
      <alignment horizontal="center"/>
      <protection locked="0"/>
    </xf>
    <xf numFmtId="164" fontId="34" fillId="0" borderId="0" xfId="1" applyNumberFormat="1" applyFont="1" applyFill="1" applyBorder="1" applyAlignment="1" applyProtection="1">
      <alignment horizontal="center"/>
    </xf>
    <xf numFmtId="0" fontId="0" fillId="0" borderId="0" xfId="0" applyAlignment="1">
      <alignment horizontal="center"/>
    </xf>
    <xf numFmtId="0" fontId="4" fillId="24" borderId="10" xfId="0" applyFont="1" applyFill="1" applyBorder="1" applyAlignment="1">
      <alignment horizontal="center"/>
    </xf>
    <xf numFmtId="0" fontId="4" fillId="25" borderId="10" xfId="0" applyFont="1" applyFill="1" applyBorder="1" applyAlignment="1">
      <alignment horizontal="center"/>
    </xf>
    <xf numFmtId="0" fontId="0" fillId="0" borderId="0" xfId="0" applyFill="1" applyAlignment="1">
      <alignment horizontal="center"/>
    </xf>
    <xf numFmtId="0" fontId="2" fillId="0" borderId="0" xfId="0" applyFont="1"/>
    <xf numFmtId="10" fontId="0" fillId="0" borderId="0" xfId="0" applyNumberFormat="1" applyFill="1"/>
    <xf numFmtId="166" fontId="0" fillId="0" borderId="0" xfId="0" applyNumberFormat="1" applyFill="1"/>
    <xf numFmtId="0" fontId="4" fillId="0" borderId="0" xfId="0" applyFont="1" applyFill="1"/>
    <xf numFmtId="165" fontId="25" fillId="25" borderId="10" xfId="1" applyNumberFormat="1" applyFont="1" applyFill="1" applyBorder="1"/>
    <xf numFmtId="165" fontId="4" fillId="25" borderId="10" xfId="1" applyNumberFormat="1" applyFont="1" applyFill="1" applyBorder="1" applyAlignment="1">
      <alignment horizontal="left"/>
    </xf>
    <xf numFmtId="165" fontId="34" fillId="25" borderId="10" xfId="1" applyNumberFormat="1" applyFont="1" applyFill="1" applyBorder="1"/>
    <xf numFmtId="165" fontId="26" fillId="30" borderId="0" xfId="1" applyNumberFormat="1" applyFont="1" applyFill="1"/>
    <xf numFmtId="0" fontId="0" fillId="0" borderId="0" xfId="0" applyFill="1" applyBorder="1"/>
    <xf numFmtId="0" fontId="0" fillId="0" borderId="0" xfId="0" applyBorder="1" applyAlignment="1">
      <alignment vertical="center"/>
    </xf>
    <xf numFmtId="0" fontId="4" fillId="0" borderId="0" xfId="0" applyFont="1" applyBorder="1" applyAlignment="1">
      <alignment vertical="center"/>
    </xf>
    <xf numFmtId="0" fontId="2" fillId="0" borderId="0" xfId="0" applyFont="1" applyFill="1" applyAlignment="1">
      <alignment vertical="center"/>
    </xf>
    <xf numFmtId="0" fontId="30" fillId="0" borderId="0" xfId="0" applyFont="1" applyFill="1" applyBorder="1" applyAlignment="1">
      <alignment vertical="center"/>
    </xf>
    <xf numFmtId="0" fontId="30" fillId="0" borderId="0" xfId="0" applyFont="1" applyFill="1" applyBorder="1" applyAlignment="1">
      <alignment horizontal="center" vertical="center"/>
    </xf>
    <xf numFmtId="0" fontId="4" fillId="25" borderId="10" xfId="0" applyFont="1" applyFill="1" applyBorder="1" applyAlignment="1">
      <alignment vertical="center"/>
    </xf>
    <xf numFmtId="0" fontId="0" fillId="25" borderId="10" xfId="0" applyFill="1" applyBorder="1" applyAlignment="1">
      <alignment vertical="center"/>
    </xf>
    <xf numFmtId="0" fontId="0" fillId="0" borderId="0" xfId="0" applyAlignment="1">
      <alignment vertical="center"/>
    </xf>
    <xf numFmtId="0" fontId="35" fillId="0" borderId="0" xfId="1" applyFont="1" applyBorder="1" applyAlignment="1">
      <alignment vertical="center"/>
    </xf>
    <xf numFmtId="166" fontId="2" fillId="0" borderId="0" xfId="43" applyNumberFormat="1" applyAlignment="1">
      <alignment horizontal="center"/>
    </xf>
    <xf numFmtId="166" fontId="0" fillId="0" borderId="0" xfId="43" applyNumberFormat="1" applyFont="1"/>
    <xf numFmtId="166" fontId="4" fillId="25" borderId="10" xfId="43" applyNumberFormat="1" applyFont="1" applyFill="1" applyBorder="1" applyAlignment="1">
      <alignment horizontal="center"/>
    </xf>
    <xf numFmtId="166" fontId="4" fillId="25" borderId="10" xfId="43" applyNumberFormat="1" applyFont="1" applyFill="1" applyBorder="1"/>
    <xf numFmtId="166" fontId="2" fillId="0" borderId="0" xfId="43" applyNumberFormat="1" applyFont="1" applyFill="1" applyAlignment="1">
      <alignment horizontal="center"/>
    </xf>
    <xf numFmtId="166" fontId="2" fillId="27" borderId="0" xfId="43" applyNumberFormat="1" applyFont="1" applyFill="1"/>
    <xf numFmtId="166" fontId="0" fillId="32" borderId="0" xfId="0" applyNumberFormat="1" applyFill="1"/>
    <xf numFmtId="170" fontId="0" fillId="29" borderId="0" xfId="56" applyNumberFormat="1" applyFont="1" applyFill="1"/>
    <xf numFmtId="165" fontId="0" fillId="27" borderId="0" xfId="43" applyFont="1" applyFill="1"/>
    <xf numFmtId="165" fontId="0" fillId="32" borderId="0" xfId="43" applyFont="1" applyFill="1"/>
    <xf numFmtId="169" fontId="0" fillId="32" borderId="0" xfId="43" applyNumberFormat="1" applyFont="1" applyFill="1"/>
    <xf numFmtId="171" fontId="0" fillId="29" borderId="0" xfId="56" applyNumberFormat="1" applyFont="1" applyFill="1"/>
    <xf numFmtId="0" fontId="2" fillId="0" borderId="0" xfId="0" applyFont="1" applyFill="1"/>
    <xf numFmtId="0" fontId="4" fillId="0" borderId="0" xfId="1" applyFont="1" applyBorder="1"/>
    <xf numFmtId="166" fontId="2" fillId="27" borderId="0" xfId="43" applyNumberFormat="1" applyFont="1" applyFill="1" applyAlignment="1">
      <alignment horizontal="center"/>
    </xf>
    <xf numFmtId="0" fontId="2" fillId="0" borderId="0" xfId="1" applyFont="1" applyFill="1" applyBorder="1"/>
    <xf numFmtId="166" fontId="2" fillId="27" borderId="0" xfId="43" applyNumberFormat="1" applyFont="1" applyFill="1" applyAlignment="1">
      <alignment horizontal="right"/>
    </xf>
    <xf numFmtId="39" fontId="4" fillId="0" borderId="0" xfId="58" applyNumberFormat="1" applyFont="1" applyBorder="1" applyAlignment="1" applyProtection="1"/>
    <xf numFmtId="39" fontId="25" fillId="0" borderId="0" xfId="59" applyNumberFormat="1" applyFont="1" applyBorder="1" applyAlignment="1" applyProtection="1"/>
    <xf numFmtId="39" fontId="31" fillId="0" borderId="0" xfId="59" applyNumberFormat="1" applyFont="1" applyBorder="1" applyAlignment="1" applyProtection="1"/>
    <xf numFmtId="165" fontId="0" fillId="0" borderId="0" xfId="43" applyFont="1" applyBorder="1"/>
    <xf numFmtId="165" fontId="0" fillId="0" borderId="0" xfId="43" applyFont="1"/>
    <xf numFmtId="166" fontId="0" fillId="27" borderId="0" xfId="43" applyNumberFormat="1" applyFont="1" applyFill="1" applyBorder="1"/>
    <xf numFmtId="166" fontId="0" fillId="0" borderId="0" xfId="43" applyNumberFormat="1" applyFont="1" applyBorder="1"/>
    <xf numFmtId="165" fontId="2" fillId="26" borderId="0" xfId="43" applyFill="1"/>
    <xf numFmtId="172" fontId="2" fillId="26" borderId="0" xfId="43" applyNumberFormat="1" applyFill="1"/>
    <xf numFmtId="166" fontId="2" fillId="32" borderId="0" xfId="43" applyNumberFormat="1" applyFont="1" applyFill="1"/>
    <xf numFmtId="0" fontId="25" fillId="0" borderId="0" xfId="0" applyFont="1" applyBorder="1"/>
    <xf numFmtId="3" fontId="25" fillId="0" borderId="0" xfId="0" applyNumberFormat="1" applyFont="1" applyFill="1"/>
    <xf numFmtId="165" fontId="2" fillId="29" borderId="0" xfId="43" applyFill="1"/>
    <xf numFmtId="165" fontId="4" fillId="25" borderId="10" xfId="43" applyFont="1" applyFill="1" applyBorder="1"/>
    <xf numFmtId="165" fontId="25" fillId="0" borderId="0" xfId="43" applyFont="1"/>
    <xf numFmtId="165" fontId="25" fillId="29" borderId="0" xfId="43" applyFont="1" applyFill="1"/>
    <xf numFmtId="165" fontId="25" fillId="0" borderId="0" xfId="43" applyFont="1" applyFill="1"/>
    <xf numFmtId="165" fontId="0" fillId="27" borderId="0" xfId="0" applyNumberFormat="1" applyFill="1"/>
    <xf numFmtId="0" fontId="25" fillId="0" borderId="0" xfId="0" applyFont="1" applyBorder="1" applyAlignment="1">
      <alignment vertical="center"/>
    </xf>
    <xf numFmtId="0" fontId="4" fillId="0" borderId="0" xfId="0" applyFont="1" applyFill="1" applyBorder="1" applyAlignment="1">
      <alignment vertical="center"/>
    </xf>
    <xf numFmtId="10" fontId="0" fillId="0" borderId="0" xfId="56" applyNumberFormat="1" applyFont="1"/>
    <xf numFmtId="166" fontId="0" fillId="27" borderId="0" xfId="0" applyNumberFormat="1" applyFill="1" applyAlignment="1">
      <alignment horizontal="center"/>
    </xf>
    <xf numFmtId="166" fontId="0" fillId="32" borderId="0" xfId="0" applyNumberFormat="1" applyFill="1" applyAlignment="1">
      <alignment horizontal="center"/>
    </xf>
    <xf numFmtId="3" fontId="25" fillId="29" borderId="0" xfId="0" applyNumberFormat="1" applyFont="1" applyFill="1"/>
    <xf numFmtId="166" fontId="2" fillId="0" borderId="0" xfId="43" applyNumberFormat="1" applyFont="1" applyFill="1" applyAlignment="1">
      <alignment horizontal="left"/>
    </xf>
    <xf numFmtId="167" fontId="0" fillId="0" borderId="0" xfId="0" applyNumberFormat="1"/>
    <xf numFmtId="10" fontId="0" fillId="35" borderId="0" xfId="56" applyNumberFormat="1" applyFont="1" applyFill="1"/>
    <xf numFmtId="166" fontId="0" fillId="36" borderId="0" xfId="0" applyNumberFormat="1" applyFill="1"/>
    <xf numFmtId="166" fontId="0" fillId="34" borderId="0" xfId="0" applyNumberFormat="1" applyFill="1"/>
    <xf numFmtId="169" fontId="0" fillId="34" borderId="0" xfId="43" applyNumberFormat="1" applyFont="1" applyFill="1"/>
    <xf numFmtId="166" fontId="0" fillId="34" borderId="0" xfId="43" applyNumberFormat="1" applyFont="1" applyFill="1"/>
    <xf numFmtId="166" fontId="0" fillId="37" borderId="0" xfId="43" applyNumberFormat="1" applyFont="1" applyFill="1"/>
    <xf numFmtId="3" fontId="0" fillId="0" borderId="0" xfId="0" applyNumberFormat="1"/>
    <xf numFmtId="166" fontId="0" fillId="0" borderId="0" xfId="43" applyNumberFormat="1" applyFont="1"/>
    <xf numFmtId="166" fontId="0" fillId="35" borderId="0" xfId="43" applyNumberFormat="1" applyFont="1" applyFill="1"/>
    <xf numFmtId="165" fontId="2" fillId="37" borderId="0" xfId="43" applyFill="1"/>
    <xf numFmtId="165" fontId="2" fillId="37" borderId="0" xfId="43" applyNumberFormat="1" applyFill="1"/>
    <xf numFmtId="165" fontId="25" fillId="37" borderId="0" xfId="43" applyFont="1" applyFill="1"/>
    <xf numFmtId="166" fontId="26" fillId="35" borderId="0" xfId="43" applyNumberFormat="1" applyFont="1" applyFill="1"/>
    <xf numFmtId="166" fontId="25" fillId="35" borderId="0" xfId="43" applyNumberFormat="1" applyFont="1" applyFill="1"/>
    <xf numFmtId="166" fontId="26" fillId="30" borderId="0" xfId="43" applyNumberFormat="1" applyFont="1" applyFill="1"/>
    <xf numFmtId="166" fontId="26" fillId="34" borderId="0" xfId="43" applyNumberFormat="1" applyFont="1" applyFill="1"/>
    <xf numFmtId="165" fontId="36" fillId="30" borderId="0" xfId="1" applyNumberFormat="1" applyFont="1" applyFill="1"/>
    <xf numFmtId="165" fontId="25" fillId="30" borderId="0" xfId="1" applyNumberFormat="1" applyFont="1" applyFill="1"/>
    <xf numFmtId="165" fontId="25" fillId="0" borderId="0" xfId="1" applyNumberFormat="1" applyFont="1" applyFill="1"/>
    <xf numFmtId="166" fontId="26" fillId="37" borderId="0" xfId="43" applyNumberFormat="1" applyFont="1" applyFill="1"/>
    <xf numFmtId="166" fontId="25" fillId="0" borderId="0" xfId="43" applyNumberFormat="1" applyFont="1" applyFill="1"/>
    <xf numFmtId="166" fontId="25" fillId="30" borderId="0" xfId="43" applyNumberFormat="1" applyFont="1" applyFill="1"/>
    <xf numFmtId="0" fontId="25" fillId="0" borderId="0" xfId="0" applyFont="1" applyAlignment="1">
      <alignment horizontal="center"/>
    </xf>
    <xf numFmtId="166" fontId="2" fillId="37" borderId="0" xfId="43" applyNumberFormat="1" applyFill="1"/>
    <xf numFmtId="170" fontId="26" fillId="34" borderId="0" xfId="56" applyNumberFormat="1" applyFont="1" applyFill="1"/>
    <xf numFmtId="166" fontId="26" fillId="34" borderId="0" xfId="1" applyNumberFormat="1" applyFont="1" applyFill="1"/>
    <xf numFmtId="166" fontId="2" fillId="34" borderId="0" xfId="43" applyNumberFormat="1" applyFont="1" applyFill="1" applyAlignment="1">
      <alignment horizontal="center"/>
    </xf>
    <xf numFmtId="165" fontId="0" fillId="37" borderId="0" xfId="0" applyNumberFormat="1" applyFill="1"/>
    <xf numFmtId="165" fontId="0" fillId="0" borderId="0" xfId="0" applyNumberFormat="1" applyFill="1"/>
    <xf numFmtId="165" fontId="28" fillId="30" borderId="0" xfId="1" applyNumberFormat="1" applyFont="1" applyFill="1"/>
    <xf numFmtId="165" fontId="25" fillId="0" borderId="0" xfId="57" applyNumberFormat="1" applyFont="1" applyFill="1" applyBorder="1" applyAlignment="1" applyProtection="1"/>
    <xf numFmtId="165" fontId="37" fillId="30" borderId="0" xfId="1" applyNumberFormat="1" applyFont="1" applyFill="1"/>
    <xf numFmtId="165" fontId="28" fillId="0" borderId="0" xfId="1" applyNumberFormat="1" applyFont="1" applyFill="1"/>
    <xf numFmtId="164" fontId="25" fillId="0" borderId="0" xfId="57" applyNumberFormat="1" applyFont="1" applyFill="1" applyBorder="1" applyAlignment="1" applyProtection="1"/>
    <xf numFmtId="166" fontId="37" fillId="30" borderId="0" xfId="1" applyNumberFormat="1" applyFont="1" applyFill="1"/>
    <xf numFmtId="0" fontId="38" fillId="0" borderId="0" xfId="1" applyFont="1" applyFill="1" applyAlignment="1"/>
    <xf numFmtId="0" fontId="38" fillId="0" borderId="0" xfId="1" applyFont="1"/>
    <xf numFmtId="165" fontId="26" fillId="30" borderId="0" xfId="1" applyNumberFormat="1" applyFont="1" applyFill="1" applyAlignment="1">
      <alignment horizontal="left"/>
    </xf>
    <xf numFmtId="165" fontId="32" fillId="30" borderId="0" xfId="1" applyNumberFormat="1" applyFont="1" applyFill="1" applyAlignment="1">
      <alignment horizontal="left"/>
    </xf>
    <xf numFmtId="165" fontId="26" fillId="30" borderId="0" xfId="43" applyFont="1" applyFill="1"/>
    <xf numFmtId="165" fontId="26" fillId="0" borderId="0" xfId="1" applyNumberFormat="1" applyFont="1" applyFill="1"/>
    <xf numFmtId="166" fontId="37" fillId="0" borderId="0" xfId="1" applyNumberFormat="1" applyFont="1" applyFill="1"/>
    <xf numFmtId="165" fontId="37" fillId="0" borderId="0" xfId="1" applyNumberFormat="1" applyFont="1" applyFill="1"/>
    <xf numFmtId="165" fontId="26" fillId="27" borderId="0" xfId="43" applyFont="1" applyFill="1"/>
    <xf numFmtId="164" fontId="4" fillId="0" borderId="0" xfId="57" applyNumberFormat="1" applyFont="1" applyFill="1" applyBorder="1" applyAlignment="1" applyProtection="1"/>
    <xf numFmtId="166" fontId="0" fillId="37" borderId="0" xfId="0" applyNumberFormat="1" applyFill="1"/>
    <xf numFmtId="166" fontId="0" fillId="38" borderId="0" xfId="43" applyNumberFormat="1" applyFont="1" applyFill="1"/>
    <xf numFmtId="166" fontId="2" fillId="38" borderId="0" xfId="43" applyNumberFormat="1" applyFont="1" applyFill="1" applyAlignment="1">
      <alignment horizontal="center"/>
    </xf>
    <xf numFmtId="166" fontId="0" fillId="39" borderId="0" xfId="43" applyNumberFormat="1" applyFont="1" applyFill="1"/>
    <xf numFmtId="166" fontId="2" fillId="35" borderId="0" xfId="43" applyNumberFormat="1" applyFill="1"/>
    <xf numFmtId="0" fontId="4" fillId="25" borderId="10" xfId="1" applyFont="1" applyFill="1" applyBorder="1"/>
    <xf numFmtId="0" fontId="0" fillId="25" borderId="10" xfId="1" applyFont="1" applyFill="1" applyBorder="1"/>
    <xf numFmtId="0" fontId="26" fillId="30" borderId="0" xfId="72" applyFont="1" applyFill="1" applyBorder="1"/>
    <xf numFmtId="0" fontId="4" fillId="0" borderId="0" xfId="73" applyFont="1" applyFill="1" applyBorder="1" applyAlignment="1" applyProtection="1">
      <alignment horizontal="left"/>
    </xf>
    <xf numFmtId="0" fontId="25" fillId="0" borderId="0" xfId="0" applyFont="1" applyFill="1" applyBorder="1"/>
    <xf numFmtId="166" fontId="2" fillId="36" borderId="0" xfId="43" applyNumberFormat="1" applyFill="1"/>
    <xf numFmtId="43" fontId="0" fillId="0" borderId="0" xfId="0" applyNumberFormat="1" applyFill="1" applyBorder="1"/>
    <xf numFmtId="166" fontId="0" fillId="0" borderId="0" xfId="0" applyNumberFormat="1" applyFill="1" applyBorder="1"/>
    <xf numFmtId="9" fontId="0" fillId="0" borderId="0" xfId="56" applyFont="1" applyFill="1" applyBorder="1"/>
    <xf numFmtId="0" fontId="2" fillId="0" borderId="0" xfId="0" applyFont="1" applyFill="1" applyBorder="1"/>
    <xf numFmtId="0" fontId="2" fillId="0" borderId="0" xfId="0" applyFont="1" applyBorder="1"/>
    <xf numFmtId="165" fontId="26" fillId="36" borderId="0" xfId="43" applyFont="1" applyFill="1"/>
    <xf numFmtId="10" fontId="2" fillId="0" borderId="0" xfId="0" applyNumberFormat="1" applyFont="1"/>
    <xf numFmtId="166" fontId="2" fillId="37" borderId="0" xfId="43" applyNumberFormat="1" applyFont="1" applyFill="1"/>
    <xf numFmtId="0" fontId="4" fillId="40" borderId="0" xfId="0" applyFont="1" applyFill="1"/>
    <xf numFmtId="166" fontId="2" fillId="0" borderId="0" xfId="43" applyNumberFormat="1" applyFont="1" applyFill="1"/>
    <xf numFmtId="166" fontId="2" fillId="34" borderId="0" xfId="43" applyNumberFormat="1" applyFont="1" applyFill="1"/>
    <xf numFmtId="10" fontId="0" fillId="34" borderId="0" xfId="74" applyNumberFormat="1" applyFont="1" applyFill="1"/>
    <xf numFmtId="166" fontId="2" fillId="36" borderId="0" xfId="43" applyNumberFormat="1" applyFont="1" applyFill="1" applyAlignment="1">
      <alignment horizontal="center"/>
    </xf>
    <xf numFmtId="166" fontId="2" fillId="34" borderId="0" xfId="43" applyNumberFormat="1" applyFill="1"/>
    <xf numFmtId="0" fontId="4" fillId="0" borderId="0" xfId="76" applyFont="1"/>
    <xf numFmtId="0" fontId="2" fillId="0" borderId="0" xfId="76"/>
    <xf numFmtId="0" fontId="27" fillId="0" borderId="0" xfId="0" quotePrefix="1" applyFont="1"/>
    <xf numFmtId="0" fontId="4" fillId="0" borderId="0" xfId="0" applyFont="1" applyAlignment="1">
      <alignment horizontal="center"/>
    </xf>
    <xf numFmtId="0" fontId="2" fillId="0" borderId="0" xfId="0" applyFont="1" applyAlignment="1">
      <alignment horizontal="center"/>
    </xf>
    <xf numFmtId="169" fontId="2" fillId="0" borderId="0" xfId="43" applyNumberFormat="1" applyFill="1"/>
    <xf numFmtId="2" fontId="0" fillId="29" borderId="0" xfId="0" applyNumberFormat="1" applyFill="1"/>
    <xf numFmtId="166" fontId="0" fillId="39" borderId="0" xfId="0" applyNumberFormat="1" applyFill="1"/>
    <xf numFmtId="165" fontId="0" fillId="0" borderId="0" xfId="43" applyFont="1" applyFill="1"/>
    <xf numFmtId="0" fontId="2" fillId="0" borderId="0" xfId="0" quotePrefix="1" applyFont="1"/>
    <xf numFmtId="169" fontId="0" fillId="34" borderId="0" xfId="0" applyNumberFormat="1" applyFill="1"/>
    <xf numFmtId="165" fontId="0" fillId="37" borderId="0" xfId="43" applyNumberFormat="1" applyFont="1" applyFill="1"/>
    <xf numFmtId="0" fontId="5" fillId="24" borderId="10" xfId="0" applyFont="1" applyFill="1" applyBorder="1" applyAlignment="1">
      <alignment wrapText="1"/>
    </xf>
    <xf numFmtId="166" fontId="2" fillId="36" borderId="0" xfId="0" applyNumberFormat="1" applyFont="1" applyFill="1"/>
    <xf numFmtId="0" fontId="5" fillId="38" borderId="10" xfId="0" applyFont="1" applyFill="1" applyBorder="1" applyAlignment="1">
      <alignment wrapText="1"/>
    </xf>
    <xf numFmtId="166" fontId="2" fillId="34" borderId="0" xfId="0" applyNumberFormat="1" applyFont="1" applyFill="1"/>
    <xf numFmtId="166" fontId="2" fillId="37" borderId="0" xfId="0" applyNumberFormat="1" applyFont="1" applyFill="1"/>
    <xf numFmtId="0" fontId="5" fillId="38" borderId="10" xfId="77" applyFont="1" applyFill="1" applyBorder="1" applyAlignment="1">
      <alignment vertical="center"/>
    </xf>
    <xf numFmtId="0" fontId="43" fillId="38" borderId="10" xfId="77" applyFont="1" applyFill="1" applyBorder="1" applyAlignment="1">
      <alignment vertical="center"/>
    </xf>
    <xf numFmtId="0" fontId="2" fillId="0" borderId="0" xfId="77" applyFont="1" applyFill="1" applyAlignment="1">
      <alignment vertical="center"/>
    </xf>
    <xf numFmtId="0" fontId="4" fillId="0" borderId="0" xfId="77" applyFont="1" applyFill="1" applyBorder="1" applyAlignment="1">
      <alignment vertical="center"/>
    </xf>
    <xf numFmtId="0" fontId="4" fillId="0" borderId="0" xfId="77" applyFont="1" applyFill="1" applyBorder="1" applyAlignment="1">
      <alignment horizontal="center" vertical="center"/>
    </xf>
    <xf numFmtId="0" fontId="2" fillId="0" borderId="0" xfId="77" applyFont="1" applyFill="1" applyBorder="1" applyAlignment="1">
      <alignment vertical="center"/>
    </xf>
    <xf numFmtId="0" fontId="4" fillId="25" borderId="10" xfId="77" applyFont="1" applyFill="1" applyBorder="1" applyAlignment="1">
      <alignment vertical="center"/>
    </xf>
    <xf numFmtId="0" fontId="4" fillId="25" borderId="10" xfId="77" applyFont="1" applyFill="1" applyBorder="1" applyAlignment="1" applyProtection="1">
      <alignment vertical="center"/>
      <protection locked="0"/>
    </xf>
    <xf numFmtId="0" fontId="4" fillId="0" borderId="0" xfId="77" applyFont="1" applyBorder="1" applyAlignment="1">
      <alignment vertical="center"/>
    </xf>
    <xf numFmtId="0" fontId="4" fillId="0" borderId="0" xfId="77" applyFont="1" applyBorder="1" applyAlignment="1" applyProtection="1">
      <alignment vertical="center"/>
      <protection locked="0"/>
    </xf>
    <xf numFmtId="0" fontId="42" fillId="0" borderId="0" xfId="77" applyAlignment="1">
      <alignment vertical="center"/>
    </xf>
    <xf numFmtId="0" fontId="42" fillId="0" borderId="0" xfId="77" applyBorder="1"/>
    <xf numFmtId="0" fontId="42" fillId="0" borderId="0" xfId="77"/>
    <xf numFmtId="166" fontId="0" fillId="29" borderId="0" xfId="43" applyNumberFormat="1" applyFont="1" applyFill="1" applyBorder="1"/>
    <xf numFmtId="165" fontId="0" fillId="0" borderId="0" xfId="43" applyFont="1" applyFill="1" applyBorder="1"/>
    <xf numFmtId="0" fontId="2" fillId="25" borderId="10" xfId="77" applyFont="1" applyFill="1" applyBorder="1" applyAlignment="1">
      <alignment vertical="center"/>
    </xf>
    <xf numFmtId="0" fontId="2" fillId="0" borderId="0" xfId="77" applyFont="1" applyBorder="1" applyAlignment="1">
      <alignment vertical="center"/>
    </xf>
    <xf numFmtId="0" fontId="2" fillId="0" borderId="0" xfId="77" applyFont="1" applyAlignment="1">
      <alignment vertical="center"/>
    </xf>
    <xf numFmtId="0" fontId="2" fillId="0" borderId="0" xfId="77" applyFont="1" applyBorder="1"/>
    <xf numFmtId="0" fontId="2" fillId="0" borderId="0" xfId="77" applyFont="1"/>
    <xf numFmtId="165" fontId="2" fillId="29" borderId="0" xfId="43" applyFont="1" applyFill="1" applyBorder="1"/>
    <xf numFmtId="165" fontId="2" fillId="29" borderId="0" xfId="43" applyFont="1" applyFill="1"/>
    <xf numFmtId="165" fontId="2" fillId="0" borderId="0" xfId="43" applyFont="1" applyBorder="1"/>
    <xf numFmtId="165" fontId="2" fillId="0" borderId="0" xfId="43" applyFont="1"/>
    <xf numFmtId="0" fontId="26" fillId="0" borderId="0" xfId="1" applyFont="1" applyBorder="1" applyAlignment="1">
      <alignment vertical="center"/>
    </xf>
    <xf numFmtId="166" fontId="2" fillId="29" borderId="0" xfId="43" applyNumberFormat="1" applyFont="1" applyFill="1" applyBorder="1"/>
    <xf numFmtId="166" fontId="2" fillId="29" borderId="0" xfId="43" applyNumberFormat="1" applyFont="1" applyFill="1"/>
    <xf numFmtId="166" fontId="2" fillId="0" borderId="0" xfId="43" applyNumberFormat="1" applyFont="1" applyBorder="1"/>
    <xf numFmtId="166" fontId="2" fillId="0" borderId="0" xfId="43" applyNumberFormat="1" applyFont="1"/>
    <xf numFmtId="0" fontId="2" fillId="25" borderId="10" xfId="77" applyFont="1" applyFill="1" applyBorder="1"/>
    <xf numFmtId="9" fontId="2" fillId="0" borderId="0" xfId="56" applyNumberFormat="1" applyFont="1"/>
    <xf numFmtId="0" fontId="4" fillId="0" borderId="0" xfId="77" applyFont="1"/>
    <xf numFmtId="165" fontId="2" fillId="0" borderId="0" xfId="43" applyFont="1" applyFill="1" applyBorder="1"/>
    <xf numFmtId="165" fontId="2" fillId="0" borderId="0" xfId="43" applyFont="1" applyFill="1"/>
    <xf numFmtId="166" fontId="2" fillId="0" borderId="0" xfId="43" applyNumberFormat="1" applyFont="1" applyFill="1" applyBorder="1"/>
    <xf numFmtId="165" fontId="5" fillId="38" borderId="10" xfId="43" applyFont="1" applyFill="1" applyBorder="1" applyAlignment="1">
      <alignment vertical="center"/>
    </xf>
    <xf numFmtId="166" fontId="43" fillId="38" borderId="10" xfId="43" applyNumberFormat="1" applyFont="1" applyFill="1" applyBorder="1" applyAlignment="1">
      <alignment vertical="center"/>
    </xf>
    <xf numFmtId="165" fontId="43" fillId="38" borderId="10" xfId="43" applyFont="1" applyFill="1" applyBorder="1" applyAlignment="1">
      <alignment vertical="center"/>
    </xf>
    <xf numFmtId="166" fontId="5" fillId="38" borderId="10" xfId="43" applyNumberFormat="1" applyFont="1" applyFill="1" applyBorder="1" applyAlignment="1">
      <alignment vertical="center"/>
    </xf>
    <xf numFmtId="0" fontId="42" fillId="0" borderId="0" xfId="77" applyFill="1"/>
    <xf numFmtId="0" fontId="42" fillId="0" borderId="0" xfId="77" applyFill="1" applyBorder="1"/>
    <xf numFmtId="0" fontId="0" fillId="0" borderId="0" xfId="77" applyFont="1" applyFill="1"/>
    <xf numFmtId="0" fontId="44" fillId="41" borderId="0" xfId="77" applyFont="1" applyFill="1"/>
    <xf numFmtId="165" fontId="44" fillId="41" borderId="0" xfId="43" applyFont="1" applyFill="1"/>
    <xf numFmtId="166" fontId="44" fillId="41" borderId="0" xfId="43" applyNumberFormat="1" applyFont="1" applyFill="1"/>
    <xf numFmtId="0" fontId="42" fillId="29" borderId="10" xfId="77" applyFill="1" applyBorder="1" applyAlignment="1">
      <alignment vertical="center"/>
    </xf>
    <xf numFmtId="0" fontId="4" fillId="0" borderId="12" xfId="77" applyFont="1" applyBorder="1" applyAlignment="1">
      <alignment vertical="center"/>
    </xf>
    <xf numFmtId="165" fontId="4" fillId="0" borderId="13" xfId="43" applyFont="1" applyBorder="1" applyAlignment="1">
      <alignment vertical="center"/>
    </xf>
    <xf numFmtId="166" fontId="4" fillId="0" borderId="11" xfId="43" applyNumberFormat="1" applyFont="1" applyBorder="1" applyAlignment="1">
      <alignment vertical="center"/>
    </xf>
    <xf numFmtId="165" fontId="4" fillId="0" borderId="11" xfId="43" applyFont="1" applyBorder="1" applyAlignment="1">
      <alignment vertical="center"/>
    </xf>
    <xf numFmtId="0" fontId="35" fillId="0" borderId="0" xfId="1" applyFont="1" applyBorder="1"/>
    <xf numFmtId="165" fontId="35" fillId="27" borderId="13" xfId="43" applyFont="1" applyFill="1" applyBorder="1"/>
    <xf numFmtId="166" fontId="35" fillId="27" borderId="14" xfId="43" applyNumberFormat="1" applyFont="1" applyFill="1" applyBorder="1"/>
    <xf numFmtId="1" fontId="35" fillId="0" borderId="0" xfId="1" applyNumberFormat="1" applyFont="1" applyFill="1" applyBorder="1"/>
    <xf numFmtId="165" fontId="35" fillId="26" borderId="15" xfId="43" applyFont="1" applyFill="1" applyBorder="1"/>
    <xf numFmtId="166" fontId="35" fillId="26" borderId="16" xfId="43" applyNumberFormat="1" applyFont="1" applyFill="1" applyBorder="1"/>
    <xf numFmtId="165" fontId="35" fillId="32" borderId="15" xfId="43" applyFont="1" applyFill="1" applyBorder="1"/>
    <xf numFmtId="166" fontId="35" fillId="32" borderId="16" xfId="43" applyNumberFormat="1" applyFont="1" applyFill="1" applyBorder="1"/>
    <xf numFmtId="165" fontId="35" fillId="42" borderId="15" xfId="43" applyFont="1" applyFill="1" applyBorder="1"/>
    <xf numFmtId="166" fontId="35" fillId="42" borderId="16" xfId="43" applyNumberFormat="1" applyFont="1" applyFill="1" applyBorder="1"/>
    <xf numFmtId="165" fontId="35" fillId="43" borderId="15" xfId="43" applyFont="1" applyFill="1" applyBorder="1"/>
    <xf numFmtId="166" fontId="35" fillId="43" borderId="16" xfId="43" applyNumberFormat="1" applyFont="1" applyFill="1" applyBorder="1"/>
    <xf numFmtId="0" fontId="35" fillId="0" borderId="17" xfId="1" applyFont="1" applyBorder="1"/>
    <xf numFmtId="165" fontId="35" fillId="44" borderId="18" xfId="43" applyFont="1" applyFill="1" applyBorder="1"/>
    <xf numFmtId="166" fontId="35" fillId="44" borderId="19" xfId="43" applyNumberFormat="1" applyFont="1" applyFill="1" applyBorder="1"/>
    <xf numFmtId="0" fontId="35" fillId="0" borderId="10" xfId="1" applyFont="1" applyBorder="1"/>
    <xf numFmtId="165" fontId="0" fillId="0" borderId="11" xfId="43" applyFont="1" applyBorder="1"/>
    <xf numFmtId="166" fontId="0" fillId="0" borderId="11" xfId="43" applyNumberFormat="1" applyFont="1" applyBorder="1"/>
    <xf numFmtId="0" fontId="42" fillId="29" borderId="10" xfId="77" applyFill="1" applyBorder="1"/>
    <xf numFmtId="165" fontId="35" fillId="43" borderId="18" xfId="43" applyFont="1" applyFill="1" applyBorder="1"/>
    <xf numFmtId="166" fontId="35" fillId="43" borderId="19" xfId="43" applyNumberFormat="1" applyFont="1" applyFill="1" applyBorder="1"/>
    <xf numFmtId="165" fontId="35" fillId="0" borderId="0" xfId="43" applyFont="1" applyBorder="1"/>
    <xf numFmtId="166" fontId="35" fillId="0" borderId="0" xfId="43" applyNumberFormat="1" applyFont="1" applyBorder="1"/>
    <xf numFmtId="0" fontId="35" fillId="0" borderId="0" xfId="1" applyFont="1" applyFill="1" applyBorder="1"/>
    <xf numFmtId="0" fontId="42" fillId="0" borderId="0" xfId="77" applyBorder="1" applyAlignment="1">
      <alignment horizontal="center" vertical="center" textRotation="90"/>
    </xf>
    <xf numFmtId="0" fontId="45" fillId="0" borderId="0" xfId="77" applyFont="1" applyAlignment="1">
      <alignment horizontal="center" vertical="center" textRotation="90"/>
    </xf>
    <xf numFmtId="0" fontId="42" fillId="29" borderId="20" xfId="77" applyFill="1" applyBorder="1" applyAlignment="1">
      <alignment vertical="center"/>
    </xf>
    <xf numFmtId="0" fontId="4" fillId="0" borderId="21" xfId="77" applyFont="1" applyBorder="1" applyAlignment="1">
      <alignment vertical="center"/>
    </xf>
    <xf numFmtId="0" fontId="35" fillId="0" borderId="21" xfId="1" applyFont="1" applyBorder="1"/>
    <xf numFmtId="0" fontId="35" fillId="0" borderId="22" xfId="1" applyFont="1" applyBorder="1"/>
    <xf numFmtId="0" fontId="3" fillId="0" borderId="23" xfId="77" applyFont="1" applyBorder="1"/>
    <xf numFmtId="0" fontId="42" fillId="0" borderId="0" xfId="77" applyBorder="1" applyAlignment="1"/>
    <xf numFmtId="165" fontId="35" fillId="0" borderId="0" xfId="43" applyFont="1" applyFill="1" applyBorder="1"/>
    <xf numFmtId="166" fontId="35" fillId="0" borderId="0" xfId="43" applyNumberFormat="1" applyFont="1" applyFill="1" applyBorder="1"/>
    <xf numFmtId="0" fontId="35" fillId="0" borderId="23" xfId="1" applyFont="1" applyFill="1" applyBorder="1"/>
    <xf numFmtId="0" fontId="4" fillId="29" borderId="21" xfId="77" applyFont="1" applyFill="1" applyBorder="1" applyAlignment="1">
      <alignment vertical="center"/>
    </xf>
    <xf numFmtId="165" fontId="35" fillId="45" borderId="24" xfId="43" applyFont="1" applyFill="1" applyBorder="1"/>
    <xf numFmtId="166" fontId="35" fillId="45" borderId="11" xfId="43" applyNumberFormat="1" applyFont="1" applyFill="1" applyBorder="1"/>
    <xf numFmtId="165" fontId="35" fillId="27" borderId="14" xfId="43" applyFont="1" applyFill="1" applyBorder="1"/>
    <xf numFmtId="165" fontId="35" fillId="26" borderId="16" xfId="43" applyFont="1" applyFill="1" applyBorder="1"/>
    <xf numFmtId="165" fontId="35" fillId="32" borderId="16" xfId="43" applyFont="1" applyFill="1" applyBorder="1"/>
    <xf numFmtId="165" fontId="35" fillId="42" borderId="16" xfId="43" applyFont="1" applyFill="1" applyBorder="1"/>
    <xf numFmtId="165" fontId="35" fillId="43" borderId="19" xfId="43" applyFont="1" applyFill="1" applyBorder="1"/>
    <xf numFmtId="0" fontId="3" fillId="41" borderId="13" xfId="77" applyFont="1" applyFill="1" applyBorder="1"/>
    <xf numFmtId="0" fontId="3" fillId="41" borderId="12" xfId="77" applyFont="1" applyFill="1" applyBorder="1"/>
    <xf numFmtId="0" fontId="3" fillId="41" borderId="0" xfId="77" applyFont="1" applyFill="1"/>
    <xf numFmtId="0" fontId="46" fillId="41" borderId="0" xfId="77" applyFont="1" applyFill="1"/>
    <xf numFmtId="0" fontId="47" fillId="41" borderId="0" xfId="77" applyFont="1" applyFill="1"/>
    <xf numFmtId="0" fontId="26" fillId="27" borderId="13" xfId="1" applyFont="1" applyFill="1" applyBorder="1"/>
    <xf numFmtId="0" fontId="26" fillId="27" borderId="12" xfId="1" applyFont="1" applyFill="1" applyBorder="1"/>
    <xf numFmtId="0" fontId="26" fillId="27" borderId="21" xfId="1" applyFont="1" applyFill="1" applyBorder="1"/>
    <xf numFmtId="0" fontId="26" fillId="26" borderId="15" xfId="1" applyFont="1" applyFill="1" applyBorder="1"/>
    <xf numFmtId="0" fontId="26" fillId="26" borderId="0" xfId="1" applyFont="1" applyFill="1" applyBorder="1"/>
    <xf numFmtId="0" fontId="26" fillId="26" borderId="22" xfId="1" applyFont="1" applyFill="1" applyBorder="1"/>
    <xf numFmtId="0" fontId="26" fillId="32" borderId="15" xfId="1" applyFont="1" applyFill="1" applyBorder="1"/>
    <xf numFmtId="0" fontId="26" fillId="32" borderId="0" xfId="1" applyFont="1" applyFill="1" applyBorder="1"/>
    <xf numFmtId="0" fontId="26" fillId="32" borderId="22" xfId="1" applyFont="1" applyFill="1" applyBorder="1"/>
    <xf numFmtId="0" fontId="26" fillId="42" borderId="15" xfId="1" applyFont="1" applyFill="1" applyBorder="1"/>
    <xf numFmtId="2" fontId="26" fillId="42" borderId="0" xfId="1" applyNumberFormat="1" applyFont="1" applyFill="1" applyBorder="1"/>
    <xf numFmtId="2" fontId="26" fillId="42" borderId="22" xfId="1" applyNumberFormat="1" applyFont="1" applyFill="1" applyBorder="1"/>
    <xf numFmtId="2" fontId="26" fillId="43" borderId="0" xfId="1" applyNumberFormat="1" applyFont="1" applyFill="1" applyBorder="1"/>
    <xf numFmtId="2" fontId="26" fillId="43" borderId="22" xfId="1" applyNumberFormat="1" applyFont="1" applyFill="1" applyBorder="1"/>
    <xf numFmtId="0" fontId="26" fillId="44" borderId="18" xfId="1" applyFont="1" applyFill="1" applyBorder="1"/>
    <xf numFmtId="2" fontId="26" fillId="44" borderId="17" xfId="1" applyNumberFormat="1" applyFont="1" applyFill="1" applyBorder="1"/>
    <xf numFmtId="2" fontId="26" fillId="44" borderId="23" xfId="1" applyNumberFormat="1" applyFont="1" applyFill="1" applyBorder="1"/>
    <xf numFmtId="0" fontId="2" fillId="0" borderId="0" xfId="77" applyFont="1" applyFill="1" applyBorder="1"/>
    <xf numFmtId="0" fontId="48" fillId="0" borderId="0" xfId="77" applyFont="1" applyFill="1" applyBorder="1"/>
    <xf numFmtId="0" fontId="14" fillId="0" borderId="0" xfId="77" applyFont="1" applyFill="1" applyBorder="1"/>
    <xf numFmtId="0" fontId="3" fillId="0" borderId="0" xfId="77" applyFont="1" applyFill="1" applyBorder="1"/>
    <xf numFmtId="0" fontId="3" fillId="25" borderId="24" xfId="77" applyFont="1" applyFill="1" applyBorder="1"/>
    <xf numFmtId="0" fontId="4" fillId="0" borderId="0" xfId="77" applyFont="1" applyFill="1" applyBorder="1"/>
    <xf numFmtId="0" fontId="4" fillId="25" borderId="24" xfId="77" applyFont="1" applyFill="1" applyBorder="1"/>
    <xf numFmtId="0" fontId="4" fillId="25" borderId="11" xfId="77" applyFont="1" applyFill="1" applyBorder="1"/>
    <xf numFmtId="0" fontId="2" fillId="0" borderId="0" xfId="77" applyFont="1" applyFill="1" applyBorder="1" applyAlignment="1">
      <alignment horizontal="center"/>
    </xf>
    <xf numFmtId="0" fontId="14" fillId="0" borderId="24" xfId="77" applyFont="1" applyFill="1" applyBorder="1" applyAlignment="1">
      <alignment vertical="center"/>
    </xf>
    <xf numFmtId="0" fontId="14" fillId="0" borderId="11" xfId="77" applyFont="1" applyFill="1" applyBorder="1" applyAlignment="1">
      <alignment vertical="center"/>
    </xf>
    <xf numFmtId="0" fontId="14" fillId="0" borderId="0" xfId="77" applyFont="1" applyFill="1" applyBorder="1" applyAlignment="1">
      <alignment vertical="center"/>
    </xf>
    <xf numFmtId="0" fontId="14" fillId="0" borderId="13" xfId="77" applyFont="1" applyFill="1" applyBorder="1" applyAlignment="1">
      <alignment vertical="center"/>
    </xf>
    <xf numFmtId="0" fontId="3" fillId="30" borderId="15" xfId="1" applyFont="1" applyFill="1" applyBorder="1" applyAlignment="1"/>
    <xf numFmtId="2" fontId="3" fillId="44" borderId="15" xfId="1" applyNumberFormat="1" applyFont="1" applyFill="1" applyBorder="1" applyAlignment="1" applyProtection="1">
      <protection locked="0"/>
    </xf>
    <xf numFmtId="1" fontId="3" fillId="44" borderId="15" xfId="1" applyNumberFormat="1" applyFont="1" applyFill="1" applyBorder="1" applyAlignment="1" applyProtection="1">
      <protection locked="0"/>
    </xf>
    <xf numFmtId="1" fontId="3" fillId="0" borderId="0" xfId="1" applyNumberFormat="1" applyFont="1" applyFill="1" applyBorder="1" applyAlignment="1" applyProtection="1">
      <protection locked="0"/>
    </xf>
    <xf numFmtId="0" fontId="3" fillId="30" borderId="14" xfId="1" applyFont="1" applyFill="1" applyBorder="1" applyAlignment="1"/>
    <xf numFmtId="2" fontId="3" fillId="44" borderId="0" xfId="1" applyNumberFormat="1" applyFont="1" applyFill="1" applyBorder="1" applyAlignment="1" applyProtection="1">
      <protection locked="0"/>
    </xf>
    <xf numFmtId="1" fontId="3" fillId="44" borderId="13" xfId="1" applyNumberFormat="1" applyFont="1" applyFill="1" applyBorder="1" applyAlignment="1" applyProtection="1">
      <protection locked="0"/>
    </xf>
    <xf numFmtId="0" fontId="3" fillId="0" borderId="14" xfId="78" applyFont="1" applyFill="1" applyBorder="1" applyAlignment="1"/>
    <xf numFmtId="2" fontId="3" fillId="44" borderId="21" xfId="1" applyNumberFormat="1" applyFont="1" applyFill="1" applyBorder="1" applyAlignment="1" applyProtection="1">
      <protection locked="0"/>
    </xf>
    <xf numFmtId="1" fontId="3" fillId="44" borderId="14" xfId="1" applyNumberFormat="1" applyFont="1" applyFill="1" applyBorder="1" applyAlignment="1" applyProtection="1">
      <protection locked="0"/>
    </xf>
    <xf numFmtId="2" fontId="3" fillId="44" borderId="14" xfId="1" applyNumberFormat="1" applyFont="1" applyFill="1" applyBorder="1" applyAlignment="1" applyProtection="1">
      <protection locked="0"/>
    </xf>
    <xf numFmtId="0" fontId="3" fillId="30" borderId="13" xfId="1" applyFont="1" applyFill="1" applyBorder="1" applyAlignment="1"/>
    <xf numFmtId="1" fontId="3" fillId="0" borderId="14" xfId="1" applyNumberFormat="1" applyFont="1" applyFill="1" applyBorder="1" applyAlignment="1" applyProtection="1">
      <protection locked="0"/>
    </xf>
    <xf numFmtId="166" fontId="3" fillId="44" borderId="14" xfId="43" applyNumberFormat="1" applyFont="1" applyFill="1" applyBorder="1" applyAlignment="1" applyProtection="1">
      <protection locked="0"/>
    </xf>
    <xf numFmtId="2" fontId="3" fillId="43" borderId="15" xfId="1" applyNumberFormat="1" applyFont="1" applyFill="1" applyBorder="1" applyAlignment="1" applyProtection="1">
      <protection locked="0"/>
    </xf>
    <xf numFmtId="1" fontId="3" fillId="43" borderId="16" xfId="1" applyNumberFormat="1" applyFont="1" applyFill="1" applyBorder="1" applyAlignment="1" applyProtection="1">
      <protection locked="0"/>
    </xf>
    <xf numFmtId="0" fontId="3" fillId="30" borderId="16" xfId="1" applyFont="1" applyFill="1" applyBorder="1" applyAlignment="1"/>
    <xf numFmtId="1" fontId="3" fillId="43" borderId="0" xfId="1" applyNumberFormat="1" applyFont="1" applyFill="1" applyBorder="1" applyAlignment="1" applyProtection="1">
      <protection locked="0"/>
    </xf>
    <xf numFmtId="0" fontId="3" fillId="0" borderId="16" xfId="78" applyFont="1" applyFill="1" applyBorder="1" applyAlignment="1"/>
    <xf numFmtId="2" fontId="3" fillId="43" borderId="22" xfId="1" applyNumberFormat="1" applyFont="1" applyFill="1" applyBorder="1" applyAlignment="1" applyProtection="1">
      <protection locked="0"/>
    </xf>
    <xf numFmtId="2" fontId="3" fillId="43" borderId="16" xfId="1" applyNumberFormat="1" applyFont="1" applyFill="1" applyBorder="1" applyAlignment="1" applyProtection="1">
      <protection locked="0"/>
    </xf>
    <xf numFmtId="1" fontId="3" fillId="0" borderId="16" xfId="1" applyNumberFormat="1" applyFont="1" applyFill="1" applyBorder="1" applyAlignment="1" applyProtection="1">
      <protection locked="0"/>
    </xf>
    <xf numFmtId="166" fontId="3" fillId="43" borderId="16" xfId="43" applyNumberFormat="1" applyFont="1" applyFill="1" applyBorder="1" applyAlignment="1" applyProtection="1">
      <protection locked="0"/>
    </xf>
    <xf numFmtId="2" fontId="3" fillId="43" borderId="0" xfId="1" applyNumberFormat="1" applyFont="1" applyFill="1" applyBorder="1" applyAlignment="1" applyProtection="1">
      <protection locked="0"/>
    </xf>
    <xf numFmtId="0" fontId="42" fillId="0" borderId="0" xfId="77" applyAlignment="1"/>
    <xf numFmtId="165" fontId="3" fillId="42" borderId="15" xfId="43" applyFont="1" applyFill="1" applyBorder="1" applyAlignment="1" applyProtection="1">
      <protection locked="0"/>
    </xf>
    <xf numFmtId="1" fontId="3" fillId="42" borderId="16" xfId="1" applyNumberFormat="1" applyFont="1" applyFill="1" applyBorder="1" applyAlignment="1" applyProtection="1">
      <protection locked="0"/>
    </xf>
    <xf numFmtId="165" fontId="3" fillId="42" borderId="0" xfId="43" applyFont="1" applyFill="1" applyBorder="1" applyAlignment="1" applyProtection="1">
      <protection locked="0"/>
    </xf>
    <xf numFmtId="2" fontId="3" fillId="42" borderId="16" xfId="1" applyNumberFormat="1" applyFont="1" applyFill="1" applyBorder="1" applyAlignment="1" applyProtection="1">
      <protection locked="0"/>
    </xf>
    <xf numFmtId="2" fontId="3" fillId="0" borderId="0" xfId="1" applyNumberFormat="1" applyFont="1" applyFill="1" applyBorder="1" applyAlignment="1" applyProtection="1">
      <protection locked="0"/>
    </xf>
    <xf numFmtId="165" fontId="3" fillId="42" borderId="22" xfId="43" applyFont="1" applyFill="1" applyBorder="1" applyAlignment="1" applyProtection="1">
      <protection locked="0"/>
    </xf>
    <xf numFmtId="165" fontId="3" fillId="42" borderId="16" xfId="43" applyFont="1" applyFill="1" applyBorder="1" applyAlignment="1" applyProtection="1">
      <protection locked="0"/>
    </xf>
    <xf numFmtId="166" fontId="3" fillId="42" borderId="16" xfId="43" applyNumberFormat="1" applyFont="1" applyFill="1" applyBorder="1" applyAlignment="1" applyProtection="1">
      <protection locked="0"/>
    </xf>
    <xf numFmtId="0" fontId="3" fillId="0" borderId="0" xfId="77" applyFont="1"/>
    <xf numFmtId="165" fontId="3" fillId="32" borderId="15" xfId="43" applyFont="1" applyFill="1" applyBorder="1" applyAlignment="1" applyProtection="1">
      <protection locked="0"/>
    </xf>
    <xf numFmtId="1" fontId="3" fillId="32" borderId="16" xfId="1" applyNumberFormat="1" applyFont="1" applyFill="1" applyBorder="1" applyAlignment="1" applyProtection="1">
      <protection locked="0"/>
    </xf>
    <xf numFmtId="165" fontId="3" fillId="32" borderId="0" xfId="43" applyFont="1" applyFill="1" applyBorder="1" applyAlignment="1" applyProtection="1">
      <protection locked="0"/>
    </xf>
    <xf numFmtId="165" fontId="3" fillId="32" borderId="22" xfId="43" applyFont="1" applyFill="1" applyBorder="1" applyAlignment="1" applyProtection="1">
      <protection locked="0"/>
    </xf>
    <xf numFmtId="165" fontId="3" fillId="32" borderId="16" xfId="43" applyFont="1" applyFill="1" applyBorder="1" applyAlignment="1" applyProtection="1">
      <protection locked="0"/>
    </xf>
    <xf numFmtId="166" fontId="3" fillId="32" borderId="16" xfId="43" applyNumberFormat="1" applyFont="1" applyFill="1" applyBorder="1" applyAlignment="1" applyProtection="1">
      <protection locked="0"/>
    </xf>
    <xf numFmtId="0" fontId="3" fillId="0" borderId="15" xfId="1" applyFont="1" applyFill="1" applyBorder="1" applyAlignment="1"/>
    <xf numFmtId="0" fontId="3" fillId="0" borderId="16" xfId="1" applyFont="1" applyFill="1" applyBorder="1" applyAlignment="1"/>
    <xf numFmtId="165" fontId="3" fillId="26" borderId="15" xfId="43" applyFont="1" applyFill="1" applyBorder="1" applyAlignment="1" applyProtection="1">
      <protection locked="0"/>
    </xf>
    <xf numFmtId="1" fontId="3" fillId="26" borderId="16" xfId="1" applyNumberFormat="1" applyFont="1" applyFill="1" applyBorder="1" applyAlignment="1" applyProtection="1">
      <protection locked="0"/>
    </xf>
    <xf numFmtId="165" fontId="3" fillId="26" borderId="0" xfId="43" applyFont="1" applyFill="1" applyBorder="1" applyAlignment="1" applyProtection="1">
      <protection locked="0"/>
    </xf>
    <xf numFmtId="165" fontId="3" fillId="26" borderId="22" xfId="43" applyFont="1" applyFill="1" applyBorder="1" applyAlignment="1" applyProtection="1">
      <protection locked="0"/>
    </xf>
    <xf numFmtId="165" fontId="3" fillId="26" borderId="16" xfId="43" applyFont="1" applyFill="1" applyBorder="1" applyAlignment="1" applyProtection="1">
      <protection locked="0"/>
    </xf>
    <xf numFmtId="166" fontId="3" fillId="26" borderId="16" xfId="43" applyNumberFormat="1" applyFont="1" applyFill="1" applyBorder="1" applyAlignment="1" applyProtection="1">
      <protection locked="0"/>
    </xf>
    <xf numFmtId="165" fontId="3" fillId="27" borderId="15" xfId="43" applyFont="1" applyFill="1" applyBorder="1" applyAlignment="1" applyProtection="1">
      <protection locked="0"/>
    </xf>
    <xf numFmtId="1" fontId="3" fillId="27" borderId="19" xfId="1" applyNumberFormat="1" applyFont="1" applyFill="1" applyBorder="1" applyAlignment="1" applyProtection="1">
      <protection locked="0"/>
    </xf>
    <xf numFmtId="0" fontId="3" fillId="0" borderId="19" xfId="1" applyFont="1" applyFill="1" applyBorder="1" applyAlignment="1"/>
    <xf numFmtId="165" fontId="3" fillId="27" borderId="0" xfId="43" applyFont="1" applyFill="1" applyBorder="1" applyAlignment="1" applyProtection="1">
      <protection locked="0"/>
    </xf>
    <xf numFmtId="165" fontId="3" fillId="27" borderId="23" xfId="43" applyFont="1" applyFill="1" applyBorder="1" applyAlignment="1" applyProtection="1">
      <protection locked="0"/>
    </xf>
    <xf numFmtId="0" fontId="3" fillId="0" borderId="18" xfId="1" applyFont="1" applyFill="1" applyBorder="1" applyAlignment="1"/>
    <xf numFmtId="165" fontId="3" fillId="27" borderId="19" xfId="43" applyFont="1" applyFill="1" applyBorder="1" applyAlignment="1" applyProtection="1">
      <protection locked="0"/>
    </xf>
    <xf numFmtId="1" fontId="3" fillId="0" borderId="19" xfId="1" applyNumberFormat="1" applyFont="1" applyFill="1" applyBorder="1" applyAlignment="1" applyProtection="1">
      <protection locked="0"/>
    </xf>
    <xf numFmtId="166" fontId="3" fillId="27" borderId="19" xfId="43" applyNumberFormat="1" applyFont="1" applyFill="1" applyBorder="1" applyAlignment="1" applyProtection="1">
      <protection locked="0"/>
    </xf>
    <xf numFmtId="0" fontId="14" fillId="0" borderId="24" xfId="1" applyFont="1" applyFill="1" applyBorder="1" applyAlignment="1"/>
    <xf numFmtId="165" fontId="35" fillId="0" borderId="24" xfId="43" applyFont="1" applyBorder="1"/>
    <xf numFmtId="3" fontId="3" fillId="0" borderId="19" xfId="1" applyNumberFormat="1" applyFont="1" applyFill="1" applyBorder="1" applyAlignment="1"/>
    <xf numFmtId="3" fontId="3" fillId="0" borderId="0" xfId="1" applyNumberFormat="1" applyFont="1" applyFill="1" applyBorder="1" applyAlignment="1"/>
    <xf numFmtId="0" fontId="14" fillId="0" borderId="19" xfId="1" applyFont="1" applyFill="1" applyBorder="1" applyAlignment="1"/>
    <xf numFmtId="0" fontId="14" fillId="0" borderId="18" xfId="1" applyFont="1" applyFill="1" applyBorder="1" applyAlignment="1"/>
    <xf numFmtId="166" fontId="3" fillId="0" borderId="19" xfId="43" applyNumberFormat="1" applyFont="1" applyFill="1" applyBorder="1" applyAlignment="1"/>
    <xf numFmtId="0" fontId="14" fillId="0" borderId="0" xfId="1" applyFont="1" applyFill="1" applyBorder="1" applyAlignment="1"/>
    <xf numFmtId="166" fontId="3" fillId="0" borderId="0" xfId="43" applyNumberFormat="1" applyFont="1" applyFill="1" applyBorder="1" applyAlignment="1"/>
    <xf numFmtId="39" fontId="14" fillId="0" borderId="24" xfId="79" applyNumberFormat="1" applyFont="1" applyFill="1" applyBorder="1" applyAlignment="1">
      <alignment horizontal="left"/>
    </xf>
    <xf numFmtId="165" fontId="14" fillId="0" borderId="24" xfId="43" applyFont="1" applyFill="1" applyBorder="1" applyAlignment="1">
      <alignment horizontal="left"/>
    </xf>
    <xf numFmtId="39" fontId="14" fillId="0" borderId="11" xfId="79" applyNumberFormat="1" applyFont="1" applyFill="1" applyBorder="1" applyAlignment="1">
      <alignment horizontal="left"/>
    </xf>
    <xf numFmtId="39" fontId="14" fillId="0" borderId="0" xfId="79" applyNumberFormat="1" applyFont="1" applyFill="1" applyBorder="1" applyAlignment="1">
      <alignment horizontal="left"/>
    </xf>
    <xf numFmtId="165" fontId="14" fillId="0" borderId="10" xfId="43" applyFont="1" applyFill="1" applyBorder="1" applyAlignment="1">
      <alignment horizontal="left"/>
    </xf>
    <xf numFmtId="166" fontId="14" fillId="0" borderId="11" xfId="43" applyNumberFormat="1" applyFont="1" applyFill="1" applyBorder="1" applyAlignment="1">
      <alignment horizontal="left"/>
    </xf>
    <xf numFmtId="0" fontId="3" fillId="0" borderId="13" xfId="1" applyFont="1" applyFill="1" applyBorder="1" applyAlignment="1"/>
    <xf numFmtId="165" fontId="3" fillId="26" borderId="14" xfId="43" applyFont="1" applyFill="1" applyBorder="1"/>
    <xf numFmtId="166" fontId="3" fillId="26" borderId="14" xfId="43" applyNumberFormat="1" applyFont="1" applyFill="1" applyBorder="1"/>
    <xf numFmtId="166" fontId="3" fillId="0" borderId="0" xfId="43" applyNumberFormat="1" applyFont="1" applyFill="1" applyBorder="1"/>
    <xf numFmtId="0" fontId="3" fillId="0" borderId="14" xfId="1" applyFont="1" applyFill="1" applyBorder="1" applyAlignment="1"/>
    <xf numFmtId="165" fontId="3" fillId="26" borderId="12" xfId="43" applyFont="1" applyFill="1" applyBorder="1"/>
    <xf numFmtId="0" fontId="3" fillId="26" borderId="14" xfId="1" applyFont="1" applyFill="1" applyBorder="1"/>
    <xf numFmtId="0" fontId="3" fillId="0" borderId="0" xfId="1" applyFont="1" applyFill="1" applyBorder="1"/>
    <xf numFmtId="0" fontId="3" fillId="0" borderId="14" xfId="1" applyFont="1" applyFill="1" applyBorder="1"/>
    <xf numFmtId="0" fontId="3" fillId="0" borderId="18" xfId="1" applyFont="1" applyBorder="1"/>
    <xf numFmtId="165" fontId="3" fillId="26" borderId="19" xfId="43" applyFont="1" applyFill="1" applyBorder="1"/>
    <xf numFmtId="0" fontId="3" fillId="26" borderId="19" xfId="1" applyFont="1" applyFill="1" applyBorder="1"/>
    <xf numFmtId="0" fontId="3" fillId="0" borderId="19" xfId="1" applyFont="1" applyBorder="1"/>
    <xf numFmtId="165" fontId="3" fillId="26" borderId="17" xfId="43" applyFont="1" applyFill="1" applyBorder="1"/>
    <xf numFmtId="0" fontId="3" fillId="0" borderId="19" xfId="1" applyFont="1" applyFill="1" applyBorder="1"/>
    <xf numFmtId="166" fontId="3" fillId="26" borderId="19" xfId="43" applyNumberFormat="1" applyFont="1" applyFill="1" applyBorder="1"/>
    <xf numFmtId="0" fontId="3" fillId="0" borderId="24" xfId="1" applyFont="1" applyFill="1" applyBorder="1" applyAlignment="1"/>
    <xf numFmtId="165" fontId="3" fillId="0" borderId="20" xfId="43" applyFont="1" applyFill="1" applyBorder="1" applyAlignment="1"/>
    <xf numFmtId="0" fontId="3" fillId="0" borderId="11" xfId="1" applyFont="1" applyFill="1" applyBorder="1" applyAlignment="1" applyProtection="1">
      <protection locked="0"/>
    </xf>
    <xf numFmtId="0" fontId="3" fillId="0" borderId="0" xfId="1" applyFont="1" applyFill="1" applyBorder="1" applyAlignment="1" applyProtection="1">
      <protection locked="0"/>
    </xf>
    <xf numFmtId="0" fontId="3" fillId="0" borderId="11" xfId="1" applyFont="1" applyFill="1" applyBorder="1" applyAlignment="1"/>
    <xf numFmtId="165" fontId="3" fillId="0" borderId="10" xfId="43" applyFont="1" applyFill="1" applyBorder="1" applyAlignment="1"/>
    <xf numFmtId="166" fontId="3" fillId="0" borderId="11" xfId="43" applyNumberFormat="1" applyFont="1" applyFill="1" applyBorder="1" applyAlignment="1" applyProtection="1">
      <protection locked="0"/>
    </xf>
    <xf numFmtId="165" fontId="35" fillId="0" borderId="10" xfId="43" applyFont="1" applyBorder="1"/>
    <xf numFmtId="3" fontId="3" fillId="0" borderId="11" xfId="1" applyNumberFormat="1" applyFont="1" applyFill="1" applyBorder="1" applyAlignment="1"/>
    <xf numFmtId="0" fontId="14" fillId="0" borderId="11" xfId="1" applyFont="1" applyFill="1" applyBorder="1" applyAlignment="1"/>
    <xf numFmtId="166" fontId="3" fillId="0" borderId="11" xfId="43" applyNumberFormat="1" applyFont="1" applyFill="1" applyBorder="1" applyAlignment="1"/>
    <xf numFmtId="165" fontId="3" fillId="0" borderId="0" xfId="43" applyFont="1"/>
    <xf numFmtId="166" fontId="3" fillId="0" borderId="0" xfId="43" applyNumberFormat="1" applyFont="1"/>
    <xf numFmtId="0" fontId="4" fillId="0" borderId="0" xfId="1" applyFont="1"/>
    <xf numFmtId="165" fontId="26" fillId="0" borderId="0" xfId="43" applyFont="1"/>
    <xf numFmtId="0" fontId="26" fillId="0" borderId="0" xfId="1" applyFont="1"/>
    <xf numFmtId="0" fontId="26" fillId="0" borderId="0" xfId="1" applyFont="1" applyFill="1" applyBorder="1"/>
    <xf numFmtId="0" fontId="36" fillId="0" borderId="24" xfId="1" applyFont="1" applyBorder="1" applyAlignment="1">
      <alignment vertical="center"/>
    </xf>
    <xf numFmtId="165" fontId="26" fillId="0" borderId="10" xfId="43" applyFont="1" applyBorder="1"/>
    <xf numFmtId="0" fontId="4" fillId="0" borderId="11" xfId="1" applyFont="1" applyBorder="1"/>
    <xf numFmtId="0" fontId="4" fillId="0" borderId="0" xfId="1" applyFont="1" applyFill="1" applyBorder="1"/>
    <xf numFmtId="0" fontId="36" fillId="0" borderId="11" xfId="1" applyFont="1" applyBorder="1" applyAlignment="1">
      <alignment vertical="center"/>
    </xf>
    <xf numFmtId="0" fontId="4" fillId="0" borderId="20" xfId="1" applyFont="1" applyBorder="1"/>
    <xf numFmtId="166" fontId="4" fillId="0" borderId="20" xfId="43" applyNumberFormat="1" applyFont="1" applyBorder="1"/>
    <xf numFmtId="0" fontId="35" fillId="0" borderId="15" xfId="1" applyFont="1" applyBorder="1"/>
    <xf numFmtId="2" fontId="35" fillId="27" borderId="14" xfId="1" applyNumberFormat="1" applyFont="1" applyFill="1" applyBorder="1"/>
    <xf numFmtId="2" fontId="35" fillId="0" borderId="0" xfId="1" applyNumberFormat="1" applyFont="1" applyFill="1" applyBorder="1"/>
    <xf numFmtId="0" fontId="35" fillId="0" borderId="16" xfId="1" applyFont="1" applyBorder="1"/>
    <xf numFmtId="3" fontId="35" fillId="26" borderId="16" xfId="1" applyNumberFormat="1" applyFont="1" applyFill="1" applyBorder="1"/>
    <xf numFmtId="3" fontId="35" fillId="0" borderId="0" xfId="1" applyNumberFormat="1" applyFont="1" applyFill="1" applyBorder="1"/>
    <xf numFmtId="3" fontId="35" fillId="32" borderId="16" xfId="1" applyNumberFormat="1" applyFont="1" applyFill="1" applyBorder="1"/>
    <xf numFmtId="3" fontId="35" fillId="42" borderId="16" xfId="1" applyNumberFormat="1" applyFont="1" applyFill="1" applyBorder="1"/>
    <xf numFmtId="2" fontId="35" fillId="43" borderId="16" xfId="1" applyNumberFormat="1" applyFont="1" applyFill="1" applyBorder="1"/>
    <xf numFmtId="0" fontId="35" fillId="0" borderId="18" xfId="1" applyFont="1" applyBorder="1"/>
    <xf numFmtId="2" fontId="35" fillId="44" borderId="19" xfId="1" applyNumberFormat="1" applyFont="1" applyFill="1" applyBorder="1"/>
    <xf numFmtId="0" fontId="35" fillId="0" borderId="19" xfId="1" applyFont="1" applyBorder="1"/>
    <xf numFmtId="0" fontId="49" fillId="0" borderId="24" xfId="1" applyFont="1" applyFill="1" applyBorder="1"/>
    <xf numFmtId="3" fontId="35" fillId="0" borderId="24" xfId="1" applyNumberFormat="1" applyFont="1" applyFill="1" applyBorder="1"/>
    <xf numFmtId="3" fontId="35" fillId="0" borderId="11" xfId="1" applyNumberFormat="1" applyFont="1" applyFill="1" applyBorder="1"/>
    <xf numFmtId="0" fontId="49" fillId="0" borderId="10" xfId="1" applyFont="1" applyFill="1" applyBorder="1"/>
    <xf numFmtId="166" fontId="35" fillId="0" borderId="11" xfId="43" applyNumberFormat="1" applyFont="1" applyFill="1" applyBorder="1"/>
    <xf numFmtId="165" fontId="26" fillId="0" borderId="0" xfId="43" applyFont="1" applyBorder="1"/>
    <xf numFmtId="165" fontId="14" fillId="0" borderId="20" xfId="43" applyFont="1" applyFill="1" applyBorder="1" applyAlignment="1">
      <alignment horizontal="center"/>
    </xf>
    <xf numFmtId="166" fontId="3" fillId="26" borderId="14" xfId="1" applyNumberFormat="1" applyFont="1" applyFill="1" applyBorder="1"/>
    <xf numFmtId="0" fontId="26" fillId="0" borderId="0" xfId="1" applyFont="1" applyBorder="1"/>
    <xf numFmtId="0" fontId="50" fillId="41" borderId="0" xfId="77" applyFont="1" applyFill="1"/>
    <xf numFmtId="0" fontId="26" fillId="43" borderId="18" xfId="1" applyFont="1" applyFill="1" applyBorder="1"/>
    <xf numFmtId="2" fontId="26" fillId="43" borderId="17" xfId="1" applyNumberFormat="1" applyFont="1" applyFill="1" applyBorder="1"/>
    <xf numFmtId="2" fontId="26" fillId="43" borderId="23" xfId="1" applyNumberFormat="1" applyFont="1" applyFill="1" applyBorder="1"/>
    <xf numFmtId="0" fontId="48" fillId="0" borderId="0" xfId="77" applyFont="1" applyFill="1"/>
    <xf numFmtId="0" fontId="14" fillId="0" borderId="0" xfId="77" applyFont="1" applyFill="1"/>
    <xf numFmtId="0" fontId="3" fillId="0" borderId="0" xfId="77" applyFont="1" applyFill="1"/>
    <xf numFmtId="0" fontId="3" fillId="0" borderId="17" xfId="77" applyFont="1" applyFill="1" applyBorder="1"/>
    <xf numFmtId="0" fontId="2" fillId="0" borderId="0" xfId="77" applyFont="1" applyFill="1"/>
    <xf numFmtId="0" fontId="4" fillId="25" borderId="18" xfId="77" applyFont="1" applyFill="1" applyBorder="1"/>
    <xf numFmtId="0" fontId="4" fillId="25" borderId="19" xfId="77" applyFont="1" applyFill="1" applyBorder="1"/>
    <xf numFmtId="0" fontId="14" fillId="0" borderId="14" xfId="77" applyFont="1" applyFill="1" applyBorder="1" applyAlignment="1">
      <alignment vertical="center"/>
    </xf>
    <xf numFmtId="0" fontId="14" fillId="0" borderId="21" xfId="77" applyFont="1" applyFill="1" applyBorder="1" applyAlignment="1">
      <alignment vertical="center"/>
    </xf>
    <xf numFmtId="0" fontId="3" fillId="0" borderId="15" xfId="78" applyFont="1" applyFill="1" applyBorder="1" applyAlignment="1"/>
    <xf numFmtId="165" fontId="3" fillId="27" borderId="14" xfId="43" applyFont="1" applyFill="1" applyBorder="1" applyAlignment="1" applyProtection="1">
      <protection locked="0"/>
    </xf>
    <xf numFmtId="166" fontId="3" fillId="27" borderId="14" xfId="43" applyNumberFormat="1" applyFont="1" applyFill="1" applyBorder="1" applyAlignment="1" applyProtection="1">
      <protection locked="0"/>
    </xf>
    <xf numFmtId="1" fontId="3" fillId="0" borderId="0" xfId="78" applyNumberFormat="1" applyFont="1" applyFill="1" applyBorder="1" applyAlignment="1" applyProtection="1">
      <protection locked="0"/>
    </xf>
    <xf numFmtId="165" fontId="3" fillId="43" borderId="14" xfId="43" applyFont="1" applyFill="1" applyBorder="1" applyAlignment="1" applyProtection="1">
      <protection locked="0"/>
    </xf>
    <xf numFmtId="166" fontId="3" fillId="43" borderId="14" xfId="43" applyNumberFormat="1" applyFont="1" applyFill="1" applyBorder="1" applyAlignment="1" applyProtection="1">
      <protection locked="0"/>
    </xf>
    <xf numFmtId="1" fontId="3" fillId="0" borderId="21" xfId="78" applyNumberFormat="1" applyFont="1" applyFill="1" applyBorder="1" applyAlignment="1" applyProtection="1">
      <protection locked="0"/>
    </xf>
    <xf numFmtId="166" fontId="3" fillId="43" borderId="21" xfId="43" applyNumberFormat="1" applyFont="1" applyFill="1" applyBorder="1" applyAlignment="1" applyProtection="1">
      <protection locked="0"/>
    </xf>
    <xf numFmtId="165" fontId="3" fillId="43" borderId="16" xfId="43" applyFont="1" applyFill="1" applyBorder="1" applyAlignment="1" applyProtection="1">
      <protection locked="0"/>
    </xf>
    <xf numFmtId="1" fontId="3" fillId="0" borderId="22" xfId="78" applyNumberFormat="1" applyFont="1" applyFill="1" applyBorder="1" applyAlignment="1" applyProtection="1">
      <protection locked="0"/>
    </xf>
    <xf numFmtId="166" fontId="3" fillId="43" borderId="22" xfId="43" applyNumberFormat="1" applyFont="1" applyFill="1" applyBorder="1" applyAlignment="1" applyProtection="1">
      <protection locked="0"/>
    </xf>
    <xf numFmtId="0" fontId="3" fillId="0" borderId="18" xfId="78" applyFont="1" applyFill="1" applyBorder="1" applyAlignment="1"/>
    <xf numFmtId="165" fontId="3" fillId="43" borderId="19" xfId="43" applyFont="1" applyFill="1" applyBorder="1" applyAlignment="1" applyProtection="1">
      <protection locked="0"/>
    </xf>
    <xf numFmtId="166" fontId="3" fillId="43" borderId="19" xfId="43" applyNumberFormat="1" applyFont="1" applyFill="1" applyBorder="1" applyAlignment="1" applyProtection="1">
      <protection locked="0"/>
    </xf>
    <xf numFmtId="0" fontId="3" fillId="0" borderId="19" xfId="78" applyFont="1" applyFill="1" applyBorder="1" applyAlignment="1"/>
    <xf numFmtId="1" fontId="3" fillId="0" borderId="19" xfId="78" applyNumberFormat="1" applyFont="1" applyFill="1" applyBorder="1" applyAlignment="1" applyProtection="1">
      <protection locked="0"/>
    </xf>
    <xf numFmtId="165" fontId="14" fillId="0" borderId="0" xfId="43" applyFont="1" applyFill="1" applyBorder="1" applyAlignment="1"/>
    <xf numFmtId="0" fontId="14" fillId="30" borderId="0" xfId="1" applyFont="1" applyFill="1" applyBorder="1" applyAlignment="1"/>
    <xf numFmtId="166" fontId="14" fillId="0" borderId="0" xfId="43" applyNumberFormat="1" applyFont="1" applyFill="1" applyBorder="1" applyAlignment="1"/>
    <xf numFmtId="165" fontId="35" fillId="0" borderId="11" xfId="43" applyFont="1" applyBorder="1"/>
    <xf numFmtId="0" fontId="14" fillId="30" borderId="11" xfId="1" applyFont="1" applyFill="1" applyBorder="1" applyAlignment="1"/>
    <xf numFmtId="165" fontId="35" fillId="0" borderId="15" xfId="43" applyFont="1" applyBorder="1"/>
    <xf numFmtId="39" fontId="14" fillId="0" borderId="11" xfId="79" applyNumberFormat="1" applyFont="1" applyFill="1" applyBorder="1" applyAlignment="1">
      <alignment horizontal="left" wrapText="1"/>
    </xf>
    <xf numFmtId="165" fontId="4" fillId="0" borderId="11" xfId="43" applyFont="1" applyBorder="1"/>
    <xf numFmtId="39" fontId="14" fillId="0" borderId="14" xfId="80" applyNumberFormat="1" applyFont="1" applyFill="1" applyBorder="1" applyAlignment="1">
      <alignment horizontal="left"/>
    </xf>
    <xf numFmtId="166" fontId="14" fillId="0" borderId="14" xfId="43" applyNumberFormat="1" applyFont="1" applyFill="1" applyBorder="1" applyAlignment="1">
      <alignment horizontal="left"/>
    </xf>
    <xf numFmtId="3" fontId="35" fillId="27" borderId="14" xfId="1" applyNumberFormat="1" applyFont="1" applyFill="1" applyBorder="1"/>
    <xf numFmtId="3" fontId="35" fillId="43" borderId="19" xfId="1" applyNumberFormat="1" applyFont="1" applyFill="1" applyBorder="1"/>
    <xf numFmtId="165" fontId="26" fillId="0" borderId="0" xfId="43" applyFont="1" applyFill="1" applyBorder="1"/>
    <xf numFmtId="39" fontId="14" fillId="0" borderId="24" xfId="80" applyNumberFormat="1" applyFont="1" applyFill="1" applyBorder="1" applyAlignment="1">
      <alignment horizontal="left" vertical="center"/>
    </xf>
    <xf numFmtId="39" fontId="14" fillId="0" borderId="11" xfId="80" applyNumberFormat="1" applyFont="1" applyFill="1" applyBorder="1" applyAlignment="1">
      <alignment horizontal="left"/>
    </xf>
    <xf numFmtId="39" fontId="14" fillId="0" borderId="0" xfId="80" applyNumberFormat="1" applyFont="1" applyFill="1" applyBorder="1" applyAlignment="1">
      <alignment horizontal="left"/>
    </xf>
    <xf numFmtId="0" fontId="3" fillId="0" borderId="13" xfId="78" applyFont="1" applyFill="1" applyBorder="1" applyAlignment="1"/>
    <xf numFmtId="0" fontId="3" fillId="0" borderId="15" xfId="77" applyFont="1" applyFill="1" applyBorder="1" applyAlignment="1" applyProtection="1">
      <protection locked="0"/>
    </xf>
    <xf numFmtId="165" fontId="3" fillId="35" borderId="16" xfId="43" applyFont="1" applyFill="1" applyBorder="1" applyAlignment="1" applyProtection="1">
      <protection locked="0"/>
    </xf>
    <xf numFmtId="165" fontId="3" fillId="0" borderId="17" xfId="43" applyFont="1" applyBorder="1"/>
    <xf numFmtId="0" fontId="3" fillId="0" borderId="17" xfId="77" applyFont="1" applyBorder="1"/>
    <xf numFmtId="165" fontId="14" fillId="0" borderId="18" xfId="43" applyFont="1" applyFill="1" applyBorder="1" applyAlignment="1">
      <alignment horizontal="left"/>
    </xf>
    <xf numFmtId="39" fontId="14" fillId="0" borderId="16" xfId="80" applyNumberFormat="1" applyFont="1" applyFill="1" applyBorder="1" applyAlignment="1">
      <alignment horizontal="left"/>
    </xf>
    <xf numFmtId="3" fontId="35" fillId="0" borderId="19" xfId="1" applyNumberFormat="1" applyFont="1" applyFill="1" applyBorder="1"/>
    <xf numFmtId="0" fontId="51" fillId="0" borderId="0" xfId="77" applyFont="1" applyFill="1" applyBorder="1" applyAlignment="1" applyProtection="1">
      <protection locked="0"/>
    </xf>
    <xf numFmtId="0" fontId="52" fillId="0" borderId="0" xfId="77" applyFont="1"/>
    <xf numFmtId="0" fontId="4" fillId="25" borderId="14" xfId="77" applyFont="1" applyFill="1" applyBorder="1"/>
    <xf numFmtId="0" fontId="14" fillId="0" borderId="12" xfId="77" applyFont="1" applyFill="1" applyBorder="1" applyAlignment="1">
      <alignment vertical="center"/>
    </xf>
    <xf numFmtId="0" fontId="14" fillId="0" borderId="14" xfId="77" applyFont="1" applyBorder="1" applyAlignment="1">
      <alignment vertical="center"/>
    </xf>
    <xf numFmtId="0" fontId="14" fillId="0" borderId="21" xfId="77" applyFont="1" applyBorder="1" applyAlignment="1">
      <alignment vertical="center"/>
    </xf>
    <xf numFmtId="165" fontId="3" fillId="27" borderId="21" xfId="43" applyFont="1" applyFill="1" applyBorder="1" applyAlignment="1" applyProtection="1">
      <protection locked="0"/>
    </xf>
    <xf numFmtId="166" fontId="3" fillId="34" borderId="14" xfId="43" applyNumberFormat="1" applyFont="1" applyFill="1" applyBorder="1" applyAlignment="1" applyProtection="1">
      <protection locked="0"/>
    </xf>
    <xf numFmtId="165" fontId="3" fillId="43" borderId="22" xfId="43" applyFont="1" applyFill="1" applyBorder="1" applyAlignment="1" applyProtection="1">
      <protection locked="0"/>
    </xf>
    <xf numFmtId="0" fontId="3" fillId="30" borderId="19" xfId="1" applyFont="1" applyFill="1" applyBorder="1" applyAlignment="1"/>
    <xf numFmtId="165" fontId="3" fillId="44" borderId="23" xfId="43" applyFont="1" applyFill="1" applyBorder="1" applyAlignment="1" applyProtection="1">
      <protection locked="0"/>
    </xf>
    <xf numFmtId="0" fontId="3" fillId="30" borderId="18" xfId="1" applyFont="1" applyFill="1" applyBorder="1" applyAlignment="1"/>
    <xf numFmtId="165" fontId="3" fillId="44" borderId="19" xfId="43" applyFont="1" applyFill="1" applyBorder="1" applyAlignment="1" applyProtection="1">
      <protection locked="0"/>
    </xf>
    <xf numFmtId="166" fontId="3" fillId="44" borderId="19" xfId="43" applyNumberFormat="1" applyFont="1" applyFill="1" applyBorder="1" applyAlignment="1" applyProtection="1">
      <protection locked="0"/>
    </xf>
    <xf numFmtId="0" fontId="3" fillId="30" borderId="0" xfId="1" applyFont="1" applyFill="1" applyBorder="1" applyAlignment="1"/>
    <xf numFmtId="165" fontId="3" fillId="0" borderId="0" xfId="43" applyFont="1" applyFill="1" applyBorder="1" applyAlignment="1" applyProtection="1">
      <protection locked="0"/>
    </xf>
    <xf numFmtId="166" fontId="3" fillId="0" borderId="0" xfId="43" applyNumberFormat="1" applyFont="1" applyFill="1" applyBorder="1" applyAlignment="1" applyProtection="1">
      <protection locked="0"/>
    </xf>
    <xf numFmtId="0" fontId="3" fillId="0" borderId="0" xfId="1" applyFont="1" applyFill="1" applyBorder="1" applyAlignment="1"/>
    <xf numFmtId="0" fontId="2" fillId="0" borderId="0" xfId="77" applyFont="1" applyFill="1" applyBorder="1" applyAlignment="1" applyProtection="1">
      <protection locked="0"/>
    </xf>
    <xf numFmtId="0" fontId="2" fillId="0" borderId="17" xfId="77" applyFont="1" applyFill="1" applyBorder="1" applyAlignment="1" applyProtection="1">
      <protection locked="0"/>
    </xf>
    <xf numFmtId="165" fontId="3" fillId="0" borderId="17" xfId="43" applyFont="1" applyFill="1" applyBorder="1" applyAlignment="1" applyProtection="1">
      <protection locked="0"/>
    </xf>
    <xf numFmtId="166" fontId="3" fillId="0" borderId="17" xfId="43" applyNumberFormat="1" applyFont="1" applyFill="1" applyBorder="1" applyAlignment="1" applyProtection="1">
      <protection locked="0"/>
    </xf>
    <xf numFmtId="165" fontId="3" fillId="0" borderId="17" xfId="43" applyFont="1" applyFill="1" applyBorder="1"/>
    <xf numFmtId="166" fontId="3" fillId="0" borderId="17" xfId="43" applyNumberFormat="1" applyFont="1" applyFill="1" applyBorder="1"/>
    <xf numFmtId="165" fontId="3" fillId="0" borderId="0" xfId="43" applyFont="1" applyFill="1" applyBorder="1"/>
    <xf numFmtId="165" fontId="35" fillId="0" borderId="18" xfId="43" applyFont="1" applyBorder="1"/>
    <xf numFmtId="165" fontId="3" fillId="35" borderId="14" xfId="43" applyFont="1" applyFill="1" applyBorder="1"/>
    <xf numFmtId="166" fontId="3" fillId="35" borderId="14" xfId="43" applyNumberFormat="1" applyFont="1" applyFill="1" applyBorder="1"/>
    <xf numFmtId="166" fontId="26" fillId="0" borderId="0" xfId="43" applyNumberFormat="1" applyFont="1"/>
    <xf numFmtId="166" fontId="4" fillId="0" borderId="11" xfId="43" applyNumberFormat="1" applyFont="1" applyBorder="1"/>
    <xf numFmtId="0" fontId="36" fillId="0" borderId="0" xfId="1" applyFont="1" applyFill="1" applyBorder="1" applyAlignment="1">
      <alignment vertical="center"/>
    </xf>
    <xf numFmtId="0" fontId="49" fillId="0" borderId="0" xfId="1" applyFont="1" applyFill="1" applyBorder="1"/>
    <xf numFmtId="165" fontId="14" fillId="0" borderId="0" xfId="43" applyFont="1" applyFill="1" applyBorder="1" applyAlignment="1">
      <alignment horizontal="center"/>
    </xf>
    <xf numFmtId="165" fontId="3" fillId="0" borderId="0" xfId="43" applyFont="1" applyFill="1" applyBorder="1" applyAlignment="1"/>
    <xf numFmtId="0" fontId="53" fillId="41" borderId="0" xfId="77" applyFont="1" applyFill="1"/>
    <xf numFmtId="0" fontId="14" fillId="0" borderId="16" xfId="77" applyFont="1" applyBorder="1" applyAlignment="1">
      <alignment vertical="center"/>
    </xf>
    <xf numFmtId="0" fontId="14" fillId="0" borderId="11" xfId="77" applyFont="1" applyBorder="1" applyAlignment="1">
      <alignment vertical="center"/>
    </xf>
    <xf numFmtId="165" fontId="3" fillId="27" borderId="13" xfId="43" applyFont="1" applyFill="1" applyBorder="1" applyAlignment="1"/>
    <xf numFmtId="166" fontId="3" fillId="27" borderId="14" xfId="43" applyNumberFormat="1" applyFont="1" applyFill="1" applyBorder="1" applyAlignment="1"/>
    <xf numFmtId="1" fontId="3" fillId="0" borderId="0" xfId="78" applyNumberFormat="1" applyFont="1" applyFill="1" applyBorder="1" applyAlignment="1"/>
    <xf numFmtId="165" fontId="3" fillId="27" borderId="14" xfId="43" applyFont="1" applyFill="1" applyBorder="1" applyAlignment="1"/>
    <xf numFmtId="1" fontId="3" fillId="0" borderId="14" xfId="78" applyNumberFormat="1" applyFont="1" applyFill="1" applyBorder="1" applyAlignment="1"/>
    <xf numFmtId="165" fontId="3" fillId="26" borderId="15" xfId="43" applyFont="1" applyFill="1" applyBorder="1" applyAlignment="1"/>
    <xf numFmtId="166" fontId="3" fillId="26" borderId="16" xfId="43" applyNumberFormat="1" applyFont="1" applyFill="1" applyBorder="1" applyAlignment="1"/>
    <xf numFmtId="165" fontId="3" fillId="26" borderId="16" xfId="43" applyFont="1" applyFill="1" applyBorder="1" applyAlignment="1"/>
    <xf numFmtId="1" fontId="3" fillId="0" borderId="16" xfId="78" applyNumberFormat="1" applyFont="1" applyFill="1" applyBorder="1" applyAlignment="1"/>
    <xf numFmtId="165" fontId="3" fillId="32" borderId="15" xfId="43" applyFont="1" applyFill="1" applyBorder="1" applyAlignment="1"/>
    <xf numFmtId="166" fontId="3" fillId="32" borderId="16" xfId="43" applyNumberFormat="1" applyFont="1" applyFill="1" applyBorder="1" applyAlignment="1"/>
    <xf numFmtId="165" fontId="3" fillId="32" borderId="16" xfId="43" applyFont="1" applyFill="1" applyBorder="1" applyAlignment="1"/>
    <xf numFmtId="165" fontId="3" fillId="42" borderId="15" xfId="43" applyFont="1" applyFill="1" applyBorder="1" applyAlignment="1"/>
    <xf numFmtId="166" fontId="3" fillId="42" borderId="16" xfId="43" applyNumberFormat="1" applyFont="1" applyFill="1" applyBorder="1" applyAlignment="1"/>
    <xf numFmtId="165" fontId="3" fillId="42" borderId="16" xfId="43" applyFont="1" applyFill="1" applyBorder="1" applyAlignment="1"/>
    <xf numFmtId="165" fontId="3" fillId="43" borderId="15" xfId="43" applyFont="1" applyFill="1" applyBorder="1" applyAlignment="1"/>
    <xf numFmtId="166" fontId="3" fillId="43" borderId="16" xfId="43" applyNumberFormat="1" applyFont="1" applyFill="1" applyBorder="1" applyAlignment="1"/>
    <xf numFmtId="165" fontId="3" fillId="43" borderId="16" xfId="43" applyFont="1" applyFill="1" applyBorder="1" applyAlignment="1"/>
    <xf numFmtId="165" fontId="3" fillId="43" borderId="19" xfId="43" applyFont="1" applyFill="1" applyBorder="1" applyAlignment="1"/>
    <xf numFmtId="166" fontId="3" fillId="43" borderId="19" xfId="43" applyNumberFormat="1" applyFont="1" applyFill="1" applyBorder="1" applyAlignment="1"/>
    <xf numFmtId="1" fontId="3" fillId="0" borderId="19" xfId="78" applyNumberFormat="1" applyFont="1" applyFill="1" applyBorder="1" applyAlignment="1"/>
    <xf numFmtId="1" fontId="35" fillId="0" borderId="0" xfId="78" applyNumberFormat="1" applyFont="1" applyFill="1" applyBorder="1"/>
    <xf numFmtId="0" fontId="3" fillId="0" borderId="0" xfId="78" applyFont="1" applyFill="1" applyBorder="1" applyAlignment="1"/>
    <xf numFmtId="2" fontId="3" fillId="0" borderId="0" xfId="78" applyNumberFormat="1" applyFont="1" applyFill="1" applyBorder="1"/>
    <xf numFmtId="0" fontId="3" fillId="0" borderId="0" xfId="78" applyFont="1" applyBorder="1"/>
    <xf numFmtId="0" fontId="3" fillId="0" borderId="0" xfId="78" applyFont="1" applyFill="1" applyBorder="1"/>
    <xf numFmtId="0" fontId="14" fillId="0" borderId="17" xfId="1" applyFont="1" applyFill="1" applyBorder="1" applyAlignment="1"/>
    <xf numFmtId="165" fontId="14" fillId="0" borderId="17" xfId="43" applyFont="1" applyFill="1" applyBorder="1" applyAlignment="1"/>
    <xf numFmtId="39" fontId="14" fillId="0" borderId="0" xfId="79" applyNumberFormat="1" applyFont="1" applyFill="1" applyBorder="1" applyAlignment="1">
      <alignment horizontal="left" wrapText="1"/>
    </xf>
    <xf numFmtId="165" fontId="14" fillId="0" borderId="0" xfId="43" applyFont="1" applyFill="1" applyBorder="1" applyAlignment="1">
      <alignment horizontal="left"/>
    </xf>
    <xf numFmtId="39" fontId="14" fillId="0" borderId="14" xfId="79" applyNumberFormat="1" applyFont="1" applyFill="1" applyBorder="1" applyAlignment="1">
      <alignment horizontal="left" wrapText="1"/>
    </xf>
    <xf numFmtId="0" fontId="35" fillId="0" borderId="14" xfId="1" applyFont="1" applyBorder="1"/>
    <xf numFmtId="165" fontId="35" fillId="27" borderId="12" xfId="43" applyFont="1" applyFill="1" applyBorder="1"/>
    <xf numFmtId="165" fontId="35" fillId="26" borderId="0" xfId="43" applyFont="1" applyFill="1" applyBorder="1"/>
    <xf numFmtId="165" fontId="35" fillId="32" borderId="0" xfId="43" applyFont="1" applyFill="1" applyBorder="1"/>
    <xf numFmtId="165" fontId="35" fillId="42" borderId="0" xfId="43" applyFont="1" applyFill="1" applyBorder="1"/>
    <xf numFmtId="165" fontId="35" fillId="43" borderId="0" xfId="43" applyFont="1" applyFill="1" applyBorder="1"/>
    <xf numFmtId="0" fontId="49" fillId="0" borderId="19" xfId="1" applyFont="1" applyFill="1" applyBorder="1"/>
    <xf numFmtId="39" fontId="14" fillId="0" borderId="14" xfId="80" applyNumberFormat="1" applyFont="1" applyFill="1" applyBorder="1" applyAlignment="1">
      <alignment horizontal="left" vertical="center"/>
    </xf>
    <xf numFmtId="166" fontId="3" fillId="27" borderId="14" xfId="43" applyNumberFormat="1" applyFont="1" applyFill="1" applyBorder="1" applyAlignment="1">
      <alignment wrapText="1"/>
    </xf>
    <xf numFmtId="165" fontId="3" fillId="27" borderId="12" xfId="43" applyFont="1" applyFill="1" applyBorder="1" applyAlignment="1"/>
    <xf numFmtId="165" fontId="3" fillId="26" borderId="0" xfId="43" applyFont="1" applyFill="1" applyBorder="1" applyAlignment="1"/>
    <xf numFmtId="165" fontId="3" fillId="32" borderId="0" xfId="43" applyFont="1" applyFill="1" applyBorder="1" applyAlignment="1"/>
    <xf numFmtId="165" fontId="3" fillId="42" borderId="0" xfId="43" applyFont="1" applyFill="1" applyBorder="1" applyAlignment="1"/>
    <xf numFmtId="165" fontId="3" fillId="43" borderId="0" xfId="43" applyFont="1" applyFill="1" applyBorder="1" applyAlignment="1"/>
    <xf numFmtId="165" fontId="3" fillId="43" borderId="18" xfId="43" applyFont="1" applyFill="1" applyBorder="1" applyAlignment="1"/>
    <xf numFmtId="165" fontId="3" fillId="43" borderId="17" xfId="43" applyFont="1" applyFill="1" applyBorder="1" applyAlignment="1"/>
    <xf numFmtId="0" fontId="3" fillId="0" borderId="0" xfId="77" applyFont="1" applyBorder="1"/>
    <xf numFmtId="1" fontId="3" fillId="0" borderId="0" xfId="78" applyNumberFormat="1" applyFont="1" applyFill="1" applyBorder="1"/>
    <xf numFmtId="0" fontId="36" fillId="0" borderId="24" xfId="1" applyFont="1" applyBorder="1" applyAlignment="1">
      <alignment vertical="center" wrapText="1"/>
    </xf>
    <xf numFmtId="0" fontId="36" fillId="0" borderId="0" xfId="1" applyFont="1" applyFill="1" applyBorder="1" applyAlignment="1">
      <alignment vertical="center" wrapText="1"/>
    </xf>
    <xf numFmtId="0" fontId="36" fillId="0" borderId="11" xfId="1" applyFont="1" applyBorder="1" applyAlignment="1">
      <alignment vertical="center" wrapText="1"/>
    </xf>
    <xf numFmtId="3" fontId="35" fillId="0" borderId="18" xfId="1" applyNumberFormat="1" applyFont="1" applyFill="1" applyBorder="1"/>
    <xf numFmtId="0" fontId="49" fillId="0" borderId="18" xfId="1" applyFont="1" applyFill="1" applyBorder="1"/>
    <xf numFmtId="0" fontId="49" fillId="0" borderId="11" xfId="1" applyFont="1" applyFill="1" applyBorder="1"/>
    <xf numFmtId="166" fontId="35" fillId="0" borderId="19" xfId="43" applyNumberFormat="1" applyFont="1" applyFill="1" applyBorder="1"/>
    <xf numFmtId="0" fontId="42" fillId="0" borderId="15" xfId="77" applyBorder="1"/>
    <xf numFmtId="0" fontId="14" fillId="0" borderId="10" xfId="77" applyFont="1" applyFill="1" applyBorder="1" applyAlignment="1">
      <alignment vertical="center"/>
    </xf>
    <xf numFmtId="0" fontId="3" fillId="0" borderId="16" xfId="77" applyFont="1" applyBorder="1"/>
    <xf numFmtId="0" fontId="3" fillId="0" borderId="14" xfId="77" applyFont="1" applyBorder="1"/>
    <xf numFmtId="165" fontId="3" fillId="30" borderId="14" xfId="43" applyFont="1" applyFill="1" applyBorder="1" applyAlignment="1" applyProtection="1">
      <protection locked="0"/>
    </xf>
    <xf numFmtId="1" fontId="3" fillId="30" borderId="14" xfId="1" applyNumberFormat="1" applyFont="1" applyFill="1" applyBorder="1" applyAlignment="1" applyProtection="1">
      <protection locked="0"/>
    </xf>
    <xf numFmtId="0" fontId="3" fillId="0" borderId="15" xfId="77" applyFont="1" applyFill="1" applyBorder="1" applyAlignment="1"/>
    <xf numFmtId="165" fontId="3" fillId="30" borderId="16" xfId="43" applyFont="1" applyFill="1" applyBorder="1" applyAlignment="1" applyProtection="1">
      <protection locked="0"/>
    </xf>
    <xf numFmtId="166" fontId="3" fillId="30" borderId="16" xfId="43" applyNumberFormat="1" applyFont="1" applyFill="1" applyBorder="1" applyAlignment="1" applyProtection="1">
      <protection locked="0"/>
    </xf>
    <xf numFmtId="165" fontId="3" fillId="0" borderId="0" xfId="43" applyFont="1" applyBorder="1"/>
    <xf numFmtId="166" fontId="3" fillId="0" borderId="0" xfId="43" applyNumberFormat="1" applyFont="1" applyBorder="1"/>
    <xf numFmtId="0" fontId="35" fillId="0" borderId="16" xfId="1" applyFont="1" applyFill="1" applyBorder="1"/>
    <xf numFmtId="0" fontId="3" fillId="0" borderId="18" xfId="77" applyFont="1" applyFill="1" applyBorder="1" applyAlignment="1"/>
    <xf numFmtId="165" fontId="3" fillId="0" borderId="0" xfId="43" applyFont="1" applyFill="1" applyBorder="1" applyAlignment="1" applyProtection="1">
      <alignment horizontal="center"/>
      <protection locked="0"/>
    </xf>
    <xf numFmtId="166" fontId="3" fillId="0" borderId="0" xfId="43" applyNumberFormat="1" applyFont="1" applyFill="1" applyBorder="1" applyAlignment="1" applyProtection="1">
      <alignment horizontal="center"/>
      <protection locked="0"/>
    </xf>
    <xf numFmtId="164" fontId="3" fillId="0" borderId="0" xfId="43" applyNumberFormat="1" applyFont="1" applyFill="1" applyBorder="1" applyAlignment="1" applyProtection="1">
      <alignment horizontal="center"/>
      <protection locked="0"/>
    </xf>
    <xf numFmtId="0" fontId="3" fillId="0" borderId="17" xfId="1" applyFont="1" applyFill="1" applyBorder="1" applyAlignment="1"/>
    <xf numFmtId="166" fontId="3" fillId="0" borderId="17" xfId="43" applyNumberFormat="1" applyFont="1" applyBorder="1"/>
    <xf numFmtId="0" fontId="35" fillId="0" borderId="0" xfId="43" applyNumberFormat="1" applyFont="1" applyFill="1" applyBorder="1"/>
    <xf numFmtId="0" fontId="3" fillId="0" borderId="0" xfId="43" applyNumberFormat="1" applyFont="1" applyFill="1" applyBorder="1"/>
    <xf numFmtId="166" fontId="14" fillId="0" borderId="14" xfId="43" applyNumberFormat="1" applyFont="1" applyFill="1" applyBorder="1" applyAlignment="1">
      <alignment vertical="center"/>
    </xf>
    <xf numFmtId="0" fontId="14" fillId="30" borderId="17" xfId="1" applyFont="1" applyFill="1" applyBorder="1" applyAlignment="1"/>
    <xf numFmtId="166" fontId="14" fillId="0" borderId="17" xfId="43" applyNumberFormat="1" applyFont="1" applyFill="1" applyBorder="1" applyAlignment="1"/>
    <xf numFmtId="0" fontId="14" fillId="30" borderId="19" xfId="1" applyFont="1" applyFill="1" applyBorder="1" applyAlignment="1"/>
    <xf numFmtId="165" fontId="35" fillId="0" borderId="19" xfId="43" applyFont="1" applyBorder="1"/>
    <xf numFmtId="0" fontId="35" fillId="43" borderId="15" xfId="43" applyNumberFormat="1" applyFont="1" applyFill="1" applyBorder="1"/>
    <xf numFmtId="0" fontId="3" fillId="0" borderId="22" xfId="78" applyFont="1" applyFill="1" applyBorder="1" applyAlignment="1"/>
    <xf numFmtId="0" fontId="3" fillId="0" borderId="17" xfId="78" applyFont="1" applyFill="1" applyBorder="1" applyAlignment="1"/>
    <xf numFmtId="0" fontId="36" fillId="0" borderId="18" xfId="1" applyFont="1" applyBorder="1" applyAlignment="1">
      <alignment vertical="center" wrapText="1"/>
    </xf>
    <xf numFmtId="166" fontId="14" fillId="0" borderId="16" xfId="43" applyNumberFormat="1" applyFont="1" applyFill="1" applyBorder="1" applyAlignment="1">
      <alignment horizontal="left"/>
    </xf>
    <xf numFmtId="166" fontId="35" fillId="0" borderId="23" xfId="43" applyNumberFormat="1" applyFont="1" applyFill="1" applyBorder="1"/>
    <xf numFmtId="165" fontId="3" fillId="26" borderId="13" xfId="43" applyFont="1" applyFill="1" applyBorder="1" applyAlignment="1" applyProtection="1">
      <protection locked="0"/>
    </xf>
    <xf numFmtId="166" fontId="3" fillId="26" borderId="14" xfId="43" applyNumberFormat="1" applyFont="1" applyFill="1" applyBorder="1" applyAlignment="1" applyProtection="1">
      <protection locked="0"/>
    </xf>
    <xf numFmtId="165" fontId="3" fillId="26" borderId="12" xfId="43" applyFont="1" applyFill="1" applyBorder="1" applyAlignment="1" applyProtection="1">
      <protection locked="0"/>
    </xf>
    <xf numFmtId="165" fontId="3" fillId="26" borderId="14" xfId="43" applyFont="1" applyFill="1" applyBorder="1" applyAlignment="1" applyProtection="1">
      <protection locked="0"/>
    </xf>
    <xf numFmtId="166" fontId="3" fillId="26" borderId="21" xfId="43" applyNumberFormat="1" applyFont="1" applyFill="1" applyBorder="1" applyAlignment="1" applyProtection="1">
      <protection locked="0"/>
    </xf>
    <xf numFmtId="166" fontId="3" fillId="0" borderId="21" xfId="43" applyNumberFormat="1" applyFont="1" applyFill="1" applyBorder="1" applyAlignment="1" applyProtection="1">
      <protection locked="0"/>
    </xf>
    <xf numFmtId="1" fontId="3" fillId="26" borderId="14" xfId="43" applyNumberFormat="1" applyFont="1" applyFill="1" applyBorder="1" applyAlignment="1" applyProtection="1">
      <protection locked="0"/>
    </xf>
    <xf numFmtId="166" fontId="3" fillId="32" borderId="22" xfId="43" applyNumberFormat="1" applyFont="1" applyFill="1" applyBorder="1" applyAlignment="1" applyProtection="1">
      <protection locked="0"/>
    </xf>
    <xf numFmtId="166" fontId="3" fillId="0" borderId="22" xfId="43" applyNumberFormat="1" applyFont="1" applyFill="1" applyBorder="1" applyAlignment="1" applyProtection="1">
      <protection locked="0"/>
    </xf>
    <xf numFmtId="1" fontId="3" fillId="32" borderId="16" xfId="43" applyNumberFormat="1" applyFont="1" applyFill="1" applyBorder="1" applyAlignment="1" applyProtection="1">
      <protection locked="0"/>
    </xf>
    <xf numFmtId="166" fontId="3" fillId="36" borderId="22" xfId="43" applyNumberFormat="1" applyFont="1" applyFill="1" applyBorder="1" applyAlignment="1" applyProtection="1">
      <protection locked="0"/>
    </xf>
    <xf numFmtId="1" fontId="3" fillId="42" borderId="16" xfId="43" applyNumberFormat="1" applyFont="1" applyFill="1" applyBorder="1" applyAlignment="1" applyProtection="1">
      <protection locked="0"/>
    </xf>
    <xf numFmtId="166" fontId="3" fillId="42" borderId="22" xfId="43" applyNumberFormat="1" applyFont="1" applyFill="1" applyBorder="1" applyAlignment="1" applyProtection="1">
      <protection locked="0"/>
    </xf>
    <xf numFmtId="165" fontId="3" fillId="43" borderId="0" xfId="43" applyFont="1" applyFill="1" applyBorder="1" applyAlignment="1" applyProtection="1">
      <protection locked="0"/>
    </xf>
    <xf numFmtId="1" fontId="3" fillId="43" borderId="16" xfId="43" applyNumberFormat="1" applyFont="1" applyFill="1" applyBorder="1" applyAlignment="1" applyProtection="1">
      <protection locked="0"/>
    </xf>
    <xf numFmtId="165" fontId="3" fillId="43" borderId="15" xfId="43" applyFont="1" applyFill="1" applyBorder="1" applyAlignment="1" applyProtection="1">
      <protection locked="0"/>
    </xf>
    <xf numFmtId="165" fontId="3" fillId="44" borderId="0" xfId="43" applyFont="1" applyFill="1" applyBorder="1" applyAlignment="1" applyProtection="1">
      <protection locked="0"/>
    </xf>
    <xf numFmtId="166" fontId="3" fillId="44" borderId="16" xfId="43" applyNumberFormat="1" applyFont="1" applyFill="1" applyBorder="1" applyAlignment="1" applyProtection="1">
      <protection locked="0"/>
    </xf>
    <xf numFmtId="165" fontId="3" fillId="44" borderId="16" xfId="43" applyFont="1" applyFill="1" applyBorder="1" applyAlignment="1" applyProtection="1">
      <protection locked="0"/>
    </xf>
    <xf numFmtId="1" fontId="3" fillId="44" borderId="16" xfId="43" applyNumberFormat="1" applyFont="1" applyFill="1" applyBorder="1" applyAlignment="1" applyProtection="1">
      <protection locked="0"/>
    </xf>
    <xf numFmtId="165" fontId="3" fillId="44" borderId="15" xfId="43" applyFont="1" applyFill="1" applyBorder="1" applyAlignment="1" applyProtection="1">
      <protection locked="0"/>
    </xf>
    <xf numFmtId="166" fontId="3" fillId="44" borderId="22" xfId="43" applyNumberFormat="1" applyFont="1" applyFill="1" applyBorder="1" applyAlignment="1" applyProtection="1">
      <protection locked="0"/>
    </xf>
    <xf numFmtId="166" fontId="3" fillId="27" borderId="16" xfId="43" applyNumberFormat="1" applyFont="1" applyFill="1" applyBorder="1" applyAlignment="1" applyProtection="1">
      <protection locked="0"/>
    </xf>
    <xf numFmtId="165" fontId="3" fillId="27" borderId="16" xfId="43" applyFont="1" applyFill="1" applyBorder="1" applyAlignment="1" applyProtection="1">
      <protection locked="0"/>
    </xf>
    <xf numFmtId="1" fontId="3" fillId="27" borderId="16" xfId="43" applyNumberFormat="1" applyFont="1" applyFill="1" applyBorder="1" applyAlignment="1" applyProtection="1">
      <protection locked="0"/>
    </xf>
    <xf numFmtId="165" fontId="3" fillId="27" borderId="18" xfId="43" applyFont="1" applyFill="1" applyBorder="1" applyAlignment="1" applyProtection="1">
      <protection locked="0"/>
    </xf>
    <xf numFmtId="165" fontId="3" fillId="0" borderId="16" xfId="43" applyFont="1" applyFill="1" applyBorder="1" applyAlignment="1" applyProtection="1">
      <protection locked="0"/>
    </xf>
    <xf numFmtId="165" fontId="3" fillId="0" borderId="22" xfId="43" applyFont="1" applyFill="1" applyBorder="1" applyAlignment="1" applyProtection="1">
      <protection locked="0"/>
    </xf>
    <xf numFmtId="166" fontId="3" fillId="27" borderId="22" xfId="43" applyNumberFormat="1" applyFont="1" applyFill="1" applyBorder="1" applyAlignment="1" applyProtection="1">
      <protection locked="0"/>
    </xf>
    <xf numFmtId="1" fontId="3" fillId="0" borderId="22" xfId="1" applyNumberFormat="1" applyFont="1" applyFill="1" applyBorder="1" applyAlignment="1" applyProtection="1">
      <protection locked="0"/>
    </xf>
    <xf numFmtId="1" fontId="3" fillId="0" borderId="16" xfId="43" applyNumberFormat="1" applyFont="1" applyFill="1" applyBorder="1" applyAlignment="1" applyProtection="1">
      <protection locked="0"/>
    </xf>
    <xf numFmtId="0" fontId="2" fillId="0" borderId="15" xfId="77" applyFont="1" applyFill="1" applyBorder="1" applyAlignment="1" applyProtection="1">
      <protection locked="0"/>
    </xf>
    <xf numFmtId="165" fontId="3" fillId="0" borderId="18" xfId="43" applyFont="1" applyFill="1" applyBorder="1" applyAlignment="1" applyProtection="1">
      <protection locked="0"/>
    </xf>
    <xf numFmtId="0" fontId="3" fillId="0" borderId="19" xfId="1" applyFont="1" applyFill="1" applyBorder="1" applyAlignment="1" applyProtection="1">
      <protection locked="0"/>
    </xf>
    <xf numFmtId="0" fontId="3" fillId="0" borderId="18" xfId="1" applyFont="1" applyFill="1" applyBorder="1"/>
    <xf numFmtId="165" fontId="35" fillId="27" borderId="19" xfId="43" applyFont="1" applyFill="1" applyBorder="1"/>
    <xf numFmtId="0" fontId="35" fillId="27" borderId="23" xfId="1" applyFont="1" applyFill="1" applyBorder="1"/>
    <xf numFmtId="0" fontId="3" fillId="0" borderId="15" xfId="77" applyFont="1" applyBorder="1"/>
    <xf numFmtId="165" fontId="3" fillId="0" borderId="15" xfId="43" applyFont="1" applyBorder="1"/>
    <xf numFmtId="0" fontId="3" fillId="0" borderId="19" xfId="77" applyFont="1" applyBorder="1"/>
    <xf numFmtId="165" fontId="3" fillId="0" borderId="19" xfId="43" applyFont="1" applyBorder="1"/>
    <xf numFmtId="0" fontId="3" fillId="0" borderId="23" xfId="77" applyFont="1" applyFill="1" applyBorder="1"/>
    <xf numFmtId="1" fontId="3" fillId="0" borderId="19" xfId="43" applyNumberFormat="1" applyFont="1" applyBorder="1"/>
    <xf numFmtId="166" fontId="3" fillId="0" borderId="23" xfId="43" applyNumberFormat="1" applyFont="1" applyBorder="1"/>
    <xf numFmtId="0" fontId="3" fillId="26" borderId="12" xfId="43" applyNumberFormat="1" applyFont="1" applyFill="1" applyBorder="1"/>
    <xf numFmtId="166" fontId="35" fillId="26" borderId="22" xfId="43" applyNumberFormat="1" applyFont="1" applyFill="1" applyBorder="1"/>
    <xf numFmtId="166" fontId="35" fillId="32" borderId="22" xfId="43" applyNumberFormat="1" applyFont="1" applyFill="1" applyBorder="1"/>
    <xf numFmtId="166" fontId="35" fillId="42" borderId="22" xfId="43" applyNumberFormat="1" applyFont="1" applyFill="1" applyBorder="1"/>
    <xf numFmtId="165" fontId="35" fillId="43" borderId="16" xfId="43" applyFont="1" applyFill="1" applyBorder="1"/>
    <xf numFmtId="165" fontId="35" fillId="44" borderId="17" xfId="43" applyFont="1" applyFill="1" applyBorder="1"/>
    <xf numFmtId="165" fontId="35" fillId="44" borderId="19" xfId="43" applyFont="1" applyFill="1" applyBorder="1"/>
    <xf numFmtId="0" fontId="3" fillId="30" borderId="13" xfId="78" applyFont="1" applyFill="1" applyBorder="1" applyAlignment="1"/>
    <xf numFmtId="0" fontId="3" fillId="30" borderId="14" xfId="78" applyFont="1" applyFill="1" applyBorder="1" applyAlignment="1"/>
    <xf numFmtId="165" fontId="3" fillId="26" borderId="14" xfId="43" applyFont="1" applyFill="1" applyBorder="1" applyAlignment="1"/>
    <xf numFmtId="166" fontId="3" fillId="26" borderId="14" xfId="43" applyNumberFormat="1" applyFont="1" applyFill="1" applyBorder="1" applyAlignment="1"/>
    <xf numFmtId="1" fontId="3" fillId="26" borderId="14" xfId="43" applyNumberFormat="1" applyFont="1" applyFill="1" applyBorder="1" applyAlignment="1"/>
    <xf numFmtId="0" fontId="3" fillId="30" borderId="15" xfId="78" applyFont="1" applyFill="1" applyBorder="1" applyAlignment="1"/>
    <xf numFmtId="0" fontId="3" fillId="30" borderId="16" xfId="78" applyFont="1" applyFill="1" applyBorder="1" applyAlignment="1"/>
    <xf numFmtId="1" fontId="3" fillId="32" borderId="16" xfId="43" applyNumberFormat="1" applyFont="1" applyFill="1" applyBorder="1" applyAlignment="1"/>
    <xf numFmtId="1" fontId="3" fillId="42" borderId="16" xfId="43" applyNumberFormat="1" applyFont="1" applyFill="1" applyBorder="1" applyAlignment="1"/>
    <xf numFmtId="1" fontId="3" fillId="43" borderId="16" xfId="43" applyNumberFormat="1" applyFont="1" applyFill="1" applyBorder="1" applyAlignment="1"/>
    <xf numFmtId="0" fontId="3" fillId="30" borderId="18" xfId="78" applyFont="1" applyFill="1" applyBorder="1" applyAlignment="1"/>
    <xf numFmtId="165" fontId="3" fillId="27" borderId="19" xfId="43" applyFont="1" applyFill="1" applyBorder="1" applyAlignment="1"/>
    <xf numFmtId="166" fontId="3" fillId="27" borderId="19" xfId="43" applyNumberFormat="1" applyFont="1" applyFill="1" applyBorder="1" applyAlignment="1"/>
    <xf numFmtId="1" fontId="3" fillId="27" borderId="19" xfId="43" applyNumberFormat="1" applyFont="1" applyFill="1" applyBorder="1" applyAlignment="1"/>
    <xf numFmtId="0" fontId="3" fillId="30" borderId="12" xfId="1" applyFont="1" applyFill="1" applyBorder="1" applyAlignment="1"/>
    <xf numFmtId="1" fontId="3" fillId="0" borderId="0" xfId="43" applyNumberFormat="1" applyFont="1" applyFill="1" applyBorder="1"/>
    <xf numFmtId="0" fontId="35" fillId="0" borderId="16" xfId="78" applyFont="1" applyBorder="1"/>
    <xf numFmtId="165" fontId="3" fillId="43" borderId="16" xfId="43" applyFont="1" applyFill="1" applyBorder="1"/>
    <xf numFmtId="166" fontId="3" fillId="43" borderId="16" xfId="43" applyNumberFormat="1" applyFont="1" applyFill="1" applyBorder="1"/>
    <xf numFmtId="0" fontId="3" fillId="0" borderId="19" xfId="78" applyFont="1" applyBorder="1"/>
    <xf numFmtId="165" fontId="3" fillId="43" borderId="19" xfId="43" applyFont="1" applyFill="1" applyBorder="1"/>
    <xf numFmtId="166" fontId="3" fillId="43" borderId="19" xfId="43" applyNumberFormat="1" applyFont="1" applyFill="1" applyBorder="1"/>
    <xf numFmtId="1" fontId="14" fillId="0" borderId="0" xfId="43" applyNumberFormat="1" applyFont="1" applyFill="1" applyBorder="1" applyAlignment="1"/>
    <xf numFmtId="1" fontId="35" fillId="0" borderId="0" xfId="43" applyNumberFormat="1" applyFont="1" applyBorder="1"/>
    <xf numFmtId="1" fontId="14" fillId="0" borderId="24" xfId="43" applyNumberFormat="1" applyFont="1" applyFill="1" applyBorder="1" applyAlignment="1">
      <alignment horizontal="left"/>
    </xf>
    <xf numFmtId="1" fontId="35" fillId="27" borderId="12" xfId="43" applyNumberFormat="1" applyFont="1" applyFill="1" applyBorder="1"/>
    <xf numFmtId="1" fontId="35" fillId="26" borderId="0" xfId="43" applyNumberFormat="1" applyFont="1" applyFill="1" applyBorder="1"/>
    <xf numFmtId="1" fontId="35" fillId="32" borderId="0" xfId="43" applyNumberFormat="1" applyFont="1" applyFill="1" applyBorder="1"/>
    <xf numFmtId="1" fontId="35" fillId="42" borderId="0" xfId="43" applyNumberFormat="1" applyFont="1" applyFill="1" applyBorder="1"/>
    <xf numFmtId="1" fontId="35" fillId="43" borderId="0" xfId="43" applyNumberFormat="1" applyFont="1" applyFill="1" applyBorder="1"/>
    <xf numFmtId="165" fontId="3" fillId="26" borderId="21" xfId="43" applyFont="1" applyFill="1" applyBorder="1" applyAlignment="1"/>
    <xf numFmtId="165" fontId="3" fillId="32" borderId="22" xfId="43" applyFont="1" applyFill="1" applyBorder="1" applyAlignment="1"/>
    <xf numFmtId="165" fontId="3" fillId="42" borderId="22" xfId="43" applyFont="1" applyFill="1" applyBorder="1" applyAlignment="1"/>
    <xf numFmtId="165" fontId="3" fillId="43" borderId="22" xfId="43" applyFont="1" applyFill="1" applyBorder="1" applyAlignment="1"/>
    <xf numFmtId="0" fontId="3" fillId="30" borderId="19" xfId="78" applyFont="1" applyFill="1" applyBorder="1" applyAlignment="1"/>
    <xf numFmtId="165" fontId="3" fillId="27" borderId="23" xfId="43" applyFont="1" applyFill="1" applyBorder="1" applyAlignment="1"/>
    <xf numFmtId="165" fontId="3" fillId="30" borderId="12" xfId="43" applyFont="1" applyFill="1" applyBorder="1" applyAlignment="1" applyProtection="1">
      <protection locked="0"/>
    </xf>
    <xf numFmtId="3" fontId="3" fillId="30" borderId="14" xfId="1" applyNumberFormat="1" applyFont="1" applyFill="1" applyBorder="1" applyAlignment="1" applyProtection="1">
      <protection locked="0"/>
    </xf>
    <xf numFmtId="3" fontId="3" fillId="0" borderId="0" xfId="1" applyNumberFormat="1" applyFont="1" applyFill="1" applyBorder="1" applyAlignment="1" applyProtection="1">
      <protection locked="0"/>
    </xf>
    <xf numFmtId="165" fontId="3" fillId="0" borderId="13" xfId="43" applyFont="1" applyBorder="1"/>
    <xf numFmtId="165" fontId="3" fillId="30" borderId="13" xfId="43" applyFont="1" applyFill="1" applyBorder="1" applyAlignment="1" applyProtection="1">
      <protection locked="0"/>
    </xf>
    <xf numFmtId="3" fontId="3" fillId="0" borderId="14" xfId="1" applyNumberFormat="1" applyFont="1" applyFill="1" applyBorder="1" applyAlignment="1" applyProtection="1">
      <protection locked="0"/>
    </xf>
    <xf numFmtId="1" fontId="3" fillId="44" borderId="16" xfId="1" applyNumberFormat="1" applyFont="1" applyFill="1" applyBorder="1" applyAlignment="1" applyProtection="1">
      <protection locked="0"/>
    </xf>
    <xf numFmtId="2" fontId="3" fillId="44" borderId="16" xfId="1" applyNumberFormat="1" applyFont="1" applyFill="1" applyBorder="1" applyAlignment="1" applyProtection="1">
      <protection locked="0"/>
    </xf>
    <xf numFmtId="165" fontId="3" fillId="27" borderId="17" xfId="43" applyFont="1" applyFill="1" applyBorder="1" applyAlignment="1" applyProtection="1">
      <protection locked="0"/>
    </xf>
    <xf numFmtId="0" fontId="3" fillId="0" borderId="18" xfId="77" applyFont="1" applyBorder="1"/>
    <xf numFmtId="3" fontId="3" fillId="0" borderId="17" xfId="1" applyNumberFormat="1" applyFont="1" applyFill="1" applyBorder="1" applyAlignment="1" applyProtection="1">
      <protection locked="0"/>
    </xf>
    <xf numFmtId="0" fontId="3" fillId="0" borderId="16" xfId="81" applyFont="1" applyFill="1" applyBorder="1" applyAlignment="1" applyProtection="1">
      <protection locked="0"/>
    </xf>
    <xf numFmtId="165" fontId="3" fillId="26" borderId="21" xfId="43" applyFont="1" applyFill="1" applyBorder="1"/>
    <xf numFmtId="3" fontId="3" fillId="26" borderId="14" xfId="1" applyNumberFormat="1" applyFont="1" applyFill="1" applyBorder="1"/>
    <xf numFmtId="3" fontId="3" fillId="0" borderId="0" xfId="1" applyNumberFormat="1" applyFont="1" applyFill="1" applyBorder="1"/>
    <xf numFmtId="165" fontId="3" fillId="0" borderId="14" xfId="43" applyNumberFormat="1" applyFont="1" applyFill="1" applyBorder="1" applyAlignment="1" applyProtection="1">
      <alignment horizontal="left"/>
      <protection locked="0"/>
    </xf>
    <xf numFmtId="165" fontId="3" fillId="35" borderId="21" xfId="43" applyFont="1" applyFill="1" applyBorder="1"/>
    <xf numFmtId="3" fontId="3" fillId="0" borderId="14" xfId="1" applyNumberFormat="1" applyFont="1" applyFill="1" applyBorder="1"/>
    <xf numFmtId="166" fontId="3" fillId="26" borderId="21" xfId="43" applyNumberFormat="1" applyFont="1" applyFill="1" applyBorder="1"/>
    <xf numFmtId="39" fontId="3" fillId="0" borderId="16" xfId="82" applyNumberFormat="1" applyFont="1" applyBorder="1" applyAlignment="1" applyProtection="1">
      <alignment horizontal="left"/>
      <protection locked="0"/>
    </xf>
    <xf numFmtId="165" fontId="3" fillId="26" borderId="23" xfId="43" applyFont="1" applyFill="1" applyBorder="1"/>
    <xf numFmtId="3" fontId="3" fillId="26" borderId="19" xfId="1" applyNumberFormat="1" applyFont="1" applyFill="1" applyBorder="1"/>
    <xf numFmtId="165" fontId="3" fillId="0" borderId="19" xfId="43" applyNumberFormat="1" applyFont="1" applyFill="1" applyBorder="1" applyAlignment="1" applyProtection="1">
      <alignment horizontal="left"/>
      <protection locked="0"/>
    </xf>
    <xf numFmtId="165" fontId="3" fillId="35" borderId="23" xfId="43" applyFont="1" applyFill="1" applyBorder="1"/>
    <xf numFmtId="3" fontId="3" fillId="0" borderId="19" xfId="1" applyNumberFormat="1" applyFont="1" applyFill="1" applyBorder="1"/>
    <xf numFmtId="166" fontId="3" fillId="26" borderId="23" xfId="43" applyNumberFormat="1" applyFont="1" applyFill="1" applyBorder="1"/>
    <xf numFmtId="3" fontId="35" fillId="26" borderId="22" xfId="1" applyNumberFormat="1" applyFont="1" applyFill="1" applyBorder="1"/>
    <xf numFmtId="3" fontId="35" fillId="32" borderId="22" xfId="1" applyNumberFormat="1" applyFont="1" applyFill="1" applyBorder="1"/>
    <xf numFmtId="3" fontId="35" fillId="42" borderId="22" xfId="1" applyNumberFormat="1" applyFont="1" applyFill="1" applyBorder="1"/>
    <xf numFmtId="0" fontId="14" fillId="0" borderId="15" xfId="77" applyFont="1" applyFill="1" applyBorder="1" applyAlignment="1">
      <alignment vertical="center"/>
    </xf>
    <xf numFmtId="1" fontId="3" fillId="27" borderId="21" xfId="78" applyNumberFormat="1" applyFont="1" applyFill="1" applyBorder="1" applyAlignment="1"/>
    <xf numFmtId="1" fontId="3" fillId="27" borderId="14" xfId="78" applyNumberFormat="1" applyFont="1" applyFill="1" applyBorder="1" applyAlignment="1"/>
    <xf numFmtId="39" fontId="3" fillId="0" borderId="13" xfId="80" applyNumberFormat="1" applyFont="1" applyFill="1" applyBorder="1" applyAlignment="1">
      <alignment horizontal="left"/>
    </xf>
    <xf numFmtId="39" fontId="14" fillId="0" borderId="13" xfId="80" applyNumberFormat="1" applyFont="1" applyFill="1" applyBorder="1" applyAlignment="1">
      <alignment horizontal="left"/>
    </xf>
    <xf numFmtId="1" fontId="3" fillId="0" borderId="21" xfId="78" applyNumberFormat="1" applyFont="1" applyFill="1" applyBorder="1" applyAlignment="1"/>
    <xf numFmtId="1" fontId="3" fillId="26" borderId="22" xfId="78" applyNumberFormat="1" applyFont="1" applyFill="1" applyBorder="1" applyAlignment="1"/>
    <xf numFmtId="1" fontId="3" fillId="26" borderId="16" xfId="78" applyNumberFormat="1" applyFont="1" applyFill="1" applyBorder="1" applyAlignment="1"/>
    <xf numFmtId="0" fontId="14" fillId="0" borderId="15" xfId="78" applyFont="1" applyFill="1" applyBorder="1" applyAlignment="1"/>
    <xf numFmtId="1" fontId="3" fillId="0" borderId="22" xfId="78" applyNumberFormat="1" applyFont="1" applyFill="1" applyBorder="1" applyAlignment="1"/>
    <xf numFmtId="1" fontId="3" fillId="36" borderId="22" xfId="78" applyNumberFormat="1" applyFont="1" applyFill="1" applyBorder="1" applyAlignment="1"/>
    <xf numFmtId="1" fontId="3" fillId="32" borderId="16" xfId="78" applyNumberFormat="1" applyFont="1" applyFill="1" applyBorder="1" applyAlignment="1"/>
    <xf numFmtId="1" fontId="3" fillId="32" borderId="22" xfId="78" applyNumberFormat="1" applyFont="1" applyFill="1" applyBorder="1" applyAlignment="1"/>
    <xf numFmtId="1" fontId="3" fillId="42" borderId="22" xfId="78" applyNumberFormat="1" applyFont="1" applyFill="1" applyBorder="1" applyAlignment="1"/>
    <xf numFmtId="1" fontId="3" fillId="42" borderId="16" xfId="78" applyNumberFormat="1" applyFont="1" applyFill="1" applyBorder="1" applyAlignment="1"/>
    <xf numFmtId="1" fontId="3" fillId="43" borderId="22" xfId="78" applyNumberFormat="1" applyFont="1" applyFill="1" applyBorder="1" applyAlignment="1"/>
    <xf numFmtId="1" fontId="3" fillId="43" borderId="16" xfId="78" applyNumberFormat="1" applyFont="1" applyFill="1" applyBorder="1" applyAlignment="1"/>
    <xf numFmtId="165" fontId="35" fillId="0" borderId="12" xfId="43" applyFont="1" applyFill="1" applyBorder="1"/>
    <xf numFmtId="1" fontId="35" fillId="0" borderId="12" xfId="78" applyNumberFormat="1" applyFont="1" applyFill="1" applyBorder="1"/>
    <xf numFmtId="165" fontId="3" fillId="0" borderId="12" xfId="43" applyFont="1" applyFill="1" applyBorder="1"/>
    <xf numFmtId="39" fontId="3" fillId="0" borderId="15" xfId="82" applyNumberFormat="1" applyFont="1" applyBorder="1" applyAlignment="1" applyProtection="1">
      <alignment horizontal="left"/>
      <protection locked="0"/>
    </xf>
    <xf numFmtId="39" fontId="3" fillId="0" borderId="14" xfId="80" applyNumberFormat="1" applyFont="1" applyFill="1" applyBorder="1" applyAlignment="1">
      <alignment horizontal="left"/>
    </xf>
    <xf numFmtId="39" fontId="3" fillId="0" borderId="18" xfId="82" applyNumberFormat="1" applyFont="1" applyBorder="1" applyAlignment="1" applyProtection="1">
      <alignment horizontal="left"/>
      <protection locked="0"/>
    </xf>
    <xf numFmtId="1" fontId="3" fillId="43" borderId="19" xfId="78" applyNumberFormat="1" applyFont="1" applyFill="1" applyBorder="1" applyAlignment="1"/>
    <xf numFmtId="165" fontId="3" fillId="30" borderId="0" xfId="43" applyFont="1" applyFill="1" applyBorder="1" applyAlignment="1" applyProtection="1">
      <protection locked="0"/>
    </xf>
    <xf numFmtId="1" fontId="3" fillId="30" borderId="16" xfId="1" applyNumberFormat="1" applyFont="1" applyFill="1" applyBorder="1" applyAlignment="1" applyProtection="1">
      <protection locked="0"/>
    </xf>
    <xf numFmtId="1" fontId="3" fillId="0" borderId="21" xfId="1" applyNumberFormat="1" applyFont="1" applyFill="1" applyBorder="1" applyAlignment="1" applyProtection="1">
      <protection locked="0"/>
    </xf>
    <xf numFmtId="165" fontId="3" fillId="30" borderId="15" xfId="43" applyFont="1" applyFill="1" applyBorder="1" applyAlignment="1" applyProtection="1">
      <protection locked="0"/>
    </xf>
    <xf numFmtId="165" fontId="3" fillId="45" borderId="15" xfId="43" applyFont="1" applyFill="1" applyBorder="1" applyAlignment="1" applyProtection="1">
      <protection locked="0"/>
    </xf>
    <xf numFmtId="166" fontId="3" fillId="45" borderId="16" xfId="43" applyNumberFormat="1" applyFont="1" applyFill="1" applyBorder="1" applyAlignment="1" applyProtection="1">
      <protection locked="0"/>
    </xf>
    <xf numFmtId="165" fontId="3" fillId="45" borderId="0" xfId="43" applyFont="1" applyFill="1" applyBorder="1" applyAlignment="1" applyProtection="1">
      <protection locked="0"/>
    </xf>
    <xf numFmtId="165" fontId="3" fillId="45" borderId="16" xfId="43" applyFont="1" applyFill="1" applyBorder="1" applyAlignment="1" applyProtection="1">
      <protection locked="0"/>
    </xf>
    <xf numFmtId="0" fontId="3" fillId="27" borderId="14" xfId="78" applyFont="1" applyFill="1" applyBorder="1" applyAlignment="1"/>
    <xf numFmtId="0" fontId="3" fillId="26" borderId="16" xfId="78" applyFont="1" applyFill="1" applyBorder="1" applyAlignment="1"/>
    <xf numFmtId="0" fontId="3" fillId="32" borderId="16" xfId="78" applyFont="1" applyFill="1" applyBorder="1" applyAlignment="1"/>
    <xf numFmtId="0" fontId="3" fillId="42" borderId="16" xfId="78" applyFont="1" applyFill="1" applyBorder="1" applyAlignment="1"/>
    <xf numFmtId="0" fontId="3" fillId="43" borderId="16" xfId="78" applyFont="1" applyFill="1" applyBorder="1" applyAlignment="1"/>
    <xf numFmtId="0" fontId="3" fillId="43" borderId="19" xfId="78" applyFont="1" applyFill="1" applyBorder="1" applyAlignment="1"/>
    <xf numFmtId="0" fontId="3" fillId="0" borderId="12" xfId="78" applyFont="1" applyFill="1" applyBorder="1" applyAlignment="1"/>
    <xf numFmtId="166" fontId="3" fillId="0" borderId="12" xfId="43" applyNumberFormat="1" applyFont="1" applyFill="1" applyBorder="1"/>
    <xf numFmtId="166" fontId="3" fillId="45" borderId="14" xfId="43" applyNumberFormat="1" applyFont="1" applyFill="1" applyBorder="1" applyAlignment="1" applyProtection="1">
      <protection locked="0"/>
    </xf>
    <xf numFmtId="165" fontId="3" fillId="0" borderId="12" xfId="43" applyFont="1" applyBorder="1"/>
    <xf numFmtId="166" fontId="3" fillId="0" borderId="14" xfId="43" applyNumberFormat="1" applyFont="1" applyBorder="1"/>
    <xf numFmtId="165" fontId="3" fillId="0" borderId="21" xfId="43" applyFont="1" applyBorder="1"/>
    <xf numFmtId="166" fontId="3" fillId="0" borderId="21" xfId="43" applyNumberFormat="1" applyFont="1" applyBorder="1"/>
    <xf numFmtId="165" fontId="3" fillId="0" borderId="14" xfId="43" applyFont="1" applyBorder="1"/>
    <xf numFmtId="0" fontId="3" fillId="0" borderId="21" xfId="77" applyFont="1" applyBorder="1"/>
    <xf numFmtId="165" fontId="3" fillId="44" borderId="22" xfId="43" applyFont="1" applyFill="1" applyBorder="1" applyAlignment="1" applyProtection="1">
      <protection locked="0"/>
    </xf>
    <xf numFmtId="4" fontId="3" fillId="0" borderId="22" xfId="1" applyNumberFormat="1" applyFont="1" applyFill="1" applyBorder="1" applyAlignment="1" applyProtection="1">
      <protection locked="0"/>
    </xf>
    <xf numFmtId="165" fontId="3" fillId="0" borderId="15" xfId="43" applyFont="1" applyFill="1" applyBorder="1" applyAlignment="1" applyProtection="1">
      <protection locked="0"/>
    </xf>
    <xf numFmtId="166" fontId="3" fillId="0" borderId="16" xfId="43" applyNumberFormat="1" applyFont="1" applyFill="1" applyBorder="1" applyAlignment="1" applyProtection="1">
      <protection locked="0"/>
    </xf>
    <xf numFmtId="165" fontId="3" fillId="30" borderId="22" xfId="43" applyFont="1" applyFill="1" applyBorder="1" applyAlignment="1" applyProtection="1">
      <protection locked="0"/>
    </xf>
    <xf numFmtId="166" fontId="3" fillId="30" borderId="22" xfId="43" applyNumberFormat="1" applyFont="1" applyFill="1" applyBorder="1" applyAlignment="1" applyProtection="1">
      <protection locked="0"/>
    </xf>
    <xf numFmtId="2" fontId="3" fillId="0" borderId="22" xfId="1" applyNumberFormat="1" applyFont="1" applyFill="1" applyBorder="1" applyAlignment="1" applyProtection="1">
      <protection locked="0"/>
    </xf>
    <xf numFmtId="166" fontId="3" fillId="26" borderId="22" xfId="43" applyNumberFormat="1" applyFont="1" applyFill="1" applyBorder="1" applyAlignment="1" applyProtection="1">
      <protection locked="0"/>
    </xf>
    <xf numFmtId="166" fontId="3" fillId="27" borderId="23" xfId="43" applyNumberFormat="1" applyFont="1" applyFill="1" applyBorder="1" applyAlignment="1" applyProtection="1">
      <protection locked="0"/>
    </xf>
    <xf numFmtId="2" fontId="3" fillId="0" borderId="23" xfId="1" applyNumberFormat="1" applyFont="1" applyFill="1" applyBorder="1" applyAlignment="1" applyProtection="1">
      <protection locked="0"/>
    </xf>
    <xf numFmtId="165" fontId="3" fillId="30" borderId="0" xfId="43" applyFont="1" applyFill="1" applyBorder="1" applyAlignment="1"/>
    <xf numFmtId="166" fontId="3" fillId="30" borderId="0" xfId="43" applyNumberFormat="1" applyFont="1" applyFill="1" applyBorder="1" applyAlignment="1"/>
    <xf numFmtId="166" fontId="3" fillId="0" borderId="19" xfId="43" applyNumberFormat="1" applyFont="1" applyFill="1" applyBorder="1" applyAlignment="1" applyProtection="1">
      <protection locked="0"/>
    </xf>
    <xf numFmtId="165" fontId="35" fillId="0" borderId="17" xfId="43" applyFont="1" applyBorder="1"/>
    <xf numFmtId="165" fontId="3" fillId="26" borderId="13" xfId="43" applyFont="1" applyFill="1" applyBorder="1"/>
    <xf numFmtId="165" fontId="3" fillId="26" borderId="18" xfId="43" applyFont="1" applyFill="1" applyBorder="1"/>
    <xf numFmtId="165" fontId="3" fillId="0" borderId="11" xfId="43" applyFont="1" applyFill="1" applyBorder="1" applyAlignment="1"/>
    <xf numFmtId="166" fontId="3" fillId="41" borderId="0" xfId="43" applyNumberFormat="1" applyFont="1" applyFill="1"/>
    <xf numFmtId="166" fontId="3" fillId="27" borderId="21" xfId="43" applyNumberFormat="1" applyFont="1" applyFill="1" applyBorder="1" applyAlignment="1"/>
    <xf numFmtId="166" fontId="3" fillId="26" borderId="22" xfId="43" applyNumberFormat="1" applyFont="1" applyFill="1" applyBorder="1" applyAlignment="1"/>
    <xf numFmtId="166" fontId="3" fillId="32" borderId="22" xfId="43" applyNumberFormat="1" applyFont="1" applyFill="1" applyBorder="1" applyAlignment="1"/>
    <xf numFmtId="166" fontId="3" fillId="42" borderId="22" xfId="43" applyNumberFormat="1" applyFont="1" applyFill="1" applyBorder="1" applyAlignment="1"/>
    <xf numFmtId="166" fontId="3" fillId="43" borderId="22" xfId="43" applyNumberFormat="1" applyFont="1" applyFill="1" applyBorder="1" applyAlignment="1"/>
    <xf numFmtId="166" fontId="3" fillId="43" borderId="22" xfId="43" applyNumberFormat="1" applyFont="1" applyFill="1" applyBorder="1" applyAlignment="1">
      <alignment wrapText="1"/>
    </xf>
    <xf numFmtId="166" fontId="3" fillId="43" borderId="23" xfId="43" applyNumberFormat="1" applyFont="1" applyFill="1" applyBorder="1" applyAlignment="1"/>
    <xf numFmtId="0" fontId="3" fillId="0" borderId="19" xfId="77" applyFont="1" applyFill="1" applyBorder="1" applyAlignment="1"/>
    <xf numFmtId="166" fontId="35" fillId="0" borderId="12" xfId="43" applyNumberFormat="1" applyFont="1" applyFill="1" applyBorder="1"/>
    <xf numFmtId="2" fontId="3" fillId="0" borderId="12" xfId="78" applyNumberFormat="1" applyFont="1" applyFill="1" applyBorder="1"/>
    <xf numFmtId="0" fontId="3" fillId="0" borderId="13" xfId="77" applyFont="1" applyFill="1" applyBorder="1" applyAlignment="1"/>
    <xf numFmtId="0" fontId="55" fillId="0" borderId="0" xfId="77" applyFont="1"/>
    <xf numFmtId="0" fontId="4" fillId="0" borderId="0" xfId="77" applyFont="1" applyFill="1" applyBorder="1" applyAlignment="1">
      <alignment horizontal="center"/>
    </xf>
    <xf numFmtId="0" fontId="3" fillId="0" borderId="0" xfId="77" applyFont="1" applyAlignment="1">
      <alignment vertical="center"/>
    </xf>
    <xf numFmtId="165" fontId="3" fillId="0" borderId="16" xfId="43" applyFont="1" applyBorder="1"/>
    <xf numFmtId="2" fontId="3" fillId="0" borderId="16" xfId="1" applyNumberFormat="1" applyFont="1" applyFill="1" applyBorder="1" applyAlignment="1" applyProtection="1">
      <protection locked="0"/>
    </xf>
    <xf numFmtId="4" fontId="3" fillId="0" borderId="16" xfId="1" applyNumberFormat="1" applyFont="1" applyFill="1" applyBorder="1" applyAlignment="1" applyProtection="1">
      <protection locked="0"/>
    </xf>
    <xf numFmtId="3" fontId="3" fillId="42" borderId="16" xfId="1" applyNumberFormat="1" applyFont="1" applyFill="1" applyBorder="1" applyAlignment="1" applyProtection="1">
      <protection locked="0"/>
    </xf>
    <xf numFmtId="3" fontId="3" fillId="32" borderId="16" xfId="1" applyNumberFormat="1" applyFont="1" applyFill="1" applyBorder="1" applyAlignment="1" applyProtection="1">
      <protection locked="0"/>
    </xf>
    <xf numFmtId="3" fontId="3" fillId="26" borderId="16" xfId="1" applyNumberFormat="1" applyFont="1" applyFill="1" applyBorder="1" applyAlignment="1" applyProtection="1">
      <protection locked="0"/>
    </xf>
    <xf numFmtId="3" fontId="3" fillId="27" borderId="19" xfId="1" applyNumberFormat="1" applyFont="1" applyFill="1" applyBorder="1" applyAlignment="1" applyProtection="1">
      <protection locked="0"/>
    </xf>
    <xf numFmtId="4" fontId="3" fillId="0" borderId="19" xfId="1" applyNumberFormat="1" applyFont="1" applyFill="1" applyBorder="1" applyAlignment="1" applyProtection="1">
      <protection locked="0"/>
    </xf>
    <xf numFmtId="0" fontId="3" fillId="0" borderId="10" xfId="77" applyFont="1" applyBorder="1"/>
    <xf numFmtId="165" fontId="3" fillId="0" borderId="10" xfId="43" applyFont="1" applyBorder="1"/>
    <xf numFmtId="39" fontId="14" fillId="0" borderId="18" xfId="79" applyNumberFormat="1" applyFont="1" applyFill="1" applyBorder="1" applyAlignment="1">
      <alignment horizontal="left"/>
    </xf>
    <xf numFmtId="165" fontId="26" fillId="0" borderId="20" xfId="43" applyFont="1" applyBorder="1"/>
    <xf numFmtId="1" fontId="35" fillId="27" borderId="14" xfId="78" applyNumberFormat="1" applyFont="1" applyFill="1" applyBorder="1"/>
    <xf numFmtId="165" fontId="3" fillId="27" borderId="14" xfId="43" applyFont="1" applyFill="1" applyBorder="1"/>
    <xf numFmtId="2" fontId="3" fillId="0" borderId="14" xfId="78" applyNumberFormat="1" applyFont="1" applyFill="1" applyBorder="1"/>
    <xf numFmtId="166" fontId="3" fillId="27" borderId="14" xfId="43" applyNumberFormat="1" applyFont="1" applyFill="1" applyBorder="1"/>
    <xf numFmtId="1" fontId="35" fillId="26" borderId="16" xfId="78" applyNumberFormat="1" applyFont="1" applyFill="1" applyBorder="1"/>
    <xf numFmtId="165" fontId="3" fillId="26" borderId="16" xfId="43" applyFont="1" applyFill="1" applyBorder="1"/>
    <xf numFmtId="2" fontId="3" fillId="0" borderId="16" xfId="78" applyNumberFormat="1" applyFont="1" applyFill="1" applyBorder="1"/>
    <xf numFmtId="166" fontId="3" fillId="26" borderId="16" xfId="43" applyNumberFormat="1" applyFont="1" applyFill="1" applyBorder="1"/>
    <xf numFmtId="1" fontId="35" fillId="32" borderId="16" xfId="78" applyNumberFormat="1" applyFont="1" applyFill="1" applyBorder="1"/>
    <xf numFmtId="165" fontId="3" fillId="32" borderId="16" xfId="43" applyFont="1" applyFill="1" applyBorder="1"/>
    <xf numFmtId="166" fontId="3" fillId="32" borderId="16" xfId="43" applyNumberFormat="1" applyFont="1" applyFill="1" applyBorder="1"/>
    <xf numFmtId="1" fontId="35" fillId="42" borderId="16" xfId="78" applyNumberFormat="1" applyFont="1" applyFill="1" applyBorder="1"/>
    <xf numFmtId="165" fontId="3" fillId="42" borderId="16" xfId="43" applyFont="1" applyFill="1" applyBorder="1"/>
    <xf numFmtId="166" fontId="3" fillId="42" borderId="16" xfId="43" applyNumberFormat="1" applyFont="1" applyFill="1" applyBorder="1"/>
    <xf numFmtId="1" fontId="35" fillId="43" borderId="16" xfId="78" applyNumberFormat="1" applyFont="1" applyFill="1" applyBorder="1"/>
    <xf numFmtId="1" fontId="35" fillId="43" borderId="19" xfId="78" applyNumberFormat="1" applyFont="1" applyFill="1" applyBorder="1"/>
    <xf numFmtId="0" fontId="14" fillId="0" borderId="12" xfId="1" applyFont="1" applyFill="1" applyBorder="1" applyAlignment="1"/>
    <xf numFmtId="0" fontId="3" fillId="0" borderId="18" xfId="78" applyFont="1" applyBorder="1"/>
    <xf numFmtId="0" fontId="3" fillId="0" borderId="18" xfId="78" applyFont="1" applyFill="1" applyBorder="1"/>
    <xf numFmtId="0" fontId="3" fillId="0" borderId="19" xfId="78" applyFont="1" applyFill="1" applyBorder="1"/>
    <xf numFmtId="0" fontId="14" fillId="30" borderId="10" xfId="1" applyFont="1" applyFill="1" applyBorder="1" applyAlignment="1"/>
    <xf numFmtId="39" fontId="14" fillId="0" borderId="19" xfId="79" applyNumberFormat="1" applyFont="1" applyFill="1" applyBorder="1" applyAlignment="1">
      <alignment horizontal="left" wrapText="1"/>
    </xf>
    <xf numFmtId="165" fontId="14" fillId="0" borderId="11" xfId="43" applyFont="1" applyFill="1" applyBorder="1" applyAlignment="1">
      <alignment horizontal="left"/>
    </xf>
    <xf numFmtId="165" fontId="3" fillId="27" borderId="21" xfId="43" applyFont="1" applyFill="1" applyBorder="1"/>
    <xf numFmtId="2" fontId="3" fillId="0" borderId="21" xfId="78" applyNumberFormat="1" applyFont="1" applyFill="1" applyBorder="1"/>
    <xf numFmtId="165" fontId="3" fillId="26" borderId="22" xfId="43" applyFont="1" applyFill="1" applyBorder="1"/>
    <xf numFmtId="2" fontId="3" fillId="0" borderId="22" xfId="78" applyNumberFormat="1" applyFont="1" applyFill="1" applyBorder="1"/>
    <xf numFmtId="165" fontId="3" fillId="32" borderId="22" xfId="43" applyFont="1" applyFill="1" applyBorder="1"/>
    <xf numFmtId="165" fontId="3" fillId="42" borderId="22" xfId="43" applyFont="1" applyFill="1" applyBorder="1"/>
    <xf numFmtId="165" fontId="3" fillId="43" borderId="22" xfId="43" applyFont="1" applyFill="1" applyBorder="1"/>
    <xf numFmtId="165" fontId="3" fillId="43" borderId="18" xfId="43" applyFont="1" applyFill="1" applyBorder="1"/>
    <xf numFmtId="165" fontId="3" fillId="43" borderId="23" xfId="43" applyFont="1" applyFill="1" applyBorder="1"/>
    <xf numFmtId="0" fontId="3" fillId="0" borderId="23" xfId="78" applyFont="1" applyFill="1" applyBorder="1"/>
    <xf numFmtId="165" fontId="0" fillId="37" borderId="0" xfId="43" applyFont="1" applyFill="1" applyBorder="1"/>
    <xf numFmtId="3" fontId="25" fillId="37" borderId="0" xfId="0" applyNumberFormat="1" applyFont="1" applyFill="1"/>
    <xf numFmtId="10" fontId="2" fillId="0" borderId="0" xfId="0" applyNumberFormat="1" applyFont="1" applyFill="1"/>
    <xf numFmtId="0" fontId="46" fillId="46" borderId="10" xfId="76" applyFont="1" applyFill="1" applyBorder="1" applyAlignment="1">
      <alignment vertical="center"/>
    </xf>
    <xf numFmtId="0" fontId="73" fillId="46" borderId="10" xfId="76" applyFont="1" applyFill="1" applyBorder="1"/>
    <xf numFmtId="0" fontId="73" fillId="46" borderId="20" xfId="76" applyFont="1" applyFill="1" applyBorder="1"/>
    <xf numFmtId="39" fontId="4" fillId="48" borderId="13" xfId="58" applyNumberFormat="1" applyFont="1" applyFill="1" applyBorder="1" applyAlignment="1" applyProtection="1"/>
    <xf numFmtId="0" fontId="0" fillId="40" borderId="0" xfId="0" applyFill="1"/>
    <xf numFmtId="166" fontId="2" fillId="37" borderId="32" xfId="133" applyNumberFormat="1" applyFont="1" applyFill="1" applyBorder="1"/>
    <xf numFmtId="166" fontId="2" fillId="37" borderId="29" xfId="133" applyNumberFormat="1" applyFont="1" applyFill="1" applyBorder="1"/>
    <xf numFmtId="166" fontId="2" fillId="37" borderId="26" xfId="133" applyNumberFormat="1" applyFont="1" applyFill="1" applyBorder="1"/>
    <xf numFmtId="0" fontId="4" fillId="48" borderId="24" xfId="132" applyFont="1" applyFill="1" applyBorder="1"/>
    <xf numFmtId="0" fontId="2" fillId="45" borderId="31" xfId="132" applyFont="1" applyFill="1" applyBorder="1" applyAlignment="1">
      <alignment vertical="center"/>
    </xf>
    <xf numFmtId="0" fontId="4" fillId="48" borderId="13" xfId="132" applyFont="1" applyFill="1" applyBorder="1"/>
    <xf numFmtId="0" fontId="4" fillId="45" borderId="0" xfId="132" applyFont="1" applyFill="1"/>
    <xf numFmtId="0" fontId="4" fillId="47" borderId="10" xfId="132" applyFont="1" applyFill="1" applyBorder="1"/>
    <xf numFmtId="0" fontId="4" fillId="47" borderId="24" xfId="132" applyFont="1" applyFill="1" applyBorder="1"/>
    <xf numFmtId="0" fontId="3" fillId="45" borderId="0" xfId="132" applyFont="1" applyFill="1"/>
    <xf numFmtId="166" fontId="2" fillId="37" borderId="35" xfId="133" applyNumberFormat="1" applyFont="1" applyFill="1" applyBorder="1"/>
    <xf numFmtId="166" fontId="2" fillId="37" borderId="38" xfId="133" applyNumberFormat="1" applyFont="1" applyFill="1" applyBorder="1"/>
    <xf numFmtId="0" fontId="4" fillId="45" borderId="0" xfId="132" applyFont="1" applyFill="1" applyBorder="1"/>
    <xf numFmtId="164" fontId="2" fillId="45" borderId="0" xfId="79" applyNumberFormat="1" applyFont="1" applyFill="1" applyBorder="1" applyAlignment="1" applyProtection="1"/>
    <xf numFmtId="166" fontId="2" fillId="39" borderId="0" xfId="43" applyNumberFormat="1" applyFill="1"/>
    <xf numFmtId="0" fontId="0" fillId="0" borderId="0" xfId="0" applyFont="1"/>
    <xf numFmtId="10" fontId="0" fillId="34" borderId="0" xfId="56" applyNumberFormat="1" applyFont="1" applyFill="1"/>
    <xf numFmtId="166" fontId="3" fillId="35" borderId="16" xfId="43" applyNumberFormat="1" applyFont="1" applyFill="1" applyBorder="1" applyAlignment="1" applyProtection="1">
      <protection locked="0"/>
    </xf>
    <xf numFmtId="166" fontId="3" fillId="36" borderId="16" xfId="43" applyNumberFormat="1" applyFont="1" applyFill="1" applyBorder="1" applyAlignment="1" applyProtection="1">
      <protection locked="0"/>
    </xf>
    <xf numFmtId="0" fontId="76" fillId="0" borderId="0" xfId="134" applyFont="1"/>
    <xf numFmtId="0" fontId="76" fillId="0" borderId="0" xfId="134" applyFont="1" applyAlignment="1">
      <alignment horizontal="left"/>
    </xf>
    <xf numFmtId="0" fontId="77" fillId="0" borderId="0" xfId="134" applyFont="1"/>
    <xf numFmtId="0" fontId="77" fillId="0" borderId="0" xfId="134" applyFont="1" applyAlignment="1">
      <alignment horizontal="center"/>
    </xf>
    <xf numFmtId="0" fontId="4" fillId="24" borderId="10" xfId="134" applyFont="1" applyFill="1" applyBorder="1"/>
    <xf numFmtId="0" fontId="4" fillId="24" borderId="10" xfId="134" applyFont="1" applyFill="1" applyBorder="1" applyAlignment="1">
      <alignment horizontal="left"/>
    </xf>
    <xf numFmtId="0" fontId="5" fillId="24" borderId="10" xfId="134" applyFont="1" applyFill="1" applyBorder="1"/>
    <xf numFmtId="0" fontId="78" fillId="24" borderId="10" xfId="134" applyFont="1" applyFill="1" applyBorder="1" applyAlignment="1">
      <alignment horizontal="center"/>
    </xf>
    <xf numFmtId="0" fontId="78" fillId="24" borderId="10" xfId="134" applyFont="1" applyFill="1" applyBorder="1"/>
    <xf numFmtId="0" fontId="76" fillId="0" borderId="0" xfId="134" applyFont="1" applyFill="1" applyAlignment="1">
      <alignment horizontal="left"/>
    </xf>
    <xf numFmtId="0" fontId="76" fillId="0" borderId="0" xfId="134" applyFont="1" applyAlignment="1">
      <alignment horizontal="center"/>
    </xf>
    <xf numFmtId="0" fontId="6" fillId="0" borderId="0" xfId="134" applyFont="1" applyFill="1"/>
    <xf numFmtId="0" fontId="76" fillId="0" borderId="0" xfId="134" applyFont="1" applyFill="1" applyAlignment="1">
      <alignment horizontal="center"/>
    </xf>
    <xf numFmtId="0" fontId="4" fillId="25" borderId="10" xfId="134" applyFont="1" applyFill="1" applyBorder="1"/>
    <xf numFmtId="0" fontId="4" fillId="25" borderId="10" xfId="134" applyFont="1" applyFill="1" applyBorder="1" applyAlignment="1">
      <alignment horizontal="left"/>
    </xf>
    <xf numFmtId="0" fontId="4" fillId="0" borderId="0" xfId="134" applyFont="1" applyBorder="1" applyAlignment="1">
      <alignment horizontal="left"/>
    </xf>
    <xf numFmtId="166" fontId="2" fillId="0" borderId="0" xfId="135" applyNumberFormat="1" applyFont="1" applyFill="1" applyAlignment="1">
      <alignment horizontal="center"/>
    </xf>
    <xf numFmtId="166" fontId="76" fillId="26" borderId="0" xfId="135" applyNumberFormat="1" applyFont="1" applyFill="1"/>
    <xf numFmtId="166" fontId="76" fillId="34" borderId="0" xfId="135" applyNumberFormat="1" applyFont="1" applyFill="1"/>
    <xf numFmtId="0" fontId="76" fillId="0" borderId="0" xfId="134" applyFont="1" applyBorder="1" applyAlignment="1">
      <alignment horizontal="left"/>
    </xf>
    <xf numFmtId="166" fontId="76" fillId="0" borderId="0" xfId="135" applyNumberFormat="1" applyFont="1"/>
    <xf numFmtId="166" fontId="76" fillId="0" borderId="0" xfId="135" applyNumberFormat="1" applyFont="1" applyFill="1"/>
    <xf numFmtId="0" fontId="76" fillId="0" borderId="0" xfId="134" applyFont="1" applyFill="1" applyBorder="1" applyAlignment="1">
      <alignment horizontal="left"/>
    </xf>
    <xf numFmtId="166" fontId="2" fillId="27" borderId="0" xfId="135" applyNumberFormat="1" applyFont="1" applyFill="1" applyAlignment="1">
      <alignment horizontal="center"/>
    </xf>
    <xf numFmtId="0" fontId="76" fillId="0" borderId="0" xfId="134" applyFont="1" applyFill="1"/>
    <xf numFmtId="0" fontId="77" fillId="0" borderId="0" xfId="134" applyFont="1" applyFill="1"/>
    <xf numFmtId="0" fontId="4" fillId="25" borderId="10" xfId="134" applyFont="1" applyFill="1" applyBorder="1" applyAlignment="1">
      <alignment horizontal="center"/>
    </xf>
    <xf numFmtId="0" fontId="79" fillId="0" borderId="0" xfId="134" applyFont="1"/>
    <xf numFmtId="174" fontId="4" fillId="25" borderId="10" xfId="136" applyNumberFormat="1" applyFont="1" applyFill="1" applyBorder="1" applyAlignment="1">
      <alignment horizontal="center"/>
    </xf>
    <xf numFmtId="174" fontId="4" fillId="25" borderId="10" xfId="136" applyNumberFormat="1" applyFont="1" applyFill="1" applyBorder="1"/>
    <xf numFmtId="174" fontId="76" fillId="0" borderId="0" xfId="136" applyNumberFormat="1" applyFont="1" applyAlignment="1">
      <alignment horizontal="center"/>
    </xf>
    <xf numFmtId="174" fontId="76" fillId="0" borderId="0" xfId="136" applyNumberFormat="1" applyFont="1"/>
    <xf numFmtId="0" fontId="80" fillId="0" borderId="0" xfId="134" applyFont="1"/>
    <xf numFmtId="0" fontId="81" fillId="0" borderId="0" xfId="134" applyFont="1" applyAlignment="1">
      <alignment horizontal="left"/>
    </xf>
    <xf numFmtId="0" fontId="76" fillId="45" borderId="0" xfId="134" applyFont="1" applyFill="1" applyAlignment="1">
      <alignment horizontal="left"/>
    </xf>
    <xf numFmtId="174" fontId="2" fillId="27" borderId="0" xfId="136" applyNumberFormat="1" applyFont="1" applyFill="1" applyAlignment="1">
      <alignment horizontal="center"/>
    </xf>
    <xf numFmtId="174" fontId="76" fillId="35" borderId="0" xfId="136" applyNumberFormat="1" applyFont="1" applyFill="1"/>
    <xf numFmtId="0" fontId="81" fillId="0" borderId="0" xfId="134" applyFont="1" applyFill="1" applyAlignment="1">
      <alignment horizontal="left"/>
    </xf>
    <xf numFmtId="174" fontId="77" fillId="0" borderId="0" xfId="136" applyNumberFormat="1" applyFont="1" applyAlignment="1">
      <alignment horizontal="center"/>
    </xf>
    <xf numFmtId="174" fontId="78" fillId="25" borderId="10" xfId="136" applyNumberFormat="1" applyFont="1" applyFill="1" applyBorder="1" applyAlignment="1">
      <alignment horizontal="center"/>
    </xf>
    <xf numFmtId="0" fontId="79" fillId="0" borderId="0" xfId="134" applyFont="1" applyAlignment="1">
      <alignment horizontal="left"/>
    </xf>
    <xf numFmtId="174" fontId="2" fillId="0" borderId="0" xfId="136" applyNumberFormat="1" applyFont="1" applyFill="1" applyAlignment="1">
      <alignment horizontal="center"/>
    </xf>
    <xf numFmtId="174" fontId="2" fillId="34" borderId="0" xfId="136" applyNumberFormat="1" applyFont="1" applyFill="1" applyAlignment="1">
      <alignment horizontal="center"/>
    </xf>
    <xf numFmtId="174" fontId="77" fillId="0" borderId="0" xfId="136" applyNumberFormat="1" applyFont="1" applyFill="1" applyAlignment="1">
      <alignment horizontal="center"/>
    </xf>
    <xf numFmtId="174" fontId="76" fillId="34" borderId="0" xfId="136" applyNumberFormat="1" applyFont="1" applyFill="1"/>
    <xf numFmtId="170" fontId="76" fillId="37" borderId="0" xfId="137" applyNumberFormat="1" applyFont="1" applyFill="1" applyAlignment="1">
      <alignment horizontal="right"/>
    </xf>
    <xf numFmtId="170" fontId="76" fillId="34" borderId="0" xfId="137" applyNumberFormat="1" applyFont="1" applyFill="1" applyAlignment="1">
      <alignment horizontal="right"/>
    </xf>
    <xf numFmtId="0" fontId="1" fillId="0" borderId="0" xfId="134"/>
    <xf numFmtId="0" fontId="1" fillId="0" borderId="0" xfId="134" applyFont="1" applyAlignment="1">
      <alignment horizontal="center"/>
    </xf>
    <xf numFmtId="0" fontId="1" fillId="0" borderId="0" xfId="134" applyFont="1"/>
    <xf numFmtId="166" fontId="76" fillId="37" borderId="0" xfId="135" applyNumberFormat="1" applyFont="1" applyFill="1"/>
    <xf numFmtId="174" fontId="76" fillId="0" borderId="0" xfId="136" applyNumberFormat="1" applyFont="1" applyFill="1"/>
    <xf numFmtId="0" fontId="78" fillId="25" borderId="10" xfId="134" applyFont="1" applyFill="1" applyBorder="1" applyAlignment="1">
      <alignment horizontal="center"/>
    </xf>
    <xf numFmtId="0" fontId="78" fillId="25" borderId="10" xfId="134" applyFont="1" applyFill="1" applyBorder="1"/>
    <xf numFmtId="0" fontId="4" fillId="0" borderId="0" xfId="134" applyFont="1" applyFill="1" applyBorder="1" applyAlignment="1">
      <alignment horizontal="left"/>
    </xf>
    <xf numFmtId="0" fontId="4" fillId="0" borderId="0" xfId="134" applyFont="1" applyFill="1" applyBorder="1"/>
    <xf numFmtId="0" fontId="78" fillId="0" borderId="0" xfId="134" applyFont="1" applyFill="1" applyBorder="1" applyAlignment="1">
      <alignment horizontal="center"/>
    </xf>
    <xf numFmtId="0" fontId="78" fillId="0" borderId="0" xfId="134" applyFont="1" applyFill="1" applyBorder="1"/>
    <xf numFmtId="0" fontId="82" fillId="0" borderId="0" xfId="134" applyFont="1"/>
    <xf numFmtId="166" fontId="0" fillId="0" borderId="0" xfId="135" applyNumberFormat="1" applyFont="1"/>
    <xf numFmtId="166" fontId="0" fillId="34" borderId="0" xfId="135" applyNumberFormat="1" applyFont="1" applyFill="1"/>
    <xf numFmtId="0" fontId="79" fillId="0" borderId="0" xfId="134" applyFont="1" applyFill="1" applyAlignment="1">
      <alignment horizontal="left"/>
    </xf>
    <xf numFmtId="0" fontId="83" fillId="0" borderId="0" xfId="134" applyFont="1"/>
    <xf numFmtId="0" fontId="4" fillId="25" borderId="10" xfId="134" applyFont="1" applyFill="1" applyBorder="1" applyAlignment="1"/>
    <xf numFmtId="0" fontId="81" fillId="0" borderId="0" xfId="134" applyFont="1" applyAlignment="1"/>
    <xf numFmtId="0" fontId="79" fillId="0" borderId="0" xfId="134" applyFont="1" applyAlignment="1"/>
    <xf numFmtId="0" fontId="81" fillId="0" borderId="0" xfId="134" applyFont="1" applyBorder="1" applyAlignment="1"/>
    <xf numFmtId="166" fontId="0" fillId="0" borderId="0" xfId="135" applyNumberFormat="1" applyFont="1" applyFill="1"/>
    <xf numFmtId="0" fontId="0" fillId="0" borderId="0" xfId="135" applyNumberFormat="1" applyFont="1" applyFill="1"/>
    <xf numFmtId="0" fontId="4" fillId="0" borderId="0" xfId="134" applyFont="1" applyBorder="1" applyAlignment="1"/>
    <xf numFmtId="166" fontId="84" fillId="0" borderId="0" xfId="135" applyNumberFormat="1" applyFont="1" applyFill="1"/>
    <xf numFmtId="0" fontId="76" fillId="0" borderId="0" xfId="134" applyFont="1" applyFill="1" applyBorder="1" applyAlignment="1"/>
    <xf numFmtId="0" fontId="82" fillId="0" borderId="0" xfId="134" applyFont="1" applyAlignment="1">
      <alignment horizontal="center"/>
    </xf>
    <xf numFmtId="0" fontId="2" fillId="0" borderId="0" xfId="134" applyFont="1" applyBorder="1"/>
    <xf numFmtId="166" fontId="1" fillId="36" borderId="0" xfId="134" applyNumberFormat="1" applyFill="1"/>
    <xf numFmtId="0" fontId="84" fillId="0" borderId="0" xfId="134" applyFont="1"/>
    <xf numFmtId="166" fontId="1" fillId="0" borderId="0" xfId="134" applyNumberFormat="1" applyFill="1"/>
    <xf numFmtId="166" fontId="0" fillId="37" borderId="0" xfId="135" applyNumberFormat="1" applyFont="1" applyFill="1"/>
    <xf numFmtId="0" fontId="0" fillId="34" borderId="0" xfId="43" applyNumberFormat="1" applyFont="1" applyFill="1"/>
    <xf numFmtId="166" fontId="0" fillId="39" borderId="0" xfId="135" applyNumberFormat="1" applyFont="1" applyFill="1"/>
    <xf numFmtId="0" fontId="42" fillId="0" borderId="20" xfId="77" applyFill="1" applyBorder="1" applyAlignment="1">
      <alignment vertical="center"/>
    </xf>
    <xf numFmtId="0" fontId="2" fillId="0" borderId="0" xfId="0" applyFont="1" applyBorder="1" applyAlignment="1">
      <alignment vertical="center"/>
    </xf>
    <xf numFmtId="0" fontId="4" fillId="45" borderId="0" xfId="0" applyFont="1" applyFill="1"/>
    <xf numFmtId="0" fontId="0" fillId="45" borderId="0" xfId="0" applyFill="1"/>
    <xf numFmtId="0" fontId="5" fillId="0" borderId="0" xfId="134" applyFont="1" applyFill="1" applyBorder="1"/>
    <xf numFmtId="0" fontId="1" fillId="0" borderId="0" xfId="134" applyFill="1"/>
    <xf numFmtId="0" fontId="1" fillId="0" borderId="0" xfId="134" applyFont="1" applyFill="1" applyAlignment="1">
      <alignment horizontal="center"/>
    </xf>
    <xf numFmtId="0" fontId="1" fillId="0" borderId="0" xfId="134" applyFont="1" applyFill="1"/>
    <xf numFmtId="0" fontId="4" fillId="0" borderId="0" xfId="141" applyFont="1" applyFill="1" applyBorder="1"/>
    <xf numFmtId="2" fontId="4" fillId="0" borderId="0" xfId="141" applyNumberFormat="1" applyFont="1" applyFill="1" applyBorder="1"/>
    <xf numFmtId="0" fontId="5" fillId="24" borderId="10" xfId="76" applyFont="1" applyFill="1" applyBorder="1"/>
    <xf numFmtId="0" fontId="4" fillId="24" borderId="10" xfId="76" applyFont="1" applyFill="1" applyBorder="1"/>
    <xf numFmtId="0" fontId="2" fillId="0" borderId="0" xfId="76" applyFont="1"/>
    <xf numFmtId="0" fontId="4" fillId="25" borderId="10" xfId="76" applyFont="1" applyFill="1" applyBorder="1"/>
    <xf numFmtId="0" fontId="2" fillId="25" borderId="10" xfId="76" applyFill="1" applyBorder="1"/>
    <xf numFmtId="166" fontId="2" fillId="27" borderId="0" xfId="76" applyNumberFormat="1" applyFill="1"/>
    <xf numFmtId="2" fontId="2" fillId="29" borderId="0" xfId="76" applyNumberFormat="1" applyFill="1"/>
    <xf numFmtId="0" fontId="2" fillId="0" borderId="0" xfId="76" applyFill="1"/>
    <xf numFmtId="0" fontId="4" fillId="0" borderId="0" xfId="76" applyFont="1" applyFill="1"/>
    <xf numFmtId="166" fontId="2" fillId="0" borderId="0" xfId="76" applyNumberFormat="1" applyFill="1"/>
    <xf numFmtId="170" fontId="0" fillId="0" borderId="0" xfId="56" applyNumberFormat="1" applyFont="1" applyFill="1"/>
    <xf numFmtId="170" fontId="0" fillId="27" borderId="0" xfId="56" applyNumberFormat="1" applyFont="1" applyFill="1"/>
    <xf numFmtId="167" fontId="2" fillId="0" borderId="0" xfId="76" applyNumberFormat="1"/>
    <xf numFmtId="2" fontId="0" fillId="37" borderId="0" xfId="0" applyNumberFormat="1" applyFill="1"/>
    <xf numFmtId="0" fontId="4" fillId="0" borderId="0" xfId="76" applyFont="1" applyAlignment="1">
      <alignment horizontal="center"/>
    </xf>
    <xf numFmtId="175" fontId="2" fillId="37" borderId="0" xfId="76" applyNumberFormat="1" applyFill="1"/>
    <xf numFmtId="0" fontId="73" fillId="46" borderId="24" xfId="76" applyFont="1" applyFill="1" applyBorder="1" applyAlignment="1">
      <alignment vertical="center"/>
    </xf>
    <xf numFmtId="0" fontId="2" fillId="0" borderId="0" xfId="1" applyFont="1"/>
    <xf numFmtId="0" fontId="2" fillId="0" borderId="0" xfId="142" applyFont="1"/>
    <xf numFmtId="0" fontId="2" fillId="25" borderId="10" xfId="142" applyFont="1" applyFill="1" applyBorder="1"/>
    <xf numFmtId="0" fontId="4" fillId="25" borderId="10" xfId="142" applyFont="1" applyFill="1" applyBorder="1"/>
    <xf numFmtId="0" fontId="2" fillId="0" borderId="0" xfId="142" applyFont="1" applyAlignment="1">
      <alignment vertical="top"/>
    </xf>
    <xf numFmtId="0" fontId="26" fillId="25" borderId="0" xfId="1" applyFont="1" applyFill="1"/>
    <xf numFmtId="166" fontId="2" fillId="35" borderId="0" xfId="43" applyNumberFormat="1" applyFont="1" applyFill="1"/>
    <xf numFmtId="0" fontId="2" fillId="0" borderId="0" xfId="142" applyFont="1" applyFill="1"/>
    <xf numFmtId="165" fontId="2" fillId="49" borderId="0" xfId="43" applyFont="1" applyFill="1" applyBorder="1"/>
    <xf numFmtId="166" fontId="2" fillId="36" borderId="0" xfId="43" applyNumberFormat="1" applyFont="1" applyFill="1"/>
    <xf numFmtId="0" fontId="36" fillId="0" borderId="0" xfId="1" applyFont="1"/>
    <xf numFmtId="1" fontId="3" fillId="43" borderId="19" xfId="43" applyNumberFormat="1" applyFont="1" applyFill="1" applyBorder="1" applyAlignment="1"/>
    <xf numFmtId="165" fontId="85" fillId="0" borderId="0" xfId="43" applyFont="1" applyFill="1" applyBorder="1"/>
    <xf numFmtId="0" fontId="2" fillId="0" borderId="0" xfId="143" applyFont="1"/>
    <xf numFmtId="0" fontId="2" fillId="35" borderId="0" xfId="1" applyFont="1" applyFill="1"/>
    <xf numFmtId="166" fontId="76" fillId="39" borderId="0" xfId="135" applyNumberFormat="1" applyFont="1" applyFill="1"/>
    <xf numFmtId="174" fontId="76" fillId="39" borderId="0" xfId="136" applyNumberFormat="1" applyFont="1" applyFill="1"/>
    <xf numFmtId="0" fontId="48" fillId="24" borderId="10" xfId="1" applyFont="1" applyFill="1" applyBorder="1"/>
    <xf numFmtId="0" fontId="2" fillId="0" borderId="0" xfId="72" applyFont="1" applyFill="1" applyBorder="1"/>
    <xf numFmtId="0" fontId="26" fillId="0" borderId="0" xfId="138" applyFont="1"/>
    <xf numFmtId="10" fontId="0" fillId="39" borderId="0" xfId="56" applyNumberFormat="1" applyFont="1" applyFill="1"/>
    <xf numFmtId="10" fontId="2" fillId="35" borderId="0" xfId="56" applyNumberFormat="1" applyFont="1" applyFill="1"/>
    <xf numFmtId="10" fontId="2" fillId="36" borderId="0" xfId="56" applyNumberFormat="1" applyFont="1" applyFill="1"/>
    <xf numFmtId="0" fontId="2" fillId="0" borderId="0" xfId="0" applyFont="1" applyFill="1" applyAlignment="1">
      <alignment horizontal="left" vertical="top"/>
    </xf>
    <xf numFmtId="166" fontId="2" fillId="26" borderId="0" xfId="43" applyNumberFormat="1" applyFont="1" applyFill="1"/>
    <xf numFmtId="166" fontId="26" fillId="32" borderId="0" xfId="1" applyNumberFormat="1" applyFont="1" applyFill="1"/>
    <xf numFmtId="0" fontId="6" fillId="0" borderId="0" xfId="143" applyFont="1"/>
    <xf numFmtId="0" fontId="26" fillId="24" borderId="10" xfId="1" applyFont="1" applyFill="1" applyBorder="1"/>
    <xf numFmtId="0" fontId="26" fillId="0" borderId="0" xfId="1" applyFont="1" applyFill="1"/>
    <xf numFmtId="0" fontId="26" fillId="0" borderId="0" xfId="1" applyFont="1" applyAlignment="1">
      <alignment wrapText="1"/>
    </xf>
    <xf numFmtId="166" fontId="26" fillId="0" borderId="0" xfId="1" applyNumberFormat="1" applyFont="1"/>
    <xf numFmtId="166" fontId="3" fillId="39" borderId="14" xfId="43" applyNumberFormat="1" applyFont="1" applyFill="1" applyBorder="1"/>
    <xf numFmtId="165" fontId="0" fillId="0" borderId="0" xfId="43" applyNumberFormat="1" applyFont="1" applyFill="1"/>
    <xf numFmtId="0" fontId="48" fillId="24" borderId="10" xfId="0" applyFont="1" applyFill="1" applyBorder="1"/>
    <xf numFmtId="0" fontId="81" fillId="45" borderId="14" xfId="0" applyFont="1" applyFill="1" applyBorder="1" applyAlignment="1"/>
    <xf numFmtId="0" fontId="86" fillId="0" borderId="16" xfId="0" applyFont="1" applyBorder="1"/>
    <xf numFmtId="0" fontId="87" fillId="0" borderId="16" xfId="0" applyFont="1" applyBorder="1"/>
    <xf numFmtId="0" fontId="86" fillId="0" borderId="19" xfId="0" applyFont="1" applyBorder="1"/>
    <xf numFmtId="0" fontId="87" fillId="0" borderId="19" xfId="0" applyFont="1" applyBorder="1"/>
    <xf numFmtId="0" fontId="2" fillId="26" borderId="11" xfId="72" applyFont="1" applyFill="1" applyBorder="1"/>
    <xf numFmtId="0" fontId="2" fillId="30" borderId="0" xfId="72" applyFont="1" applyFill="1" applyBorder="1"/>
    <xf numFmtId="0" fontId="2" fillId="27" borderId="11" xfId="72" applyFont="1" applyFill="1" applyBorder="1"/>
    <xf numFmtId="0" fontId="2" fillId="29" borderId="11" xfId="72" applyFont="1" applyFill="1" applyBorder="1"/>
    <xf numFmtId="0" fontId="2" fillId="32" borderId="11" xfId="72" applyFont="1" applyFill="1" applyBorder="1"/>
    <xf numFmtId="0" fontId="2" fillId="28" borderId="11" xfId="72" applyFont="1" applyFill="1" applyBorder="1"/>
    <xf numFmtId="0" fontId="2" fillId="33" borderId="11" xfId="72" applyFont="1" applyFill="1" applyBorder="1"/>
    <xf numFmtId="0" fontId="26" fillId="0" borderId="0" xfId="1" applyFont="1" applyAlignment="1">
      <alignment horizontal="left"/>
    </xf>
    <xf numFmtId="0" fontId="28" fillId="24" borderId="10" xfId="1" applyFont="1" applyFill="1" applyBorder="1"/>
    <xf numFmtId="0" fontId="28" fillId="0" borderId="0" xfId="1" applyFont="1"/>
    <xf numFmtId="0" fontId="28" fillId="0" borderId="0" xfId="1" applyFont="1" applyFill="1"/>
    <xf numFmtId="0" fontId="28" fillId="0" borderId="0" xfId="1" applyFont="1" applyAlignment="1">
      <alignment wrapText="1"/>
    </xf>
    <xf numFmtId="166" fontId="26" fillId="32" borderId="0" xfId="43" applyNumberFormat="1" applyFont="1" applyFill="1"/>
    <xf numFmtId="0" fontId="2" fillId="0" borderId="0" xfId="142" applyFont="1" applyFill="1" applyBorder="1"/>
    <xf numFmtId="0" fontId="4" fillId="0" borderId="0" xfId="142" applyFont="1" applyFill="1" applyBorder="1"/>
    <xf numFmtId="166" fontId="2" fillId="50" borderId="0" xfId="43" applyNumberFormat="1" applyFill="1"/>
    <xf numFmtId="10" fontId="0" fillId="50" borderId="0" xfId="56" applyNumberFormat="1" applyFont="1" applyFill="1"/>
    <xf numFmtId="166" fontId="0" fillId="50" borderId="0" xfId="43" applyNumberFormat="1" applyFont="1" applyFill="1"/>
    <xf numFmtId="0" fontId="2" fillId="0" borderId="0" xfId="1" applyFont="1" applyAlignment="1">
      <alignment horizontal="left"/>
    </xf>
    <xf numFmtId="0" fontId="31" fillId="0" borderId="0" xfId="1" applyFont="1"/>
    <xf numFmtId="166" fontId="2" fillId="40" borderId="0" xfId="43" applyNumberFormat="1" applyFont="1" applyFill="1"/>
    <xf numFmtId="0" fontId="40" fillId="0" borderId="0" xfId="0" applyFont="1" applyFill="1" applyAlignment="1">
      <alignment horizontal="left" vertical="top"/>
    </xf>
    <xf numFmtId="0" fontId="40" fillId="0" borderId="0" xfId="1" applyFont="1"/>
    <xf numFmtId="1" fontId="35" fillId="50" borderId="14" xfId="78" applyNumberFormat="1" applyFont="1" applyFill="1" applyBorder="1"/>
    <xf numFmtId="1" fontId="35" fillId="50" borderId="16" xfId="78" applyNumberFormat="1" applyFont="1" applyFill="1" applyBorder="1"/>
    <xf numFmtId="1" fontId="35" fillId="50" borderId="19" xfId="78" applyNumberFormat="1" applyFont="1" applyFill="1" applyBorder="1"/>
    <xf numFmtId="0" fontId="88" fillId="0" borderId="0" xfId="1" applyFont="1"/>
    <xf numFmtId="165" fontId="26" fillId="36" borderId="0" xfId="43" applyNumberFormat="1" applyFont="1" applyFill="1" applyAlignment="1">
      <alignment horizontal="left"/>
    </xf>
    <xf numFmtId="165" fontId="35" fillId="50" borderId="19" xfId="43" applyFont="1" applyFill="1" applyBorder="1"/>
    <xf numFmtId="3" fontId="35" fillId="50" borderId="19" xfId="1" applyNumberFormat="1" applyFont="1" applyFill="1" applyBorder="1"/>
    <xf numFmtId="165" fontId="35" fillId="50" borderId="18" xfId="43" applyFont="1" applyFill="1" applyBorder="1"/>
    <xf numFmtId="166" fontId="3" fillId="50" borderId="19" xfId="43" applyNumberFormat="1" applyFont="1" applyFill="1" applyBorder="1"/>
    <xf numFmtId="0" fontId="89" fillId="0" borderId="0" xfId="1" applyFont="1" applyFill="1" applyBorder="1" applyAlignment="1"/>
    <xf numFmtId="0" fontId="90" fillId="0" borderId="0" xfId="77" applyFont="1"/>
    <xf numFmtId="166" fontId="2" fillId="51" borderId="0" xfId="43" applyNumberFormat="1" applyFont="1" applyFill="1"/>
    <xf numFmtId="0" fontId="76" fillId="0" borderId="0" xfId="0" applyFont="1"/>
    <xf numFmtId="0" fontId="91" fillId="0" borderId="0" xfId="0" applyFont="1" applyBorder="1" applyAlignment="1">
      <alignment vertical="center" wrapText="1"/>
    </xf>
    <xf numFmtId="0" fontId="92" fillId="0" borderId="0" xfId="0" applyFont="1" applyBorder="1" applyAlignment="1">
      <alignment vertical="center" wrapText="1"/>
    </xf>
    <xf numFmtId="0" fontId="92" fillId="34" borderId="0" xfId="0" applyFont="1" applyFill="1" applyBorder="1" applyAlignment="1">
      <alignment vertical="center"/>
    </xf>
    <xf numFmtId="0" fontId="92" fillId="35" borderId="0" xfId="0" applyFont="1" applyFill="1" applyBorder="1" applyAlignment="1">
      <alignment vertical="center"/>
    </xf>
    <xf numFmtId="0" fontId="92" fillId="36" borderId="0" xfId="0" applyFont="1" applyFill="1" applyBorder="1" applyAlignment="1">
      <alignment vertical="center"/>
    </xf>
    <xf numFmtId="0" fontId="92" fillId="52" borderId="0" xfId="0" applyFont="1" applyFill="1" applyBorder="1" applyAlignment="1">
      <alignment vertical="center"/>
    </xf>
    <xf numFmtId="0" fontId="92" fillId="53" borderId="0" xfId="0" applyFont="1" applyFill="1" applyBorder="1" applyAlignment="1">
      <alignment vertical="center"/>
    </xf>
    <xf numFmtId="0" fontId="92" fillId="55" borderId="0" xfId="0" applyFont="1" applyFill="1" applyBorder="1" applyAlignment="1">
      <alignment vertical="center"/>
    </xf>
    <xf numFmtId="0" fontId="26" fillId="27" borderId="0" xfId="1" applyFont="1" applyFill="1" applyBorder="1"/>
    <xf numFmtId="0" fontId="26" fillId="42" borderId="0" xfId="1" applyFont="1" applyFill="1" applyBorder="1"/>
    <xf numFmtId="0" fontId="26" fillId="43" borderId="0" xfId="1" applyFont="1" applyFill="1" applyBorder="1"/>
    <xf numFmtId="0" fontId="92" fillId="54" borderId="0" xfId="0" applyFont="1" applyFill="1" applyBorder="1" applyAlignment="1">
      <alignment vertical="top"/>
    </xf>
    <xf numFmtId="0" fontId="92" fillId="0" borderId="0" xfId="0" applyFont="1" applyBorder="1" applyAlignment="1">
      <alignment vertical="top" wrapText="1"/>
    </xf>
    <xf numFmtId="0" fontId="4" fillId="0" borderId="0" xfId="1" applyFont="1" applyAlignment="1">
      <alignment vertical="top"/>
    </xf>
    <xf numFmtId="0" fontId="26" fillId="44" borderId="0" xfId="1" applyFont="1" applyFill="1" applyBorder="1" applyAlignment="1">
      <alignment vertical="top"/>
    </xf>
    <xf numFmtId="0" fontId="2" fillId="0" borderId="0" xfId="1" applyFont="1" applyAlignment="1">
      <alignment vertical="top"/>
    </xf>
    <xf numFmtId="0" fontId="3" fillId="50" borderId="15" xfId="1" applyFont="1" applyFill="1" applyBorder="1" applyAlignment="1"/>
    <xf numFmtId="0" fontId="3" fillId="50" borderId="16" xfId="1" applyFont="1" applyFill="1" applyBorder="1" applyAlignment="1"/>
    <xf numFmtId="2" fontId="26" fillId="0" borderId="0" xfId="1" applyNumberFormat="1" applyFont="1" applyFill="1" applyBorder="1"/>
    <xf numFmtId="2" fontId="26" fillId="0" borderId="0" xfId="1" applyNumberFormat="1" applyFont="1" applyFill="1" applyBorder="1" applyAlignment="1">
      <alignment vertical="top" wrapText="1"/>
    </xf>
    <xf numFmtId="0" fontId="26" fillId="53" borderId="15" xfId="1" applyFont="1" applyFill="1" applyBorder="1"/>
    <xf numFmtId="165" fontId="3" fillId="53" borderId="15" xfId="43" applyFont="1" applyFill="1" applyBorder="1" applyAlignment="1" applyProtection="1">
      <protection locked="0"/>
    </xf>
    <xf numFmtId="3" fontId="3" fillId="53" borderId="16" xfId="1" applyNumberFormat="1" applyFont="1" applyFill="1" applyBorder="1" applyAlignment="1" applyProtection="1">
      <protection locked="0"/>
    </xf>
    <xf numFmtId="165" fontId="3" fillId="53" borderId="0" xfId="43" applyFont="1" applyFill="1" applyBorder="1" applyAlignment="1" applyProtection="1">
      <protection locked="0"/>
    </xf>
    <xf numFmtId="1" fontId="3" fillId="53" borderId="16" xfId="1" applyNumberFormat="1" applyFont="1" applyFill="1" applyBorder="1" applyAlignment="1" applyProtection="1">
      <protection locked="0"/>
    </xf>
    <xf numFmtId="165" fontId="3" fillId="53" borderId="16" xfId="43" applyFont="1" applyFill="1" applyBorder="1" applyAlignment="1" applyProtection="1">
      <protection locked="0"/>
    </xf>
    <xf numFmtId="166" fontId="3" fillId="53" borderId="16" xfId="43" applyNumberFormat="1" applyFont="1" applyFill="1" applyBorder="1" applyAlignment="1" applyProtection="1">
      <protection locked="0"/>
    </xf>
    <xf numFmtId="165" fontId="35" fillId="53" borderId="15" xfId="43" applyFont="1" applyFill="1" applyBorder="1"/>
    <xf numFmtId="0" fontId="35" fillId="50" borderId="16" xfId="1" applyFont="1" applyFill="1" applyBorder="1"/>
    <xf numFmtId="165" fontId="3" fillId="36" borderId="15" xfId="43" applyFont="1" applyFill="1" applyBorder="1" applyAlignment="1" applyProtection="1">
      <protection locked="0"/>
    </xf>
    <xf numFmtId="165" fontId="3" fillId="36" borderId="0" xfId="43" applyFont="1" applyFill="1" applyBorder="1" applyAlignment="1" applyProtection="1">
      <protection locked="0"/>
    </xf>
    <xf numFmtId="165" fontId="3" fillId="36" borderId="22" xfId="43" applyFont="1" applyFill="1" applyBorder="1" applyAlignment="1" applyProtection="1">
      <protection locked="0"/>
    </xf>
    <xf numFmtId="165" fontId="3" fillId="36" borderId="16" xfId="43" applyFont="1" applyFill="1" applyBorder="1" applyAlignment="1" applyProtection="1">
      <protection locked="0"/>
    </xf>
    <xf numFmtId="166" fontId="4" fillId="0" borderId="0" xfId="43" applyNumberFormat="1" applyFont="1"/>
    <xf numFmtId="166" fontId="3" fillId="53" borderId="22" xfId="43" applyNumberFormat="1" applyFont="1" applyFill="1" applyBorder="1" applyAlignment="1" applyProtection="1">
      <protection locked="0"/>
    </xf>
    <xf numFmtId="1" fontId="3" fillId="53" borderId="16" xfId="43" applyNumberFormat="1" applyFont="1" applyFill="1" applyBorder="1" applyAlignment="1" applyProtection="1">
      <protection locked="0"/>
    </xf>
    <xf numFmtId="0" fontId="3" fillId="50" borderId="16" xfId="77" applyFont="1" applyFill="1" applyBorder="1"/>
    <xf numFmtId="0" fontId="3" fillId="50" borderId="15" xfId="77" applyFont="1" applyFill="1" applyBorder="1" applyAlignment="1"/>
    <xf numFmtId="0" fontId="3" fillId="50" borderId="14" xfId="1" applyFont="1" applyFill="1" applyBorder="1" applyAlignment="1"/>
    <xf numFmtId="0" fontId="3" fillId="50" borderId="14" xfId="77" applyFont="1" applyFill="1" applyBorder="1"/>
    <xf numFmtId="0" fontId="35" fillId="50" borderId="19" xfId="1" applyFont="1" applyFill="1" applyBorder="1"/>
    <xf numFmtId="2" fontId="26" fillId="54" borderId="17" xfId="1" applyNumberFormat="1" applyFont="1" applyFill="1" applyBorder="1"/>
    <xf numFmtId="165" fontId="3" fillId="54" borderId="14" xfId="43" applyFont="1" applyFill="1" applyBorder="1" applyAlignment="1" applyProtection="1">
      <protection locked="0"/>
    </xf>
    <xf numFmtId="166" fontId="3" fillId="54" borderId="14" xfId="43" applyNumberFormat="1" applyFont="1" applyFill="1" applyBorder="1" applyAlignment="1" applyProtection="1">
      <protection locked="0"/>
    </xf>
    <xf numFmtId="165" fontId="3" fillId="54" borderId="16" xfId="43" applyFont="1" applyFill="1" applyBorder="1" applyAlignment="1" applyProtection="1">
      <protection locked="0"/>
    </xf>
    <xf numFmtId="166" fontId="3" fillId="54" borderId="16" xfId="43" applyNumberFormat="1" applyFont="1" applyFill="1" applyBorder="1" applyAlignment="1" applyProtection="1">
      <protection locked="0"/>
    </xf>
    <xf numFmtId="165" fontId="3" fillId="54" borderId="22" xfId="43" applyFont="1" applyFill="1" applyBorder="1" applyAlignment="1" applyProtection="1">
      <protection locked="0"/>
    </xf>
    <xf numFmtId="166" fontId="3" fillId="54" borderId="19" xfId="43" applyNumberFormat="1" applyFont="1" applyFill="1" applyBorder="1" applyAlignment="1" applyProtection="1">
      <protection locked="0"/>
    </xf>
    <xf numFmtId="0" fontId="93" fillId="0" borderId="0" xfId="0" applyFont="1" applyAlignment="1">
      <alignment vertical="center"/>
    </xf>
    <xf numFmtId="2" fontId="0" fillId="50" borderId="0" xfId="0" applyNumberFormat="1" applyFill="1"/>
    <xf numFmtId="165" fontId="2" fillId="35" borderId="0" xfId="43" applyNumberFormat="1" applyFont="1" applyFill="1"/>
    <xf numFmtId="0" fontId="2" fillId="0" borderId="0" xfId="142" applyFont="1" applyAlignment="1">
      <alignment horizontal="left"/>
    </xf>
    <xf numFmtId="0" fontId="4" fillId="0" borderId="0" xfId="1" applyFont="1" applyAlignment="1">
      <alignment horizontal="left"/>
    </xf>
    <xf numFmtId="0" fontId="2" fillId="25" borderId="10" xfId="142" applyFont="1" applyFill="1" applyBorder="1" applyAlignment="1">
      <alignment horizontal="left"/>
    </xf>
    <xf numFmtId="0" fontId="2" fillId="0" borderId="0" xfId="142" applyFont="1" applyFill="1" applyBorder="1" applyAlignment="1">
      <alignment horizontal="left"/>
    </xf>
    <xf numFmtId="0" fontId="4" fillId="0" borderId="0" xfId="1" applyFont="1" applyAlignment="1">
      <alignment horizontal="left" vertical="top"/>
    </xf>
    <xf numFmtId="0" fontId="2" fillId="0" borderId="0" xfId="1" applyFont="1" applyAlignment="1">
      <alignment horizontal="left" vertical="top"/>
    </xf>
    <xf numFmtId="0" fontId="26" fillId="0" borderId="0" xfId="1" applyFont="1" applyAlignment="1">
      <alignment vertical="top"/>
    </xf>
    <xf numFmtId="166" fontId="26" fillId="0" borderId="0" xfId="43" applyNumberFormat="1" applyFont="1" applyFill="1"/>
    <xf numFmtId="0" fontId="94" fillId="46" borderId="24" xfId="76" applyFont="1" applyFill="1" applyBorder="1" applyAlignment="1">
      <alignment vertical="center"/>
    </xf>
    <xf numFmtId="0" fontId="2" fillId="45" borderId="0" xfId="76" applyFont="1" applyFill="1" applyBorder="1"/>
    <xf numFmtId="0" fontId="2" fillId="45" borderId="0" xfId="76" applyFont="1" applyFill="1"/>
    <xf numFmtId="0" fontId="2" fillId="45" borderId="15" xfId="76" applyFont="1" applyFill="1" applyBorder="1"/>
    <xf numFmtId="0" fontId="2" fillId="45" borderId="22" xfId="76" applyFont="1" applyFill="1" applyBorder="1"/>
    <xf numFmtId="0" fontId="2" fillId="45" borderId="18" xfId="76" applyFont="1" applyFill="1" applyBorder="1"/>
    <xf numFmtId="0" fontId="2" fillId="45" borderId="17" xfId="76" applyFont="1" applyFill="1" applyBorder="1"/>
    <xf numFmtId="0" fontId="2" fillId="45" borderId="17" xfId="76" applyFont="1" applyFill="1" applyBorder="1" applyAlignment="1">
      <alignment horizontal="center"/>
    </xf>
    <xf numFmtId="0" fontId="2" fillId="45" borderId="23" xfId="76" applyFont="1" applyFill="1" applyBorder="1"/>
    <xf numFmtId="0" fontId="2" fillId="45" borderId="0" xfId="132" applyFont="1" applyFill="1"/>
    <xf numFmtId="0" fontId="2" fillId="47" borderId="20" xfId="132" applyFont="1" applyFill="1" applyBorder="1"/>
    <xf numFmtId="39" fontId="2" fillId="48" borderId="12" xfId="58" applyNumberFormat="1" applyFont="1" applyFill="1" applyBorder="1" applyAlignment="1" applyProtection="1">
      <alignment horizontal="center"/>
    </xf>
    <xf numFmtId="0" fontId="2" fillId="48" borderId="21" xfId="132" applyFont="1" applyFill="1" applyBorder="1"/>
    <xf numFmtId="0" fontId="2" fillId="48" borderId="20" xfId="132" applyFont="1" applyFill="1" applyBorder="1"/>
    <xf numFmtId="0" fontId="2" fillId="45" borderId="25" xfId="132" applyFont="1" applyFill="1" applyBorder="1"/>
    <xf numFmtId="0" fontId="2" fillId="45" borderId="27" xfId="132" applyFont="1" applyFill="1" applyBorder="1"/>
    <xf numFmtId="0" fontId="2" fillId="45" borderId="28" xfId="132" applyFont="1" applyFill="1" applyBorder="1"/>
    <xf numFmtId="0" fontId="2" fillId="45" borderId="30" xfId="132" applyFont="1" applyFill="1" applyBorder="1"/>
    <xf numFmtId="0" fontId="2" fillId="45" borderId="31" xfId="132" applyFont="1" applyFill="1" applyBorder="1"/>
    <xf numFmtId="0" fontId="2" fillId="45" borderId="33" xfId="132" applyFont="1" applyFill="1" applyBorder="1"/>
    <xf numFmtId="0" fontId="2" fillId="45" borderId="34" xfId="132" applyFont="1" applyFill="1" applyBorder="1"/>
    <xf numFmtId="0" fontId="2" fillId="45" borderId="36" xfId="132" applyFont="1" applyFill="1" applyBorder="1"/>
    <xf numFmtId="0" fontId="2" fillId="45" borderId="0" xfId="132" applyFont="1" applyFill="1" applyBorder="1" applyAlignment="1">
      <alignment vertical="center"/>
    </xf>
    <xf numFmtId="0" fontId="2" fillId="45" borderId="0" xfId="132" applyFont="1" applyFill="1" applyBorder="1"/>
    <xf numFmtId="0" fontId="43" fillId="45" borderId="0" xfId="76" applyFont="1" applyFill="1" applyBorder="1"/>
    <xf numFmtId="0" fontId="94" fillId="46" borderId="10" xfId="76" applyFont="1" applyFill="1" applyBorder="1" applyAlignment="1">
      <alignment vertical="center"/>
    </xf>
    <xf numFmtId="0" fontId="94" fillId="46" borderId="10" xfId="76" applyFont="1" applyFill="1" applyBorder="1"/>
    <xf numFmtId="0" fontId="94" fillId="46" borderId="20" xfId="76" applyFont="1" applyFill="1" applyBorder="1"/>
    <xf numFmtId="0" fontId="2" fillId="45" borderId="37" xfId="132" applyFont="1" applyFill="1" applyBorder="1"/>
    <xf numFmtId="0" fontId="2" fillId="45" borderId="39" xfId="132" applyFont="1" applyFill="1" applyBorder="1"/>
    <xf numFmtId="2" fontId="2" fillId="45" borderId="0" xfId="132" applyNumberFormat="1" applyFont="1" applyFill="1"/>
    <xf numFmtId="175" fontId="2" fillId="35" borderId="0" xfId="56" applyNumberFormat="1" applyFont="1" applyFill="1"/>
    <xf numFmtId="175" fontId="2" fillId="0" borderId="0" xfId="1" applyNumberFormat="1" applyFont="1"/>
    <xf numFmtId="175" fontId="2" fillId="36" borderId="0" xfId="56" applyNumberFormat="1" applyFont="1" applyFill="1"/>
    <xf numFmtId="0" fontId="2" fillId="0" borderId="0" xfId="141" applyFont="1" applyBorder="1"/>
    <xf numFmtId="0" fontId="27" fillId="0" borderId="0" xfId="0" applyFont="1" applyFill="1"/>
    <xf numFmtId="0" fontId="4" fillId="45" borderId="14" xfId="0" applyFont="1" applyFill="1" applyBorder="1" applyAlignment="1"/>
    <xf numFmtId="0" fontId="95" fillId="0" borderId="16" xfId="0" applyFont="1" applyBorder="1"/>
    <xf numFmtId="0" fontId="95" fillId="0" borderId="19" xfId="0" applyFont="1" applyBorder="1"/>
    <xf numFmtId="0" fontId="2" fillId="0" borderId="0" xfId="138" applyFont="1"/>
    <xf numFmtId="0" fontId="2" fillId="0" borderId="0" xfId="0" applyFont="1" applyAlignment="1">
      <alignment horizontal="left" wrapText="1"/>
    </xf>
    <xf numFmtId="2" fontId="26" fillId="0" borderId="0" xfId="1" applyNumberFormat="1" applyFont="1" applyFill="1" applyBorder="1" applyAlignment="1">
      <alignment horizontal="left" vertical="top" wrapText="1"/>
    </xf>
    <xf numFmtId="166" fontId="2" fillId="0" borderId="0" xfId="43" applyNumberFormat="1" applyFont="1" applyFill="1" applyAlignment="1">
      <alignment horizontal="left" vertical="top" wrapText="1"/>
    </xf>
    <xf numFmtId="0" fontId="2" fillId="0" borderId="0" xfId="142" applyFont="1" applyFill="1" applyAlignment="1">
      <alignment horizontal="left" vertical="top" wrapText="1"/>
    </xf>
    <xf numFmtId="0" fontId="4" fillId="25" borderId="13" xfId="77" applyFont="1" applyFill="1" applyBorder="1" applyAlignment="1">
      <alignment horizontal="center"/>
    </xf>
    <xf numFmtId="0" fontId="2" fillId="0" borderId="21" xfId="77" applyFont="1" applyBorder="1" applyAlignment="1">
      <alignment horizontal="center"/>
    </xf>
    <xf numFmtId="0" fontId="4" fillId="25" borderId="24" xfId="77" applyFont="1" applyFill="1" applyBorder="1" applyAlignment="1">
      <alignment horizontal="center"/>
    </xf>
    <xf numFmtId="0" fontId="4" fillId="25" borderId="21" xfId="77" applyFont="1" applyFill="1" applyBorder="1" applyAlignment="1">
      <alignment horizontal="center"/>
    </xf>
    <xf numFmtId="0" fontId="4" fillId="25" borderId="10" xfId="77" applyFont="1" applyFill="1" applyBorder="1" applyAlignment="1">
      <alignment horizontal="center"/>
    </xf>
    <xf numFmtId="0" fontId="4" fillId="25" borderId="20" xfId="77" applyFont="1" applyFill="1" applyBorder="1" applyAlignment="1">
      <alignment horizontal="center"/>
    </xf>
    <xf numFmtId="0" fontId="2" fillId="0" borderId="20" xfId="77" applyFont="1" applyBorder="1" applyAlignment="1">
      <alignment horizontal="center"/>
    </xf>
    <xf numFmtId="165" fontId="35" fillId="0" borderId="18" xfId="43" applyFont="1" applyBorder="1" applyAlignment="1"/>
    <xf numFmtId="0" fontId="42" fillId="0" borderId="19" xfId="77" applyBorder="1" applyAlignment="1"/>
    <xf numFmtId="165" fontId="35" fillId="0" borderId="17" xfId="43" applyFont="1" applyBorder="1" applyAlignment="1"/>
    <xf numFmtId="0" fontId="42" fillId="0" borderId="23" xfId="77" applyBorder="1" applyAlignment="1"/>
    <xf numFmtId="165" fontId="35" fillId="0" borderId="24" xfId="43" applyFont="1" applyBorder="1" applyAlignment="1"/>
    <xf numFmtId="165" fontId="35" fillId="0" borderId="20" xfId="43" applyFont="1" applyBorder="1" applyAlignment="1"/>
    <xf numFmtId="0" fontId="2" fillId="0" borderId="12" xfId="77" applyFont="1" applyBorder="1" applyAlignment="1">
      <alignment horizontal="center"/>
    </xf>
    <xf numFmtId="0" fontId="2" fillId="0" borderId="10" xfId="77" applyFont="1" applyBorder="1" applyAlignment="1">
      <alignment horizontal="center"/>
    </xf>
    <xf numFmtId="0" fontId="4" fillId="25" borderId="18" xfId="77" applyFont="1" applyFill="1" applyBorder="1" applyAlignment="1">
      <alignment horizontal="center"/>
    </xf>
    <xf numFmtId="0" fontId="2" fillId="0" borderId="23" xfId="77" applyFont="1" applyBorder="1" applyAlignment="1">
      <alignment horizontal="center"/>
    </xf>
    <xf numFmtId="0" fontId="4" fillId="29" borderId="11" xfId="77" applyFont="1" applyFill="1" applyBorder="1" applyAlignment="1">
      <alignment horizontal="center" vertical="center"/>
    </xf>
    <xf numFmtId="0" fontId="4" fillId="32" borderId="11" xfId="77" applyFont="1" applyFill="1" applyBorder="1" applyAlignment="1">
      <alignment horizontal="center" vertical="center"/>
    </xf>
    <xf numFmtId="0" fontId="45" fillId="0" borderId="11" xfId="77" applyFont="1" applyBorder="1" applyAlignment="1">
      <alignment horizontal="center" vertical="center" textRotation="90"/>
    </xf>
    <xf numFmtId="0" fontId="42" fillId="0" borderId="11" xfId="77" applyBorder="1" applyAlignment="1">
      <alignment horizontal="center" vertical="center" textRotation="90"/>
    </xf>
    <xf numFmtId="0" fontId="45" fillId="0" borderId="11" xfId="77" applyFont="1" applyFill="1" applyBorder="1" applyAlignment="1">
      <alignment horizontal="center" vertical="center" textRotation="90"/>
    </xf>
    <xf numFmtId="0" fontId="42" fillId="0" borderId="11" xfId="77" applyBorder="1" applyAlignment="1"/>
    <xf numFmtId="0" fontId="4" fillId="29" borderId="24" xfId="77" applyFont="1" applyFill="1" applyBorder="1" applyAlignment="1">
      <alignment horizontal="center" vertical="center"/>
    </xf>
    <xf numFmtId="0" fontId="4" fillId="32" borderId="20" xfId="77" applyFont="1" applyFill="1" applyBorder="1" applyAlignment="1">
      <alignment horizontal="center" vertical="center"/>
    </xf>
    <xf numFmtId="0" fontId="40" fillId="0" borderId="0" xfId="0" applyFont="1" applyFill="1" applyBorder="1" applyAlignment="1">
      <alignment horizontal="center"/>
    </xf>
  </cellXfs>
  <cellStyles count="145">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 2" xfId="69"/>
    <cellStyle name="_x000d__x000a_JournalTemplate=C:\COMFO\CTALK\JOURSTD.TPL_x000d__x000a_LbStateAddress=3 3 0 251 1 89 2 311_x000d__x000a_LbStateJou 2 2" xfId="138"/>
    <cellStyle name="_x000d__x000a_JournalTemplate=C:\COMFO\CTALK\JOURSTD.TPL_x000d__x000a_LbStateAddress=3 3 0 251 1 89 2 311_x000d__x000a_LbStateJou 3" xfId="68"/>
    <cellStyle name="_x000d__x000a_JournalTemplate=C:\COMFO\CTALK\JOURSTD.TPL_x000d__x000a_LbStateAddress=3 3 0 251 1 89 2 311_x000d__x000a_LbStateJou 4" xfId="83"/>
    <cellStyle name="_x000d__x000a_JournalTemplate=C:\COMFO\CTALK\JOURSTD.TPL_x000d__x000a_LbStateAddress=3 3 0 251 1 89 2 311_x000d__x000a_LbStateJou_100720 berekening x-factoren NG4R v4.2" xfId="144"/>
    <cellStyle name="20% - Accent1" xfId="2" builtinId="30" customBuiltin="1"/>
    <cellStyle name="20% - Accent1 2" xfId="84"/>
    <cellStyle name="20% - Accent2" xfId="3" builtinId="34" customBuiltin="1"/>
    <cellStyle name="20% - Accent2 2" xfId="85"/>
    <cellStyle name="20% - Accent3" xfId="4" builtinId="38" customBuiltin="1"/>
    <cellStyle name="20% - Accent3 2" xfId="86"/>
    <cellStyle name="20% - Accent4" xfId="5" builtinId="42" customBuiltin="1"/>
    <cellStyle name="20% - Accent4 2" xfId="87"/>
    <cellStyle name="20% - Accent5" xfId="6" builtinId="46" customBuiltin="1"/>
    <cellStyle name="20% - Accent5 2" xfId="88"/>
    <cellStyle name="20% - Accent6" xfId="7" builtinId="50" customBuiltin="1"/>
    <cellStyle name="20% - Accent6 2" xfId="89"/>
    <cellStyle name="40% - Accent1" xfId="8" builtinId="31" customBuiltin="1"/>
    <cellStyle name="40% - Accent1 2" xfId="90"/>
    <cellStyle name="40% - Accent2" xfId="9" builtinId="35" customBuiltin="1"/>
    <cellStyle name="40% - Accent2 2" xfId="91"/>
    <cellStyle name="40% - Accent3" xfId="10" builtinId="39" customBuiltin="1"/>
    <cellStyle name="40% - Accent3 2" xfId="92"/>
    <cellStyle name="40% - Accent4" xfId="11" builtinId="43" customBuiltin="1"/>
    <cellStyle name="40% - Accent4 2" xfId="93"/>
    <cellStyle name="40% - Accent5" xfId="12" builtinId="47" customBuiltin="1"/>
    <cellStyle name="40% - Accent5 2" xfId="94"/>
    <cellStyle name="40% - Accent6" xfId="13" builtinId="51" customBuiltin="1"/>
    <cellStyle name="40% - Accent6 2" xfId="95"/>
    <cellStyle name="60% - Accent1" xfId="14" builtinId="32" customBuiltin="1"/>
    <cellStyle name="60% - Accent1 2" xfId="96"/>
    <cellStyle name="60% - Accent2" xfId="15" builtinId="36" customBuiltin="1"/>
    <cellStyle name="60% - Accent2 2" xfId="97"/>
    <cellStyle name="60% - Accent3" xfId="16" builtinId="40" customBuiltin="1"/>
    <cellStyle name="60% - Accent3 2" xfId="98"/>
    <cellStyle name="60% - Accent4" xfId="17" builtinId="44" customBuiltin="1"/>
    <cellStyle name="60% - Accent4 2" xfId="99"/>
    <cellStyle name="60% - Accent5" xfId="18" builtinId="48" customBuiltin="1"/>
    <cellStyle name="60% - Accent5 2" xfId="100"/>
    <cellStyle name="60% - Accent6" xfId="19" builtinId="52" customBuiltin="1"/>
    <cellStyle name="60% - Accent6 2" xfId="101"/>
    <cellStyle name="Accent1" xfId="20" builtinId="29" customBuiltin="1"/>
    <cellStyle name="Accent1 2" xfId="102"/>
    <cellStyle name="Accent2" xfId="21" builtinId="33" customBuiltin="1"/>
    <cellStyle name="Accent2 2" xfId="103"/>
    <cellStyle name="Accent3" xfId="22" builtinId="37" customBuiltin="1"/>
    <cellStyle name="Accent3 2" xfId="104"/>
    <cellStyle name="Accent4" xfId="23" builtinId="41" customBuiltin="1"/>
    <cellStyle name="Accent4 2" xfId="105"/>
    <cellStyle name="Accent5" xfId="24" builtinId="45" customBuiltin="1"/>
    <cellStyle name="Accent5 2" xfId="106"/>
    <cellStyle name="Accent6" xfId="25" builtinId="49" customBuiltin="1"/>
    <cellStyle name="Accent6 2" xfId="107"/>
    <cellStyle name="Bad" xfId="26"/>
    <cellStyle name="Bad 2" xfId="108"/>
    <cellStyle name="Berekening" xfId="27" builtinId="22" customBuiltin="1"/>
    <cellStyle name="Calculation" xfId="28"/>
    <cellStyle name="Calculation 2" xfId="109"/>
    <cellStyle name="Check Cell" xfId="29"/>
    <cellStyle name="Check Cell 2" xfId="110"/>
    <cellStyle name="Comma 2" xfId="111"/>
    <cellStyle name="Comma 3" xfId="112"/>
    <cellStyle name="Controlecel" xfId="30" builtinId="23" customBuiltin="1"/>
    <cellStyle name="Euro" xfId="31"/>
    <cellStyle name="Euro 2" xfId="113"/>
    <cellStyle name="Explanatory Text" xfId="32"/>
    <cellStyle name="Explanatory Text 2" xfId="114"/>
    <cellStyle name="Gekoppelde cel" xfId="33" builtinId="24" customBuiltin="1"/>
    <cellStyle name="Goed" xfId="34" builtinId="26" customBuiltin="1"/>
    <cellStyle name="Good" xfId="35"/>
    <cellStyle name="Good 2" xfId="115"/>
    <cellStyle name="Header" xfId="36"/>
    <cellStyle name="Heading 1" xfId="37"/>
    <cellStyle name="Heading 1 2" xfId="116"/>
    <cellStyle name="Heading 2" xfId="38"/>
    <cellStyle name="Heading 2 2" xfId="117"/>
    <cellStyle name="Heading 3" xfId="39"/>
    <cellStyle name="Heading 3 2" xfId="118"/>
    <cellStyle name="Heading 4" xfId="40"/>
    <cellStyle name="Heading 4 2" xfId="119"/>
    <cellStyle name="Input" xfId="41"/>
    <cellStyle name="Input 2" xfId="120"/>
    <cellStyle name="Invoer" xfId="42" builtinId="20" customBuiltin="1"/>
    <cellStyle name="Komma" xfId="43" builtinId="3"/>
    <cellStyle name="Komma 14 2" xfId="135"/>
    <cellStyle name="Komma 2" xfId="70"/>
    <cellStyle name="Komma 2 2" xfId="133"/>
    <cellStyle name="Komma 2 3" xfId="139"/>
    <cellStyle name="Komma 3" xfId="121"/>
    <cellStyle name="Komma 3 2" xfId="140"/>
    <cellStyle name="Komma 4" xfId="136"/>
    <cellStyle name="Kop 1" xfId="44" builtinId="16" customBuiltin="1"/>
    <cellStyle name="Kop 2" xfId="45" builtinId="17" customBuiltin="1"/>
    <cellStyle name="Kop 3" xfId="46" builtinId="18" customBuiltin="1"/>
    <cellStyle name="Kop 4" xfId="47" builtinId="19" customBuiltin="1"/>
    <cellStyle name="Linked Cell" xfId="48"/>
    <cellStyle name="Linked Cell 2" xfId="122"/>
    <cellStyle name="Neutraal" xfId="49" builtinId="28" customBuiltin="1"/>
    <cellStyle name="Neutral" xfId="50"/>
    <cellStyle name="Neutral 2" xfId="123"/>
    <cellStyle name="Normal 2" xfId="124"/>
    <cellStyle name="Normal 3" xfId="125"/>
    <cellStyle name="Normal_# klanten" xfId="51"/>
    <cellStyle name="Note" xfId="52"/>
    <cellStyle name="Note 2" xfId="126"/>
    <cellStyle name="Notitie" xfId="53" builtinId="10" customBuiltin="1"/>
    <cellStyle name="Ongeldig" xfId="54" builtinId="27" customBuiltin="1"/>
    <cellStyle name="Output" xfId="55"/>
    <cellStyle name="Output 2" xfId="127"/>
    <cellStyle name="Procent" xfId="56" builtinId="5"/>
    <cellStyle name="Procent 2" xfId="74"/>
    <cellStyle name="Procent 3" xfId="137"/>
    <cellStyle name="Standaard" xfId="0" builtinId="0"/>
    <cellStyle name="Standaard 2" xfId="71"/>
    <cellStyle name="Standaard 2 2" xfId="76"/>
    <cellStyle name="Standaard 2 3" xfId="132"/>
    <cellStyle name="Standaard 3" xfId="75"/>
    <cellStyle name="Standaard 4" xfId="77"/>
    <cellStyle name="Standaard 5" xfId="134"/>
    <cellStyle name="Standaard_103408_5 NXIS NE-PRD(i)-10-01 versie 2" xfId="81"/>
    <cellStyle name="Standaard_103838 Berekeningen XQRV-besluit Herstel NE4R" xfId="142"/>
    <cellStyle name="Standaard_103838 Berekeningen XQRV-besluit Herstel NE4R 2" xfId="143"/>
    <cellStyle name="Standaard_20100206 MB Hulpmiddel data q-factor" xfId="141"/>
    <cellStyle name="Standaard_20100727 Rekenmodel NE5R v1.9" xfId="72"/>
    <cellStyle name="Standaard_Kopie van 104163 20120827 Rekenmodel x-factor en RV NE5R (gewijzigd) EXTERN" xfId="78"/>
    <cellStyle name="Standaard_Tabellen - CIV2" xfId="57"/>
    <cellStyle name="Standaard_Tabellen - CIV2 2" xfId="79"/>
    <cellStyle name="Standaard_Tabellen - CIV2_Format import PRD en Database voor NE6R (concept) v1" xfId="58"/>
    <cellStyle name="Standaard_Tabellen - CIV2_Kopie van 104163 20120827 Rekenmodel x-factor en RV NE5R (gewijzigd) EXTERN" xfId="80"/>
    <cellStyle name="Standaard_Tarievenmand 2002" xfId="73"/>
    <cellStyle name="Standaard_Tarievenmand 2002 2" xfId="82"/>
    <cellStyle name="Standaard_Tarievenmand 2002_Format import PRD en Database voor NE6R (concept) v1" xfId="59"/>
    <cellStyle name="Titel" xfId="60" builtinId="15" customBuiltin="1"/>
    <cellStyle name="Title" xfId="61"/>
    <cellStyle name="Title 2" xfId="128"/>
    <cellStyle name="Totaal" xfId="62" builtinId="25" customBuiltin="1"/>
    <cellStyle name="Total" xfId="63"/>
    <cellStyle name="Total 2" xfId="129"/>
    <cellStyle name="Uitvoer" xfId="64" builtinId="21" customBuiltin="1"/>
    <cellStyle name="Verklarende tekst" xfId="65" builtinId="53" customBuiltin="1"/>
    <cellStyle name="Waarschuwingstekst" xfId="66" builtinId="11" customBuiltin="1"/>
    <cellStyle name="Warning Text" xfId="67"/>
    <cellStyle name="Warning Text 2" xfId="130"/>
    <cellStyle name="WIt" xfId="131"/>
  </cellStyles>
  <dxfs count="0"/>
  <tableStyles count="0" defaultTableStyle="TableStyleMedium9" defaultPivotStyle="PivotStyleLight16"/>
  <colors>
    <mruColors>
      <color rgb="FFDBE91F"/>
      <color rgb="FFFF99CC"/>
      <color rgb="FFCCFFCC"/>
      <color rgb="FFCCFFFF"/>
      <color rgb="FFFF3399"/>
      <color rgb="FF99CC00"/>
      <color rgb="FF33CC33"/>
      <color rgb="FFFFCC00"/>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7%20DN/16.0349.52%20Herstel%20X%2011-13%20en%2014-16%20(zomer%202016)/Herstel%20XQRV%20E%2011-13%20(NE5R)/X-factormodel%20NE5R/RNB-E%20x-factor%20wijziging%20zomer%20'16%20versie%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nergiekamer.nl/05%20Regulering/Tarieven%202005/6.%20Proces%20Gas/CODATA/040616%201%20BF%20NG-TA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energiekamer.nl/DTe/ALGEMEEN/Tarieven%202003/Elektriciteit%20nettarieven/Output%20definitief/021015%20TM%20NE%202003%20Definitief%20UIT%20(3)/DELT%20TM%20NE%202003%2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DTE/ALGEMEEN/Tarieven/Tarieven%202002%20netbeheerders/AuditMod%20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energiekamer.nl/DTe/ALGEMEEN/X-en%20NE%20Reparatie/030523%20Concept%20definitief%20model/030523%20Model%20Definitief%20besluit/Basismodel%20CB%20NE/CB%20met%20activawaarde%20dte/Kopie%20van%20030205%20X_CB%20NE%20DEA%20Model%20CB%20met%20activawaarde%20d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07%20DN\103221%20NE5R%20(vanaf%202011)\13%20Data%20en%20berekeningen\NG4R\Rekenmodel\100726%20berekening%20x-factoren%20NG4R%20v4.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l. Herstel NE5R (sep2014)"/>
      <sheetName val="Aanpassing gegevens (sep2014)"/>
      <sheetName val="Aanpassing gegevens (aug2012)"/>
      <sheetName val="Berek. x WEIN (aug12, sep14)"/>
      <sheetName val="x-factor"/>
      <sheetName val="Eindinkomsten"/>
      <sheetName val="Productiviteit"/>
      <sheetName val="Kosten"/>
      <sheetName val="SO"/>
      <sheetName val="Wegingsfactoren"/>
      <sheetName val="Rekenvolumes"/>
      <sheetName val="Volumes"/>
      <sheetName val="EAV (incl RV)"/>
      <sheetName val="PAV (incl RV)"/>
      <sheetName val="ORV Lokale Heffingen"/>
      <sheetName val="ORV Waterkruisingen"/>
      <sheetName val="Omzetting capaciteitstarief"/>
      <sheetName val="CPI en WACC"/>
      <sheetName val="Bijlage1_Overzicht X &amp; Q"/>
      <sheetName val="Bijlage2_rekenvolumi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2.5000000000000001E-2</v>
          </cell>
        </row>
        <row r="8">
          <cell r="C8">
            <v>4.7E-2</v>
          </cell>
        </row>
        <row r="9">
          <cell r="C9">
            <v>3.3000000000000002E-2</v>
          </cell>
        </row>
        <row r="10">
          <cell r="C10">
            <v>2.1000000000000001E-2</v>
          </cell>
        </row>
        <row r="11">
          <cell r="C11">
            <v>1.0999999999999999E-2</v>
          </cell>
        </row>
        <row r="12">
          <cell r="C12">
            <v>1.7999999999999999E-2</v>
          </cell>
        </row>
        <row r="13">
          <cell r="C13">
            <v>1.4E-2</v>
          </cell>
        </row>
        <row r="14">
          <cell r="C14">
            <v>1.0999999999999999E-2</v>
          </cell>
        </row>
        <row r="15">
          <cell r="C15">
            <v>3.2000000000000001E-2</v>
          </cell>
          <cell r="D15">
            <v>5.5E-2</v>
          </cell>
        </row>
        <row r="16">
          <cell r="C16">
            <v>3.0000000000000001E-3</v>
          </cell>
        </row>
        <row r="17">
          <cell r="D17">
            <v>6.2E-2</v>
          </cell>
        </row>
        <row r="22">
          <cell r="C22">
            <v>2.5000000000000001E-2</v>
          </cell>
        </row>
        <row r="23">
          <cell r="C23">
            <v>7.3174999999999768E-2</v>
          </cell>
          <cell r="D23">
            <v>4.7E-2</v>
          </cell>
        </row>
        <row r="24">
          <cell r="C24">
            <v>0.10858977499999978</v>
          </cell>
          <cell r="D24">
            <v>8.1550999999999929E-2</v>
          </cell>
          <cell r="E24">
            <v>3.3000000000000002E-2</v>
          </cell>
        </row>
        <row r="25">
          <cell r="C25">
            <v>0.13187016027499965</v>
          </cell>
          <cell r="D25">
            <v>0.10426357099999972</v>
          </cell>
          <cell r="E25">
            <v>5.4692999999999881E-2</v>
          </cell>
          <cell r="F25">
            <v>2.1000000000000001E-2</v>
          </cell>
        </row>
        <row r="26">
          <cell r="C26">
            <v>0.14432073203802442</v>
          </cell>
          <cell r="D26">
            <v>0.1164104702809996</v>
          </cell>
          <cell r="E26">
            <v>6.6294622999999664E-2</v>
          </cell>
          <cell r="F26">
            <v>3.2230999999999899E-2</v>
          </cell>
          <cell r="G26">
            <v>1.0999999999999999E-2</v>
          </cell>
        </row>
        <row r="27">
          <cell r="C27">
            <v>0.16491850521470885</v>
          </cell>
          <cell r="D27">
            <v>0.1365058587460577</v>
          </cell>
          <cell r="E27">
            <v>8.5487926213999588E-2</v>
          </cell>
          <cell r="F27">
            <v>5.0811157999999912E-2</v>
          </cell>
          <cell r="G27">
            <v>2.9197999999999835E-2</v>
          </cell>
          <cell r="H27">
            <v>1.7999999999999999E-2</v>
          </cell>
        </row>
        <row r="28">
          <cell r="C28">
            <v>0.18122736428771469</v>
          </cell>
          <cell r="D28">
            <v>0.15241694076850254</v>
          </cell>
          <cell r="E28">
            <v>0.10068475718099568</v>
          </cell>
          <cell r="F28">
            <v>6.5522514211999949E-2</v>
          </cell>
          <cell r="G28">
            <v>4.3606771999999738E-2</v>
          </cell>
          <cell r="H28">
            <v>3.2251999999999947E-2</v>
          </cell>
          <cell r="I28">
            <v>1.4E-2</v>
          </cell>
        </row>
        <row r="29">
          <cell r="C29">
            <v>0.19422086529487936</v>
          </cell>
          <cell r="D29">
            <v>0.16509352711695602</v>
          </cell>
          <cell r="E29">
            <v>0.11279228950998643</v>
          </cell>
          <cell r="F29">
            <v>7.7243261868331858E-2</v>
          </cell>
          <cell r="G29">
            <v>5.5086446491999563E-2</v>
          </cell>
          <cell r="H29">
            <v>4.3606771999999738E-2</v>
          </cell>
          <cell r="I29">
            <v>2.5153999999999899E-2</v>
          </cell>
          <cell r="J29">
            <v>1.0999999999999999E-2</v>
          </cell>
        </row>
        <row r="30">
          <cell r="C30">
            <v>0.23243593298431553</v>
          </cell>
          <cell r="D30">
            <v>0.20237651998469874</v>
          </cell>
          <cell r="E30">
            <v>0.14840164277430601</v>
          </cell>
          <cell r="F30">
            <v>0.11171504624811845</v>
          </cell>
          <cell r="G30">
            <v>8.8849212779743558E-2</v>
          </cell>
          <cell r="H30">
            <v>7.7002188703999774E-2</v>
          </cell>
          <cell r="I30">
            <v>5.795892799999991E-2</v>
          </cell>
          <cell r="J30">
            <v>4.3351999999999835E-2</v>
          </cell>
          <cell r="K30">
            <v>3.2000000000000001E-2</v>
          </cell>
        </row>
        <row r="31">
          <cell r="J31">
            <v>4.6482055999999661E-2</v>
          </cell>
        </row>
      </sheetData>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ow r="4">
          <cell r="E4">
            <v>6.6000000000000003E-2</v>
          </cell>
        </row>
      </sheetData>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2)"/>
      <sheetName val="constants"/>
      <sheetName val="Data"/>
      <sheetName val="Calc"/>
      <sheetName val="Results"/>
    </sheetNames>
    <sheetDataSet>
      <sheetData sheetId="0"/>
      <sheetData sheetId="1">
        <row r="3">
          <cell r="E3">
            <v>6.2E-2</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lichting"/>
      <sheetName val="x-factor"/>
      <sheetName val="Eindinkomsten"/>
      <sheetName val="Productiviteit TD"/>
      <sheetName val="Kosten AD"/>
      <sheetName val="Kosten TD"/>
      <sheetName val="Vergoedingen AD"/>
      <sheetName val="Catch-up"/>
      <sheetName val="SO"/>
      <sheetName val="Wegingsfactor TD"/>
      <sheetName val="Wegingsfactor AD"/>
      <sheetName val="Rekenvol"/>
      <sheetName val="Volumes"/>
      <sheetName val="ORV"/>
      <sheetName val="CPI&amp;WACC"/>
      <sheetName val="Legenda"/>
      <sheetName val="Bronnen"/>
      <sheetName val="Re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
          <cell r="D12">
            <v>5.5E-2</v>
          </cell>
        </row>
        <row r="14">
          <cell r="D14">
            <v>6.2E-2</v>
          </cell>
        </row>
      </sheetData>
      <sheetData sheetId="15" refreshError="1"/>
      <sheetData sheetId="16" refreshError="1"/>
      <sheetData sheetId="17"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91F"/>
    <pageSetUpPr fitToPage="1"/>
  </sheetPr>
  <dimension ref="B1:D29"/>
  <sheetViews>
    <sheetView showGridLines="0" tabSelected="1" zoomScale="85" zoomScaleNormal="85" workbookViewId="0"/>
  </sheetViews>
  <sheetFormatPr defaultRowHeight="12.75"/>
  <cols>
    <col min="1" max="1" width="2.5703125" customWidth="1"/>
    <col min="2" max="2" width="75.28515625" customWidth="1"/>
    <col min="3" max="3" width="15" customWidth="1"/>
    <col min="4" max="4" width="27" customWidth="1"/>
    <col min="5" max="5" width="2.5703125" customWidth="1"/>
    <col min="6" max="6" width="21.42578125" customWidth="1"/>
    <col min="7" max="15" width="14.85546875" customWidth="1"/>
  </cols>
  <sheetData>
    <row r="1" spans="2:4" ht="12" customHeight="1"/>
    <row r="2" spans="2:4" s="1" customFormat="1" ht="18">
      <c r="B2" s="1043" t="s">
        <v>1536</v>
      </c>
    </row>
    <row r="4" spans="2:4" s="2" customFormat="1">
      <c r="B4" s="2" t="s">
        <v>84</v>
      </c>
    </row>
    <row r="6" spans="2:4" ht="12.75" customHeight="1">
      <c r="B6" s="1184" t="s">
        <v>1278</v>
      </c>
      <c r="C6" s="1184"/>
      <c r="D6" s="1184"/>
    </row>
    <row r="7" spans="2:4">
      <c r="B7" s="1184"/>
      <c r="C7" s="1184"/>
      <c r="D7" s="1184"/>
    </row>
    <row r="8" spans="2:4">
      <c r="B8" s="985"/>
      <c r="C8" s="986"/>
      <c r="D8" s="986"/>
    </row>
    <row r="9" spans="2:4">
      <c r="B9" s="1180" t="s">
        <v>1537</v>
      </c>
      <c r="C9" s="1044" t="s">
        <v>1105</v>
      </c>
      <c r="D9" s="1044" t="s">
        <v>1106</v>
      </c>
    </row>
    <row r="10" spans="2:4">
      <c r="B10" s="1045" t="s">
        <v>1279</v>
      </c>
      <c r="C10" s="1181" t="s">
        <v>1520</v>
      </c>
      <c r="D10" s="1181" t="s">
        <v>1528</v>
      </c>
    </row>
    <row r="11" spans="2:4">
      <c r="B11" s="1045" t="s">
        <v>1280</v>
      </c>
      <c r="C11" s="1181" t="s">
        <v>1521</v>
      </c>
      <c r="D11" s="1181" t="s">
        <v>1529</v>
      </c>
    </row>
    <row r="12" spans="2:4">
      <c r="B12" s="1045" t="s">
        <v>1281</v>
      </c>
      <c r="C12" s="1181" t="s">
        <v>1522</v>
      </c>
      <c r="D12" s="1181" t="s">
        <v>1530</v>
      </c>
    </row>
    <row r="13" spans="2:4">
      <c r="B13" s="1045" t="s">
        <v>1282</v>
      </c>
      <c r="C13" s="1181" t="s">
        <v>1523</v>
      </c>
      <c r="D13" s="1181" t="s">
        <v>1531</v>
      </c>
    </row>
    <row r="14" spans="2:4">
      <c r="B14" s="1045" t="s">
        <v>1283</v>
      </c>
      <c r="C14" s="1181" t="s">
        <v>1524</v>
      </c>
      <c r="D14" s="1181" t="s">
        <v>1532</v>
      </c>
    </row>
    <row r="15" spans="2:4">
      <c r="B15" s="1045" t="s">
        <v>1284</v>
      </c>
      <c r="C15" s="1181" t="s">
        <v>1525</v>
      </c>
      <c r="D15" s="1181" t="s">
        <v>1533</v>
      </c>
    </row>
    <row r="16" spans="2:4">
      <c r="B16" s="1045" t="s">
        <v>1285</v>
      </c>
      <c r="C16" s="1181" t="s">
        <v>1526</v>
      </c>
      <c r="D16" s="1181" t="s">
        <v>1534</v>
      </c>
    </row>
    <row r="17" spans="2:4">
      <c r="B17" s="1047" t="s">
        <v>1286</v>
      </c>
      <c r="C17" s="1182" t="s">
        <v>1527</v>
      </c>
      <c r="D17" s="1182" t="s">
        <v>1535</v>
      </c>
    </row>
    <row r="19" spans="2:4" s="162" customFormat="1">
      <c r="B19" s="161" t="s">
        <v>415</v>
      </c>
    </row>
    <row r="21" spans="2:4">
      <c r="B21" s="1049" t="s">
        <v>416</v>
      </c>
    </row>
    <row r="22" spans="2:4">
      <c r="B22" s="1050"/>
    </row>
    <row r="23" spans="2:4">
      <c r="B23" s="1051" t="s">
        <v>417</v>
      </c>
    </row>
    <row r="24" spans="2:4">
      <c r="B24" s="1050"/>
    </row>
    <row r="25" spans="2:4">
      <c r="B25" s="1052" t="s">
        <v>418</v>
      </c>
    </row>
    <row r="26" spans="2:4">
      <c r="B26" s="163"/>
    </row>
    <row r="27" spans="2:4">
      <c r="B27" s="1053" t="s">
        <v>419</v>
      </c>
    </row>
    <row r="29" spans="2:4">
      <c r="B29" s="1054" t="s">
        <v>420</v>
      </c>
    </row>
  </sheetData>
  <mergeCells count="1">
    <mergeCell ref="B6:D7"/>
  </mergeCells>
  <pageMargins left="0.75" right="0.75" top="1" bottom="1" header="0.5" footer="0.5"/>
  <pageSetup paperSize="9" scale="7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enableFormatConditionsCalculation="0">
    <tabColor indexed="42"/>
  </sheetPr>
  <dimension ref="B1:P104"/>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10.28515625" customWidth="1"/>
    <col min="16" max="16" width="20" customWidth="1"/>
  </cols>
  <sheetData>
    <row r="1" spans="2:16" ht="12" customHeight="1"/>
    <row r="2" spans="2:16" s="1" customFormat="1" ht="18">
      <c r="B2" s="1" t="s">
        <v>55</v>
      </c>
      <c r="F2" s="47" t="s">
        <v>177</v>
      </c>
      <c r="G2" s="5" t="s">
        <v>168</v>
      </c>
      <c r="H2" s="5" t="s">
        <v>169</v>
      </c>
      <c r="I2" s="5" t="s">
        <v>170</v>
      </c>
      <c r="J2" s="5" t="s">
        <v>171</v>
      </c>
      <c r="K2" s="5" t="s">
        <v>172</v>
      </c>
      <c r="L2" s="5" t="s">
        <v>173</v>
      </c>
      <c r="M2" s="5" t="s">
        <v>174</v>
      </c>
      <c r="N2" s="5" t="s">
        <v>175</v>
      </c>
      <c r="P2" s="5" t="s">
        <v>438</v>
      </c>
    </row>
    <row r="4" spans="2:16">
      <c r="B4" s="80" t="s">
        <v>56</v>
      </c>
    </row>
    <row r="5" spans="2:16">
      <c r="B5" s="27" t="s">
        <v>57</v>
      </c>
    </row>
    <row r="6" spans="2:16">
      <c r="B6" s="27"/>
    </row>
    <row r="8" spans="2:16" s="2" customFormat="1">
      <c r="B8" s="2" t="s">
        <v>58</v>
      </c>
      <c r="F8" s="48"/>
    </row>
    <row r="10" spans="2:16">
      <c r="B10" s="3"/>
    </row>
    <row r="11" spans="2:16">
      <c r="B11" s="3" t="s">
        <v>49</v>
      </c>
    </row>
    <row r="12" spans="2:16">
      <c r="B12" s="3"/>
    </row>
    <row r="13" spans="2:16">
      <c r="B13" s="3"/>
    </row>
    <row r="14" spans="2:16">
      <c r="B14" s="85" t="s">
        <v>212</v>
      </c>
    </row>
    <row r="15" spans="2:16">
      <c r="B15" t="s">
        <v>213</v>
      </c>
      <c r="D15" t="s">
        <v>82</v>
      </c>
      <c r="F15" s="82">
        <f>SUM(G15:N15)</f>
        <v>5520</v>
      </c>
      <c r="G15" s="92">
        <v>0</v>
      </c>
      <c r="H15" s="92">
        <v>0</v>
      </c>
      <c r="I15" s="92">
        <v>0</v>
      </c>
      <c r="J15" s="92">
        <v>0</v>
      </c>
      <c r="K15" s="92">
        <v>2760</v>
      </c>
      <c r="L15" s="92">
        <v>0</v>
      </c>
      <c r="M15" s="92">
        <v>2760</v>
      </c>
      <c r="N15" s="92">
        <v>0</v>
      </c>
      <c r="P15" t="s">
        <v>530</v>
      </c>
    </row>
    <row r="16" spans="2:16">
      <c r="B16" t="s">
        <v>214</v>
      </c>
      <c r="D16" t="s">
        <v>82</v>
      </c>
      <c r="F16" s="82">
        <f>SUM(G16:N16)</f>
        <v>21.6</v>
      </c>
      <c r="G16" s="92">
        <v>0</v>
      </c>
      <c r="H16" s="92">
        <v>0</v>
      </c>
      <c r="I16" s="92">
        <v>0</v>
      </c>
      <c r="J16" s="92">
        <v>0</v>
      </c>
      <c r="K16" s="92">
        <v>9.6</v>
      </c>
      <c r="L16" s="92">
        <v>0</v>
      </c>
      <c r="M16" s="92">
        <v>12</v>
      </c>
      <c r="N16" s="92">
        <v>0</v>
      </c>
    </row>
    <row r="17" spans="2:14">
      <c r="B17" t="s">
        <v>215</v>
      </c>
      <c r="D17" t="s">
        <v>82</v>
      </c>
      <c r="F17" s="82">
        <f>SUM(G17:N17)</f>
        <v>2.06</v>
      </c>
      <c r="G17" s="92">
        <v>0</v>
      </c>
      <c r="H17" s="92">
        <v>0</v>
      </c>
      <c r="I17" s="92">
        <v>0</v>
      </c>
      <c r="J17" s="92">
        <v>0</v>
      </c>
      <c r="K17" s="92">
        <v>0.89</v>
      </c>
      <c r="L17" s="92">
        <v>0</v>
      </c>
      <c r="M17" s="92">
        <v>1.17</v>
      </c>
      <c r="N17" s="92">
        <v>0</v>
      </c>
    </row>
    <row r="18" spans="2:14">
      <c r="G18" s="89"/>
      <c r="H18" s="89"/>
      <c r="I18" s="89"/>
      <c r="J18" s="89"/>
      <c r="K18" s="89"/>
      <c r="L18" s="89"/>
      <c r="M18" s="89"/>
      <c r="N18" s="89"/>
    </row>
    <row r="19" spans="2:14">
      <c r="B19" s="3" t="s">
        <v>216</v>
      </c>
      <c r="G19" s="89"/>
      <c r="H19" s="89"/>
      <c r="I19" s="89"/>
      <c r="J19" s="89"/>
      <c r="K19" s="89"/>
      <c r="L19" s="89"/>
      <c r="M19" s="89"/>
      <c r="N19" s="89"/>
    </row>
    <row r="20" spans="2:14">
      <c r="B20" t="s">
        <v>213</v>
      </c>
      <c r="D20" t="s">
        <v>82</v>
      </c>
      <c r="F20" s="82">
        <f>SUM(G20:N20)</f>
        <v>5520</v>
      </c>
      <c r="G20" s="92">
        <v>0</v>
      </c>
      <c r="H20" s="92">
        <v>0</v>
      </c>
      <c r="I20" s="92">
        <v>0</v>
      </c>
      <c r="J20" s="92">
        <v>0</v>
      </c>
      <c r="K20" s="92">
        <v>2760</v>
      </c>
      <c r="L20" s="92">
        <v>0</v>
      </c>
      <c r="M20" s="92">
        <v>2760</v>
      </c>
      <c r="N20" s="92">
        <v>0</v>
      </c>
    </row>
    <row r="21" spans="2:14">
      <c r="B21" t="s">
        <v>214</v>
      </c>
      <c r="D21" t="s">
        <v>82</v>
      </c>
      <c r="F21" s="82">
        <f>SUM(G21:N21)</f>
        <v>10.8</v>
      </c>
      <c r="G21" s="92">
        <v>0</v>
      </c>
      <c r="H21" s="92">
        <v>0</v>
      </c>
      <c r="I21" s="92">
        <v>0</v>
      </c>
      <c r="J21" s="92">
        <v>0</v>
      </c>
      <c r="K21" s="92">
        <v>4.8</v>
      </c>
      <c r="L21" s="92">
        <v>0</v>
      </c>
      <c r="M21" s="92">
        <v>6</v>
      </c>
      <c r="N21" s="92">
        <v>0</v>
      </c>
    </row>
    <row r="22" spans="2:14">
      <c r="B22" t="s">
        <v>217</v>
      </c>
      <c r="D22" t="s">
        <v>82</v>
      </c>
      <c r="F22" s="82">
        <f>SUM(G22:N22)</f>
        <v>0.71</v>
      </c>
      <c r="G22" s="92">
        <v>0</v>
      </c>
      <c r="H22" s="92">
        <v>0</v>
      </c>
      <c r="I22" s="92">
        <v>0</v>
      </c>
      <c r="J22" s="92">
        <v>0</v>
      </c>
      <c r="K22" s="92">
        <v>0.3</v>
      </c>
      <c r="L22" s="92">
        <v>0</v>
      </c>
      <c r="M22" s="92">
        <v>0.41</v>
      </c>
      <c r="N22" s="92">
        <v>0</v>
      </c>
    </row>
    <row r="23" spans="2:14">
      <c r="G23" s="89"/>
      <c r="H23" s="89"/>
      <c r="I23" s="89"/>
      <c r="J23" s="89"/>
      <c r="K23" s="89"/>
      <c r="L23" s="89"/>
      <c r="M23" s="89"/>
      <c r="N23" s="89"/>
    </row>
    <row r="24" spans="2:14">
      <c r="B24" s="3" t="s">
        <v>218</v>
      </c>
      <c r="G24" s="89"/>
      <c r="H24" s="89"/>
      <c r="I24" s="89"/>
      <c r="J24" s="89"/>
      <c r="K24" s="89"/>
      <c r="L24" s="89"/>
      <c r="M24" s="89"/>
      <c r="N24" s="89"/>
    </row>
    <row r="25" spans="2:14">
      <c r="B25" t="s">
        <v>213</v>
      </c>
      <c r="D25" t="s">
        <v>82</v>
      </c>
      <c r="F25" s="82">
        <f>SUM(G25:N25)</f>
        <v>11040</v>
      </c>
      <c r="G25" s="92">
        <v>0</v>
      </c>
      <c r="H25" s="92">
        <v>2760</v>
      </c>
      <c r="I25" s="92">
        <v>0</v>
      </c>
      <c r="J25" s="92">
        <v>2760</v>
      </c>
      <c r="K25" s="92">
        <v>2760</v>
      </c>
      <c r="L25" s="92">
        <v>0</v>
      </c>
      <c r="M25" s="92">
        <v>2760</v>
      </c>
      <c r="N25" s="92">
        <v>0</v>
      </c>
    </row>
    <row r="26" spans="2:14">
      <c r="B26" t="s">
        <v>214</v>
      </c>
      <c r="D26" t="s">
        <v>82</v>
      </c>
      <c r="F26" s="82">
        <f>SUM(G26:N26)</f>
        <v>63.3</v>
      </c>
      <c r="G26" s="92">
        <v>0</v>
      </c>
      <c r="H26" s="92">
        <v>7.8</v>
      </c>
      <c r="I26" s="92">
        <v>0</v>
      </c>
      <c r="J26" s="92">
        <v>14.38</v>
      </c>
      <c r="K26" s="92">
        <v>21.12</v>
      </c>
      <c r="L26" s="92">
        <v>0</v>
      </c>
      <c r="M26" s="92">
        <v>20</v>
      </c>
      <c r="N26" s="92">
        <v>0</v>
      </c>
    </row>
    <row r="27" spans="2:14">
      <c r="B27" t="s">
        <v>215</v>
      </c>
      <c r="D27" t="s">
        <v>82</v>
      </c>
      <c r="F27" s="82">
        <f>SUM(G27:N27)</f>
        <v>6.22</v>
      </c>
      <c r="G27" s="92">
        <v>0</v>
      </c>
      <c r="H27" s="92">
        <v>0.74</v>
      </c>
      <c r="I27" s="92">
        <v>0</v>
      </c>
      <c r="J27" s="92">
        <v>1.18</v>
      </c>
      <c r="K27" s="92">
        <v>2.0499999999999998</v>
      </c>
      <c r="L27" s="92">
        <v>0</v>
      </c>
      <c r="M27" s="92">
        <v>2.25</v>
      </c>
      <c r="N27" s="92">
        <v>0</v>
      </c>
    </row>
    <row r="28" spans="2:14">
      <c r="G28" s="89"/>
      <c r="H28" s="89"/>
      <c r="I28" s="89"/>
      <c r="J28" s="89"/>
      <c r="K28" s="89"/>
      <c r="L28" s="89"/>
      <c r="M28" s="89"/>
      <c r="N28" s="89"/>
    </row>
    <row r="29" spans="2:14">
      <c r="B29" s="3" t="s">
        <v>219</v>
      </c>
      <c r="G29" s="89"/>
      <c r="H29" s="89"/>
      <c r="I29" s="89"/>
      <c r="J29" s="89"/>
      <c r="K29" s="89"/>
      <c r="L29" s="89"/>
      <c r="M29" s="89"/>
      <c r="N29" s="89"/>
    </row>
    <row r="30" spans="2:14">
      <c r="B30" t="s">
        <v>213</v>
      </c>
      <c r="D30" t="s">
        <v>82</v>
      </c>
      <c r="F30" s="82">
        <f>SUM(G30:N30)</f>
        <v>8280</v>
      </c>
      <c r="G30" s="92">
        <v>0</v>
      </c>
      <c r="H30" s="92">
        <v>0</v>
      </c>
      <c r="I30" s="92">
        <v>0</v>
      </c>
      <c r="J30" s="92">
        <v>2760</v>
      </c>
      <c r="K30" s="92">
        <v>2760</v>
      </c>
      <c r="L30" s="92">
        <v>0</v>
      </c>
      <c r="M30" s="92">
        <v>2760</v>
      </c>
      <c r="N30" s="92">
        <v>0</v>
      </c>
    </row>
    <row r="31" spans="2:14">
      <c r="B31" t="s">
        <v>214</v>
      </c>
      <c r="D31" t="s">
        <v>82</v>
      </c>
      <c r="F31" s="82">
        <f>SUM(G31:N31)</f>
        <v>27.75</v>
      </c>
      <c r="G31" s="92">
        <v>0</v>
      </c>
      <c r="H31" s="92">
        <v>0</v>
      </c>
      <c r="I31" s="92">
        <v>0</v>
      </c>
      <c r="J31" s="92">
        <v>7.19</v>
      </c>
      <c r="K31" s="92">
        <v>10.56</v>
      </c>
      <c r="L31" s="92">
        <v>0</v>
      </c>
      <c r="M31" s="92">
        <v>10</v>
      </c>
      <c r="N31" s="92">
        <v>0</v>
      </c>
    </row>
    <row r="32" spans="2:14">
      <c r="B32" t="s">
        <v>217</v>
      </c>
      <c r="D32" t="s">
        <v>82</v>
      </c>
      <c r="F32" s="82">
        <f>SUM(G32:N32)</f>
        <v>1.89</v>
      </c>
      <c r="G32" s="92">
        <v>0</v>
      </c>
      <c r="H32" s="92">
        <v>0</v>
      </c>
      <c r="I32" s="92">
        <v>0</v>
      </c>
      <c r="J32" s="92">
        <v>0.41</v>
      </c>
      <c r="K32" s="92">
        <v>0.7</v>
      </c>
      <c r="L32" s="92">
        <v>0</v>
      </c>
      <c r="M32" s="92">
        <v>0.78</v>
      </c>
      <c r="N32" s="92">
        <v>0</v>
      </c>
    </row>
    <row r="33" spans="2:14">
      <c r="G33" s="89"/>
      <c r="H33" s="89"/>
      <c r="I33" s="89"/>
      <c r="J33" s="89"/>
      <c r="K33" s="89"/>
      <c r="L33" s="89"/>
      <c r="M33" s="89"/>
      <c r="N33" s="89"/>
    </row>
    <row r="34" spans="2:14">
      <c r="B34" s="3" t="s">
        <v>220</v>
      </c>
      <c r="G34" s="89"/>
      <c r="H34" s="89"/>
      <c r="I34" s="89"/>
      <c r="J34" s="89"/>
      <c r="K34" s="89"/>
      <c r="L34" s="89"/>
      <c r="M34" s="89"/>
      <c r="N34" s="89"/>
    </row>
    <row r="35" spans="2:14">
      <c r="B35" t="s">
        <v>213</v>
      </c>
      <c r="D35" t="s">
        <v>82</v>
      </c>
      <c r="F35" s="82">
        <f>SUM(G35:N35)</f>
        <v>16560</v>
      </c>
      <c r="G35" s="92">
        <v>0</v>
      </c>
      <c r="H35" s="92">
        <v>2760</v>
      </c>
      <c r="I35" s="92">
        <v>2760</v>
      </c>
      <c r="J35" s="92">
        <v>2760</v>
      </c>
      <c r="K35" s="92">
        <v>2760</v>
      </c>
      <c r="L35" s="92">
        <v>0</v>
      </c>
      <c r="M35" s="92">
        <v>2760</v>
      </c>
      <c r="N35" s="92">
        <v>2760</v>
      </c>
    </row>
    <row r="36" spans="2:14">
      <c r="B36" t="s">
        <v>214</v>
      </c>
      <c r="D36" t="s">
        <v>82</v>
      </c>
      <c r="F36" s="82">
        <f>SUM(G36:N36)</f>
        <v>132.94999999999999</v>
      </c>
      <c r="G36" s="92">
        <v>0</v>
      </c>
      <c r="H36" s="92">
        <v>20.76</v>
      </c>
      <c r="I36" s="92">
        <v>18.77</v>
      </c>
      <c r="J36" s="92">
        <v>18.41</v>
      </c>
      <c r="K36" s="92">
        <v>25.56</v>
      </c>
      <c r="L36" s="92">
        <v>0</v>
      </c>
      <c r="M36" s="92">
        <v>23</v>
      </c>
      <c r="N36" s="92">
        <v>26.45</v>
      </c>
    </row>
    <row r="37" spans="2:14">
      <c r="B37" t="s">
        <v>215</v>
      </c>
      <c r="D37" t="s">
        <v>82</v>
      </c>
      <c r="F37" s="82">
        <f>SUM(G37:N37)</f>
        <v>13.14</v>
      </c>
      <c r="G37" s="92">
        <v>0</v>
      </c>
      <c r="H37" s="92">
        <v>1.99</v>
      </c>
      <c r="I37" s="92">
        <v>1.86</v>
      </c>
      <c r="J37" s="92">
        <v>1.81</v>
      </c>
      <c r="K37" s="92">
        <v>2.12</v>
      </c>
      <c r="L37" s="92">
        <v>0</v>
      </c>
      <c r="M37" s="92">
        <v>2.4500000000000002</v>
      </c>
      <c r="N37" s="92">
        <v>2.91</v>
      </c>
    </row>
    <row r="38" spans="2:14">
      <c r="G38" s="89"/>
      <c r="H38" s="89"/>
      <c r="I38" s="89"/>
      <c r="J38" s="89"/>
      <c r="K38" s="89"/>
      <c r="L38" s="89"/>
      <c r="M38" s="89"/>
      <c r="N38" s="89"/>
    </row>
    <row r="39" spans="2:14">
      <c r="B39" s="3" t="s">
        <v>221</v>
      </c>
      <c r="G39" s="89"/>
      <c r="H39" s="89"/>
      <c r="I39" s="89"/>
      <c r="J39" s="89"/>
      <c r="K39" s="89"/>
      <c r="L39" s="89"/>
      <c r="M39" s="89"/>
      <c r="N39" s="89"/>
    </row>
    <row r="40" spans="2:14">
      <c r="B40" t="s">
        <v>213</v>
      </c>
      <c r="D40" t="s">
        <v>82</v>
      </c>
      <c r="F40" s="82">
        <f>SUM(G40:N40)</f>
        <v>11040</v>
      </c>
      <c r="G40" s="92">
        <v>0</v>
      </c>
      <c r="H40" s="92">
        <v>2760</v>
      </c>
      <c r="I40" s="92">
        <v>0</v>
      </c>
      <c r="J40" s="92">
        <v>2760</v>
      </c>
      <c r="K40" s="92">
        <v>2760</v>
      </c>
      <c r="L40" s="92">
        <v>0</v>
      </c>
      <c r="M40" s="92">
        <v>2760</v>
      </c>
      <c r="N40" s="92">
        <v>0</v>
      </c>
    </row>
    <row r="41" spans="2:14">
      <c r="B41" t="s">
        <v>214</v>
      </c>
      <c r="D41" t="s">
        <v>82</v>
      </c>
      <c r="F41" s="82">
        <f>SUM(G41:N41)</f>
        <v>43.870000000000005</v>
      </c>
      <c r="G41" s="92">
        <v>0</v>
      </c>
      <c r="H41" s="92">
        <v>10.38</v>
      </c>
      <c r="I41" s="92">
        <v>0</v>
      </c>
      <c r="J41" s="92">
        <v>9.2100000000000009</v>
      </c>
      <c r="K41" s="92">
        <v>12.78</v>
      </c>
      <c r="L41" s="92">
        <v>0</v>
      </c>
      <c r="M41" s="92">
        <v>11.5</v>
      </c>
      <c r="N41" s="92">
        <v>0</v>
      </c>
    </row>
    <row r="42" spans="2:14">
      <c r="B42" t="s">
        <v>217</v>
      </c>
      <c r="D42" t="s">
        <v>82</v>
      </c>
      <c r="F42" s="82">
        <f>SUM(G42:N42)</f>
        <v>2.89</v>
      </c>
      <c r="G42" s="92">
        <v>0</v>
      </c>
      <c r="H42" s="92">
        <v>0.68</v>
      </c>
      <c r="I42" s="92">
        <v>0</v>
      </c>
      <c r="J42" s="92">
        <v>0.63</v>
      </c>
      <c r="K42" s="92">
        <v>0.73</v>
      </c>
      <c r="L42" s="92">
        <v>0</v>
      </c>
      <c r="M42" s="92">
        <v>0.85</v>
      </c>
      <c r="N42" s="92">
        <v>0</v>
      </c>
    </row>
    <row r="43" spans="2:14">
      <c r="G43" s="89"/>
      <c r="H43" s="89"/>
      <c r="I43" s="89"/>
      <c r="J43" s="89"/>
      <c r="K43" s="89"/>
      <c r="L43" s="89"/>
      <c r="M43" s="89"/>
      <c r="N43" s="89"/>
    </row>
    <row r="44" spans="2:14">
      <c r="G44" s="89"/>
      <c r="H44" s="89"/>
      <c r="I44" s="89"/>
      <c r="J44" s="89"/>
      <c r="K44" s="89"/>
      <c r="L44" s="89"/>
      <c r="M44" s="89"/>
      <c r="N44" s="89"/>
    </row>
    <row r="45" spans="2:14">
      <c r="G45" s="89"/>
      <c r="H45" s="89"/>
      <c r="I45" s="89"/>
      <c r="J45" s="89"/>
      <c r="K45" s="89"/>
      <c r="L45" s="89"/>
      <c r="M45" s="89"/>
      <c r="N45" s="89"/>
    </row>
    <row r="46" spans="2:14">
      <c r="G46" s="89"/>
      <c r="H46" s="89"/>
      <c r="I46" s="89"/>
      <c r="J46" s="89"/>
      <c r="K46" s="89"/>
      <c r="L46" s="89"/>
      <c r="M46" s="89"/>
      <c r="N46" s="89"/>
    </row>
    <row r="47" spans="2:14">
      <c r="G47" s="89"/>
      <c r="H47" s="89"/>
      <c r="I47" s="89"/>
      <c r="J47" s="89"/>
      <c r="K47" s="89"/>
      <c r="L47" s="89"/>
      <c r="M47" s="89"/>
      <c r="N47" s="89"/>
    </row>
    <row r="48" spans="2:14">
      <c r="B48" s="3" t="s">
        <v>50</v>
      </c>
      <c r="G48" s="89"/>
      <c r="H48" s="89"/>
      <c r="I48" s="89"/>
      <c r="J48" s="89"/>
      <c r="K48" s="89"/>
      <c r="L48" s="89"/>
      <c r="M48" s="89"/>
      <c r="N48" s="89"/>
    </row>
    <row r="49" spans="2:14">
      <c r="G49" s="89"/>
      <c r="H49" s="89"/>
      <c r="I49" s="89"/>
      <c r="J49" s="89"/>
      <c r="K49" s="89"/>
      <c r="L49" s="89"/>
      <c r="M49" s="89"/>
      <c r="N49" s="89"/>
    </row>
    <row r="50" spans="2:14">
      <c r="G50" s="89"/>
      <c r="H50" s="89"/>
      <c r="I50" s="89"/>
      <c r="J50" s="89"/>
      <c r="K50" s="89"/>
      <c r="L50" s="89"/>
      <c r="M50" s="89"/>
      <c r="N50" s="89"/>
    </row>
    <row r="51" spans="2:14">
      <c r="B51" s="3" t="s">
        <v>222</v>
      </c>
      <c r="G51" s="89"/>
      <c r="H51" s="89"/>
      <c r="I51" s="89"/>
      <c r="J51" s="89"/>
      <c r="K51" s="89"/>
      <c r="L51" s="89"/>
      <c r="M51" s="89"/>
      <c r="N51" s="89"/>
    </row>
    <row r="52" spans="2:14">
      <c r="B52" t="s">
        <v>213</v>
      </c>
      <c r="D52" t="s">
        <v>82</v>
      </c>
      <c r="F52" s="82">
        <f>SUM(G52:N52)</f>
        <v>1323</v>
      </c>
      <c r="G52" s="92">
        <v>0</v>
      </c>
      <c r="H52" s="92">
        <v>0</v>
      </c>
      <c r="I52" s="92">
        <v>441</v>
      </c>
      <c r="J52" s="92">
        <v>441</v>
      </c>
      <c r="K52" s="92">
        <v>0</v>
      </c>
      <c r="L52" s="92">
        <v>441</v>
      </c>
      <c r="M52" s="92">
        <v>0</v>
      </c>
      <c r="N52" s="92">
        <v>0</v>
      </c>
    </row>
    <row r="53" spans="2:14">
      <c r="B53" t="s">
        <v>223</v>
      </c>
      <c r="D53" t="s">
        <v>82</v>
      </c>
      <c r="F53" s="82">
        <f>SUM(G53:N53)</f>
        <v>53.3</v>
      </c>
      <c r="G53" s="92">
        <v>0</v>
      </c>
      <c r="H53" s="92">
        <v>0</v>
      </c>
      <c r="I53" s="92">
        <v>16.14</v>
      </c>
      <c r="J53" s="92">
        <v>13.66</v>
      </c>
      <c r="K53" s="92">
        <v>0</v>
      </c>
      <c r="L53" s="92">
        <v>23.5</v>
      </c>
      <c r="M53" s="92">
        <v>0</v>
      </c>
      <c r="N53" s="92">
        <v>0</v>
      </c>
    </row>
    <row r="54" spans="2:14">
      <c r="B54" t="s">
        <v>215</v>
      </c>
      <c r="D54" t="s">
        <v>82</v>
      </c>
      <c r="F54" s="82">
        <f>SUM(G54:N54)</f>
        <v>4.99</v>
      </c>
      <c r="G54" s="92">
        <v>0</v>
      </c>
      <c r="H54" s="92">
        <v>0</v>
      </c>
      <c r="I54" s="92">
        <v>1.37</v>
      </c>
      <c r="J54" s="92">
        <v>1.32</v>
      </c>
      <c r="K54" s="92">
        <v>0</v>
      </c>
      <c r="L54" s="92">
        <v>2.2999999999999998</v>
      </c>
      <c r="M54" s="92">
        <v>0</v>
      </c>
      <c r="N54" s="92">
        <v>0</v>
      </c>
    </row>
    <row r="55" spans="2:14">
      <c r="B55" t="s">
        <v>224</v>
      </c>
      <c r="D55" t="s">
        <v>82</v>
      </c>
      <c r="F55" s="82">
        <f>SUM(G55:N55)</f>
        <v>1.5900000000000001E-2</v>
      </c>
      <c r="G55" s="93">
        <v>0</v>
      </c>
      <c r="H55" s="93">
        <v>0</v>
      </c>
      <c r="I55" s="93">
        <v>7.3000000000000001E-3</v>
      </c>
      <c r="J55" s="93">
        <v>5.1999999999999998E-3</v>
      </c>
      <c r="K55" s="93">
        <v>0</v>
      </c>
      <c r="L55" s="93">
        <v>3.3999999999999998E-3</v>
      </c>
      <c r="M55" s="93">
        <v>0</v>
      </c>
      <c r="N55" s="93">
        <v>0</v>
      </c>
    </row>
    <row r="56" spans="2:14">
      <c r="G56" s="89"/>
      <c r="H56" s="89"/>
      <c r="I56" s="89"/>
      <c r="J56" s="89"/>
      <c r="K56" s="89"/>
      <c r="L56" s="89"/>
      <c r="M56" s="89"/>
      <c r="N56" s="89"/>
    </row>
    <row r="57" spans="2:14">
      <c r="B57" s="3" t="s">
        <v>225</v>
      </c>
      <c r="G57" s="89"/>
      <c r="H57" s="89"/>
      <c r="I57" s="89"/>
      <c r="J57" s="89"/>
      <c r="K57" s="89"/>
      <c r="L57" s="89"/>
      <c r="M57" s="89"/>
      <c r="N57" s="89"/>
    </row>
    <row r="58" spans="2:14">
      <c r="B58" t="s">
        <v>213</v>
      </c>
      <c r="D58" t="s">
        <v>82</v>
      </c>
      <c r="F58" s="82">
        <f>SUM(G58:N58)</f>
        <v>3528</v>
      </c>
      <c r="G58" s="92">
        <v>441</v>
      </c>
      <c r="H58" s="92">
        <v>441</v>
      </c>
      <c r="I58" s="92">
        <v>441</v>
      </c>
      <c r="J58" s="92">
        <v>441</v>
      </c>
      <c r="K58" s="92">
        <v>441</v>
      </c>
      <c r="L58" s="92">
        <v>441</v>
      </c>
      <c r="M58" s="92">
        <v>441</v>
      </c>
      <c r="N58" s="92">
        <v>441</v>
      </c>
    </row>
    <row r="59" spans="2:14">
      <c r="B59" t="s">
        <v>223</v>
      </c>
      <c r="D59" t="s">
        <v>82</v>
      </c>
      <c r="F59" s="82">
        <f>SUM(G59:N59)</f>
        <v>128.54999999999998</v>
      </c>
      <c r="G59" s="92">
        <v>18.03</v>
      </c>
      <c r="H59" s="92">
        <v>13.56</v>
      </c>
      <c r="I59" s="92">
        <v>17.27</v>
      </c>
      <c r="J59" s="92">
        <v>17.22</v>
      </c>
      <c r="K59" s="92">
        <v>16.8</v>
      </c>
      <c r="L59" s="92">
        <v>18.5</v>
      </c>
      <c r="M59" s="92">
        <v>14</v>
      </c>
      <c r="N59" s="92">
        <v>13.17</v>
      </c>
    </row>
    <row r="60" spans="2:14">
      <c r="B60" t="s">
        <v>215</v>
      </c>
      <c r="D60" t="s">
        <v>82</v>
      </c>
      <c r="F60" s="82">
        <f>SUM(G60:N60)</f>
        <v>13.600000000000001</v>
      </c>
      <c r="G60" s="92">
        <v>1.69</v>
      </c>
      <c r="H60" s="92">
        <v>1.33</v>
      </c>
      <c r="I60" s="92">
        <v>1.72</v>
      </c>
      <c r="J60" s="92">
        <v>1.73</v>
      </c>
      <c r="K60" s="92">
        <v>1.54</v>
      </c>
      <c r="L60" s="92">
        <v>2</v>
      </c>
      <c r="M60" s="92">
        <v>1.9</v>
      </c>
      <c r="N60" s="92">
        <v>1.69</v>
      </c>
    </row>
    <row r="61" spans="2:14">
      <c r="B61" t="s">
        <v>224</v>
      </c>
      <c r="D61" t="s">
        <v>82</v>
      </c>
      <c r="F61" s="82">
        <f>SUM(G61:N61)</f>
        <v>8.4600000000000009E-2</v>
      </c>
      <c r="G61" s="93">
        <v>8.8000000000000005E-3</v>
      </c>
      <c r="H61" s="93">
        <v>1.01E-2</v>
      </c>
      <c r="I61" s="93">
        <v>1.11E-2</v>
      </c>
      <c r="J61" s="93">
        <v>0.01</v>
      </c>
      <c r="K61" s="93">
        <v>9.4999999999999998E-3</v>
      </c>
      <c r="L61" s="93">
        <v>1.23E-2</v>
      </c>
      <c r="M61" s="93">
        <v>1.14E-2</v>
      </c>
      <c r="N61" s="93">
        <v>1.14E-2</v>
      </c>
    </row>
    <row r="62" spans="2:14">
      <c r="G62" s="89"/>
      <c r="H62" s="89"/>
      <c r="I62" s="89"/>
      <c r="J62" s="89"/>
      <c r="K62" s="89"/>
      <c r="L62" s="89"/>
      <c r="M62" s="89"/>
      <c r="N62" s="89"/>
    </row>
    <row r="63" spans="2:14">
      <c r="B63" s="3" t="s">
        <v>226</v>
      </c>
      <c r="G63" s="89"/>
      <c r="H63" s="89"/>
      <c r="I63" s="89"/>
      <c r="J63" s="89"/>
      <c r="K63" s="89"/>
      <c r="L63" s="89"/>
      <c r="M63" s="89"/>
      <c r="N63" s="89"/>
    </row>
    <row r="64" spans="2:14">
      <c r="B64" t="s">
        <v>213</v>
      </c>
      <c r="D64" t="s">
        <v>82</v>
      </c>
      <c r="F64" s="82">
        <f>SUM(G64:N64)</f>
        <v>3528</v>
      </c>
      <c r="G64" s="92">
        <v>441</v>
      </c>
      <c r="H64" s="92">
        <v>441</v>
      </c>
      <c r="I64" s="92">
        <v>441</v>
      </c>
      <c r="J64" s="92">
        <v>441</v>
      </c>
      <c r="K64" s="92">
        <v>441</v>
      </c>
      <c r="L64" s="92">
        <v>441</v>
      </c>
      <c r="M64" s="92">
        <v>441</v>
      </c>
      <c r="N64" s="92">
        <v>441</v>
      </c>
    </row>
    <row r="65" spans="2:14">
      <c r="B65" t="s">
        <v>223</v>
      </c>
      <c r="D65" t="s">
        <v>82</v>
      </c>
      <c r="F65" s="82">
        <f>SUM(G65:N65)</f>
        <v>199.17</v>
      </c>
      <c r="G65" s="92">
        <v>20.149999999999999</v>
      </c>
      <c r="H65" s="92">
        <v>24.54</v>
      </c>
      <c r="I65" s="92">
        <v>28.66</v>
      </c>
      <c r="J65" s="92">
        <v>26.23</v>
      </c>
      <c r="K65" s="92">
        <v>24.96</v>
      </c>
      <c r="L65" s="92">
        <v>25.75</v>
      </c>
      <c r="M65" s="92">
        <v>22.5</v>
      </c>
      <c r="N65" s="92">
        <v>26.38</v>
      </c>
    </row>
    <row r="66" spans="2:14">
      <c r="B66" t="s">
        <v>215</v>
      </c>
      <c r="D66" t="s">
        <v>82</v>
      </c>
      <c r="F66" s="82">
        <f>SUM(G66:N66)</f>
        <v>13.600000000000001</v>
      </c>
      <c r="G66" s="92">
        <v>1.69</v>
      </c>
      <c r="H66" s="92">
        <v>1.33</v>
      </c>
      <c r="I66" s="92">
        <v>1.72</v>
      </c>
      <c r="J66" s="92">
        <v>1.73</v>
      </c>
      <c r="K66" s="92">
        <v>1.54</v>
      </c>
      <c r="L66" s="92">
        <v>2</v>
      </c>
      <c r="M66" s="92">
        <v>1.9</v>
      </c>
      <c r="N66" s="92">
        <v>1.69</v>
      </c>
    </row>
    <row r="67" spans="2:14">
      <c r="B67" t="s">
        <v>224</v>
      </c>
      <c r="D67" t="s">
        <v>82</v>
      </c>
      <c r="F67" s="82">
        <f>SUM(G67:N67)</f>
        <v>8.4600000000000009E-2</v>
      </c>
      <c r="G67" s="93">
        <v>8.8000000000000005E-3</v>
      </c>
      <c r="H67" s="93">
        <v>1.01E-2</v>
      </c>
      <c r="I67" s="93">
        <v>1.11E-2</v>
      </c>
      <c r="J67" s="93">
        <v>0.01</v>
      </c>
      <c r="K67" s="93">
        <v>9.4999999999999998E-3</v>
      </c>
      <c r="L67" s="93">
        <v>1.23E-2</v>
      </c>
      <c r="M67" s="93">
        <v>1.14E-2</v>
      </c>
      <c r="N67" s="93">
        <v>1.14E-2</v>
      </c>
    </row>
    <row r="68" spans="2:14">
      <c r="G68" s="89"/>
      <c r="H68" s="89"/>
      <c r="I68" s="89"/>
      <c r="J68" s="89"/>
      <c r="K68" s="89"/>
      <c r="L68" s="89"/>
      <c r="M68" s="89"/>
      <c r="N68" s="89"/>
    </row>
    <row r="69" spans="2:14">
      <c r="G69" s="89"/>
      <c r="H69" s="89"/>
      <c r="I69" s="89"/>
      <c r="J69" s="89"/>
      <c r="K69" s="89"/>
      <c r="L69" s="89"/>
      <c r="M69" s="89"/>
      <c r="N69" s="89"/>
    </row>
    <row r="70" spans="2:14">
      <c r="G70" s="89"/>
      <c r="H70" s="89"/>
      <c r="I70" s="89"/>
      <c r="J70" s="89"/>
      <c r="K70" s="89"/>
      <c r="L70" s="89"/>
      <c r="M70" s="89"/>
      <c r="N70" s="89"/>
    </row>
    <row r="71" spans="2:14">
      <c r="G71" s="89"/>
      <c r="H71" s="89"/>
      <c r="I71" s="89"/>
      <c r="J71" s="89"/>
      <c r="K71" s="89"/>
      <c r="L71" s="89"/>
      <c r="M71" s="89"/>
      <c r="N71" s="89"/>
    </row>
    <row r="72" spans="2:14">
      <c r="G72" s="89"/>
      <c r="H72" s="89"/>
      <c r="I72" s="89"/>
      <c r="J72" s="89"/>
      <c r="K72" s="89"/>
      <c r="L72" s="89"/>
      <c r="M72" s="89"/>
      <c r="N72" s="89"/>
    </row>
    <row r="73" spans="2:14">
      <c r="B73" s="3" t="s">
        <v>51</v>
      </c>
      <c r="G73" s="89"/>
      <c r="H73" s="89"/>
      <c r="I73" s="89"/>
      <c r="J73" s="89"/>
      <c r="K73" s="89"/>
      <c r="L73" s="89"/>
      <c r="M73" s="89"/>
      <c r="N73" s="89"/>
    </row>
    <row r="74" spans="2:14">
      <c r="G74" s="89"/>
      <c r="H74" s="89"/>
      <c r="I74" s="89"/>
      <c r="J74" s="89"/>
      <c r="K74" s="89"/>
      <c r="L74" s="89"/>
      <c r="M74" s="89"/>
      <c r="N74" s="89"/>
    </row>
    <row r="75" spans="2:14">
      <c r="G75" s="89"/>
      <c r="H75" s="89"/>
      <c r="I75" s="89"/>
      <c r="J75" s="89"/>
      <c r="K75" s="89"/>
      <c r="L75" s="89"/>
      <c r="M75" s="89"/>
      <c r="N75" s="89"/>
    </row>
    <row r="76" spans="2:14">
      <c r="B76" s="3" t="s">
        <v>227</v>
      </c>
      <c r="G76" s="89"/>
      <c r="H76" s="89"/>
      <c r="I76" s="89"/>
      <c r="J76" s="89"/>
      <c r="K76" s="89"/>
      <c r="L76" s="89"/>
      <c r="M76" s="89"/>
      <c r="N76" s="89"/>
    </row>
    <row r="77" spans="2:14">
      <c r="B77" t="s">
        <v>213</v>
      </c>
      <c r="D77" t="s">
        <v>82</v>
      </c>
      <c r="F77" s="82">
        <f>SUM(G77:N77)</f>
        <v>126</v>
      </c>
      <c r="G77" s="92">
        <v>18</v>
      </c>
      <c r="H77" s="92">
        <v>18</v>
      </c>
      <c r="I77" s="92">
        <v>0</v>
      </c>
      <c r="J77" s="92">
        <v>18</v>
      </c>
      <c r="K77" s="92">
        <v>18</v>
      </c>
      <c r="L77" s="92">
        <v>18</v>
      </c>
      <c r="M77" s="92">
        <v>18</v>
      </c>
      <c r="N77" s="92">
        <v>18</v>
      </c>
    </row>
    <row r="78" spans="2:14">
      <c r="B78" t="s">
        <v>223</v>
      </c>
      <c r="D78" t="s">
        <v>82</v>
      </c>
      <c r="F78" s="82">
        <f>SUM(G78:N78)</f>
        <v>48.48</v>
      </c>
      <c r="G78" s="92">
        <v>8.58</v>
      </c>
      <c r="H78" s="92">
        <v>7.08</v>
      </c>
      <c r="I78" s="92">
        <v>0</v>
      </c>
      <c r="J78" s="92">
        <v>5.7</v>
      </c>
      <c r="K78" s="92">
        <v>5.16</v>
      </c>
      <c r="L78" s="92">
        <v>8.75</v>
      </c>
      <c r="M78" s="92">
        <v>5.72</v>
      </c>
      <c r="N78" s="92">
        <v>7.49</v>
      </c>
    </row>
    <row r="79" spans="2:14">
      <c r="B79" t="s">
        <v>228</v>
      </c>
      <c r="D79" t="s">
        <v>82</v>
      </c>
      <c r="F79" s="82">
        <f>SUM(G79:N79)</f>
        <v>0.14579999999999999</v>
      </c>
      <c r="G79" s="93">
        <v>2.12E-2</v>
      </c>
      <c r="H79" s="93">
        <v>2.6100000000000002E-2</v>
      </c>
      <c r="I79" s="93">
        <v>0</v>
      </c>
      <c r="J79" s="93">
        <v>1.8100000000000002E-2</v>
      </c>
      <c r="K79" s="93">
        <v>1.4999999999999999E-2</v>
      </c>
      <c r="L79" s="93">
        <v>2.4E-2</v>
      </c>
      <c r="M79" s="93">
        <v>2.1000000000000001E-2</v>
      </c>
      <c r="N79" s="93">
        <v>2.0400000000000001E-2</v>
      </c>
    </row>
    <row r="80" spans="2:14">
      <c r="B80" t="s">
        <v>224</v>
      </c>
      <c r="D80" t="s">
        <v>82</v>
      </c>
      <c r="F80" s="82">
        <f>SUM(G80:N80)</f>
        <v>0.28610000000000002</v>
      </c>
      <c r="G80" s="93">
        <v>4.5499999999999999E-2</v>
      </c>
      <c r="H80" s="93">
        <v>3.95E-2</v>
      </c>
      <c r="I80" s="93">
        <v>0</v>
      </c>
      <c r="J80" s="93">
        <v>3.4500000000000003E-2</v>
      </c>
      <c r="K80" s="93">
        <v>3.8699999999999998E-2</v>
      </c>
      <c r="L80" s="93">
        <v>4.5400000000000003E-2</v>
      </c>
      <c r="M80" s="93">
        <v>4.2000000000000003E-2</v>
      </c>
      <c r="N80" s="93">
        <v>4.0500000000000001E-2</v>
      </c>
    </row>
    <row r="81" spans="2:14">
      <c r="G81" s="89"/>
      <c r="H81" s="89"/>
      <c r="I81" s="89"/>
      <c r="J81" s="89"/>
      <c r="K81" s="89"/>
      <c r="L81" s="89"/>
      <c r="M81" s="89"/>
      <c r="N81" s="89"/>
    </row>
    <row r="82" spans="2:14">
      <c r="B82" s="3" t="s">
        <v>229</v>
      </c>
      <c r="G82" s="89"/>
      <c r="H82" s="89"/>
      <c r="I82" s="89"/>
      <c r="J82" s="89"/>
      <c r="K82" s="89"/>
      <c r="L82" s="89"/>
      <c r="M82" s="89"/>
      <c r="N82" s="89"/>
    </row>
    <row r="83" spans="2:14">
      <c r="B83" t="s">
        <v>230</v>
      </c>
      <c r="D83" t="s">
        <v>82</v>
      </c>
      <c r="F83" s="82">
        <f>SUM(G83:N83)</f>
        <v>4.32</v>
      </c>
      <c r="G83" s="92">
        <v>0.54</v>
      </c>
      <c r="H83" s="92">
        <v>0.54</v>
      </c>
      <c r="I83" s="92">
        <v>0.54</v>
      </c>
      <c r="J83" s="92">
        <v>0.54</v>
      </c>
      <c r="K83" s="92">
        <v>0.54</v>
      </c>
      <c r="L83" s="92">
        <v>0.54</v>
      </c>
      <c r="M83" s="92">
        <v>0.54</v>
      </c>
      <c r="N83" s="92">
        <v>0.54</v>
      </c>
    </row>
    <row r="84" spans="2:14">
      <c r="B84" t="s">
        <v>231</v>
      </c>
      <c r="D84" t="s">
        <v>82</v>
      </c>
      <c r="F84" s="82">
        <f>SUM(G84:N84)</f>
        <v>144</v>
      </c>
      <c r="G84" s="92">
        <v>18</v>
      </c>
      <c r="H84" s="92">
        <v>18</v>
      </c>
      <c r="I84" s="92">
        <v>18</v>
      </c>
      <c r="J84" s="92">
        <v>18</v>
      </c>
      <c r="K84" s="92">
        <v>18</v>
      </c>
      <c r="L84" s="92">
        <v>18</v>
      </c>
      <c r="M84" s="92">
        <v>18</v>
      </c>
      <c r="N84" s="92">
        <v>18</v>
      </c>
    </row>
    <row r="85" spans="2:14">
      <c r="G85" s="89"/>
      <c r="H85" s="89"/>
      <c r="I85" s="89"/>
      <c r="J85" s="89"/>
      <c r="K85" s="89"/>
      <c r="L85" s="89"/>
      <c r="M85" s="89"/>
      <c r="N85" s="89"/>
    </row>
    <row r="86" spans="2:14">
      <c r="B86" s="3" t="s">
        <v>232</v>
      </c>
      <c r="G86" s="89"/>
      <c r="H86" s="89"/>
      <c r="I86" s="89"/>
      <c r="J86" s="89"/>
      <c r="K86" s="89"/>
      <c r="L86" s="89"/>
      <c r="M86" s="89"/>
      <c r="N86" s="89"/>
    </row>
    <row r="87" spans="2:14">
      <c r="B87" t="s">
        <v>233</v>
      </c>
      <c r="D87" t="s">
        <v>82</v>
      </c>
      <c r="F87" s="82">
        <f t="shared" ref="F87:F92" si="0">SUM(G87:N87)</f>
        <v>15586</v>
      </c>
      <c r="G87" s="92">
        <v>2235</v>
      </c>
      <c r="H87" s="92">
        <v>2001</v>
      </c>
      <c r="I87" s="92">
        <v>1861.5</v>
      </c>
      <c r="J87" s="92">
        <v>1721.5</v>
      </c>
      <c r="K87" s="92">
        <v>1788</v>
      </c>
      <c r="L87" s="92">
        <v>2022.5</v>
      </c>
      <c r="M87" s="92">
        <v>1840</v>
      </c>
      <c r="N87" s="92">
        <v>2116.5</v>
      </c>
    </row>
    <row r="88" spans="2:14">
      <c r="B88" t="s">
        <v>234</v>
      </c>
      <c r="D88" t="s">
        <v>82</v>
      </c>
      <c r="F88" s="82">
        <f t="shared" si="0"/>
        <v>12468.800000000001</v>
      </c>
      <c r="G88" s="92">
        <v>1788</v>
      </c>
      <c r="H88" s="92">
        <v>1600.8</v>
      </c>
      <c r="I88" s="92">
        <v>1489.2</v>
      </c>
      <c r="J88" s="92">
        <v>1377.2</v>
      </c>
      <c r="K88" s="92">
        <v>1430.4</v>
      </c>
      <c r="L88" s="92">
        <v>1618</v>
      </c>
      <c r="M88" s="92">
        <v>1472</v>
      </c>
      <c r="N88" s="92">
        <v>1693.2</v>
      </c>
    </row>
    <row r="89" spans="2:14">
      <c r="B89" t="s">
        <v>235</v>
      </c>
      <c r="D89" t="s">
        <v>82</v>
      </c>
      <c r="F89" s="82">
        <f t="shared" si="0"/>
        <v>9351.6</v>
      </c>
      <c r="G89" s="92">
        <v>1341</v>
      </c>
      <c r="H89" s="92">
        <v>1200.5999999999999</v>
      </c>
      <c r="I89" s="92">
        <v>1116.9000000000001</v>
      </c>
      <c r="J89" s="92">
        <v>1032.9000000000001</v>
      </c>
      <c r="K89" s="92">
        <v>1072.8</v>
      </c>
      <c r="L89" s="92">
        <v>1213.5</v>
      </c>
      <c r="M89" s="92">
        <v>1104</v>
      </c>
      <c r="N89" s="92">
        <v>1269.9000000000001</v>
      </c>
    </row>
    <row r="90" spans="2:14">
      <c r="B90" t="s">
        <v>236</v>
      </c>
      <c r="D90" t="s">
        <v>82</v>
      </c>
      <c r="F90" s="82">
        <f t="shared" si="0"/>
        <v>6234.4000000000005</v>
      </c>
      <c r="G90" s="92">
        <v>894</v>
      </c>
      <c r="H90" s="92">
        <v>800.4</v>
      </c>
      <c r="I90" s="92">
        <v>744.6</v>
      </c>
      <c r="J90" s="92">
        <v>688.6</v>
      </c>
      <c r="K90" s="92">
        <v>715.2</v>
      </c>
      <c r="L90" s="92">
        <v>809</v>
      </c>
      <c r="M90" s="92">
        <v>736</v>
      </c>
      <c r="N90" s="92">
        <v>846.6</v>
      </c>
    </row>
    <row r="91" spans="2:14">
      <c r="B91" t="s">
        <v>237</v>
      </c>
      <c r="D91" t="s">
        <v>82</v>
      </c>
      <c r="F91" s="82">
        <f t="shared" si="0"/>
        <v>1246.8799999999999</v>
      </c>
      <c r="G91" s="92">
        <v>178.8</v>
      </c>
      <c r="H91" s="92">
        <v>160.08000000000001</v>
      </c>
      <c r="I91" s="92">
        <v>148.91999999999999</v>
      </c>
      <c r="J91" s="92">
        <v>137.72</v>
      </c>
      <c r="K91" s="92">
        <v>143.04</v>
      </c>
      <c r="L91" s="92">
        <v>161.80000000000001</v>
      </c>
      <c r="M91" s="92">
        <v>147.19999999999999</v>
      </c>
      <c r="N91" s="92">
        <v>169.32</v>
      </c>
    </row>
    <row r="92" spans="2:14">
      <c r="B92" t="s">
        <v>238</v>
      </c>
      <c r="D92" t="s">
        <v>82</v>
      </c>
      <c r="F92" s="82">
        <f t="shared" si="0"/>
        <v>15.586</v>
      </c>
      <c r="G92" s="92">
        <v>2.2349999999999999</v>
      </c>
      <c r="H92" s="92">
        <v>2.0009999999999999</v>
      </c>
      <c r="I92" s="92">
        <v>1.8614999999999999</v>
      </c>
      <c r="J92" s="92">
        <v>1.7215</v>
      </c>
      <c r="K92" s="92">
        <v>1.788</v>
      </c>
      <c r="L92" s="92">
        <v>2.0225</v>
      </c>
      <c r="M92" s="92">
        <v>1.84</v>
      </c>
      <c r="N92" s="92">
        <v>2.1164999999999998</v>
      </c>
    </row>
    <row r="93" spans="2:14">
      <c r="G93" s="89"/>
      <c r="H93" s="89"/>
      <c r="I93" s="89"/>
      <c r="J93" s="89"/>
      <c r="K93" s="89"/>
      <c r="L93" s="89"/>
      <c r="M93" s="89"/>
      <c r="N93" s="89"/>
    </row>
    <row r="94" spans="2:14">
      <c r="B94" t="s">
        <v>52</v>
      </c>
      <c r="G94" s="89"/>
      <c r="H94" s="89"/>
      <c r="I94" s="89"/>
      <c r="J94" s="89"/>
      <c r="K94" s="89"/>
      <c r="L94" s="89"/>
      <c r="M94" s="89"/>
      <c r="N94" s="89"/>
    </row>
    <row r="95" spans="2:14">
      <c r="G95" s="89"/>
      <c r="H95" s="89"/>
      <c r="I95" s="89"/>
      <c r="J95" s="89"/>
      <c r="K95" s="89"/>
      <c r="L95" s="89"/>
      <c r="M95" s="89"/>
      <c r="N95" s="89"/>
    </row>
    <row r="96" spans="2:14">
      <c r="G96" s="89"/>
      <c r="H96" s="89"/>
      <c r="I96" s="89"/>
      <c r="J96" s="89"/>
      <c r="K96" s="89"/>
      <c r="L96" s="89"/>
      <c r="M96" s="89"/>
      <c r="N96" s="89"/>
    </row>
    <row r="97" spans="2:14">
      <c r="G97" s="89"/>
      <c r="H97" s="89"/>
      <c r="I97" s="89"/>
      <c r="J97" s="89"/>
      <c r="K97" s="89"/>
      <c r="L97" s="89"/>
      <c r="M97" s="89"/>
      <c r="N97" s="89"/>
    </row>
    <row r="98" spans="2:14">
      <c r="G98" s="89"/>
      <c r="H98" s="89"/>
      <c r="I98" s="89"/>
      <c r="J98" s="89"/>
      <c r="K98" s="89"/>
      <c r="L98" s="89"/>
      <c r="M98" s="89"/>
      <c r="N98" s="89"/>
    </row>
    <row r="99" spans="2:14">
      <c r="G99" s="89"/>
      <c r="H99" s="89"/>
      <c r="I99" s="89"/>
      <c r="J99" s="89"/>
      <c r="K99" s="89"/>
      <c r="L99" s="89"/>
      <c r="M99" s="89"/>
      <c r="N99" s="89"/>
    </row>
    <row r="100" spans="2:14">
      <c r="B100" s="3" t="s">
        <v>53</v>
      </c>
      <c r="G100" s="89"/>
      <c r="H100" s="89"/>
      <c r="I100" s="89"/>
      <c r="J100" s="89"/>
      <c r="K100" s="89"/>
      <c r="L100" s="89"/>
      <c r="M100" s="89"/>
      <c r="N100" s="89"/>
    </row>
    <row r="101" spans="2:14">
      <c r="G101" s="89"/>
      <c r="H101" s="89"/>
      <c r="I101" s="89"/>
      <c r="J101" s="89"/>
      <c r="K101" s="89"/>
      <c r="L101" s="89"/>
      <c r="M101" s="89"/>
      <c r="N101" s="89"/>
    </row>
    <row r="102" spans="2:14">
      <c r="G102" s="89"/>
      <c r="H102" s="89"/>
      <c r="I102" s="89"/>
      <c r="J102" s="89"/>
      <c r="K102" s="89"/>
      <c r="L102" s="89"/>
      <c r="M102" s="89"/>
      <c r="N102" s="89"/>
    </row>
    <row r="103" spans="2:14">
      <c r="B103" t="s">
        <v>239</v>
      </c>
      <c r="D103" t="s">
        <v>82</v>
      </c>
      <c r="F103" s="82">
        <f>SUM(G103:N103)</f>
        <v>6.6900000000000001E-2</v>
      </c>
      <c r="G103" s="93">
        <v>1.6400000000000001E-2</v>
      </c>
      <c r="H103" s="93">
        <v>1.4999999999999999E-2</v>
      </c>
      <c r="I103" s="93">
        <v>8.0000000000000002E-3</v>
      </c>
      <c r="J103" s="93">
        <v>7.3000000000000001E-3</v>
      </c>
      <c r="K103" s="93">
        <v>0</v>
      </c>
      <c r="L103" s="93">
        <v>1.1900000000000001E-2</v>
      </c>
      <c r="M103" s="93">
        <v>8.3000000000000001E-3</v>
      </c>
      <c r="N103" s="93">
        <v>0</v>
      </c>
    </row>
    <row r="104" spans="2:14">
      <c r="B104" t="s">
        <v>240</v>
      </c>
      <c r="D104" t="s">
        <v>82</v>
      </c>
      <c r="F104" s="82">
        <f>SUM(G104:N104)</f>
        <v>7.3200000000000001E-2</v>
      </c>
      <c r="G104" s="93">
        <v>2.46E-2</v>
      </c>
      <c r="H104" s="93">
        <v>1.4999999999999999E-2</v>
      </c>
      <c r="I104" s="93">
        <v>0</v>
      </c>
      <c r="J104" s="93">
        <v>7.3000000000000001E-3</v>
      </c>
      <c r="K104" s="93">
        <v>0</v>
      </c>
      <c r="L104" s="93">
        <v>1.7999999999999999E-2</v>
      </c>
      <c r="M104" s="93">
        <v>8.3000000000000001E-3</v>
      </c>
      <c r="N104" s="93">
        <v>0</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enableFormatConditionsCalculation="0">
    <tabColor indexed="42"/>
  </sheetPr>
  <dimension ref="B1:P152"/>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11.42578125" customWidth="1"/>
    <col min="16" max="16" width="20.7109375" customWidth="1"/>
  </cols>
  <sheetData>
    <row r="1" spans="2:16" ht="12" customHeight="1"/>
    <row r="2" spans="2:16" s="1" customFormat="1" ht="18">
      <c r="B2" s="1" t="s">
        <v>59</v>
      </c>
      <c r="F2" s="47" t="s">
        <v>177</v>
      </c>
      <c r="G2" s="5" t="s">
        <v>168</v>
      </c>
      <c r="H2" s="5" t="s">
        <v>169</v>
      </c>
      <c r="I2" s="5" t="s">
        <v>170</v>
      </c>
      <c r="J2" s="5" t="s">
        <v>171</v>
      </c>
      <c r="K2" s="5" t="s">
        <v>172</v>
      </c>
      <c r="L2" s="5" t="s">
        <v>173</v>
      </c>
      <c r="M2" s="5" t="s">
        <v>174</v>
      </c>
      <c r="N2" s="5" t="s">
        <v>175</v>
      </c>
      <c r="P2" s="5" t="s">
        <v>438</v>
      </c>
    </row>
    <row r="4" spans="2:16">
      <c r="B4" s="80" t="s">
        <v>60</v>
      </c>
    </row>
    <row r="5" spans="2:16">
      <c r="B5" s="27" t="s">
        <v>14</v>
      </c>
    </row>
    <row r="6" spans="2:16">
      <c r="B6" s="27" t="s">
        <v>1138</v>
      </c>
    </row>
    <row r="8" spans="2:16">
      <c r="F8" s="4"/>
    </row>
    <row r="10" spans="2:16" s="2" customFormat="1">
      <c r="B10" s="2" t="s">
        <v>61</v>
      </c>
      <c r="F10" s="48"/>
    </row>
    <row r="12" spans="2:16">
      <c r="B12" s="3"/>
    </row>
    <row r="13" spans="2:16">
      <c r="B13" s="22" t="s">
        <v>242</v>
      </c>
    </row>
    <row r="14" spans="2:16">
      <c r="B14" s="23" t="s">
        <v>243</v>
      </c>
      <c r="D14" t="s">
        <v>164</v>
      </c>
      <c r="F14" s="82">
        <f>SUM(G14:N14)</f>
        <v>3844448485</v>
      </c>
      <c r="G14" s="8">
        <v>0</v>
      </c>
      <c r="H14" s="8">
        <v>73872390</v>
      </c>
      <c r="I14" s="8">
        <v>0</v>
      </c>
      <c r="J14" s="8">
        <v>363021233</v>
      </c>
      <c r="K14" s="8">
        <v>2124449698</v>
      </c>
      <c r="L14" s="8">
        <v>0</v>
      </c>
      <c r="M14" s="8">
        <v>1283105164</v>
      </c>
      <c r="N14" s="8">
        <v>0</v>
      </c>
      <c r="P14" t="s">
        <v>490</v>
      </c>
    </row>
    <row r="15" spans="2:16">
      <c r="B15" s="23" t="s">
        <v>244</v>
      </c>
      <c r="D15" t="s">
        <v>164</v>
      </c>
      <c r="F15" s="82">
        <f>SUM(G15:N15)</f>
        <v>11284234</v>
      </c>
      <c r="G15" s="8">
        <v>0</v>
      </c>
      <c r="H15" s="8">
        <v>467880</v>
      </c>
      <c r="I15" s="8">
        <v>0</v>
      </c>
      <c r="J15" s="8">
        <v>744948</v>
      </c>
      <c r="K15" s="8">
        <v>5728674</v>
      </c>
      <c r="L15" s="8">
        <v>0</v>
      </c>
      <c r="M15" s="8">
        <v>4342732</v>
      </c>
      <c r="N15" s="8">
        <v>0</v>
      </c>
    </row>
    <row r="16" spans="2:16">
      <c r="B16" s="23" t="s">
        <v>245</v>
      </c>
      <c r="D16" t="s">
        <v>164</v>
      </c>
      <c r="F16" s="82">
        <f>SUM(G16:N16)</f>
        <v>1102486</v>
      </c>
      <c r="G16" s="8">
        <v>0</v>
      </c>
      <c r="H16" s="8">
        <v>42560</v>
      </c>
      <c r="I16" s="8">
        <v>0</v>
      </c>
      <c r="J16" s="8">
        <v>63540</v>
      </c>
      <c r="K16" s="8">
        <v>543754</v>
      </c>
      <c r="L16" s="8">
        <v>0</v>
      </c>
      <c r="M16" s="8">
        <v>452632</v>
      </c>
      <c r="N16" s="8">
        <v>0</v>
      </c>
    </row>
    <row r="17" spans="2:16">
      <c r="B17" s="23"/>
      <c r="G17" s="69"/>
      <c r="H17" s="69"/>
      <c r="I17" s="69"/>
      <c r="J17" s="69"/>
      <c r="K17" s="69"/>
      <c r="L17" s="69"/>
      <c r="M17" s="69"/>
      <c r="N17" s="69"/>
    </row>
    <row r="18" spans="2:16">
      <c r="B18" s="22" t="s">
        <v>246</v>
      </c>
      <c r="G18" s="69"/>
      <c r="H18" s="69"/>
      <c r="I18" s="69"/>
      <c r="J18" s="69"/>
      <c r="K18" s="69"/>
      <c r="L18" s="69"/>
      <c r="M18" s="69"/>
      <c r="N18" s="69"/>
    </row>
    <row r="19" spans="2:16">
      <c r="B19" s="23" t="s">
        <v>243</v>
      </c>
      <c r="D19" t="s">
        <v>164</v>
      </c>
      <c r="F19" s="82">
        <f>SUM(G19:N19)</f>
        <v>3465473228</v>
      </c>
      <c r="G19" s="8">
        <v>0</v>
      </c>
      <c r="H19" s="8">
        <v>474274799</v>
      </c>
      <c r="I19" s="8">
        <v>0</v>
      </c>
      <c r="J19" s="8">
        <v>626162170</v>
      </c>
      <c r="K19" s="8">
        <v>1958570705</v>
      </c>
      <c r="L19" s="8">
        <v>0</v>
      </c>
      <c r="M19" s="8">
        <v>406465554</v>
      </c>
      <c r="N19" s="8">
        <v>0</v>
      </c>
    </row>
    <row r="20" spans="2:16">
      <c r="B20" s="23" t="s">
        <v>244</v>
      </c>
      <c r="D20" t="s">
        <v>164</v>
      </c>
      <c r="F20" s="82">
        <f>SUM(G20:N20)</f>
        <v>14047116</v>
      </c>
      <c r="G20" s="8">
        <v>0</v>
      </c>
      <c r="H20" s="8">
        <v>2191696</v>
      </c>
      <c r="I20" s="8">
        <v>0</v>
      </c>
      <c r="J20" s="8">
        <v>2404849</v>
      </c>
      <c r="K20" s="8">
        <v>7901335</v>
      </c>
      <c r="L20" s="8">
        <v>0</v>
      </c>
      <c r="M20" s="8">
        <v>1549236</v>
      </c>
      <c r="N20" s="8">
        <v>0</v>
      </c>
    </row>
    <row r="21" spans="2:16">
      <c r="B21" s="23" t="s">
        <v>245</v>
      </c>
      <c r="D21" t="s">
        <v>164</v>
      </c>
      <c r="F21" s="82">
        <f>SUM(G21:N21)</f>
        <v>1286633</v>
      </c>
      <c r="G21" s="8">
        <v>0</v>
      </c>
      <c r="H21" s="8">
        <v>162700</v>
      </c>
      <c r="I21" s="8">
        <v>0</v>
      </c>
      <c r="J21" s="8">
        <v>239700</v>
      </c>
      <c r="K21" s="8">
        <v>749969</v>
      </c>
      <c r="L21" s="8">
        <v>0</v>
      </c>
      <c r="M21" s="8">
        <v>134264</v>
      </c>
      <c r="N21" s="8">
        <v>0</v>
      </c>
    </row>
    <row r="22" spans="2:16">
      <c r="B22" s="23"/>
      <c r="G22" s="69"/>
      <c r="H22" s="69"/>
      <c r="I22" s="69"/>
      <c r="J22" s="69"/>
      <c r="K22" s="69"/>
      <c r="L22" s="69"/>
      <c r="M22" s="69"/>
      <c r="N22" s="69"/>
    </row>
    <row r="23" spans="2:16">
      <c r="B23" s="22" t="s">
        <v>247</v>
      </c>
      <c r="G23" s="69"/>
      <c r="H23" s="69"/>
      <c r="I23" s="69"/>
      <c r="J23" s="69"/>
      <c r="K23" s="69"/>
      <c r="L23" s="69"/>
      <c r="M23" s="69"/>
      <c r="N23" s="69"/>
    </row>
    <row r="24" spans="2:16">
      <c r="B24" s="23" t="s">
        <v>243</v>
      </c>
      <c r="D24" t="s">
        <v>164</v>
      </c>
      <c r="F24" s="158"/>
      <c r="G24" s="157"/>
      <c r="H24" s="157"/>
      <c r="I24" s="157"/>
      <c r="J24" s="157"/>
      <c r="K24" s="157"/>
      <c r="L24" s="157"/>
      <c r="M24" s="157"/>
      <c r="N24" s="157"/>
    </row>
    <row r="25" spans="2:16">
      <c r="B25" s="23" t="s">
        <v>244</v>
      </c>
      <c r="D25" t="s">
        <v>164</v>
      </c>
      <c r="F25" s="158"/>
      <c r="G25" s="157"/>
      <c r="H25" s="157"/>
      <c r="I25" s="157"/>
      <c r="J25" s="157"/>
      <c r="K25" s="157"/>
      <c r="L25" s="157"/>
      <c r="M25" s="157"/>
      <c r="N25" s="157"/>
    </row>
    <row r="26" spans="2:16">
      <c r="B26" s="23" t="s">
        <v>245</v>
      </c>
      <c r="D26" t="s">
        <v>164</v>
      </c>
      <c r="F26" s="82">
        <f>SUM(G26:N26)</f>
        <v>222073</v>
      </c>
      <c r="G26" s="8">
        <v>0</v>
      </c>
      <c r="H26" s="8">
        <v>0</v>
      </c>
      <c r="I26" s="8">
        <v>0</v>
      </c>
      <c r="J26" s="8">
        <v>222073</v>
      </c>
      <c r="K26" s="8">
        <v>0</v>
      </c>
      <c r="L26" s="8">
        <v>0</v>
      </c>
      <c r="M26" s="8">
        <v>0</v>
      </c>
      <c r="N26" s="8">
        <v>0</v>
      </c>
      <c r="P26" t="s">
        <v>459</v>
      </c>
    </row>
    <row r="27" spans="2:16">
      <c r="B27" s="23"/>
      <c r="G27" s="69"/>
      <c r="H27" s="69"/>
      <c r="I27" s="69"/>
      <c r="J27" s="69"/>
      <c r="K27" s="69"/>
      <c r="L27" s="69"/>
      <c r="M27" s="69"/>
      <c r="N27" s="69"/>
    </row>
    <row r="28" spans="2:16">
      <c r="B28" s="22" t="s">
        <v>248</v>
      </c>
      <c r="G28" s="69"/>
      <c r="H28" s="69"/>
      <c r="I28" s="69"/>
      <c r="J28" s="69"/>
      <c r="K28" s="69"/>
      <c r="L28" s="69"/>
      <c r="M28" s="69"/>
      <c r="N28" s="69"/>
    </row>
    <row r="29" spans="2:16">
      <c r="B29" s="23" t="s">
        <v>243</v>
      </c>
      <c r="D29" t="s">
        <v>164</v>
      </c>
      <c r="F29" s="82">
        <f>SUM(G29:N29)</f>
        <v>9049320596.3980026</v>
      </c>
      <c r="G29" s="159">
        <v>0</v>
      </c>
      <c r="H29" s="159">
        <v>103153273</v>
      </c>
      <c r="I29" s="159">
        <v>10638221</v>
      </c>
      <c r="J29" s="159">
        <v>3093765322</v>
      </c>
      <c r="K29" s="159">
        <v>2059852697.7860029</v>
      </c>
      <c r="L29" s="159">
        <v>5655945.6120000398</v>
      </c>
      <c r="M29" s="159">
        <v>2022189789</v>
      </c>
      <c r="N29" s="159">
        <v>1754065348</v>
      </c>
    </row>
    <row r="30" spans="2:16">
      <c r="B30" s="23" t="s">
        <v>244</v>
      </c>
      <c r="D30" t="s">
        <v>164</v>
      </c>
      <c r="F30" s="82">
        <f>SUM(G30:N30)</f>
        <v>32626493.90400001</v>
      </c>
      <c r="G30" s="159">
        <v>0</v>
      </c>
      <c r="H30" s="159">
        <v>404824</v>
      </c>
      <c r="I30" s="159">
        <v>20212</v>
      </c>
      <c r="J30" s="159">
        <v>10637803</v>
      </c>
      <c r="K30" s="159">
        <v>9228331.5680000111</v>
      </c>
      <c r="L30" s="159">
        <v>2203.3359999999998</v>
      </c>
      <c r="M30" s="159">
        <v>6089076</v>
      </c>
      <c r="N30" s="159">
        <v>6244044</v>
      </c>
    </row>
    <row r="31" spans="2:16">
      <c r="B31" s="23" t="s">
        <v>245</v>
      </c>
      <c r="D31" t="s">
        <v>164</v>
      </c>
      <c r="F31" s="82">
        <f>SUM(G31:N31)</f>
        <v>2627821.8619999988</v>
      </c>
      <c r="G31" s="8">
        <v>0</v>
      </c>
      <c r="H31" s="8">
        <v>30200</v>
      </c>
      <c r="I31" s="8">
        <v>3088</v>
      </c>
      <c r="J31" s="8">
        <v>718243</v>
      </c>
      <c r="K31" s="8">
        <v>809399.52599999926</v>
      </c>
      <c r="L31" s="8">
        <v>139.33600000000001</v>
      </c>
      <c r="M31" s="8">
        <v>528756</v>
      </c>
      <c r="N31" s="8">
        <v>537996</v>
      </c>
      <c r="P31" t="s">
        <v>459</v>
      </c>
    </row>
    <row r="32" spans="2:16">
      <c r="B32" s="23"/>
      <c r="G32" s="69"/>
      <c r="H32" s="69"/>
      <c r="I32" s="69"/>
      <c r="J32" s="69"/>
      <c r="K32" s="69"/>
      <c r="L32" s="69"/>
      <c r="M32" s="69"/>
      <c r="N32" s="69"/>
    </row>
    <row r="33" spans="2:14">
      <c r="B33" s="22" t="s">
        <v>249</v>
      </c>
      <c r="G33" s="69"/>
      <c r="H33" s="69"/>
      <c r="I33" s="69"/>
      <c r="J33" s="69"/>
      <c r="K33" s="69"/>
      <c r="L33" s="69"/>
      <c r="M33" s="69"/>
      <c r="N33" s="69"/>
    </row>
    <row r="34" spans="2:14">
      <c r="B34" s="23" t="s">
        <v>243</v>
      </c>
      <c r="D34" t="s">
        <v>164</v>
      </c>
      <c r="F34" s="82">
        <f>SUM(G34:N34)</f>
        <v>283014526.29200006</v>
      </c>
      <c r="G34" s="8">
        <v>5172950</v>
      </c>
      <c r="H34" s="8">
        <v>56643679</v>
      </c>
      <c r="I34" s="8">
        <v>17677912</v>
      </c>
      <c r="J34" s="8">
        <v>24798238</v>
      </c>
      <c r="K34" s="8">
        <v>17641902</v>
      </c>
      <c r="L34" s="8">
        <v>1008827.00600002</v>
      </c>
      <c r="M34" s="8">
        <v>51834213</v>
      </c>
      <c r="N34" s="8">
        <v>108236805.286</v>
      </c>
    </row>
    <row r="35" spans="2:14">
      <c r="B35" s="23" t="s">
        <v>244</v>
      </c>
      <c r="D35" t="s">
        <v>164</v>
      </c>
      <c r="F35" s="82">
        <f>SUM(G35:N35)</f>
        <v>1038296.0279999999</v>
      </c>
      <c r="G35" s="8">
        <v>1398</v>
      </c>
      <c r="H35" s="8">
        <v>188808</v>
      </c>
      <c r="I35" s="8">
        <v>40980</v>
      </c>
      <c r="J35" s="8">
        <v>107988</v>
      </c>
      <c r="K35" s="8">
        <v>107793</v>
      </c>
      <c r="L35" s="8">
        <v>292.92399999999998</v>
      </c>
      <c r="M35" s="8">
        <v>169476</v>
      </c>
      <c r="N35" s="8">
        <v>421560.10399999999</v>
      </c>
    </row>
    <row r="36" spans="2:14">
      <c r="B36" s="23" t="s">
        <v>245</v>
      </c>
      <c r="D36" t="s">
        <v>164</v>
      </c>
      <c r="F36" s="82">
        <f>SUM(G36:N36)</f>
        <v>100872.072</v>
      </c>
      <c r="G36" s="8">
        <v>106</v>
      </c>
      <c r="H36" s="8">
        <v>18280</v>
      </c>
      <c r="I36" s="8">
        <v>4352</v>
      </c>
      <c r="J36" s="8">
        <v>10694</v>
      </c>
      <c r="K36" s="8">
        <v>10812</v>
      </c>
      <c r="L36" s="8">
        <v>68.072000000000003</v>
      </c>
      <c r="M36" s="8">
        <v>21940</v>
      </c>
      <c r="N36" s="8">
        <v>34620</v>
      </c>
    </row>
    <row r="38" spans="2:14">
      <c r="B38" s="3" t="s">
        <v>414</v>
      </c>
      <c r="F38"/>
    </row>
    <row r="39" spans="2:14">
      <c r="B39" s="144" t="s">
        <v>218</v>
      </c>
      <c r="F39"/>
      <c r="G39" s="156">
        <f>G16</f>
        <v>0</v>
      </c>
      <c r="H39" s="156">
        <f t="shared" ref="H39:N39" si="0">H16</f>
        <v>42560</v>
      </c>
      <c r="I39" s="156">
        <f t="shared" si="0"/>
        <v>0</v>
      </c>
      <c r="J39" s="156">
        <f t="shared" si="0"/>
        <v>63540</v>
      </c>
      <c r="K39" s="156">
        <f t="shared" si="0"/>
        <v>543754</v>
      </c>
      <c r="L39" s="156">
        <f t="shared" si="0"/>
        <v>0</v>
      </c>
      <c r="M39" s="156">
        <f t="shared" si="0"/>
        <v>452632</v>
      </c>
      <c r="N39" s="156">
        <f t="shared" si="0"/>
        <v>0</v>
      </c>
    </row>
    <row r="40" spans="2:14">
      <c r="B40" s="144" t="s">
        <v>220</v>
      </c>
      <c r="F40"/>
      <c r="G40" s="156">
        <f>G21</f>
        <v>0</v>
      </c>
      <c r="H40" s="156">
        <f t="shared" ref="H40:N40" si="1">H21</f>
        <v>162700</v>
      </c>
      <c r="I40" s="156">
        <f t="shared" si="1"/>
        <v>0</v>
      </c>
      <c r="J40" s="156">
        <f t="shared" si="1"/>
        <v>239700</v>
      </c>
      <c r="K40" s="156">
        <f t="shared" si="1"/>
        <v>749969</v>
      </c>
      <c r="L40" s="156">
        <f t="shared" si="1"/>
        <v>0</v>
      </c>
      <c r="M40" s="156">
        <f t="shared" si="1"/>
        <v>134264</v>
      </c>
      <c r="N40" s="156">
        <f t="shared" si="1"/>
        <v>0</v>
      </c>
    </row>
    <row r="41" spans="2:14">
      <c r="B41" s="144" t="s">
        <v>210</v>
      </c>
      <c r="F41"/>
      <c r="G41" s="156">
        <f>G26</f>
        <v>0</v>
      </c>
      <c r="H41" s="156">
        <f t="shared" ref="H41:N41" si="2">H26</f>
        <v>0</v>
      </c>
      <c r="I41" s="156">
        <f t="shared" si="2"/>
        <v>0</v>
      </c>
      <c r="J41" s="156">
        <f t="shared" si="2"/>
        <v>222073</v>
      </c>
      <c r="K41" s="156">
        <f t="shared" si="2"/>
        <v>0</v>
      </c>
      <c r="L41" s="156">
        <f t="shared" si="2"/>
        <v>0</v>
      </c>
      <c r="M41" s="156">
        <f t="shared" si="2"/>
        <v>0</v>
      </c>
      <c r="N41" s="156">
        <f t="shared" si="2"/>
        <v>0</v>
      </c>
    </row>
    <row r="42" spans="2:14">
      <c r="B42" s="144" t="s">
        <v>211</v>
      </c>
      <c r="F42"/>
      <c r="G42" s="156">
        <f>G31</f>
        <v>0</v>
      </c>
      <c r="H42" s="156">
        <f t="shared" ref="H42:N42" si="3">H31</f>
        <v>30200</v>
      </c>
      <c r="I42" s="156">
        <f t="shared" si="3"/>
        <v>3088</v>
      </c>
      <c r="J42" s="156">
        <f t="shared" si="3"/>
        <v>718243</v>
      </c>
      <c r="K42" s="156">
        <f t="shared" si="3"/>
        <v>809399.52599999926</v>
      </c>
      <c r="L42" s="156">
        <f t="shared" si="3"/>
        <v>139.33600000000001</v>
      </c>
      <c r="M42" s="156">
        <f t="shared" si="3"/>
        <v>528756</v>
      </c>
      <c r="N42" s="156">
        <f t="shared" si="3"/>
        <v>537996</v>
      </c>
    </row>
    <row r="43" spans="2:14">
      <c r="B43" s="144" t="s">
        <v>226</v>
      </c>
      <c r="F43"/>
      <c r="G43" s="156">
        <f>G36</f>
        <v>106</v>
      </c>
      <c r="H43" s="156">
        <f t="shared" ref="H43:N43" si="4">H36</f>
        <v>18280</v>
      </c>
      <c r="I43" s="156">
        <f t="shared" si="4"/>
        <v>4352</v>
      </c>
      <c r="J43" s="156">
        <f t="shared" si="4"/>
        <v>10694</v>
      </c>
      <c r="K43" s="156">
        <f t="shared" si="4"/>
        <v>10812</v>
      </c>
      <c r="L43" s="156">
        <f t="shared" si="4"/>
        <v>68.072000000000003</v>
      </c>
      <c r="M43" s="156">
        <f t="shared" si="4"/>
        <v>21940</v>
      </c>
      <c r="N43" s="156">
        <f t="shared" si="4"/>
        <v>34620</v>
      </c>
    </row>
    <row r="44" spans="2:14">
      <c r="F44"/>
    </row>
    <row r="46" spans="2:14" s="2" customFormat="1">
      <c r="B46" s="2" t="s">
        <v>62</v>
      </c>
      <c r="F46" s="48"/>
    </row>
    <row r="48" spans="2:14">
      <c r="B48" s="3"/>
    </row>
    <row r="49" spans="2:16">
      <c r="B49" s="22" t="s">
        <v>242</v>
      </c>
    </row>
    <row r="50" spans="2:16">
      <c r="B50" s="23" t="s">
        <v>243</v>
      </c>
      <c r="D50" t="s">
        <v>164</v>
      </c>
      <c r="F50" s="82">
        <f>SUM(G50:N50)</f>
        <v>4305720242.3066006</v>
      </c>
      <c r="G50" s="39">
        <v>0</v>
      </c>
      <c r="H50" s="39">
        <v>67056970</v>
      </c>
      <c r="I50" s="39">
        <v>0</v>
      </c>
      <c r="J50" s="39">
        <v>445073634</v>
      </c>
      <c r="K50" s="39">
        <v>2248961928.3066001</v>
      </c>
      <c r="L50" s="39">
        <v>0</v>
      </c>
      <c r="M50" s="39">
        <v>1544627710</v>
      </c>
      <c r="N50" s="39">
        <v>0</v>
      </c>
      <c r="P50" t="s">
        <v>491</v>
      </c>
    </row>
    <row r="51" spans="2:16">
      <c r="B51" s="23" t="s">
        <v>244</v>
      </c>
      <c r="D51" t="s">
        <v>164</v>
      </c>
      <c r="F51" s="82">
        <f>SUM(G51:N51)</f>
        <v>10330564.5836</v>
      </c>
      <c r="G51" s="39">
        <v>0</v>
      </c>
      <c r="H51" s="39">
        <v>475640</v>
      </c>
      <c r="I51" s="39">
        <v>0</v>
      </c>
      <c r="J51" s="39">
        <v>747432</v>
      </c>
      <c r="K51" s="39">
        <v>4748072.5835999995</v>
      </c>
      <c r="L51" s="39">
        <v>0</v>
      </c>
      <c r="M51" s="39">
        <v>4359420</v>
      </c>
      <c r="N51" s="39">
        <v>0</v>
      </c>
    </row>
    <row r="52" spans="2:16">
      <c r="B52" s="23" t="s">
        <v>245</v>
      </c>
      <c r="D52" t="s">
        <v>164</v>
      </c>
      <c r="F52" s="82">
        <f>SUM(G52:N52)</f>
        <v>1105846.3776</v>
      </c>
      <c r="G52" s="39">
        <v>0</v>
      </c>
      <c r="H52" s="39">
        <v>41960</v>
      </c>
      <c r="I52" s="39">
        <v>0</v>
      </c>
      <c r="J52" s="39">
        <v>67488</v>
      </c>
      <c r="K52" s="39">
        <v>589898.37760000001</v>
      </c>
      <c r="L52" s="39">
        <v>0</v>
      </c>
      <c r="M52" s="39">
        <v>406500</v>
      </c>
      <c r="N52" s="39">
        <v>0</v>
      </c>
    </row>
    <row r="53" spans="2:16">
      <c r="B53" s="23"/>
    </row>
    <row r="54" spans="2:16">
      <c r="B54" s="22" t="s">
        <v>246</v>
      </c>
    </row>
    <row r="55" spans="2:16">
      <c r="B55" s="23" t="s">
        <v>243</v>
      </c>
      <c r="D55" t="s">
        <v>164</v>
      </c>
      <c r="F55" s="82">
        <f>SUM(G55:N55)</f>
        <v>3352381557</v>
      </c>
      <c r="G55" s="39">
        <v>0</v>
      </c>
      <c r="H55" s="39">
        <v>483906948</v>
      </c>
      <c r="I55" s="39">
        <v>0</v>
      </c>
      <c r="J55" s="39">
        <v>623552342</v>
      </c>
      <c r="K55" s="39">
        <v>1865792591</v>
      </c>
      <c r="L55" s="39">
        <v>0</v>
      </c>
      <c r="M55" s="39">
        <v>379129676</v>
      </c>
      <c r="N55" s="39">
        <v>0</v>
      </c>
    </row>
    <row r="56" spans="2:16">
      <c r="B56" s="23" t="s">
        <v>244</v>
      </c>
      <c r="D56" t="s">
        <v>164</v>
      </c>
      <c r="F56" s="82">
        <f>SUM(G56:N56)</f>
        <v>13154224</v>
      </c>
      <c r="G56" s="39">
        <v>0</v>
      </c>
      <c r="H56" s="39">
        <v>1911532</v>
      </c>
      <c r="I56" s="39">
        <v>0</v>
      </c>
      <c r="J56" s="39">
        <v>2077626</v>
      </c>
      <c r="K56" s="39">
        <v>7623798</v>
      </c>
      <c r="L56" s="39">
        <v>0</v>
      </c>
      <c r="M56" s="39">
        <v>1541268</v>
      </c>
      <c r="N56" s="39">
        <v>0</v>
      </c>
    </row>
    <row r="57" spans="2:16">
      <c r="B57" s="23" t="s">
        <v>245</v>
      </c>
      <c r="D57" t="s">
        <v>164</v>
      </c>
      <c r="F57" s="82">
        <f>SUM(G57:N57)</f>
        <v>1170171</v>
      </c>
      <c r="G57" s="39">
        <v>0</v>
      </c>
      <c r="H57" s="39">
        <v>157800</v>
      </c>
      <c r="I57" s="39">
        <v>0</v>
      </c>
      <c r="J57" s="39">
        <v>188430</v>
      </c>
      <c r="K57" s="39">
        <v>690373</v>
      </c>
      <c r="L57" s="39">
        <v>0</v>
      </c>
      <c r="M57" s="39">
        <v>133568</v>
      </c>
      <c r="N57" s="39">
        <v>0</v>
      </c>
    </row>
    <row r="58" spans="2:16">
      <c r="B58" s="23"/>
    </row>
    <row r="59" spans="2:16">
      <c r="B59" s="22" t="s">
        <v>247</v>
      </c>
    </row>
    <row r="60" spans="2:16">
      <c r="B60" s="23" t="s">
        <v>243</v>
      </c>
      <c r="D60" t="s">
        <v>164</v>
      </c>
      <c r="F60" s="82">
        <f>SUM(G60:N60)</f>
        <v>988800539</v>
      </c>
      <c r="G60" s="39">
        <v>0</v>
      </c>
      <c r="H60" s="39">
        <v>0</v>
      </c>
      <c r="I60" s="39">
        <v>1030546</v>
      </c>
      <c r="J60" s="39">
        <v>978506294</v>
      </c>
      <c r="K60" s="39">
        <v>0</v>
      </c>
      <c r="L60" s="39">
        <v>9263699</v>
      </c>
      <c r="M60" s="39">
        <v>0</v>
      </c>
      <c r="N60" s="39">
        <v>0</v>
      </c>
    </row>
    <row r="61" spans="2:16">
      <c r="B61" s="23" t="s">
        <v>244</v>
      </c>
      <c r="D61" t="s">
        <v>164</v>
      </c>
      <c r="F61" s="82">
        <f>SUM(G61:N61)</f>
        <v>2904202</v>
      </c>
      <c r="G61" s="39">
        <v>0</v>
      </c>
      <c r="H61" s="39">
        <v>0</v>
      </c>
      <c r="I61" s="39">
        <v>0</v>
      </c>
      <c r="J61" s="39">
        <v>2901914</v>
      </c>
      <c r="K61" s="39">
        <v>0</v>
      </c>
      <c r="L61" s="39">
        <v>2288</v>
      </c>
      <c r="M61" s="39">
        <v>0</v>
      </c>
      <c r="N61" s="39">
        <v>0</v>
      </c>
    </row>
    <row r="62" spans="2:16">
      <c r="B62" s="23" t="s">
        <v>245</v>
      </c>
      <c r="D62" t="s">
        <v>164</v>
      </c>
      <c r="F62" s="82">
        <f>SUM(G62:N62)</f>
        <v>263102</v>
      </c>
      <c r="G62" s="39">
        <v>0</v>
      </c>
      <c r="H62" s="39">
        <v>0</v>
      </c>
      <c r="I62" s="39">
        <v>0</v>
      </c>
      <c r="J62" s="39">
        <v>263102</v>
      </c>
      <c r="K62" s="39">
        <v>0</v>
      </c>
      <c r="L62" s="39">
        <v>0</v>
      </c>
      <c r="M62" s="39">
        <v>0</v>
      </c>
      <c r="N62" s="39">
        <v>0</v>
      </c>
    </row>
    <row r="63" spans="2:16">
      <c r="B63" s="23"/>
    </row>
    <row r="64" spans="2:16">
      <c r="B64" s="22" t="s">
        <v>248</v>
      </c>
    </row>
    <row r="65" spans="2:14">
      <c r="B65" s="23" t="s">
        <v>243</v>
      </c>
      <c r="D65" t="s">
        <v>164</v>
      </c>
      <c r="F65" s="82">
        <f>SUM(G65:N65)</f>
        <v>9203469677.258009</v>
      </c>
      <c r="G65" s="39">
        <v>0</v>
      </c>
      <c r="H65" s="39">
        <v>110469402</v>
      </c>
      <c r="I65" s="39">
        <v>8865006</v>
      </c>
      <c r="J65" s="39">
        <v>2600540232</v>
      </c>
      <c r="K65" s="39">
        <v>2097740970.2580085</v>
      </c>
      <c r="L65" s="39">
        <v>3275262</v>
      </c>
      <c r="M65" s="39">
        <v>2137103006</v>
      </c>
      <c r="N65" s="39">
        <v>2245475799</v>
      </c>
    </row>
    <row r="66" spans="2:14">
      <c r="B66" s="23" t="s">
        <v>244</v>
      </c>
      <c r="D66" t="s">
        <v>164</v>
      </c>
      <c r="F66" s="82">
        <f>SUM(G66:N66)</f>
        <v>30942973.474800035</v>
      </c>
      <c r="G66" s="39">
        <v>0</v>
      </c>
      <c r="H66" s="39">
        <v>395164</v>
      </c>
      <c r="I66" s="39">
        <v>16620</v>
      </c>
      <c r="J66" s="39">
        <v>8397984</v>
      </c>
      <c r="K66" s="39">
        <v>9318417.4748000372</v>
      </c>
      <c r="L66" s="39">
        <v>2820</v>
      </c>
      <c r="M66" s="39">
        <v>6053064</v>
      </c>
      <c r="N66" s="39">
        <v>6758904</v>
      </c>
    </row>
    <row r="67" spans="2:14">
      <c r="B67" s="23" t="s">
        <v>245</v>
      </c>
      <c r="D67" t="s">
        <v>164</v>
      </c>
      <c r="F67" s="82">
        <f>SUM(G67:N67)</f>
        <v>2605161.6580000008</v>
      </c>
      <c r="G67" s="39">
        <v>0</v>
      </c>
      <c r="H67" s="39">
        <v>32236</v>
      </c>
      <c r="I67" s="39">
        <v>1792</v>
      </c>
      <c r="J67" s="39">
        <v>712560</v>
      </c>
      <c r="K67" s="39">
        <v>807273.65800000075</v>
      </c>
      <c r="L67" s="39">
        <v>488</v>
      </c>
      <c r="M67" s="39">
        <v>530380</v>
      </c>
      <c r="N67" s="39">
        <v>520432</v>
      </c>
    </row>
    <row r="68" spans="2:14">
      <c r="B68" s="23"/>
    </row>
    <row r="69" spans="2:14">
      <c r="B69" s="22" t="s">
        <v>249</v>
      </c>
    </row>
    <row r="70" spans="2:14">
      <c r="B70" s="23" t="s">
        <v>243</v>
      </c>
      <c r="D70" t="s">
        <v>164</v>
      </c>
      <c r="F70" s="82">
        <f>SUM(G70:N70)</f>
        <v>324052519</v>
      </c>
      <c r="G70" s="39">
        <v>6592907</v>
      </c>
      <c r="H70" s="39">
        <v>84984321</v>
      </c>
      <c r="I70" s="39">
        <v>19868213</v>
      </c>
      <c r="J70" s="39">
        <v>14883489</v>
      </c>
      <c r="K70" s="39">
        <v>13703181.000000015</v>
      </c>
      <c r="L70" s="39">
        <v>644919</v>
      </c>
      <c r="M70" s="39">
        <v>49211217</v>
      </c>
      <c r="N70" s="39">
        <v>134164272</v>
      </c>
    </row>
    <row r="71" spans="2:14">
      <c r="B71" s="23" t="s">
        <v>244</v>
      </c>
      <c r="D71" t="s">
        <v>164</v>
      </c>
      <c r="F71" s="82">
        <f>SUM(G71:N71)</f>
        <v>985331.89999999932</v>
      </c>
      <c r="G71" s="39">
        <v>1571</v>
      </c>
      <c r="H71" s="39">
        <v>199712</v>
      </c>
      <c r="I71" s="39">
        <v>38676</v>
      </c>
      <c r="J71" s="39">
        <v>70932</v>
      </c>
      <c r="K71" s="39">
        <v>97831.899999999325</v>
      </c>
      <c r="L71" s="39">
        <v>429</v>
      </c>
      <c r="M71" s="39">
        <v>150880</v>
      </c>
      <c r="N71" s="39">
        <v>425300</v>
      </c>
    </row>
    <row r="72" spans="2:14">
      <c r="B72" s="23" t="s">
        <v>245</v>
      </c>
      <c r="D72" t="s">
        <v>164</v>
      </c>
      <c r="F72" s="82">
        <f>SUM(G72:N72)</f>
        <v>92068.5</v>
      </c>
      <c r="G72" s="39">
        <v>191</v>
      </c>
      <c r="H72" s="39">
        <v>19220</v>
      </c>
      <c r="I72" s="39">
        <v>3688</v>
      </c>
      <c r="J72" s="39">
        <v>7174</v>
      </c>
      <c r="K72" s="39">
        <v>9614.5</v>
      </c>
      <c r="L72" s="39">
        <v>17</v>
      </c>
      <c r="M72" s="39">
        <v>20256</v>
      </c>
      <c r="N72" s="39">
        <v>31908</v>
      </c>
    </row>
    <row r="74" spans="2:14">
      <c r="B74" s="3" t="s">
        <v>414</v>
      </c>
      <c r="F74"/>
    </row>
    <row r="75" spans="2:14">
      <c r="B75" s="144" t="s">
        <v>218</v>
      </c>
      <c r="F75"/>
      <c r="G75" s="156">
        <f>G52</f>
        <v>0</v>
      </c>
      <c r="H75" s="156">
        <f t="shared" ref="H75:N75" si="5">H52</f>
        <v>41960</v>
      </c>
      <c r="I75" s="156">
        <f t="shared" si="5"/>
        <v>0</v>
      </c>
      <c r="J75" s="156">
        <f t="shared" si="5"/>
        <v>67488</v>
      </c>
      <c r="K75" s="156">
        <f t="shared" si="5"/>
        <v>589898.37760000001</v>
      </c>
      <c r="L75" s="156">
        <f t="shared" si="5"/>
        <v>0</v>
      </c>
      <c r="M75" s="156">
        <f t="shared" si="5"/>
        <v>406500</v>
      </c>
      <c r="N75" s="156">
        <f t="shared" si="5"/>
        <v>0</v>
      </c>
    </row>
    <row r="76" spans="2:14">
      <c r="B76" s="144" t="s">
        <v>220</v>
      </c>
      <c r="F76"/>
      <c r="G76" s="156">
        <f>G57</f>
        <v>0</v>
      </c>
      <c r="H76" s="156">
        <f t="shared" ref="H76:N76" si="6">H57</f>
        <v>157800</v>
      </c>
      <c r="I76" s="156">
        <f t="shared" si="6"/>
        <v>0</v>
      </c>
      <c r="J76" s="156">
        <f t="shared" si="6"/>
        <v>188430</v>
      </c>
      <c r="K76" s="156">
        <f t="shared" si="6"/>
        <v>690373</v>
      </c>
      <c r="L76" s="156">
        <f t="shared" si="6"/>
        <v>0</v>
      </c>
      <c r="M76" s="156">
        <f t="shared" si="6"/>
        <v>133568</v>
      </c>
      <c r="N76" s="156">
        <f t="shared" si="6"/>
        <v>0</v>
      </c>
    </row>
    <row r="77" spans="2:14">
      <c r="B77" s="144" t="s">
        <v>210</v>
      </c>
      <c r="F77"/>
      <c r="G77" s="156">
        <f>G62</f>
        <v>0</v>
      </c>
      <c r="H77" s="156">
        <f t="shared" ref="H77:N77" si="7">H62</f>
        <v>0</v>
      </c>
      <c r="I77" s="156">
        <f t="shared" si="7"/>
        <v>0</v>
      </c>
      <c r="J77" s="156">
        <f t="shared" si="7"/>
        <v>263102</v>
      </c>
      <c r="K77" s="156">
        <f t="shared" si="7"/>
        <v>0</v>
      </c>
      <c r="L77" s="156">
        <f t="shared" si="7"/>
        <v>0</v>
      </c>
      <c r="M77" s="156">
        <f t="shared" si="7"/>
        <v>0</v>
      </c>
      <c r="N77" s="156">
        <f t="shared" si="7"/>
        <v>0</v>
      </c>
    </row>
    <row r="78" spans="2:14">
      <c r="B78" s="144" t="s">
        <v>211</v>
      </c>
      <c r="F78"/>
      <c r="G78" s="156">
        <f>G67</f>
        <v>0</v>
      </c>
      <c r="H78" s="156">
        <f t="shared" ref="H78:N78" si="8">H67</f>
        <v>32236</v>
      </c>
      <c r="I78" s="156">
        <f t="shared" si="8"/>
        <v>1792</v>
      </c>
      <c r="J78" s="156">
        <f t="shared" si="8"/>
        <v>712560</v>
      </c>
      <c r="K78" s="156">
        <f t="shared" si="8"/>
        <v>807273.65800000075</v>
      </c>
      <c r="L78" s="156">
        <f t="shared" si="8"/>
        <v>488</v>
      </c>
      <c r="M78" s="156">
        <f t="shared" si="8"/>
        <v>530380</v>
      </c>
      <c r="N78" s="156">
        <f t="shared" si="8"/>
        <v>520432</v>
      </c>
    </row>
    <row r="79" spans="2:14">
      <c r="B79" s="144" t="s">
        <v>226</v>
      </c>
      <c r="F79"/>
      <c r="G79" s="156">
        <f>G72</f>
        <v>191</v>
      </c>
      <c r="H79" s="156">
        <f t="shared" ref="H79:N79" si="9">H72</f>
        <v>19220</v>
      </c>
      <c r="I79" s="156">
        <f t="shared" si="9"/>
        <v>3688</v>
      </c>
      <c r="J79" s="156">
        <f t="shared" si="9"/>
        <v>7174</v>
      </c>
      <c r="K79" s="156">
        <f t="shared" si="9"/>
        <v>9614.5</v>
      </c>
      <c r="L79" s="156">
        <f t="shared" si="9"/>
        <v>17</v>
      </c>
      <c r="M79" s="156">
        <f t="shared" si="9"/>
        <v>20256</v>
      </c>
      <c r="N79" s="156">
        <f t="shared" si="9"/>
        <v>31908</v>
      </c>
    </row>
    <row r="80" spans="2:14">
      <c r="F80"/>
    </row>
    <row r="82" spans="2:16" s="2" customFormat="1">
      <c r="B82" s="2" t="s">
        <v>63</v>
      </c>
      <c r="F82" s="48"/>
    </row>
    <row r="84" spans="2:16">
      <c r="B84" s="3"/>
    </row>
    <row r="85" spans="2:16">
      <c r="B85" s="22" t="s">
        <v>242</v>
      </c>
    </row>
    <row r="86" spans="2:16">
      <c r="B86" s="23" t="s">
        <v>243</v>
      </c>
      <c r="D86" t="s">
        <v>164</v>
      </c>
      <c r="F86" s="82">
        <f>SUM(G86:N86)</f>
        <v>3776538409.0580006</v>
      </c>
      <c r="G86" s="39">
        <v>0</v>
      </c>
      <c r="H86" s="39">
        <v>77401170</v>
      </c>
      <c r="I86" s="39">
        <v>0</v>
      </c>
      <c r="J86" s="39">
        <v>384177199</v>
      </c>
      <c r="K86" s="39">
        <v>1718407999.0580006</v>
      </c>
      <c r="L86" s="39">
        <v>0</v>
      </c>
      <c r="M86" s="39">
        <v>1596552041</v>
      </c>
      <c r="N86" s="39"/>
      <c r="P86" t="s">
        <v>492</v>
      </c>
    </row>
    <row r="87" spans="2:16">
      <c r="B87" s="23" t="s">
        <v>244</v>
      </c>
      <c r="D87" t="s">
        <v>164</v>
      </c>
      <c r="F87" s="82">
        <f>SUM(G87:N87)</f>
        <v>9056893.2351999991</v>
      </c>
      <c r="G87" s="39">
        <v>0</v>
      </c>
      <c r="H87" s="39">
        <v>480320</v>
      </c>
      <c r="I87" s="39">
        <v>0</v>
      </c>
      <c r="J87" s="39">
        <v>743700</v>
      </c>
      <c r="K87" s="39">
        <v>3856705.2351999995</v>
      </c>
      <c r="L87" s="39">
        <v>0</v>
      </c>
      <c r="M87" s="39">
        <v>3976168</v>
      </c>
      <c r="N87" s="39"/>
    </row>
    <row r="88" spans="2:16">
      <c r="B88" s="23" t="s">
        <v>245</v>
      </c>
      <c r="D88" t="s">
        <v>164</v>
      </c>
      <c r="F88" s="82">
        <f>SUM(G88:N88)</f>
        <v>952220.13540000003</v>
      </c>
      <c r="G88" s="39">
        <v>0</v>
      </c>
      <c r="H88" s="39">
        <v>42240</v>
      </c>
      <c r="I88" s="39">
        <v>0</v>
      </c>
      <c r="J88" s="39">
        <v>68400</v>
      </c>
      <c r="K88" s="39">
        <v>453984.13540000003</v>
      </c>
      <c r="L88" s="39">
        <v>0</v>
      </c>
      <c r="M88" s="39">
        <v>387596</v>
      </c>
      <c r="N88" s="39"/>
    </row>
    <row r="89" spans="2:16">
      <c r="B89" s="23"/>
    </row>
    <row r="90" spans="2:16">
      <c r="B90" s="22" t="s">
        <v>246</v>
      </c>
    </row>
    <row r="91" spans="2:16">
      <c r="B91" s="23" t="s">
        <v>243</v>
      </c>
      <c r="D91" t="s">
        <v>164</v>
      </c>
      <c r="F91" s="82">
        <f>SUM(G91:N91)</f>
        <v>4215656921</v>
      </c>
      <c r="G91" s="39">
        <v>0</v>
      </c>
      <c r="H91" s="39">
        <v>603668010</v>
      </c>
      <c r="I91" s="39">
        <v>0</v>
      </c>
      <c r="J91" s="39">
        <v>654121127</v>
      </c>
      <c r="K91" s="39">
        <v>2544056955</v>
      </c>
      <c r="L91" s="39">
        <v>0</v>
      </c>
      <c r="M91" s="39">
        <v>413810829</v>
      </c>
      <c r="N91" s="39"/>
    </row>
    <row r="92" spans="2:16">
      <c r="B92" s="23" t="s">
        <v>244</v>
      </c>
      <c r="D92" t="s">
        <v>164</v>
      </c>
      <c r="F92" s="82">
        <f>SUM(G92:N92)</f>
        <v>14699986</v>
      </c>
      <c r="G92" s="39">
        <v>0</v>
      </c>
      <c r="H92" s="39">
        <v>2274304</v>
      </c>
      <c r="I92" s="39">
        <v>0</v>
      </c>
      <c r="J92" s="39">
        <v>2286698</v>
      </c>
      <c r="K92" s="39">
        <v>8631444</v>
      </c>
      <c r="L92" s="39">
        <v>0</v>
      </c>
      <c r="M92" s="39">
        <v>1507540</v>
      </c>
      <c r="N92" s="39"/>
    </row>
    <row r="93" spans="2:16">
      <c r="B93" s="23" t="s">
        <v>245</v>
      </c>
      <c r="D93" t="s">
        <v>164</v>
      </c>
      <c r="F93" s="82">
        <f>SUM(G93:N93)</f>
        <v>1335560</v>
      </c>
      <c r="G93" s="39">
        <v>0</v>
      </c>
      <c r="H93" s="39">
        <v>190712</v>
      </c>
      <c r="I93" s="39">
        <v>0</v>
      </c>
      <c r="J93" s="39">
        <v>218803</v>
      </c>
      <c r="K93" s="39">
        <v>792929</v>
      </c>
      <c r="L93" s="39">
        <v>0</v>
      </c>
      <c r="M93" s="39">
        <v>133116</v>
      </c>
      <c r="N93" s="39"/>
    </row>
    <row r="94" spans="2:16">
      <c r="B94" s="23"/>
    </row>
    <row r="95" spans="2:16">
      <c r="B95" s="22" t="s">
        <v>247</v>
      </c>
    </row>
    <row r="96" spans="2:16">
      <c r="B96" s="23" t="s">
        <v>243</v>
      </c>
      <c r="D96" t="s">
        <v>164</v>
      </c>
      <c r="F96" s="82">
        <f>SUM(G96:N96)</f>
        <v>907075667.60619998</v>
      </c>
      <c r="G96" s="39">
        <v>0</v>
      </c>
      <c r="H96" s="39">
        <v>0</v>
      </c>
      <c r="I96" s="39">
        <v>974602.60619999992</v>
      </c>
      <c r="J96" s="39">
        <v>903519504</v>
      </c>
      <c r="K96" s="39">
        <v>0</v>
      </c>
      <c r="L96" s="39">
        <v>2581561</v>
      </c>
      <c r="M96" s="39">
        <v>0</v>
      </c>
      <c r="N96" s="39"/>
    </row>
    <row r="97" spans="2:14">
      <c r="B97" s="23" t="s">
        <v>244</v>
      </c>
      <c r="D97" t="s">
        <v>164</v>
      </c>
      <c r="F97" s="82">
        <f>SUM(G97:N97)</f>
        <v>2934853</v>
      </c>
      <c r="G97" s="39">
        <v>0</v>
      </c>
      <c r="H97" s="39">
        <v>0</v>
      </c>
      <c r="I97" s="39">
        <v>0</v>
      </c>
      <c r="J97" s="39">
        <v>2933305</v>
      </c>
      <c r="K97" s="39">
        <v>0</v>
      </c>
      <c r="L97" s="39">
        <v>1548</v>
      </c>
      <c r="M97" s="39">
        <v>0</v>
      </c>
      <c r="N97" s="39"/>
    </row>
    <row r="98" spans="2:14">
      <c r="B98" s="23" t="s">
        <v>245</v>
      </c>
      <c r="D98" t="s">
        <v>164</v>
      </c>
      <c r="F98" s="82">
        <f>SUM(G98:N98)</f>
        <v>248027</v>
      </c>
      <c r="G98" s="39">
        <v>0</v>
      </c>
      <c r="H98" s="39">
        <v>0</v>
      </c>
      <c r="I98" s="39">
        <v>0</v>
      </c>
      <c r="J98" s="39">
        <v>248027</v>
      </c>
      <c r="K98" s="39">
        <v>0</v>
      </c>
      <c r="L98" s="39">
        <v>0</v>
      </c>
      <c r="M98" s="39">
        <v>0</v>
      </c>
      <c r="N98" s="39"/>
    </row>
    <row r="99" spans="2:14">
      <c r="B99" s="23"/>
    </row>
    <row r="100" spans="2:14">
      <c r="B100" s="22" t="s">
        <v>248</v>
      </c>
    </row>
    <row r="101" spans="2:14">
      <c r="B101" s="23" t="s">
        <v>243</v>
      </c>
      <c r="D101" t="s">
        <v>164</v>
      </c>
      <c r="F101" s="82">
        <f>SUM(G101:N101)</f>
        <v>9344229072.6232224</v>
      </c>
      <c r="G101" s="39">
        <v>0</v>
      </c>
      <c r="H101" s="39">
        <v>115632628</v>
      </c>
      <c r="I101" s="39">
        <v>2767878.0752249993</v>
      </c>
      <c r="J101" s="39">
        <v>2608650915</v>
      </c>
      <c r="K101" s="39">
        <v>2303185998.8899989</v>
      </c>
      <c r="L101" s="39">
        <v>8101112</v>
      </c>
      <c r="M101" s="39">
        <v>2109472599</v>
      </c>
      <c r="N101" s="39">
        <v>2196417941.658</v>
      </c>
    </row>
    <row r="102" spans="2:14">
      <c r="B102" s="23" t="s">
        <v>244</v>
      </c>
      <c r="D102" t="s">
        <v>164</v>
      </c>
      <c r="F102" s="82">
        <f>SUM(G102:N102)</f>
        <v>31097162.056000095</v>
      </c>
      <c r="G102" s="39">
        <v>0</v>
      </c>
      <c r="H102" s="39">
        <v>361296</v>
      </c>
      <c r="I102" s="39">
        <v>9645.1</v>
      </c>
      <c r="J102" s="39">
        <v>8247131</v>
      </c>
      <c r="K102" s="39">
        <v>9765958.1560000945</v>
      </c>
      <c r="L102" s="39">
        <v>8096</v>
      </c>
      <c r="M102" s="39">
        <v>5936924</v>
      </c>
      <c r="N102" s="39">
        <v>6768111.7999999998</v>
      </c>
    </row>
    <row r="103" spans="2:14">
      <c r="B103" s="23" t="s">
        <v>245</v>
      </c>
      <c r="D103" t="s">
        <v>164</v>
      </c>
      <c r="F103" s="82">
        <f>SUM(G103:N103)</f>
        <v>2789473.7320000012</v>
      </c>
      <c r="G103" s="39">
        <v>0</v>
      </c>
      <c r="H103" s="39">
        <v>34140</v>
      </c>
      <c r="I103" s="39">
        <v>2963.6</v>
      </c>
      <c r="J103" s="39">
        <v>725129</v>
      </c>
      <c r="K103" s="39">
        <v>997307.33200000157</v>
      </c>
      <c r="L103" s="39">
        <v>780</v>
      </c>
      <c r="M103" s="39">
        <v>506148</v>
      </c>
      <c r="N103" s="39">
        <v>523005.8</v>
      </c>
    </row>
    <row r="104" spans="2:14">
      <c r="B104" s="23"/>
    </row>
    <row r="105" spans="2:14">
      <c r="B105" s="22" t="s">
        <v>249</v>
      </c>
    </row>
    <row r="106" spans="2:14">
      <c r="B106" s="23" t="s">
        <v>243</v>
      </c>
      <c r="D106" t="s">
        <v>164</v>
      </c>
      <c r="F106" s="82">
        <f>SUM(G106:N106)</f>
        <v>290626697.37599999</v>
      </c>
      <c r="G106" s="39">
        <v>6045791</v>
      </c>
      <c r="H106" s="39">
        <v>64488579</v>
      </c>
      <c r="I106" s="39">
        <v>13164578</v>
      </c>
      <c r="J106" s="39">
        <v>15988364</v>
      </c>
      <c r="K106" s="39">
        <v>16814246.376000002</v>
      </c>
      <c r="L106" s="39">
        <v>515611</v>
      </c>
      <c r="M106" s="39">
        <v>57319530</v>
      </c>
      <c r="N106" s="39">
        <v>116289998</v>
      </c>
    </row>
    <row r="107" spans="2:14">
      <c r="B107" s="23" t="s">
        <v>244</v>
      </c>
      <c r="D107" t="s">
        <v>164</v>
      </c>
      <c r="F107" s="82">
        <f>SUM(G107:N107)</f>
        <v>993328.95200000005</v>
      </c>
      <c r="G107" s="39">
        <v>2411</v>
      </c>
      <c r="H107" s="39">
        <v>208020</v>
      </c>
      <c r="I107" s="39">
        <v>34388</v>
      </c>
      <c r="J107" s="39">
        <v>66222</v>
      </c>
      <c r="K107" s="39">
        <v>101429.952</v>
      </c>
      <c r="L107" s="39">
        <v>218</v>
      </c>
      <c r="M107" s="39">
        <v>207048</v>
      </c>
      <c r="N107" s="39">
        <v>373592</v>
      </c>
    </row>
    <row r="108" spans="2:14">
      <c r="B108" s="23" t="s">
        <v>245</v>
      </c>
      <c r="D108" t="s">
        <v>164</v>
      </c>
      <c r="F108" s="82">
        <f>SUM(G108:N108)</f>
        <v>86835.459999999992</v>
      </c>
      <c r="G108" s="39">
        <v>202</v>
      </c>
      <c r="H108" s="39">
        <v>19452</v>
      </c>
      <c r="I108" s="39">
        <v>3232</v>
      </c>
      <c r="J108" s="39">
        <v>6487</v>
      </c>
      <c r="K108" s="39">
        <v>10320.459999999999</v>
      </c>
      <c r="L108" s="39">
        <v>2</v>
      </c>
      <c r="M108" s="39">
        <v>20148</v>
      </c>
      <c r="N108" s="39">
        <v>26992</v>
      </c>
    </row>
    <row r="110" spans="2:14">
      <c r="B110" s="3" t="s">
        <v>414</v>
      </c>
      <c r="F110"/>
    </row>
    <row r="111" spans="2:14">
      <c r="B111" s="144" t="s">
        <v>218</v>
      </c>
      <c r="F111"/>
      <c r="G111" s="156">
        <f>G88</f>
        <v>0</v>
      </c>
      <c r="H111" s="156">
        <f t="shared" ref="H111:N111" si="10">H88</f>
        <v>42240</v>
      </c>
      <c r="I111" s="156">
        <f t="shared" si="10"/>
        <v>0</v>
      </c>
      <c r="J111" s="156">
        <f t="shared" si="10"/>
        <v>68400</v>
      </c>
      <c r="K111" s="156">
        <f t="shared" si="10"/>
        <v>453984.13540000003</v>
      </c>
      <c r="L111" s="156">
        <f t="shared" si="10"/>
        <v>0</v>
      </c>
      <c r="M111" s="156">
        <f t="shared" si="10"/>
        <v>387596</v>
      </c>
      <c r="N111" s="156">
        <f t="shared" si="10"/>
        <v>0</v>
      </c>
    </row>
    <row r="112" spans="2:14">
      <c r="B112" s="144" t="s">
        <v>220</v>
      </c>
      <c r="F112"/>
      <c r="G112" s="156">
        <f>G93</f>
        <v>0</v>
      </c>
      <c r="H112" s="156">
        <f t="shared" ref="H112:N112" si="11">H93</f>
        <v>190712</v>
      </c>
      <c r="I112" s="156">
        <f t="shared" si="11"/>
        <v>0</v>
      </c>
      <c r="J112" s="156">
        <f t="shared" si="11"/>
        <v>218803</v>
      </c>
      <c r="K112" s="156">
        <f t="shared" si="11"/>
        <v>792929</v>
      </c>
      <c r="L112" s="156">
        <f t="shared" si="11"/>
        <v>0</v>
      </c>
      <c r="M112" s="156">
        <f t="shared" si="11"/>
        <v>133116</v>
      </c>
      <c r="N112" s="156">
        <f t="shared" si="11"/>
        <v>0</v>
      </c>
    </row>
    <row r="113" spans="2:16">
      <c r="B113" s="144" t="s">
        <v>210</v>
      </c>
      <c r="F113"/>
      <c r="G113" s="156">
        <f>G98</f>
        <v>0</v>
      </c>
      <c r="H113" s="156">
        <f t="shared" ref="H113:N113" si="12">H98</f>
        <v>0</v>
      </c>
      <c r="I113" s="156">
        <f t="shared" si="12"/>
        <v>0</v>
      </c>
      <c r="J113" s="156">
        <f t="shared" si="12"/>
        <v>248027</v>
      </c>
      <c r="K113" s="156">
        <f t="shared" si="12"/>
        <v>0</v>
      </c>
      <c r="L113" s="156">
        <f t="shared" si="12"/>
        <v>0</v>
      </c>
      <c r="M113" s="156">
        <f t="shared" si="12"/>
        <v>0</v>
      </c>
      <c r="N113" s="156">
        <f t="shared" si="12"/>
        <v>0</v>
      </c>
    </row>
    <row r="114" spans="2:16">
      <c r="B114" s="144" t="s">
        <v>211</v>
      </c>
      <c r="F114"/>
      <c r="G114" s="156">
        <f>G103</f>
        <v>0</v>
      </c>
      <c r="H114" s="156">
        <f t="shared" ref="H114:N114" si="13">H103</f>
        <v>34140</v>
      </c>
      <c r="I114" s="156">
        <f t="shared" si="13"/>
        <v>2963.6</v>
      </c>
      <c r="J114" s="156">
        <f t="shared" si="13"/>
        <v>725129</v>
      </c>
      <c r="K114" s="156">
        <f t="shared" si="13"/>
        <v>997307.33200000157</v>
      </c>
      <c r="L114" s="156">
        <f t="shared" si="13"/>
        <v>780</v>
      </c>
      <c r="M114" s="156">
        <f t="shared" si="13"/>
        <v>506148</v>
      </c>
      <c r="N114" s="156">
        <f t="shared" si="13"/>
        <v>523005.8</v>
      </c>
    </row>
    <row r="115" spans="2:16">
      <c r="B115" s="144" t="s">
        <v>226</v>
      </c>
      <c r="F115"/>
      <c r="G115" s="156">
        <f>G108</f>
        <v>202</v>
      </c>
      <c r="H115" s="156">
        <f t="shared" ref="H115:N115" si="14">H108</f>
        <v>19452</v>
      </c>
      <c r="I115" s="156">
        <f t="shared" si="14"/>
        <v>3232</v>
      </c>
      <c r="J115" s="156">
        <f t="shared" si="14"/>
        <v>6487</v>
      </c>
      <c r="K115" s="156">
        <f t="shared" si="14"/>
        <v>10320.459999999999</v>
      </c>
      <c r="L115" s="156">
        <f t="shared" si="14"/>
        <v>2</v>
      </c>
      <c r="M115" s="156">
        <f t="shared" si="14"/>
        <v>20148</v>
      </c>
      <c r="N115" s="156">
        <f t="shared" si="14"/>
        <v>26992</v>
      </c>
    </row>
    <row r="116" spans="2:16">
      <c r="F116"/>
    </row>
    <row r="118" spans="2:16" s="2" customFormat="1">
      <c r="B118" s="2" t="s">
        <v>64</v>
      </c>
      <c r="F118" s="48"/>
    </row>
    <row r="120" spans="2:16">
      <c r="B120" s="3"/>
      <c r="G120" s="27"/>
    </row>
    <row r="121" spans="2:16">
      <c r="B121" s="22" t="s">
        <v>242</v>
      </c>
    </row>
    <row r="122" spans="2:16">
      <c r="B122" s="23" t="s">
        <v>243</v>
      </c>
      <c r="D122" t="s">
        <v>164</v>
      </c>
      <c r="F122" s="82">
        <f>SUM(G122:N122)</f>
        <v>3766904388.4000001</v>
      </c>
      <c r="G122" s="160">
        <v>0</v>
      </c>
      <c r="H122" s="39">
        <v>83889502</v>
      </c>
      <c r="I122" s="39">
        <v>0</v>
      </c>
      <c r="J122" s="39">
        <v>430158524</v>
      </c>
      <c r="K122" s="39">
        <v>1553337207.4000001</v>
      </c>
      <c r="L122" s="39">
        <v>0</v>
      </c>
      <c r="M122" s="39">
        <v>1699519155</v>
      </c>
      <c r="N122" s="39">
        <v>0</v>
      </c>
      <c r="P122" t="s">
        <v>489</v>
      </c>
    </row>
    <row r="123" spans="2:16">
      <c r="B123" s="23" t="s">
        <v>244</v>
      </c>
      <c r="D123" t="s">
        <v>164</v>
      </c>
      <c r="F123" s="82">
        <f>SUM(G123:N123)</f>
        <v>9413733.2210000008</v>
      </c>
      <c r="G123" s="39">
        <v>0</v>
      </c>
      <c r="H123" s="39">
        <v>554892</v>
      </c>
      <c r="I123" s="39">
        <v>0</v>
      </c>
      <c r="J123" s="39">
        <v>723664</v>
      </c>
      <c r="K123" s="39">
        <v>4133529.2209999999</v>
      </c>
      <c r="L123" s="39">
        <v>0</v>
      </c>
      <c r="M123" s="39">
        <v>4001648</v>
      </c>
      <c r="N123" s="39">
        <v>0</v>
      </c>
    </row>
    <row r="124" spans="2:16">
      <c r="B124" s="23" t="s">
        <v>245</v>
      </c>
      <c r="D124" t="s">
        <v>164</v>
      </c>
      <c r="F124" s="82">
        <f>SUM(G124:N124)</f>
        <v>868365.60459999996</v>
      </c>
      <c r="G124" s="39">
        <v>0</v>
      </c>
      <c r="H124" s="39">
        <v>54656</v>
      </c>
      <c r="I124" s="39">
        <v>0</v>
      </c>
      <c r="J124" s="39">
        <v>58576</v>
      </c>
      <c r="K124" s="39">
        <v>448153.60460000002</v>
      </c>
      <c r="L124" s="39">
        <v>0</v>
      </c>
      <c r="M124" s="39">
        <v>306980</v>
      </c>
      <c r="N124" s="39">
        <v>0</v>
      </c>
    </row>
    <row r="125" spans="2:16">
      <c r="B125" s="23"/>
    </row>
    <row r="126" spans="2:16">
      <c r="B126" s="22" t="s">
        <v>246</v>
      </c>
    </row>
    <row r="127" spans="2:16">
      <c r="B127" s="23" t="s">
        <v>243</v>
      </c>
      <c r="D127" t="s">
        <v>164</v>
      </c>
      <c r="F127" s="82">
        <f>SUM(G127:N127)</f>
        <v>3903607277.1999998</v>
      </c>
      <c r="G127" s="39">
        <v>0</v>
      </c>
      <c r="H127" s="39">
        <v>604691392</v>
      </c>
      <c r="I127" s="39">
        <v>0</v>
      </c>
      <c r="J127" s="39">
        <v>379970470</v>
      </c>
      <c r="K127" s="39">
        <v>2531741534.1999998</v>
      </c>
      <c r="L127" s="39">
        <v>0</v>
      </c>
      <c r="M127" s="39">
        <v>387203881</v>
      </c>
      <c r="N127" s="39">
        <v>0</v>
      </c>
    </row>
    <row r="128" spans="2:16">
      <c r="B128" s="23" t="s">
        <v>244</v>
      </c>
      <c r="D128" t="s">
        <v>164</v>
      </c>
      <c r="F128" s="82">
        <f>SUM(G128:N128)</f>
        <v>13908691.888</v>
      </c>
      <c r="G128" s="39">
        <v>0</v>
      </c>
      <c r="H128" s="39">
        <v>2218836</v>
      </c>
      <c r="I128" s="39">
        <v>0</v>
      </c>
      <c r="J128" s="39">
        <v>1174802</v>
      </c>
      <c r="K128" s="39">
        <v>9010949.8880000003</v>
      </c>
      <c r="L128" s="39">
        <v>0</v>
      </c>
      <c r="M128" s="39">
        <v>1504104</v>
      </c>
      <c r="N128" s="39">
        <v>0</v>
      </c>
    </row>
    <row r="129" spans="2:14">
      <c r="B129" s="23" t="s">
        <v>245</v>
      </c>
      <c r="D129" t="s">
        <v>164</v>
      </c>
      <c r="F129" s="82">
        <f>SUM(G129:N129)</f>
        <v>1203133</v>
      </c>
      <c r="G129" s="39">
        <v>0</v>
      </c>
      <c r="H129" s="39">
        <v>207904</v>
      </c>
      <c r="I129" s="39">
        <v>0</v>
      </c>
      <c r="J129" s="39">
        <v>122517</v>
      </c>
      <c r="K129" s="39">
        <v>805140</v>
      </c>
      <c r="L129" s="39">
        <v>0</v>
      </c>
      <c r="M129" s="39">
        <v>67572</v>
      </c>
      <c r="N129" s="39">
        <v>0</v>
      </c>
    </row>
    <row r="130" spans="2:14">
      <c r="B130" s="23"/>
    </row>
    <row r="131" spans="2:14">
      <c r="B131" s="22" t="s">
        <v>247</v>
      </c>
    </row>
    <row r="132" spans="2:14">
      <c r="B132" s="23" t="s">
        <v>243</v>
      </c>
      <c r="D132" t="s">
        <v>164</v>
      </c>
      <c r="F132" s="82">
        <f>SUM(G132:N132)</f>
        <v>875217690</v>
      </c>
      <c r="G132" s="39">
        <v>0</v>
      </c>
      <c r="H132" s="39">
        <v>0</v>
      </c>
      <c r="I132" s="39">
        <v>771424</v>
      </c>
      <c r="J132" s="39">
        <v>868274941</v>
      </c>
      <c r="K132" s="39">
        <v>0</v>
      </c>
      <c r="L132" s="39">
        <v>6171325</v>
      </c>
      <c r="M132" s="39">
        <v>0</v>
      </c>
      <c r="N132" s="39">
        <v>0</v>
      </c>
    </row>
    <row r="133" spans="2:14">
      <c r="B133" s="23" t="s">
        <v>244</v>
      </c>
      <c r="D133" t="s">
        <v>164</v>
      </c>
      <c r="F133" s="82">
        <f>SUM(G133:N133)</f>
        <v>2775949</v>
      </c>
      <c r="G133" s="39">
        <v>0</v>
      </c>
      <c r="H133" s="39">
        <v>0</v>
      </c>
      <c r="I133" s="39">
        <v>0</v>
      </c>
      <c r="J133" s="39">
        <v>2773181</v>
      </c>
      <c r="K133" s="39">
        <v>0</v>
      </c>
      <c r="L133" s="39">
        <v>2768</v>
      </c>
      <c r="M133" s="39">
        <v>0</v>
      </c>
      <c r="N133" s="39">
        <v>0</v>
      </c>
    </row>
    <row r="134" spans="2:14">
      <c r="B134" s="23" t="s">
        <v>245</v>
      </c>
      <c r="D134" t="s">
        <v>164</v>
      </c>
      <c r="F134" s="82">
        <f>SUM(G134:N134)</f>
        <v>255103</v>
      </c>
      <c r="G134" s="39">
        <v>0</v>
      </c>
      <c r="H134" s="39">
        <v>0</v>
      </c>
      <c r="I134" s="39">
        <v>0</v>
      </c>
      <c r="J134" s="39">
        <v>255103</v>
      </c>
      <c r="K134" s="39">
        <v>0</v>
      </c>
      <c r="L134" s="39">
        <v>0</v>
      </c>
      <c r="M134" s="39">
        <v>0</v>
      </c>
      <c r="N134" s="39">
        <v>0</v>
      </c>
    </row>
    <row r="135" spans="2:14">
      <c r="B135" s="23"/>
    </row>
    <row r="136" spans="2:14">
      <c r="B136" s="22" t="s">
        <v>248</v>
      </c>
    </row>
    <row r="137" spans="2:14">
      <c r="B137" s="23" t="s">
        <v>243</v>
      </c>
      <c r="D137" t="s">
        <v>164</v>
      </c>
      <c r="F137" s="82">
        <f>SUM(G137:N137)</f>
        <v>8351478122.1000004</v>
      </c>
      <c r="G137" s="39">
        <v>0</v>
      </c>
      <c r="H137" s="39">
        <v>99928455</v>
      </c>
      <c r="I137" s="39">
        <v>8319210</v>
      </c>
      <c r="J137" s="39">
        <v>2117720656</v>
      </c>
      <c r="K137" s="39">
        <v>2126814490.3</v>
      </c>
      <c r="L137" s="39">
        <v>9595071</v>
      </c>
      <c r="M137" s="39">
        <v>1986897575</v>
      </c>
      <c r="N137" s="39">
        <v>2002202664.8</v>
      </c>
    </row>
    <row r="138" spans="2:14">
      <c r="B138" s="23" t="s">
        <v>244</v>
      </c>
      <c r="D138" t="s">
        <v>164</v>
      </c>
      <c r="F138" s="82">
        <f>SUM(G138:N138)</f>
        <v>29117962.313999999</v>
      </c>
      <c r="G138" s="39">
        <v>0</v>
      </c>
      <c r="H138" s="39">
        <v>316496</v>
      </c>
      <c r="I138" s="39">
        <v>14200</v>
      </c>
      <c r="J138" s="39">
        <v>6900058</v>
      </c>
      <c r="K138" s="39">
        <v>9422675.1140000001</v>
      </c>
      <c r="L138" s="39">
        <v>12764</v>
      </c>
      <c r="M138" s="39">
        <v>5900092</v>
      </c>
      <c r="N138" s="39">
        <v>6551677.2000000002</v>
      </c>
    </row>
    <row r="139" spans="2:14">
      <c r="B139" s="23" t="s">
        <v>245</v>
      </c>
      <c r="D139" t="s">
        <v>164</v>
      </c>
      <c r="F139" s="82">
        <f>SUM(G139:N139)</f>
        <v>2610260.1639999999</v>
      </c>
      <c r="G139" s="39">
        <v>0</v>
      </c>
      <c r="H139" s="39">
        <v>31128</v>
      </c>
      <c r="I139" s="39">
        <v>1337</v>
      </c>
      <c r="J139" s="39">
        <v>595262</v>
      </c>
      <c r="K139" s="39">
        <v>991128.36399999994</v>
      </c>
      <c r="L139" s="39">
        <v>948</v>
      </c>
      <c r="M139" s="39">
        <v>456960</v>
      </c>
      <c r="N139" s="39">
        <v>533496.80000000005</v>
      </c>
    </row>
    <row r="140" spans="2:14">
      <c r="B140" s="23"/>
    </row>
    <row r="141" spans="2:14">
      <c r="B141" s="22" t="s">
        <v>249</v>
      </c>
    </row>
    <row r="142" spans="2:14">
      <c r="B142" s="23" t="s">
        <v>243</v>
      </c>
      <c r="D142" t="s">
        <v>164</v>
      </c>
      <c r="F142" s="82">
        <f>SUM(G142:N142)</f>
        <v>255834610.49599999</v>
      </c>
      <c r="G142" s="39">
        <v>6176234</v>
      </c>
      <c r="H142" s="39">
        <v>47275474</v>
      </c>
      <c r="I142" s="39">
        <v>10352286</v>
      </c>
      <c r="J142" s="39">
        <v>16765793</v>
      </c>
      <c r="K142" s="39">
        <v>14944715.495999999</v>
      </c>
      <c r="L142" s="39">
        <v>509727</v>
      </c>
      <c r="M142" s="39">
        <v>58711953</v>
      </c>
      <c r="N142" s="39">
        <v>101098428</v>
      </c>
    </row>
    <row r="143" spans="2:14">
      <c r="B143" s="23" t="s">
        <v>244</v>
      </c>
      <c r="D143" t="s">
        <v>164</v>
      </c>
      <c r="F143" s="82">
        <f>SUM(G143:N143)</f>
        <v>928339.54599999997</v>
      </c>
      <c r="G143" s="39">
        <v>2004</v>
      </c>
      <c r="H143" s="39">
        <v>150168</v>
      </c>
      <c r="I143" s="39">
        <v>35189</v>
      </c>
      <c r="J143" s="39">
        <v>76489</v>
      </c>
      <c r="K143" s="39">
        <v>62892.546000000002</v>
      </c>
      <c r="L143" s="39">
        <v>97</v>
      </c>
      <c r="M143" s="39">
        <v>245100</v>
      </c>
      <c r="N143" s="39">
        <v>356400</v>
      </c>
    </row>
    <row r="144" spans="2:14">
      <c r="B144" s="23" t="s">
        <v>245</v>
      </c>
      <c r="D144" t="s">
        <v>164</v>
      </c>
      <c r="F144" s="82">
        <f>SUM(G144:N144)</f>
        <v>81947.504000000001</v>
      </c>
      <c r="G144" s="39">
        <v>146</v>
      </c>
      <c r="H144" s="39">
        <v>15044</v>
      </c>
      <c r="I144" s="39">
        <v>3132</v>
      </c>
      <c r="J144" s="39">
        <v>8535</v>
      </c>
      <c r="K144" s="39">
        <v>7678.5039999999999</v>
      </c>
      <c r="L144" s="39">
        <v>0</v>
      </c>
      <c r="M144" s="39">
        <v>19576</v>
      </c>
      <c r="N144" s="160">
        <v>27836</v>
      </c>
    </row>
    <row r="146" spans="2:14">
      <c r="B146" s="3" t="s">
        <v>414</v>
      </c>
      <c r="F146"/>
    </row>
    <row r="147" spans="2:14">
      <c r="B147" s="144" t="s">
        <v>218</v>
      </c>
      <c r="F147"/>
      <c r="G147" s="156">
        <f>G124</f>
        <v>0</v>
      </c>
      <c r="H147" s="156">
        <f t="shared" ref="H147:N147" si="15">H124</f>
        <v>54656</v>
      </c>
      <c r="I147" s="156">
        <f t="shared" si="15"/>
        <v>0</v>
      </c>
      <c r="J147" s="156">
        <f t="shared" si="15"/>
        <v>58576</v>
      </c>
      <c r="K147" s="156">
        <f t="shared" si="15"/>
        <v>448153.60460000002</v>
      </c>
      <c r="L147" s="156">
        <f t="shared" si="15"/>
        <v>0</v>
      </c>
      <c r="M147" s="156">
        <f t="shared" si="15"/>
        <v>306980</v>
      </c>
      <c r="N147" s="156">
        <f t="shared" si="15"/>
        <v>0</v>
      </c>
    </row>
    <row r="148" spans="2:14">
      <c r="B148" s="144" t="s">
        <v>220</v>
      </c>
      <c r="F148"/>
      <c r="G148" s="156">
        <f>G129</f>
        <v>0</v>
      </c>
      <c r="H148" s="156">
        <f t="shared" ref="H148:N148" si="16">H129</f>
        <v>207904</v>
      </c>
      <c r="I148" s="156">
        <f t="shared" si="16"/>
        <v>0</v>
      </c>
      <c r="J148" s="156">
        <f t="shared" si="16"/>
        <v>122517</v>
      </c>
      <c r="K148" s="156">
        <f t="shared" si="16"/>
        <v>805140</v>
      </c>
      <c r="L148" s="156">
        <f t="shared" si="16"/>
        <v>0</v>
      </c>
      <c r="M148" s="156">
        <f t="shared" si="16"/>
        <v>67572</v>
      </c>
      <c r="N148" s="156">
        <f t="shared" si="16"/>
        <v>0</v>
      </c>
    </row>
    <row r="149" spans="2:14">
      <c r="B149" s="144" t="s">
        <v>210</v>
      </c>
      <c r="F149"/>
      <c r="G149" s="156">
        <f>G134</f>
        <v>0</v>
      </c>
      <c r="H149" s="156">
        <f t="shared" ref="H149:N149" si="17">H134</f>
        <v>0</v>
      </c>
      <c r="I149" s="156">
        <f t="shared" si="17"/>
        <v>0</v>
      </c>
      <c r="J149" s="156">
        <f t="shared" si="17"/>
        <v>255103</v>
      </c>
      <c r="K149" s="156">
        <f t="shared" si="17"/>
        <v>0</v>
      </c>
      <c r="L149" s="156">
        <f t="shared" si="17"/>
        <v>0</v>
      </c>
      <c r="M149" s="156">
        <f t="shared" si="17"/>
        <v>0</v>
      </c>
      <c r="N149" s="156">
        <f t="shared" si="17"/>
        <v>0</v>
      </c>
    </row>
    <row r="150" spans="2:14">
      <c r="B150" s="144" t="s">
        <v>211</v>
      </c>
      <c r="F150"/>
      <c r="G150" s="156">
        <f>G139</f>
        <v>0</v>
      </c>
      <c r="H150" s="156">
        <f t="shared" ref="H150:N150" si="18">H139</f>
        <v>31128</v>
      </c>
      <c r="I150" s="156">
        <f t="shared" si="18"/>
        <v>1337</v>
      </c>
      <c r="J150" s="156">
        <f t="shared" si="18"/>
        <v>595262</v>
      </c>
      <c r="K150" s="156">
        <f t="shared" si="18"/>
        <v>991128.36399999994</v>
      </c>
      <c r="L150" s="156">
        <f t="shared" si="18"/>
        <v>948</v>
      </c>
      <c r="M150" s="156">
        <f t="shared" si="18"/>
        <v>456960</v>
      </c>
      <c r="N150" s="156">
        <f t="shared" si="18"/>
        <v>533496.80000000005</v>
      </c>
    </row>
    <row r="151" spans="2:14">
      <c r="B151" s="144" t="s">
        <v>226</v>
      </c>
      <c r="F151"/>
      <c r="G151" s="156">
        <f>G144</f>
        <v>146</v>
      </c>
      <c r="H151" s="156">
        <f t="shared" ref="H151:N151" si="19">H144</f>
        <v>15044</v>
      </c>
      <c r="I151" s="156">
        <f t="shared" si="19"/>
        <v>3132</v>
      </c>
      <c r="J151" s="156">
        <f t="shared" si="19"/>
        <v>8535</v>
      </c>
      <c r="K151" s="156">
        <f t="shared" si="19"/>
        <v>7678.5039999999999</v>
      </c>
      <c r="L151" s="156">
        <f t="shared" si="19"/>
        <v>0</v>
      </c>
      <c r="M151" s="156">
        <f t="shared" si="19"/>
        <v>19576</v>
      </c>
      <c r="N151" s="156">
        <f t="shared" si="19"/>
        <v>27836</v>
      </c>
    </row>
    <row r="152" spans="2:14">
      <c r="F152"/>
    </row>
  </sheetData>
  <phoneticPr fontId="3" type="noConversion"/>
  <pageMargins left="0.75" right="0.75" top="1" bottom="1" header="0.5" footer="0.5"/>
  <pageSetup paperSize="9"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enableFormatConditionsCalculation="0">
    <tabColor rgb="FFDBE91F"/>
  </sheetPr>
  <dimension ref="B1:U141"/>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55.140625" customWidth="1"/>
    <col min="3" max="3" width="2.5703125" customWidth="1"/>
    <col min="4" max="4" width="20" customWidth="1"/>
    <col min="5" max="5" width="2.5703125" customWidth="1"/>
    <col min="6" max="6" width="21.42578125" customWidth="1"/>
    <col min="7" max="14" width="14.85546875" customWidth="1"/>
    <col min="15" max="15" width="9.7109375" customWidth="1"/>
    <col min="16" max="16" width="22.42578125" customWidth="1"/>
    <col min="22" max="22" width="15.7109375" customWidth="1"/>
  </cols>
  <sheetData>
    <row r="1" spans="2:21" ht="12" customHeight="1"/>
    <row r="2" spans="2:21" s="1" customFormat="1" ht="18">
      <c r="B2" s="1" t="s">
        <v>178</v>
      </c>
      <c r="F2" s="5" t="s">
        <v>177</v>
      </c>
      <c r="G2" s="5" t="s">
        <v>168</v>
      </c>
      <c r="H2" s="5" t="s">
        <v>169</v>
      </c>
      <c r="I2" s="5" t="s">
        <v>170</v>
      </c>
      <c r="J2" s="5" t="s">
        <v>171</v>
      </c>
      <c r="K2" s="5" t="s">
        <v>172</v>
      </c>
      <c r="L2" s="5" t="s">
        <v>173</v>
      </c>
      <c r="M2" s="5" t="s">
        <v>174</v>
      </c>
      <c r="N2" s="5" t="s">
        <v>175</v>
      </c>
      <c r="P2" s="5" t="s">
        <v>438</v>
      </c>
    </row>
    <row r="4" spans="2:21">
      <c r="B4" s="50" t="s">
        <v>428</v>
      </c>
    </row>
    <row r="5" spans="2:21">
      <c r="B5" s="50"/>
    </row>
    <row r="7" spans="2:21" s="2" customFormat="1">
      <c r="B7" s="2" t="s">
        <v>179</v>
      </c>
    </row>
    <row r="9" spans="2:21">
      <c r="B9" s="3" t="s">
        <v>282</v>
      </c>
    </row>
    <row r="10" spans="2:21">
      <c r="B10" t="s">
        <v>283</v>
      </c>
      <c r="D10" t="s">
        <v>180</v>
      </c>
      <c r="F10" s="21">
        <f>SUM(G10:N10)</f>
        <v>0</v>
      </c>
      <c r="G10" s="8">
        <v>0</v>
      </c>
      <c r="H10" s="8">
        <v>0</v>
      </c>
      <c r="I10" s="8">
        <v>0</v>
      </c>
      <c r="J10" s="8">
        <v>0</v>
      </c>
      <c r="K10" s="8">
        <v>0</v>
      </c>
      <c r="L10" s="8">
        <v>0</v>
      </c>
      <c r="M10" s="8">
        <v>0</v>
      </c>
      <c r="N10" s="8">
        <v>0</v>
      </c>
      <c r="P10" s="1179" t="s">
        <v>1519</v>
      </c>
      <c r="Q10" s="27"/>
      <c r="R10" s="27"/>
      <c r="S10" s="27"/>
      <c r="T10" s="27"/>
      <c r="U10" s="27"/>
    </row>
    <row r="11" spans="2:21">
      <c r="B11" t="s">
        <v>284</v>
      </c>
      <c r="D11" t="s">
        <v>180</v>
      </c>
      <c r="F11" s="21">
        <f>SUM(G11:N11)</f>
        <v>357504662.69023705</v>
      </c>
      <c r="G11" s="8">
        <v>2243894.7574385596</v>
      </c>
      <c r="H11" s="8">
        <v>9361262.5185793936</v>
      </c>
      <c r="I11" s="8">
        <v>5632257.5479918141</v>
      </c>
      <c r="J11" s="8">
        <v>127360095.80420877</v>
      </c>
      <c r="K11" s="8">
        <v>111213161.32468127</v>
      </c>
      <c r="L11" s="8">
        <v>1768536.4979384535</v>
      </c>
      <c r="M11" s="8">
        <v>96251707.855449006</v>
      </c>
      <c r="N11" s="8">
        <v>3673746.3839497799</v>
      </c>
    </row>
    <row r="12" spans="2:21">
      <c r="B12" t="s">
        <v>285</v>
      </c>
      <c r="D12" t="s">
        <v>180</v>
      </c>
      <c r="F12" s="21">
        <f>SUM(G12:N12)</f>
        <v>7139634627.0501585</v>
      </c>
      <c r="G12" s="8">
        <v>30750128.952325039</v>
      </c>
      <c r="H12" s="8">
        <v>135784846.31045759</v>
      </c>
      <c r="I12" s="8">
        <v>74478031.183910713</v>
      </c>
      <c r="J12" s="8">
        <v>2442837235.7240539</v>
      </c>
      <c r="K12" s="8">
        <v>2530950318.6171556</v>
      </c>
      <c r="L12" s="8">
        <v>17343633.777338076</v>
      </c>
      <c r="M12" s="8">
        <v>1822767025.4303279</v>
      </c>
      <c r="N12" s="8">
        <v>84723407.054588974</v>
      </c>
    </row>
    <row r="13" spans="2:21">
      <c r="G13" s="69"/>
      <c r="H13" s="69"/>
      <c r="I13" s="69"/>
      <c r="J13" s="69"/>
      <c r="K13" s="69"/>
      <c r="L13" s="69"/>
      <c r="M13" s="69"/>
      <c r="N13" s="69"/>
    </row>
    <row r="14" spans="2:21">
      <c r="B14" s="3" t="s">
        <v>286</v>
      </c>
      <c r="G14" s="69"/>
      <c r="H14" s="69"/>
      <c r="I14" s="69"/>
      <c r="J14" s="69"/>
      <c r="K14" s="69"/>
      <c r="L14" s="69"/>
      <c r="M14" s="69"/>
      <c r="N14" s="69"/>
    </row>
    <row r="15" spans="2:21">
      <c r="B15" t="s">
        <v>287</v>
      </c>
      <c r="D15" t="s">
        <v>180</v>
      </c>
      <c r="F15" s="21">
        <f>SUM(G15:N15)</f>
        <v>479105494.64045793</v>
      </c>
      <c r="G15" s="8">
        <v>3384000</v>
      </c>
      <c r="H15" s="8">
        <v>29427019.5</v>
      </c>
      <c r="I15" s="8">
        <v>2957724.46</v>
      </c>
      <c r="J15" s="8">
        <v>197865470.3467274</v>
      </c>
      <c r="K15" s="8">
        <v>107961301.24775401</v>
      </c>
      <c r="L15" s="8">
        <v>2686013.6</v>
      </c>
      <c r="M15" s="8">
        <v>116361599.4859765</v>
      </c>
      <c r="N15" s="8">
        <v>18462366</v>
      </c>
    </row>
    <row r="16" spans="2:21">
      <c r="B16" t="s">
        <v>277</v>
      </c>
      <c r="D16" t="s">
        <v>180</v>
      </c>
      <c r="F16" s="21">
        <f>SUM(G16:N16)</f>
        <v>81915587.511221156</v>
      </c>
      <c r="G16" s="8">
        <v>404660.34612504684</v>
      </c>
      <c r="H16" s="8">
        <v>2414990.410889701</v>
      </c>
      <c r="I16" s="8">
        <v>790093.60218085954</v>
      </c>
      <c r="J16" s="119">
        <v>31174651.120526467</v>
      </c>
      <c r="K16" s="119">
        <v>23066444.822328206</v>
      </c>
      <c r="L16" s="8">
        <v>895057.02450712584</v>
      </c>
      <c r="M16" s="8">
        <v>19863789.714890327</v>
      </c>
      <c r="N16" s="8">
        <v>3305900.4697734308</v>
      </c>
    </row>
    <row r="17" spans="2:14">
      <c r="B17" t="s">
        <v>288</v>
      </c>
      <c r="D17" t="s">
        <v>180</v>
      </c>
      <c r="F17" s="21">
        <f>SUM(G17:N17)</f>
        <v>2483986833.3898163</v>
      </c>
      <c r="G17" s="8">
        <v>18580421.367025252</v>
      </c>
      <c r="H17" s="8">
        <v>93916704.194141686</v>
      </c>
      <c r="I17" s="8">
        <v>28354307.475785807</v>
      </c>
      <c r="J17" s="119">
        <v>757409250.71517682</v>
      </c>
      <c r="K17" s="119">
        <v>672979150.51377726</v>
      </c>
      <c r="L17" s="8">
        <v>16142060.434831601</v>
      </c>
      <c r="M17" s="8">
        <v>759831872.95217299</v>
      </c>
      <c r="N17" s="8">
        <v>136773065.73690522</v>
      </c>
    </row>
    <row r="18" spans="2:14">
      <c r="G18" s="69"/>
      <c r="H18" s="69"/>
      <c r="I18" s="69"/>
      <c r="J18" s="69"/>
      <c r="K18" s="69"/>
      <c r="L18" s="69"/>
      <c r="M18" s="69"/>
      <c r="N18" s="69"/>
    </row>
    <row r="19" spans="2:14">
      <c r="B19" s="3" t="s">
        <v>289</v>
      </c>
      <c r="G19" s="69"/>
      <c r="H19" s="69"/>
      <c r="I19" s="69"/>
      <c r="J19" s="69"/>
      <c r="K19" s="69"/>
      <c r="L19" s="69"/>
      <c r="M19" s="69"/>
      <c r="N19" s="69"/>
    </row>
    <row r="20" spans="2:14">
      <c r="B20" t="s">
        <v>290</v>
      </c>
      <c r="D20" t="s">
        <v>180</v>
      </c>
      <c r="F20" s="21">
        <f>SUM(G20:N20)</f>
        <v>0</v>
      </c>
      <c r="G20" s="8">
        <v>0</v>
      </c>
      <c r="H20" s="8">
        <v>0</v>
      </c>
      <c r="I20" s="8">
        <v>0</v>
      </c>
      <c r="J20" s="8">
        <v>0</v>
      </c>
      <c r="K20" s="8">
        <v>0</v>
      </c>
      <c r="L20" s="8">
        <v>0</v>
      </c>
      <c r="M20" s="8">
        <v>0</v>
      </c>
      <c r="N20" s="8">
        <v>0</v>
      </c>
    </row>
    <row r="21" spans="2:14">
      <c r="B21" t="s">
        <v>291</v>
      </c>
      <c r="D21" t="s">
        <v>180</v>
      </c>
      <c r="F21" s="21">
        <f>SUM(G21:N21)</f>
        <v>1589160.1995761734</v>
      </c>
      <c r="G21" s="8">
        <v>958273.04183276335</v>
      </c>
      <c r="H21" s="8">
        <v>0</v>
      </c>
      <c r="I21" s="8">
        <v>0</v>
      </c>
      <c r="J21" s="8">
        <v>0</v>
      </c>
      <c r="K21" s="8">
        <v>0</v>
      </c>
      <c r="L21" s="8">
        <v>630887.15774341009</v>
      </c>
      <c r="M21" s="8">
        <v>0</v>
      </c>
      <c r="N21" s="8">
        <v>0</v>
      </c>
    </row>
    <row r="22" spans="2:14">
      <c r="B22" t="s">
        <v>292</v>
      </c>
      <c r="D22" t="s">
        <v>180</v>
      </c>
      <c r="F22" s="21">
        <f>SUM(G22:N22)</f>
        <v>6636257.4615234425</v>
      </c>
      <c r="G22" s="8">
        <v>958273.04183276033</v>
      </c>
      <c r="H22" s="8">
        <v>0</v>
      </c>
      <c r="I22" s="8">
        <v>0</v>
      </c>
      <c r="J22" s="8">
        <v>0</v>
      </c>
      <c r="K22" s="8">
        <v>0</v>
      </c>
      <c r="L22" s="8">
        <v>5677984.4196906826</v>
      </c>
      <c r="M22" s="8">
        <v>0</v>
      </c>
      <c r="N22" s="8">
        <v>0</v>
      </c>
    </row>
    <row r="23" spans="2:14">
      <c r="G23" s="69"/>
      <c r="H23" s="69"/>
      <c r="I23" s="69"/>
      <c r="J23" s="69"/>
      <c r="K23" s="69"/>
      <c r="L23" s="69"/>
      <c r="M23" s="69"/>
      <c r="N23" s="69"/>
    </row>
    <row r="24" spans="2:14">
      <c r="B24" s="3" t="s">
        <v>293</v>
      </c>
      <c r="G24" s="69"/>
      <c r="H24" s="69"/>
      <c r="I24" s="69"/>
      <c r="J24" s="69"/>
      <c r="K24" s="69"/>
      <c r="L24" s="69"/>
      <c r="M24" s="69"/>
      <c r="N24" s="69"/>
    </row>
    <row r="25" spans="2:14">
      <c r="B25" t="s">
        <v>294</v>
      </c>
      <c r="D25" t="s">
        <v>180</v>
      </c>
      <c r="F25" s="21">
        <f>SUM(G25:N25)</f>
        <v>9962922.5</v>
      </c>
      <c r="G25" s="8">
        <v>0</v>
      </c>
      <c r="H25" s="8">
        <v>9962922.5</v>
      </c>
      <c r="I25" s="8">
        <v>0</v>
      </c>
      <c r="J25" s="8">
        <v>0</v>
      </c>
      <c r="K25" s="8">
        <v>0</v>
      </c>
      <c r="L25" s="8">
        <v>0</v>
      </c>
      <c r="M25" s="8">
        <v>0</v>
      </c>
      <c r="N25" s="8">
        <v>0</v>
      </c>
    </row>
    <row r="26" spans="2:14">
      <c r="B26" t="s">
        <v>295</v>
      </c>
      <c r="D26" t="s">
        <v>180</v>
      </c>
      <c r="F26" s="21">
        <f>SUM(G26:N26)</f>
        <v>113620.98424999999</v>
      </c>
      <c r="G26" s="8">
        <v>0</v>
      </c>
      <c r="H26" s="8">
        <v>113620.98424999999</v>
      </c>
      <c r="I26" s="8">
        <v>0</v>
      </c>
      <c r="J26" s="8">
        <v>0</v>
      </c>
      <c r="K26" s="8">
        <v>0</v>
      </c>
      <c r="L26" s="8">
        <v>0</v>
      </c>
      <c r="M26" s="8">
        <v>0</v>
      </c>
      <c r="N26" s="8">
        <v>0</v>
      </c>
    </row>
    <row r="27" spans="2:14">
      <c r="B27" t="s">
        <v>296</v>
      </c>
      <c r="D27" t="s">
        <v>180</v>
      </c>
      <c r="F27" s="21">
        <f>SUM(G27:N27)</f>
        <v>9849301.5157500003</v>
      </c>
      <c r="G27" s="8">
        <v>0</v>
      </c>
      <c r="H27" s="8">
        <v>9849301.5157500003</v>
      </c>
      <c r="I27" s="8">
        <v>0</v>
      </c>
      <c r="J27" s="8">
        <v>0</v>
      </c>
      <c r="K27" s="8">
        <v>0</v>
      </c>
      <c r="L27" s="8">
        <v>0</v>
      </c>
      <c r="M27" s="8">
        <v>0</v>
      </c>
      <c r="N27" s="8">
        <v>0</v>
      </c>
    </row>
    <row r="28" spans="2:14">
      <c r="G28" s="69"/>
      <c r="H28" s="69"/>
      <c r="I28" s="69"/>
      <c r="J28" s="69"/>
      <c r="K28" s="69"/>
      <c r="L28" s="69"/>
      <c r="M28" s="69"/>
      <c r="N28" s="69"/>
    </row>
    <row r="29" spans="2:14">
      <c r="B29" s="3" t="s">
        <v>297</v>
      </c>
      <c r="G29" s="69"/>
      <c r="H29" s="69"/>
      <c r="I29" s="69"/>
      <c r="J29" s="69"/>
      <c r="K29" s="69"/>
      <c r="L29" s="69"/>
      <c r="M29" s="69"/>
      <c r="N29" s="69"/>
    </row>
    <row r="30" spans="2:14">
      <c r="B30" t="s">
        <v>298</v>
      </c>
      <c r="D30" t="s">
        <v>180</v>
      </c>
      <c r="F30" s="21">
        <f>SUM(G30:N30)</f>
        <v>0</v>
      </c>
      <c r="G30" s="8">
        <v>0</v>
      </c>
      <c r="H30" s="8">
        <v>0</v>
      </c>
      <c r="I30" s="8">
        <v>0</v>
      </c>
      <c r="J30" s="8">
        <v>0</v>
      </c>
      <c r="K30" s="8">
        <v>0</v>
      </c>
      <c r="L30" s="8">
        <v>0</v>
      </c>
      <c r="M30" s="8">
        <v>0</v>
      </c>
      <c r="N30" s="8">
        <v>0</v>
      </c>
    </row>
    <row r="31" spans="2:14">
      <c r="B31" t="s">
        <v>299</v>
      </c>
      <c r="D31" t="s">
        <v>180</v>
      </c>
      <c r="F31" s="21">
        <f>SUM(G31:N31)</f>
        <v>0</v>
      </c>
      <c r="G31" s="8">
        <v>0</v>
      </c>
      <c r="H31" s="8">
        <v>0</v>
      </c>
      <c r="I31" s="8">
        <v>0</v>
      </c>
      <c r="J31" s="8">
        <v>0</v>
      </c>
      <c r="K31" s="8">
        <v>0</v>
      </c>
      <c r="L31" s="8">
        <v>0</v>
      </c>
      <c r="M31" s="8">
        <v>0</v>
      </c>
      <c r="N31" s="8">
        <v>0</v>
      </c>
    </row>
    <row r="32" spans="2:14">
      <c r="B32" t="s">
        <v>300</v>
      </c>
      <c r="D32" t="s">
        <v>180</v>
      </c>
      <c r="F32" s="21">
        <f>SUM(G32:N32)</f>
        <v>0</v>
      </c>
      <c r="G32" s="8">
        <v>0</v>
      </c>
      <c r="H32" s="8">
        <v>0</v>
      </c>
      <c r="I32" s="8">
        <v>0</v>
      </c>
      <c r="J32" s="8">
        <v>0</v>
      </c>
      <c r="K32" s="8">
        <v>0</v>
      </c>
      <c r="L32" s="8">
        <v>0</v>
      </c>
      <c r="M32" s="8">
        <v>0</v>
      </c>
      <c r="N32" s="8">
        <v>0</v>
      </c>
    </row>
    <row r="33" spans="2:14">
      <c r="G33" s="69"/>
      <c r="H33" s="69"/>
      <c r="I33" s="69"/>
      <c r="J33" s="69"/>
      <c r="K33" s="69"/>
      <c r="L33" s="69"/>
      <c r="M33" s="69"/>
      <c r="N33" s="69"/>
    </row>
    <row r="34" spans="2:14">
      <c r="B34" s="3" t="s">
        <v>301</v>
      </c>
    </row>
    <row r="35" spans="2:14">
      <c r="B35" t="s">
        <v>302</v>
      </c>
      <c r="D35" t="s">
        <v>180</v>
      </c>
      <c r="F35" s="24">
        <f>F10+F15+F20+F25+F30</f>
        <v>489068417.14045793</v>
      </c>
      <c r="G35" s="24">
        <f>G10+G15+G20+G25+G30</f>
        <v>3384000</v>
      </c>
      <c r="H35" s="24">
        <f t="shared" ref="H35:N35" si="0">H10+H15+H20+H25+H30</f>
        <v>39389942</v>
      </c>
      <c r="I35" s="24">
        <f t="shared" si="0"/>
        <v>2957724.46</v>
      </c>
      <c r="J35" s="24">
        <f t="shared" si="0"/>
        <v>197865470.3467274</v>
      </c>
      <c r="K35" s="24">
        <f t="shared" si="0"/>
        <v>107961301.24775401</v>
      </c>
      <c r="L35" s="24">
        <f t="shared" si="0"/>
        <v>2686013.6</v>
      </c>
      <c r="M35" s="24">
        <f t="shared" si="0"/>
        <v>116361599.4859765</v>
      </c>
      <c r="N35" s="24">
        <f t="shared" si="0"/>
        <v>18462366</v>
      </c>
    </row>
    <row r="36" spans="2:14">
      <c r="B36" t="s">
        <v>277</v>
      </c>
      <c r="D36" t="s">
        <v>180</v>
      </c>
      <c r="F36" s="24">
        <f>F11+F16+F21+F26+F31</f>
        <v>441123031.38528442</v>
      </c>
      <c r="G36" s="24">
        <f t="shared" ref="G36:N36" si="1">G11+G16+G21+G26+G31</f>
        <v>3606828.1453963695</v>
      </c>
      <c r="H36" s="24">
        <f t="shared" si="1"/>
        <v>11889873.913719093</v>
      </c>
      <c r="I36" s="24">
        <f t="shared" si="1"/>
        <v>6422351.1501726732</v>
      </c>
      <c r="J36" s="24">
        <f t="shared" si="1"/>
        <v>158534746.92473525</v>
      </c>
      <c r="K36" s="24">
        <f t="shared" si="1"/>
        <v>134279606.14700946</v>
      </c>
      <c r="L36" s="24">
        <f t="shared" si="1"/>
        <v>3294480.6801889893</v>
      </c>
      <c r="M36" s="24">
        <f t="shared" si="1"/>
        <v>116115497.57033934</v>
      </c>
      <c r="N36" s="24">
        <f t="shared" si="1"/>
        <v>6979646.8537232112</v>
      </c>
    </row>
    <row r="37" spans="2:14">
      <c r="B37" t="s">
        <v>303</v>
      </c>
      <c r="D37" t="s">
        <v>180</v>
      </c>
      <c r="F37" s="24">
        <f>F12+F17+F22+F27+F32</f>
        <v>9640107019.4172497</v>
      </c>
      <c r="G37" s="24">
        <f t="shared" ref="G37:N37" si="2">G12+G17+G22+G27+G32</f>
        <v>50288823.361183047</v>
      </c>
      <c r="H37" s="24">
        <f t="shared" si="2"/>
        <v>239550852.02034926</v>
      </c>
      <c r="I37" s="24">
        <f t="shared" si="2"/>
        <v>102832338.65969652</v>
      </c>
      <c r="J37" s="24">
        <f t="shared" si="2"/>
        <v>3200246486.4392309</v>
      </c>
      <c r="K37" s="24">
        <f t="shared" si="2"/>
        <v>3203929469.1309328</v>
      </c>
      <c r="L37" s="24">
        <f t="shared" si="2"/>
        <v>39163678.631860361</v>
      </c>
      <c r="M37" s="24">
        <f t="shared" si="2"/>
        <v>2582598898.3825006</v>
      </c>
      <c r="N37" s="24">
        <f t="shared" si="2"/>
        <v>221496472.79149419</v>
      </c>
    </row>
    <row r="41" spans="2:14" s="2" customFormat="1">
      <c r="B41" s="2" t="s">
        <v>191</v>
      </c>
    </row>
    <row r="43" spans="2:14">
      <c r="B43" s="3" t="s">
        <v>282</v>
      </c>
    </row>
    <row r="44" spans="2:14">
      <c r="B44" t="s">
        <v>283</v>
      </c>
      <c r="D44" t="s">
        <v>181</v>
      </c>
      <c r="F44" s="21">
        <f>SUM(G44:N44)</f>
        <v>0</v>
      </c>
      <c r="G44" s="8">
        <v>0</v>
      </c>
      <c r="H44" s="8">
        <v>0</v>
      </c>
      <c r="I44" s="8">
        <v>0</v>
      </c>
      <c r="J44" s="8">
        <v>0</v>
      </c>
      <c r="K44" s="8">
        <v>0</v>
      </c>
      <c r="L44" s="8">
        <v>0</v>
      </c>
      <c r="M44" s="8">
        <v>0</v>
      </c>
      <c r="N44" s="8">
        <v>0</v>
      </c>
    </row>
    <row r="45" spans="2:14">
      <c r="B45" t="s">
        <v>284</v>
      </c>
      <c r="D45" t="s">
        <v>181</v>
      </c>
      <c r="F45" s="21">
        <f>SUM(G45:N45)</f>
        <v>358577176.67830771</v>
      </c>
      <c r="G45" s="8">
        <v>2250626.4417108754</v>
      </c>
      <c r="H45" s="8">
        <v>9389346.306135131</v>
      </c>
      <c r="I45" s="8">
        <v>5649154.3206357891</v>
      </c>
      <c r="J45" s="8">
        <v>127742176.09162138</v>
      </c>
      <c r="K45" s="8">
        <v>111546800.80865529</v>
      </c>
      <c r="L45" s="8">
        <v>1773842.1074322688</v>
      </c>
      <c r="M45" s="8">
        <v>96540462.97901535</v>
      </c>
      <c r="N45" s="8">
        <v>3684767.6231016289</v>
      </c>
    </row>
    <row r="46" spans="2:14">
      <c r="B46" t="s">
        <v>285</v>
      </c>
      <c r="D46" t="s">
        <v>181</v>
      </c>
      <c r="F46" s="21">
        <f>SUM(G46:N46)</f>
        <v>6802476354.2529993</v>
      </c>
      <c r="G46" s="8">
        <v>28591752.897471137</v>
      </c>
      <c r="H46" s="8">
        <v>126802854.54325381</v>
      </c>
      <c r="I46" s="8">
        <v>69052310.956826642</v>
      </c>
      <c r="J46" s="8">
        <v>2322423571.3396044</v>
      </c>
      <c r="K46" s="8">
        <v>2426996368.7643518</v>
      </c>
      <c r="L46" s="8">
        <v>15621822.571237817</v>
      </c>
      <c r="M46" s="8">
        <v>1731694863.5276031</v>
      </c>
      <c r="N46" s="8">
        <v>81292809.652651101</v>
      </c>
    </row>
    <row r="47" spans="2:14">
      <c r="G47" s="69"/>
      <c r="H47" s="69"/>
      <c r="I47" s="69"/>
      <c r="J47" s="69"/>
      <c r="K47" s="69"/>
      <c r="L47" s="69"/>
      <c r="M47" s="69"/>
      <c r="N47" s="69"/>
    </row>
    <row r="48" spans="2:14">
      <c r="B48" s="3" t="s">
        <v>286</v>
      </c>
      <c r="G48" s="69"/>
      <c r="H48" s="69"/>
      <c r="I48" s="69"/>
      <c r="J48" s="69"/>
      <c r="K48" s="69"/>
      <c r="L48" s="69"/>
      <c r="M48" s="69"/>
      <c r="N48" s="69"/>
    </row>
    <row r="49" spans="2:14">
      <c r="B49" t="s">
        <v>287</v>
      </c>
      <c r="D49" t="s">
        <v>181</v>
      </c>
      <c r="F49" s="21">
        <f>SUM(G49:N49)</f>
        <v>506641100.55560994</v>
      </c>
      <c r="G49" s="8">
        <v>2782000</v>
      </c>
      <c r="H49" s="8">
        <v>11756724.409225</v>
      </c>
      <c r="I49" s="8">
        <v>2314213.7238850002</v>
      </c>
      <c r="J49" s="8">
        <v>181822222.13999999</v>
      </c>
      <c r="K49" s="8">
        <v>136541581</v>
      </c>
      <c r="L49" s="8">
        <v>3718556.0100000002</v>
      </c>
      <c r="M49" s="8">
        <v>151232121.27250001</v>
      </c>
      <c r="N49" s="8">
        <v>16473682</v>
      </c>
    </row>
    <row r="50" spans="2:14">
      <c r="B50" t="s">
        <v>277</v>
      </c>
      <c r="D50" t="s">
        <v>181</v>
      </c>
      <c r="F50" s="21">
        <f>SUM(G50:N50)</f>
        <v>96875543.883024901</v>
      </c>
      <c r="G50" s="8">
        <v>472709.34216342191</v>
      </c>
      <c r="H50" s="8">
        <v>3406431.3225562857</v>
      </c>
      <c r="I50" s="8">
        <v>950247.57487991697</v>
      </c>
      <c r="J50" s="119">
        <v>38699816.608920932</v>
      </c>
      <c r="K50" s="119">
        <v>25821411.912605863</v>
      </c>
      <c r="L50" s="8">
        <v>969331.57309227774</v>
      </c>
      <c r="M50" s="8">
        <v>22805150.560248852</v>
      </c>
      <c r="N50" s="8">
        <v>3750444.9885573499</v>
      </c>
    </row>
    <row r="51" spans="2:14">
      <c r="B51" t="s">
        <v>288</v>
      </c>
      <c r="D51" t="s">
        <v>181</v>
      </c>
      <c r="F51" s="21">
        <f>SUM(G51:N51)</f>
        <v>2901204350.5625706</v>
      </c>
      <c r="G51" s="8">
        <v>20945453.288962904</v>
      </c>
      <c r="H51" s="8">
        <v>102548747.3933928</v>
      </c>
      <c r="I51" s="8">
        <v>29803336.547218252</v>
      </c>
      <c r="J51" s="119">
        <v>902803883.99840128</v>
      </c>
      <c r="K51" s="119">
        <v>785718257.05271268</v>
      </c>
      <c r="L51" s="8">
        <v>18939711.053043816</v>
      </c>
      <c r="M51" s="8">
        <v>890538339.28328049</v>
      </c>
      <c r="N51" s="8">
        <v>149906621.94555855</v>
      </c>
    </row>
    <row r="52" spans="2:14">
      <c r="G52" s="69"/>
      <c r="H52" s="69"/>
      <c r="I52" s="69"/>
      <c r="J52" s="69"/>
      <c r="K52" s="69"/>
      <c r="L52" s="69"/>
      <c r="M52" s="69"/>
      <c r="N52" s="69"/>
    </row>
    <row r="53" spans="2:14">
      <c r="B53" s="3" t="s">
        <v>289</v>
      </c>
      <c r="G53" s="69"/>
      <c r="H53" s="69"/>
      <c r="I53" s="69"/>
      <c r="J53" s="69"/>
      <c r="K53" s="69"/>
      <c r="L53" s="69"/>
      <c r="M53" s="69"/>
      <c r="N53" s="69"/>
    </row>
    <row r="54" spans="2:14">
      <c r="B54" t="s">
        <v>290</v>
      </c>
      <c r="D54" t="s">
        <v>181</v>
      </c>
      <c r="F54" s="21">
        <f>SUM(G54:N54)</f>
        <v>0</v>
      </c>
      <c r="G54" s="8">
        <v>0</v>
      </c>
      <c r="H54" s="8">
        <v>0</v>
      </c>
      <c r="I54" s="8">
        <v>0</v>
      </c>
      <c r="J54" s="8">
        <v>0</v>
      </c>
      <c r="K54" s="8">
        <v>0</v>
      </c>
      <c r="L54" s="8">
        <v>0</v>
      </c>
      <c r="M54" s="8">
        <v>0</v>
      </c>
      <c r="N54" s="8">
        <v>0</v>
      </c>
    </row>
    <row r="55" spans="2:14">
      <c r="B55" t="s">
        <v>291</v>
      </c>
      <c r="D55" t="s">
        <v>181</v>
      </c>
      <c r="F55" s="21">
        <f>SUM(G55:N55)</f>
        <v>1593927.6801749018</v>
      </c>
      <c r="G55" s="8">
        <v>961147.86095826153</v>
      </c>
      <c r="H55" s="8">
        <v>0</v>
      </c>
      <c r="I55" s="8">
        <v>0</v>
      </c>
      <c r="J55" s="8">
        <v>0</v>
      </c>
      <c r="K55" s="8">
        <v>0</v>
      </c>
      <c r="L55" s="8">
        <v>632779.81921664032</v>
      </c>
      <c r="M55" s="8">
        <v>0</v>
      </c>
      <c r="N55" s="8">
        <v>0</v>
      </c>
    </row>
    <row r="56" spans="2:14">
      <c r="B56" t="s">
        <v>292</v>
      </c>
      <c r="D56" t="s">
        <v>181</v>
      </c>
      <c r="F56" s="21">
        <f>SUM(G56:N56)</f>
        <v>5062238.5537331104</v>
      </c>
      <c r="G56" s="8">
        <v>-3.0220018299818779E-9</v>
      </c>
      <c r="H56" s="8">
        <v>0</v>
      </c>
      <c r="I56" s="8">
        <v>0</v>
      </c>
      <c r="J56" s="8">
        <v>0</v>
      </c>
      <c r="K56" s="8">
        <v>0</v>
      </c>
      <c r="L56" s="8">
        <v>5062238.5537331132</v>
      </c>
      <c r="M56" s="8">
        <v>0</v>
      </c>
      <c r="N56" s="8">
        <v>0</v>
      </c>
    </row>
    <row r="57" spans="2:14">
      <c r="G57" s="69"/>
      <c r="H57" s="69"/>
      <c r="I57" s="69"/>
      <c r="J57" s="69"/>
      <c r="K57" s="69"/>
      <c r="L57" s="69"/>
      <c r="M57" s="69"/>
      <c r="N57" s="69"/>
    </row>
    <row r="58" spans="2:14">
      <c r="B58" s="3" t="s">
        <v>293</v>
      </c>
      <c r="G58" s="69"/>
      <c r="H58" s="69"/>
      <c r="I58" s="69"/>
      <c r="J58" s="69"/>
      <c r="K58" s="69"/>
      <c r="L58" s="69"/>
      <c r="M58" s="69"/>
      <c r="N58" s="69"/>
    </row>
    <row r="59" spans="2:14">
      <c r="B59" t="s">
        <v>294</v>
      </c>
      <c r="D59" t="s">
        <v>181</v>
      </c>
      <c r="F59" s="21">
        <f>SUM(G59:N59)</f>
        <v>0</v>
      </c>
      <c r="G59" s="8">
        <v>0</v>
      </c>
      <c r="H59" s="8">
        <v>0</v>
      </c>
      <c r="I59" s="8">
        <v>0</v>
      </c>
      <c r="J59" s="8">
        <v>0</v>
      </c>
      <c r="K59" s="8">
        <v>0</v>
      </c>
      <c r="L59" s="8">
        <v>0</v>
      </c>
      <c r="M59" s="8">
        <v>0</v>
      </c>
      <c r="N59" s="8">
        <v>0</v>
      </c>
    </row>
    <row r="60" spans="2:14">
      <c r="B60" t="s">
        <v>295</v>
      </c>
      <c r="D60" t="s">
        <v>181</v>
      </c>
      <c r="F60" s="21">
        <f>SUM(G60:N60)</f>
        <v>227923.69440549999</v>
      </c>
      <c r="G60" s="8">
        <v>0</v>
      </c>
      <c r="H60" s="8">
        <v>227923.69440549999</v>
      </c>
      <c r="I60" s="8">
        <v>0</v>
      </c>
      <c r="J60" s="8">
        <v>0</v>
      </c>
      <c r="K60" s="8">
        <v>0</v>
      </c>
      <c r="L60" s="8">
        <v>0</v>
      </c>
      <c r="M60" s="8">
        <v>0</v>
      </c>
      <c r="N60" s="8">
        <v>0</v>
      </c>
    </row>
    <row r="61" spans="2:14">
      <c r="B61" t="s">
        <v>296</v>
      </c>
      <c r="D61" t="s">
        <v>181</v>
      </c>
      <c r="F61" s="21">
        <f>SUM(G61:N61)</f>
        <v>9650925.7258917503</v>
      </c>
      <c r="G61" s="8">
        <v>0</v>
      </c>
      <c r="H61" s="8">
        <v>9650925.7258917503</v>
      </c>
      <c r="I61" s="8">
        <v>0</v>
      </c>
      <c r="J61" s="8">
        <v>0</v>
      </c>
      <c r="K61" s="8">
        <v>0</v>
      </c>
      <c r="L61" s="8">
        <v>0</v>
      </c>
      <c r="M61" s="8">
        <v>0</v>
      </c>
      <c r="N61" s="8">
        <v>0</v>
      </c>
    </row>
    <row r="62" spans="2:14">
      <c r="G62" s="69"/>
      <c r="H62" s="69"/>
      <c r="I62" s="69"/>
      <c r="J62" s="69"/>
      <c r="K62" s="69"/>
      <c r="L62" s="69"/>
      <c r="M62" s="69"/>
      <c r="N62" s="69"/>
    </row>
    <row r="63" spans="2:14">
      <c r="B63" s="3" t="s">
        <v>297</v>
      </c>
      <c r="G63" s="69"/>
      <c r="H63" s="69"/>
      <c r="I63" s="69"/>
      <c r="J63" s="69"/>
      <c r="K63" s="69"/>
      <c r="L63" s="69"/>
      <c r="M63" s="69"/>
      <c r="N63" s="69"/>
    </row>
    <row r="64" spans="2:14">
      <c r="B64" t="s">
        <v>298</v>
      </c>
      <c r="D64" t="s">
        <v>181</v>
      </c>
      <c r="F64" s="21">
        <f>SUM(G64:N64)</f>
        <v>0</v>
      </c>
      <c r="G64" s="8">
        <v>0</v>
      </c>
      <c r="H64" s="8">
        <v>0</v>
      </c>
      <c r="I64" s="8">
        <v>0</v>
      </c>
      <c r="J64" s="8">
        <v>0</v>
      </c>
      <c r="K64" s="8">
        <v>0</v>
      </c>
      <c r="L64" s="8">
        <v>0</v>
      </c>
      <c r="M64" s="8">
        <v>0</v>
      </c>
      <c r="N64" s="8">
        <v>0</v>
      </c>
    </row>
    <row r="65" spans="2:14">
      <c r="B65" t="s">
        <v>299</v>
      </c>
      <c r="D65" t="s">
        <v>181</v>
      </c>
      <c r="F65" s="21">
        <f>SUM(G65:N65)</f>
        <v>0</v>
      </c>
      <c r="G65" s="8">
        <v>0</v>
      </c>
      <c r="H65" s="8">
        <v>0</v>
      </c>
      <c r="I65" s="8">
        <v>0</v>
      </c>
      <c r="J65" s="8">
        <v>0</v>
      </c>
      <c r="K65" s="8">
        <v>0</v>
      </c>
      <c r="L65" s="8">
        <v>0</v>
      </c>
      <c r="M65" s="8">
        <v>0</v>
      </c>
      <c r="N65" s="8">
        <v>0</v>
      </c>
    </row>
    <row r="66" spans="2:14">
      <c r="B66" t="s">
        <v>300</v>
      </c>
      <c r="D66" t="s">
        <v>181</v>
      </c>
      <c r="F66" s="21">
        <f>SUM(G66:N66)</f>
        <v>0</v>
      </c>
      <c r="G66" s="8">
        <v>0</v>
      </c>
      <c r="H66" s="8">
        <v>0</v>
      </c>
      <c r="I66" s="8">
        <v>0</v>
      </c>
      <c r="J66" s="8">
        <v>0</v>
      </c>
      <c r="K66" s="8">
        <v>0</v>
      </c>
      <c r="L66" s="8">
        <v>0</v>
      </c>
      <c r="M66" s="8">
        <v>0</v>
      </c>
      <c r="N66" s="8">
        <v>0</v>
      </c>
    </row>
    <row r="68" spans="2:14">
      <c r="B68" s="3" t="s">
        <v>301</v>
      </c>
    </row>
    <row r="69" spans="2:14">
      <c r="B69" t="s">
        <v>302</v>
      </c>
      <c r="D69" t="s">
        <v>181</v>
      </c>
      <c r="F69" s="24">
        <f>F44+F49+F54+F59+F64</f>
        <v>506641100.55560994</v>
      </c>
      <c r="G69" s="24">
        <f>G44+G49+G54+G59+G64</f>
        <v>2782000</v>
      </c>
      <c r="H69" s="24">
        <f t="shared" ref="H69:N69" si="3">H44+H49+H54+H59+H64</f>
        <v>11756724.409225</v>
      </c>
      <c r="I69" s="24">
        <f t="shared" si="3"/>
        <v>2314213.7238850002</v>
      </c>
      <c r="J69" s="24">
        <f t="shared" si="3"/>
        <v>181822222.13999999</v>
      </c>
      <c r="K69" s="24">
        <f t="shared" si="3"/>
        <v>136541581</v>
      </c>
      <c r="L69" s="24">
        <f t="shared" si="3"/>
        <v>3718556.0100000002</v>
      </c>
      <c r="M69" s="24">
        <f t="shared" si="3"/>
        <v>151232121.27250001</v>
      </c>
      <c r="N69" s="24">
        <f t="shared" si="3"/>
        <v>16473682</v>
      </c>
    </row>
    <row r="70" spans="2:14">
      <c r="B70" t="s">
        <v>277</v>
      </c>
      <c r="D70" t="s">
        <v>181</v>
      </c>
      <c r="F70" s="24">
        <f t="shared" ref="F70:N71" si="4">F45+F50+F55+F60+F65</f>
        <v>457274571.93591297</v>
      </c>
      <c r="G70" s="24">
        <f t="shared" si="4"/>
        <v>3684483.6448325589</v>
      </c>
      <c r="H70" s="24">
        <f t="shared" si="4"/>
        <v>13023701.323096916</v>
      </c>
      <c r="I70" s="24">
        <f t="shared" si="4"/>
        <v>6599401.8955157064</v>
      </c>
      <c r="J70" s="24">
        <f t="shared" si="4"/>
        <v>166441992.70054233</v>
      </c>
      <c r="K70" s="24">
        <f t="shared" si="4"/>
        <v>137368212.72126114</v>
      </c>
      <c r="L70" s="24">
        <f t="shared" si="4"/>
        <v>3375953.4997411869</v>
      </c>
      <c r="M70" s="24">
        <f t="shared" si="4"/>
        <v>119345613.5392642</v>
      </c>
      <c r="N70" s="24">
        <f t="shared" si="4"/>
        <v>7435212.6116589792</v>
      </c>
    </row>
    <row r="71" spans="2:14">
      <c r="B71" t="s">
        <v>303</v>
      </c>
      <c r="D71" t="s">
        <v>181</v>
      </c>
      <c r="F71" s="24">
        <f t="shared" si="4"/>
        <v>9718393869.0951958</v>
      </c>
      <c r="G71" s="24">
        <f t="shared" si="4"/>
        <v>49537206.186434045</v>
      </c>
      <c r="H71" s="24">
        <f t="shared" si="4"/>
        <v>239002527.66253835</v>
      </c>
      <c r="I71" s="24">
        <f t="shared" si="4"/>
        <v>98855647.50404489</v>
      </c>
      <c r="J71" s="24">
        <f t="shared" si="4"/>
        <v>3225227455.3380055</v>
      </c>
      <c r="K71" s="24">
        <f t="shared" si="4"/>
        <v>3212714625.8170643</v>
      </c>
      <c r="L71" s="24">
        <f t="shared" si="4"/>
        <v>39623772.17801474</v>
      </c>
      <c r="M71" s="24">
        <f t="shared" si="4"/>
        <v>2622233202.8108835</v>
      </c>
      <c r="N71" s="24">
        <f t="shared" si="4"/>
        <v>231199431.59820965</v>
      </c>
    </row>
    <row r="74" spans="2:14" s="2" customFormat="1">
      <c r="B74" s="2" t="s">
        <v>192</v>
      </c>
    </row>
    <row r="76" spans="2:14">
      <c r="B76" s="3" t="s">
        <v>282</v>
      </c>
    </row>
    <row r="77" spans="2:14">
      <c r="B77" t="s">
        <v>283</v>
      </c>
      <c r="D77" t="s">
        <v>182</v>
      </c>
      <c r="F77" s="21">
        <f>SUM(G77:N77)</f>
        <v>0</v>
      </c>
      <c r="G77" s="8">
        <v>0</v>
      </c>
      <c r="H77" s="8">
        <v>0</v>
      </c>
      <c r="I77" s="8">
        <v>0</v>
      </c>
      <c r="J77" s="8">
        <v>0</v>
      </c>
      <c r="K77" s="8">
        <v>0</v>
      </c>
      <c r="L77" s="8">
        <v>0</v>
      </c>
      <c r="M77" s="8">
        <v>0</v>
      </c>
      <c r="N77" s="8">
        <v>0</v>
      </c>
    </row>
    <row r="78" spans="2:14">
      <c r="B78" t="s">
        <v>284</v>
      </c>
      <c r="D78" t="s">
        <v>182</v>
      </c>
      <c r="F78" s="21">
        <f>SUM(G78:N78)</f>
        <v>363955834.32848233</v>
      </c>
      <c r="G78" s="8">
        <v>2284385.8383365381</v>
      </c>
      <c r="H78" s="8">
        <v>9530186.500727158</v>
      </c>
      <c r="I78" s="8">
        <v>5733891.6354453256</v>
      </c>
      <c r="J78" s="8">
        <v>129658308.7329957</v>
      </c>
      <c r="K78" s="8">
        <v>113220002.82078512</v>
      </c>
      <c r="L78" s="8">
        <v>1800449.7390437527</v>
      </c>
      <c r="M78" s="8">
        <v>97988569.923700571</v>
      </c>
      <c r="N78" s="8">
        <v>3740039.137448153</v>
      </c>
    </row>
    <row r="79" spans="2:14">
      <c r="B79" t="s">
        <v>285</v>
      </c>
      <c r="D79" t="s">
        <v>182</v>
      </c>
      <c r="F79" s="21">
        <f>SUM(G79:N79)</f>
        <v>6540557665.2383127</v>
      </c>
      <c r="G79" s="8">
        <v>26736243.352596663</v>
      </c>
      <c r="H79" s="8">
        <v>119174710.86067545</v>
      </c>
      <c r="I79" s="8">
        <v>64354203.985733703</v>
      </c>
      <c r="J79" s="8">
        <v>2227601616.176703</v>
      </c>
      <c r="K79" s="8">
        <v>2350181311.4750323</v>
      </c>
      <c r="L79" s="8">
        <v>14055700.170762632</v>
      </c>
      <c r="M79" s="8">
        <v>1659681716.5568163</v>
      </c>
      <c r="N79" s="8">
        <v>78772162.65999271</v>
      </c>
    </row>
    <row r="80" spans="2:14">
      <c r="G80" s="69"/>
      <c r="H80" s="69"/>
      <c r="I80" s="69"/>
      <c r="J80" s="69"/>
      <c r="K80" s="69"/>
      <c r="L80" s="69"/>
      <c r="M80" s="69"/>
      <c r="N80" s="69"/>
    </row>
    <row r="81" spans="2:14">
      <c r="B81" s="3" t="s">
        <v>286</v>
      </c>
      <c r="G81" s="69"/>
      <c r="H81" s="69"/>
      <c r="I81" s="69"/>
      <c r="J81" s="69"/>
      <c r="K81" s="69"/>
      <c r="L81" s="69"/>
      <c r="M81" s="69"/>
      <c r="N81" s="69"/>
    </row>
    <row r="82" spans="2:14">
      <c r="B82" t="s">
        <v>287</v>
      </c>
      <c r="D82" t="s">
        <v>182</v>
      </c>
      <c r="F82" s="21">
        <f>SUM(G82:N82)</f>
        <v>646992349.16168928</v>
      </c>
      <c r="G82" s="8">
        <v>4705325.57</v>
      </c>
      <c r="H82" s="8">
        <v>17950206.140708871</v>
      </c>
      <c r="I82" s="8">
        <v>3594676.1891587507</v>
      </c>
      <c r="J82" s="8">
        <v>247860360.76999995</v>
      </c>
      <c r="K82" s="8">
        <v>176713925.55230328</v>
      </c>
      <c r="L82" s="8">
        <v>1303550.35665</v>
      </c>
      <c r="M82" s="1066">
        <v>182349190.85522264</v>
      </c>
      <c r="N82" s="8">
        <v>12515113.727645898</v>
      </c>
    </row>
    <row r="83" spans="2:14">
      <c r="B83" t="s">
        <v>277</v>
      </c>
      <c r="D83" t="s">
        <v>182</v>
      </c>
      <c r="F83" s="21">
        <f>SUM(G83:N83)</f>
        <v>113272230.38500486</v>
      </c>
      <c r="G83" s="8">
        <v>562783.08512087318</v>
      </c>
      <c r="H83" s="8">
        <v>3990138.7118182289</v>
      </c>
      <c r="I83" s="8">
        <v>1106226.8583238171</v>
      </c>
      <c r="J83" s="119">
        <v>47435608.081590652</v>
      </c>
      <c r="K83" s="119">
        <v>27475158.83654654</v>
      </c>
      <c r="L83" s="8">
        <v>947047.90429273329</v>
      </c>
      <c r="M83" s="1066">
        <v>27497346.647202898</v>
      </c>
      <c r="N83" s="8">
        <v>4257920.2601091322</v>
      </c>
    </row>
    <row r="84" spans="2:14">
      <c r="B84" t="s">
        <v>288</v>
      </c>
      <c r="D84" t="s">
        <v>182</v>
      </c>
      <c r="F84" s="21">
        <f>SUM(G84:N84)</f>
        <v>3478442534.5976939</v>
      </c>
      <c r="G84" s="8">
        <v>25402177.573176477</v>
      </c>
      <c r="H84" s="8">
        <v>118047046.03318433</v>
      </c>
      <c r="I84" s="8">
        <v>32738835.926261451</v>
      </c>
      <c r="J84" s="119">
        <v>1116770694.9467864</v>
      </c>
      <c r="K84" s="119">
        <v>946742797.62426019</v>
      </c>
      <c r="L84" s="8">
        <v>19580309.17119674</v>
      </c>
      <c r="M84" s="1066">
        <v>1058748258.5805494</v>
      </c>
      <c r="N84" s="8">
        <v>160412414.7422787</v>
      </c>
    </row>
    <row r="85" spans="2:14">
      <c r="G85" s="69"/>
      <c r="H85" s="69"/>
      <c r="I85" s="69"/>
      <c r="J85" s="69"/>
      <c r="K85" s="69"/>
      <c r="L85" s="69"/>
      <c r="M85" s="69"/>
      <c r="N85" s="69"/>
    </row>
    <row r="86" spans="2:14">
      <c r="B86" s="3" t="s">
        <v>289</v>
      </c>
      <c r="G86" s="69"/>
      <c r="H86" s="69"/>
      <c r="I86" s="69"/>
      <c r="J86" s="69"/>
      <c r="K86" s="69"/>
      <c r="L86" s="69"/>
      <c r="M86" s="69"/>
      <c r="N86" s="69"/>
    </row>
    <row r="87" spans="2:14">
      <c r="B87" t="s">
        <v>290</v>
      </c>
      <c r="D87" t="s">
        <v>182</v>
      </c>
      <c r="F87" s="21">
        <f>SUM(G87:N87)</f>
        <v>0</v>
      </c>
      <c r="G87" s="8">
        <v>0</v>
      </c>
      <c r="H87" s="8">
        <v>0</v>
      </c>
      <c r="I87" s="8">
        <v>0</v>
      </c>
      <c r="J87" s="8">
        <v>0</v>
      </c>
      <c r="K87" s="8">
        <v>0</v>
      </c>
      <c r="L87" s="8">
        <v>0</v>
      </c>
      <c r="M87" s="8">
        <v>0</v>
      </c>
      <c r="N87" s="8">
        <v>0</v>
      </c>
    </row>
    <row r="88" spans="2:14">
      <c r="B88" t="s">
        <v>291</v>
      </c>
      <c r="D88" t="s">
        <v>182</v>
      </c>
      <c r="F88" s="21">
        <f>SUM(G88:N88)</f>
        <v>642271.51650488994</v>
      </c>
      <c r="G88" s="8">
        <v>0</v>
      </c>
      <c r="H88" s="8">
        <v>0</v>
      </c>
      <c r="I88" s="8">
        <v>0</v>
      </c>
      <c r="J88" s="8">
        <v>0</v>
      </c>
      <c r="K88" s="8">
        <v>0</v>
      </c>
      <c r="L88" s="8">
        <v>642271.51650488994</v>
      </c>
      <c r="M88" s="8">
        <v>0</v>
      </c>
      <c r="N88" s="8">
        <v>0</v>
      </c>
    </row>
    <row r="89" spans="2:14">
      <c r="B89" t="s">
        <v>292</v>
      </c>
      <c r="D89" t="s">
        <v>182</v>
      </c>
      <c r="F89" s="21">
        <f>SUM(G89:N89)</f>
        <v>4495900.6155342171</v>
      </c>
      <c r="G89" s="8">
        <v>-3.0673318574316059E-9</v>
      </c>
      <c r="H89" s="8">
        <v>0</v>
      </c>
      <c r="I89" s="8">
        <v>0</v>
      </c>
      <c r="J89" s="8">
        <v>0</v>
      </c>
      <c r="K89" s="8">
        <v>0</v>
      </c>
      <c r="L89" s="8">
        <v>4495900.6155342199</v>
      </c>
      <c r="M89" s="8">
        <v>0</v>
      </c>
      <c r="N89" s="8">
        <v>0</v>
      </c>
    </row>
    <row r="90" spans="2:14">
      <c r="G90" s="69"/>
      <c r="H90" s="69"/>
      <c r="I90" s="69"/>
      <c r="J90" s="69"/>
      <c r="K90" s="69"/>
      <c r="L90" s="69"/>
      <c r="M90" s="69"/>
      <c r="N90" s="69"/>
    </row>
    <row r="91" spans="2:14">
      <c r="B91" s="3" t="s">
        <v>293</v>
      </c>
      <c r="G91" s="69"/>
      <c r="H91" s="69"/>
      <c r="I91" s="69"/>
      <c r="J91" s="69"/>
      <c r="K91" s="69"/>
      <c r="L91" s="69"/>
      <c r="M91" s="69"/>
      <c r="N91" s="69"/>
    </row>
    <row r="92" spans="2:14">
      <c r="B92" t="s">
        <v>294</v>
      </c>
      <c r="D92" t="s">
        <v>182</v>
      </c>
      <c r="F92" s="21">
        <f>SUM(G92:N92)</f>
        <v>0</v>
      </c>
      <c r="G92" s="8">
        <v>0</v>
      </c>
      <c r="H92" s="8">
        <v>0</v>
      </c>
      <c r="I92" s="8">
        <v>0</v>
      </c>
      <c r="J92" s="8">
        <v>0</v>
      </c>
      <c r="K92" s="8">
        <v>0</v>
      </c>
      <c r="L92" s="8">
        <v>0</v>
      </c>
      <c r="M92" s="8">
        <v>0</v>
      </c>
      <c r="N92" s="8">
        <v>0</v>
      </c>
    </row>
    <row r="93" spans="2:14">
      <c r="B93" t="s">
        <v>295</v>
      </c>
      <c r="D93" t="s">
        <v>182</v>
      </c>
      <c r="F93" s="21">
        <f>SUM(G93:N93)</f>
        <v>231342.54982158248</v>
      </c>
      <c r="G93" s="8">
        <v>0</v>
      </c>
      <c r="H93" s="8">
        <v>231342.54982158248</v>
      </c>
      <c r="I93" s="8">
        <v>0</v>
      </c>
      <c r="J93" s="8">
        <v>0</v>
      </c>
      <c r="K93" s="8">
        <v>0</v>
      </c>
      <c r="L93" s="8">
        <v>0</v>
      </c>
      <c r="M93" s="8">
        <v>0</v>
      </c>
      <c r="N93" s="8">
        <v>0</v>
      </c>
    </row>
    <row r="94" spans="2:14">
      <c r="B94" t="s">
        <v>296</v>
      </c>
      <c r="D94" t="s">
        <v>182</v>
      </c>
      <c r="F94" s="21">
        <f>SUM(G94:N94)</f>
        <v>9564347.061958544</v>
      </c>
      <c r="G94" s="8">
        <v>0</v>
      </c>
      <c r="H94" s="8">
        <v>9564347.061958544</v>
      </c>
      <c r="I94" s="8">
        <v>0</v>
      </c>
      <c r="J94" s="8">
        <v>0</v>
      </c>
      <c r="K94" s="8">
        <v>0</v>
      </c>
      <c r="L94" s="8">
        <v>0</v>
      </c>
      <c r="M94" s="8">
        <v>0</v>
      </c>
      <c r="N94" s="8">
        <v>0</v>
      </c>
    </row>
    <row r="95" spans="2:14">
      <c r="G95" s="69"/>
      <c r="H95" s="69"/>
      <c r="I95" s="69"/>
      <c r="J95" s="69"/>
      <c r="K95" s="69"/>
      <c r="L95" s="69"/>
      <c r="M95" s="69"/>
      <c r="N95" s="69"/>
    </row>
    <row r="96" spans="2:14">
      <c r="B96" s="3" t="s">
        <v>297</v>
      </c>
      <c r="G96" s="69"/>
      <c r="H96" s="69"/>
      <c r="I96" s="69"/>
      <c r="J96" s="69"/>
      <c r="K96" s="69"/>
      <c r="L96" s="69"/>
      <c r="M96" s="69"/>
      <c r="N96" s="69"/>
    </row>
    <row r="97" spans="2:14">
      <c r="B97" t="s">
        <v>298</v>
      </c>
      <c r="D97" t="s">
        <v>182</v>
      </c>
      <c r="F97" s="21">
        <f>SUM(G97:N97)</f>
        <v>21500000</v>
      </c>
      <c r="G97" s="8">
        <v>0</v>
      </c>
      <c r="H97" s="8">
        <v>0</v>
      </c>
      <c r="I97" s="8">
        <v>0</v>
      </c>
      <c r="J97" s="8">
        <v>0</v>
      </c>
      <c r="K97" s="8">
        <v>0</v>
      </c>
      <c r="L97" s="8">
        <v>0</v>
      </c>
      <c r="M97" s="8">
        <v>21500000</v>
      </c>
      <c r="N97" s="8">
        <v>0</v>
      </c>
    </row>
    <row r="98" spans="2:14">
      <c r="B98" t="s">
        <v>299</v>
      </c>
      <c r="D98" t="s">
        <v>182</v>
      </c>
      <c r="F98" s="21">
        <f>SUM(G98:N98)</f>
        <v>643233.04785714298</v>
      </c>
      <c r="G98" s="8">
        <v>0</v>
      </c>
      <c r="H98" s="8">
        <v>0</v>
      </c>
      <c r="I98" s="8">
        <v>0</v>
      </c>
      <c r="J98" s="8">
        <v>0</v>
      </c>
      <c r="K98" s="8">
        <v>0</v>
      </c>
      <c r="L98" s="8">
        <v>0</v>
      </c>
      <c r="M98" s="8">
        <v>643233.04785714298</v>
      </c>
      <c r="N98" s="8">
        <v>0</v>
      </c>
    </row>
    <row r="99" spans="2:14">
      <c r="B99" t="s">
        <v>300</v>
      </c>
      <c r="D99" t="s">
        <v>182</v>
      </c>
      <c r="F99" s="21">
        <f>SUM(G99:N99)</f>
        <v>20856766.952142857</v>
      </c>
      <c r="G99" s="8">
        <v>0</v>
      </c>
      <c r="H99" s="8">
        <v>0</v>
      </c>
      <c r="I99" s="8">
        <v>0</v>
      </c>
      <c r="J99" s="8">
        <v>0</v>
      </c>
      <c r="K99" s="8">
        <v>0</v>
      </c>
      <c r="L99" s="8">
        <v>0</v>
      </c>
      <c r="M99" s="8">
        <v>20856766.952142857</v>
      </c>
      <c r="N99" s="8">
        <v>0</v>
      </c>
    </row>
    <row r="101" spans="2:14">
      <c r="B101" s="3" t="s">
        <v>301</v>
      </c>
    </row>
    <row r="102" spans="2:14">
      <c r="B102" t="s">
        <v>302</v>
      </c>
      <c r="D102" t="s">
        <v>182</v>
      </c>
      <c r="F102" s="24">
        <f>F77+F82+F87+F92+F97</f>
        <v>668492349.16168928</v>
      </c>
      <c r="G102" s="24">
        <f>G77+G82+G87+G92+G97</f>
        <v>4705325.57</v>
      </c>
      <c r="H102" s="24">
        <f t="shared" ref="H102:N102" si="5">H77+H82+H87+H92+H97</f>
        <v>17950206.140708871</v>
      </c>
      <c r="I102" s="24">
        <f t="shared" si="5"/>
        <v>3594676.1891587507</v>
      </c>
      <c r="J102" s="24">
        <f t="shared" si="5"/>
        <v>247860360.76999995</v>
      </c>
      <c r="K102" s="24">
        <f t="shared" si="5"/>
        <v>176713925.55230328</v>
      </c>
      <c r="L102" s="24">
        <f t="shared" si="5"/>
        <v>1303550.35665</v>
      </c>
      <c r="M102" s="24">
        <f t="shared" si="5"/>
        <v>203849190.85522264</v>
      </c>
      <c r="N102" s="24">
        <f t="shared" si="5"/>
        <v>12515113.727645898</v>
      </c>
    </row>
    <row r="103" spans="2:14">
      <c r="B103" t="s">
        <v>277</v>
      </c>
      <c r="D103" t="s">
        <v>182</v>
      </c>
      <c r="F103" s="24">
        <f t="shared" ref="F103:N103" si="6">F78+F83+F88+F93+F98</f>
        <v>478744911.82767081</v>
      </c>
      <c r="G103" s="24">
        <f t="shared" si="6"/>
        <v>2847168.9234574111</v>
      </c>
      <c r="H103" s="24">
        <f t="shared" si="6"/>
        <v>13751667.762366969</v>
      </c>
      <c r="I103" s="24">
        <f t="shared" si="6"/>
        <v>6840118.4937691428</v>
      </c>
      <c r="J103" s="24">
        <f t="shared" si="6"/>
        <v>177093916.81458634</v>
      </c>
      <c r="K103" s="24">
        <f t="shared" si="6"/>
        <v>140695161.65733165</v>
      </c>
      <c r="L103" s="24">
        <f t="shared" si="6"/>
        <v>3389769.1598413759</v>
      </c>
      <c r="M103" s="24">
        <f t="shared" si="6"/>
        <v>126129149.61876062</v>
      </c>
      <c r="N103" s="24">
        <f t="shared" si="6"/>
        <v>7997959.3975572847</v>
      </c>
    </row>
    <row r="104" spans="2:14">
      <c r="B104" t="s">
        <v>303</v>
      </c>
      <c r="D104" t="s">
        <v>182</v>
      </c>
      <c r="F104" s="24">
        <f t="shared" ref="F104:N104" si="7">F79+F84+F89+F94+F99</f>
        <v>10053917214.465641</v>
      </c>
      <c r="G104" s="24">
        <f t="shared" si="7"/>
        <v>52138420.925773144</v>
      </c>
      <c r="H104" s="24">
        <f t="shared" si="7"/>
        <v>246786103.95581836</v>
      </c>
      <c r="I104" s="24">
        <f t="shared" si="7"/>
        <v>97093039.911995158</v>
      </c>
      <c r="J104" s="24">
        <f t="shared" si="7"/>
        <v>3344372311.1234894</v>
      </c>
      <c r="K104" s="24">
        <f t="shared" si="7"/>
        <v>3296924109.0992928</v>
      </c>
      <c r="L104" s="24">
        <f t="shared" si="7"/>
        <v>38131909.957493588</v>
      </c>
      <c r="M104" s="24">
        <f t="shared" si="7"/>
        <v>2739286742.0895085</v>
      </c>
      <c r="N104" s="24">
        <f t="shared" si="7"/>
        <v>239184577.40227139</v>
      </c>
    </row>
    <row r="107" spans="2:14" s="2" customFormat="1">
      <c r="B107" s="2" t="s">
        <v>193</v>
      </c>
    </row>
    <row r="109" spans="2:14">
      <c r="B109" s="3" t="s">
        <v>282</v>
      </c>
    </row>
    <row r="110" spans="2:14">
      <c r="B110" t="s">
        <v>283</v>
      </c>
      <c r="D110" t="s">
        <v>183</v>
      </c>
      <c r="F110" s="21">
        <f>SUM(G110:N110)</f>
        <v>0</v>
      </c>
      <c r="G110" s="8">
        <v>0</v>
      </c>
      <c r="H110" s="8">
        <v>0</v>
      </c>
      <c r="I110" s="8">
        <v>0</v>
      </c>
      <c r="J110" s="8">
        <v>0</v>
      </c>
      <c r="K110" s="8">
        <v>0</v>
      </c>
      <c r="L110" s="8">
        <v>0</v>
      </c>
      <c r="M110" s="8">
        <v>0</v>
      </c>
      <c r="N110" s="8">
        <v>0</v>
      </c>
    </row>
    <row r="111" spans="2:14">
      <c r="B111" t="s">
        <v>284</v>
      </c>
      <c r="D111" t="s">
        <v>183</v>
      </c>
      <c r="F111" s="21">
        <f>SUM(G111:N111)</f>
        <v>373418686.02102286</v>
      </c>
      <c r="G111" s="8">
        <v>2343779.8701332882</v>
      </c>
      <c r="H111" s="8">
        <v>9777971.3497460634</v>
      </c>
      <c r="I111" s="8">
        <v>5882972.8179669036</v>
      </c>
      <c r="J111" s="8">
        <v>133029424.76005359</v>
      </c>
      <c r="K111" s="8">
        <v>116163722.89412554</v>
      </c>
      <c r="L111" s="8">
        <v>1847261.4322588902</v>
      </c>
      <c r="M111" s="8">
        <v>100536272.74171679</v>
      </c>
      <c r="N111" s="8">
        <v>3837280.1550218049</v>
      </c>
    </row>
    <row r="112" spans="2:14">
      <c r="B112" t="s">
        <v>285</v>
      </c>
      <c r="D112" t="s">
        <v>183</v>
      </c>
      <c r="F112" s="21">
        <f>SUM(G112:N112)</f>
        <v>6337193478.5134859</v>
      </c>
      <c r="G112" s="8">
        <v>25087605.809630886</v>
      </c>
      <c r="H112" s="8">
        <v>112495281.99330693</v>
      </c>
      <c r="I112" s="8">
        <v>60144440.471395873</v>
      </c>
      <c r="J112" s="8">
        <v>2152489833.4372439</v>
      </c>
      <c r="K112" s="8">
        <v>2295122302.6792579</v>
      </c>
      <c r="L112" s="8">
        <v>12573886.942943569</v>
      </c>
      <c r="M112" s="8">
        <v>1602297168.4455764</v>
      </c>
      <c r="N112" s="8">
        <v>76982958.73413071</v>
      </c>
    </row>
    <row r="113" spans="2:16">
      <c r="G113" s="69"/>
      <c r="H113" s="69"/>
      <c r="I113" s="69"/>
      <c r="J113" s="69"/>
      <c r="K113" s="69"/>
      <c r="L113" s="69"/>
      <c r="M113" s="69"/>
      <c r="N113" s="69"/>
    </row>
    <row r="114" spans="2:16">
      <c r="B114" s="3" t="s">
        <v>286</v>
      </c>
      <c r="G114" s="69"/>
      <c r="H114" s="69"/>
      <c r="I114" s="69"/>
      <c r="J114" s="69"/>
      <c r="K114" s="69"/>
      <c r="L114" s="69"/>
      <c r="M114" s="69"/>
      <c r="N114" s="69"/>
    </row>
    <row r="115" spans="2:16">
      <c r="B115" t="s">
        <v>287</v>
      </c>
      <c r="D115" t="s">
        <v>183</v>
      </c>
      <c r="F115" s="21">
        <f>SUM(G115:N115)</f>
        <v>649878194.74616981</v>
      </c>
      <c r="G115" s="119">
        <v>3879809</v>
      </c>
      <c r="H115" s="119">
        <v>21683458.133099999</v>
      </c>
      <c r="I115" s="119">
        <v>7186733.5627800003</v>
      </c>
      <c r="J115" s="119">
        <v>224287714.21000001</v>
      </c>
      <c r="K115" s="119">
        <v>191852407.90066698</v>
      </c>
      <c r="L115" s="119">
        <v>1513958.19</v>
      </c>
      <c r="M115" s="119">
        <v>192162981.66098002</v>
      </c>
      <c r="N115" s="119">
        <v>7311132.0886428747</v>
      </c>
    </row>
    <row r="116" spans="2:16">
      <c r="B116" t="s">
        <v>277</v>
      </c>
      <c r="D116" t="s">
        <v>183</v>
      </c>
      <c r="F116" s="21">
        <f>SUM(G116:N116)</f>
        <v>129974565.26964357</v>
      </c>
      <c r="G116" s="119">
        <v>672327.44455746596</v>
      </c>
      <c r="H116" s="119">
        <v>4331183.7941385573</v>
      </c>
      <c r="I116" s="119">
        <v>1568884.5334747354</v>
      </c>
      <c r="J116" s="119">
        <v>55988514.214638941</v>
      </c>
      <c r="K116" s="119">
        <v>28282913.589619711</v>
      </c>
      <c r="L116" s="119">
        <v>882988.92063802795</v>
      </c>
      <c r="M116" s="1066">
        <v>33547241.928423554</v>
      </c>
      <c r="N116" s="119">
        <v>4700510.8441525809</v>
      </c>
      <c r="P116" s="28"/>
    </row>
    <row r="117" spans="2:16">
      <c r="B117" t="s">
        <v>288</v>
      </c>
      <c r="D117" t="s">
        <v>183</v>
      </c>
      <c r="F117" s="21">
        <f>SUM(G117:N117)</f>
        <v>4088785669.9737606</v>
      </c>
      <c r="G117" s="119">
        <v>29270115.745521598</v>
      </c>
      <c r="H117" s="119">
        <v>138468543.56900856</v>
      </c>
      <c r="I117" s="119">
        <v>39207894.689649515</v>
      </c>
      <c r="J117" s="119">
        <v>1314105933.0107641</v>
      </c>
      <c r="K117" s="119">
        <v>1134927604.6735382</v>
      </c>
      <c r="L117" s="119">
        <v>20720366.479009826</v>
      </c>
      <c r="M117" s="1066">
        <v>1244891453.0362003</v>
      </c>
      <c r="N117" s="119">
        <v>167193758.77006823</v>
      </c>
    </row>
    <row r="118" spans="2:16">
      <c r="G118" s="69"/>
      <c r="H118" s="69"/>
      <c r="I118" s="69"/>
      <c r="J118" s="69"/>
      <c r="K118" s="69"/>
      <c r="L118" s="69"/>
      <c r="M118" s="69"/>
      <c r="N118" s="69"/>
    </row>
    <row r="119" spans="2:16">
      <c r="B119" s="3" t="s">
        <v>289</v>
      </c>
      <c r="G119" s="69"/>
      <c r="H119" s="69"/>
      <c r="I119" s="69"/>
      <c r="J119" s="69"/>
      <c r="K119" s="69"/>
      <c r="L119" s="69"/>
      <c r="M119" s="69"/>
      <c r="N119" s="69"/>
    </row>
    <row r="120" spans="2:16">
      <c r="B120" t="s">
        <v>290</v>
      </c>
      <c r="D120" t="s">
        <v>183</v>
      </c>
      <c r="F120" s="21">
        <f>SUM(G120:N120)</f>
        <v>0</v>
      </c>
      <c r="G120" s="8">
        <v>0</v>
      </c>
      <c r="H120" s="8">
        <v>0</v>
      </c>
      <c r="I120" s="8">
        <v>0</v>
      </c>
      <c r="J120" s="8">
        <v>0</v>
      </c>
      <c r="K120" s="8">
        <v>0</v>
      </c>
      <c r="L120" s="8">
        <v>0</v>
      </c>
      <c r="M120" s="8">
        <v>0</v>
      </c>
      <c r="N120" s="8">
        <v>0</v>
      </c>
    </row>
    <row r="121" spans="2:16">
      <c r="B121" t="s">
        <v>291</v>
      </c>
      <c r="D121" t="s">
        <v>183</v>
      </c>
      <c r="F121" s="21">
        <f>SUM(G121:N121)</f>
        <v>658970.57593401696</v>
      </c>
      <c r="G121" s="8">
        <v>0</v>
      </c>
      <c r="H121" s="8">
        <v>0</v>
      </c>
      <c r="I121" s="8">
        <v>0</v>
      </c>
      <c r="J121" s="8">
        <v>0</v>
      </c>
      <c r="K121" s="8">
        <v>0</v>
      </c>
      <c r="L121" s="8">
        <v>658970.57593401696</v>
      </c>
      <c r="M121" s="8">
        <v>0</v>
      </c>
      <c r="N121" s="8">
        <v>0</v>
      </c>
    </row>
    <row r="122" spans="2:16">
      <c r="B122" t="s">
        <v>292</v>
      </c>
      <c r="D122" t="s">
        <v>183</v>
      </c>
      <c r="F122" s="21">
        <f>SUM(G122:N122)</f>
        <v>3953823.4556040894</v>
      </c>
      <c r="G122" s="8">
        <v>-3.1470824857248278E-9</v>
      </c>
      <c r="H122" s="8">
        <v>0</v>
      </c>
      <c r="I122" s="8">
        <v>0</v>
      </c>
      <c r="J122" s="8">
        <v>0</v>
      </c>
      <c r="K122" s="8">
        <v>0</v>
      </c>
      <c r="L122" s="8">
        <v>3953823.4556040927</v>
      </c>
      <c r="M122" s="8">
        <v>0</v>
      </c>
      <c r="N122" s="8">
        <v>0</v>
      </c>
    </row>
    <row r="123" spans="2:16">
      <c r="G123" s="69"/>
      <c r="H123" s="69"/>
      <c r="I123" s="69"/>
      <c r="J123" s="69"/>
      <c r="K123" s="69"/>
      <c r="L123" s="69"/>
      <c r="M123" s="69"/>
      <c r="N123" s="69"/>
    </row>
    <row r="124" spans="2:16">
      <c r="B124" s="3" t="s">
        <v>293</v>
      </c>
      <c r="G124" s="69"/>
      <c r="H124" s="69"/>
      <c r="I124" s="69"/>
      <c r="J124" s="69"/>
      <c r="K124" s="69"/>
      <c r="L124" s="69"/>
      <c r="M124" s="69"/>
      <c r="N124" s="69"/>
    </row>
    <row r="125" spans="2:16">
      <c r="B125" t="s">
        <v>294</v>
      </c>
      <c r="D125" t="s">
        <v>183</v>
      </c>
      <c r="F125" s="21">
        <f>SUM(G125:N125)</f>
        <v>0</v>
      </c>
      <c r="G125" s="8">
        <v>0</v>
      </c>
      <c r="H125" s="8">
        <v>0</v>
      </c>
      <c r="I125" s="8">
        <v>0</v>
      </c>
      <c r="J125" s="8">
        <v>0</v>
      </c>
      <c r="K125" s="8">
        <v>0</v>
      </c>
      <c r="L125" s="8">
        <v>0</v>
      </c>
      <c r="M125" s="8">
        <v>0</v>
      </c>
      <c r="N125" s="8">
        <v>0</v>
      </c>
    </row>
    <row r="126" spans="2:16">
      <c r="B126" t="s">
        <v>295</v>
      </c>
      <c r="D126" t="s">
        <v>183</v>
      </c>
      <c r="F126" s="21">
        <f>SUM(G126:N126)</f>
        <v>237357.45611694362</v>
      </c>
      <c r="G126" s="8">
        <v>0</v>
      </c>
      <c r="H126" s="8">
        <v>237357.45611694362</v>
      </c>
      <c r="I126" s="8">
        <v>0</v>
      </c>
      <c r="J126" s="8">
        <v>0</v>
      </c>
      <c r="K126" s="8">
        <v>0</v>
      </c>
      <c r="L126" s="8">
        <v>0</v>
      </c>
      <c r="M126" s="8">
        <v>0</v>
      </c>
      <c r="N126" s="8">
        <v>0</v>
      </c>
    </row>
    <row r="127" spans="2:16">
      <c r="B127" t="s">
        <v>296</v>
      </c>
      <c r="D127" t="s">
        <v>183</v>
      </c>
      <c r="F127" s="21">
        <f>SUM(G127:N127)</f>
        <v>9575662.6294525228</v>
      </c>
      <c r="G127" s="8">
        <v>0</v>
      </c>
      <c r="H127" s="8">
        <v>9575662.6294525228</v>
      </c>
      <c r="I127" s="8">
        <v>0</v>
      </c>
      <c r="J127" s="8">
        <v>0</v>
      </c>
      <c r="K127" s="8">
        <v>0</v>
      </c>
      <c r="L127" s="8">
        <v>0</v>
      </c>
      <c r="M127" s="8">
        <v>0</v>
      </c>
      <c r="N127" s="8">
        <v>0</v>
      </c>
    </row>
    <row r="128" spans="2:16">
      <c r="G128" s="69"/>
      <c r="H128" s="69"/>
      <c r="I128" s="69"/>
      <c r="J128" s="69"/>
      <c r="K128" s="69"/>
      <c r="L128" s="69"/>
      <c r="M128" s="69"/>
      <c r="N128" s="69"/>
    </row>
    <row r="129" spans="2:14">
      <c r="B129" s="3" t="s">
        <v>297</v>
      </c>
      <c r="G129" s="69"/>
      <c r="H129" s="69"/>
      <c r="I129" s="69"/>
      <c r="J129" s="69"/>
      <c r="K129" s="69"/>
      <c r="L129" s="69"/>
      <c r="M129" s="69"/>
      <c r="N129" s="69"/>
    </row>
    <row r="130" spans="2:14">
      <c r="B130" t="s">
        <v>298</v>
      </c>
      <c r="D130" t="s">
        <v>183</v>
      </c>
      <c r="F130" s="21">
        <f>SUM(G130:N130)</f>
        <v>6392086.7999999998</v>
      </c>
      <c r="G130" s="8">
        <v>0</v>
      </c>
      <c r="H130" s="8">
        <v>1030000</v>
      </c>
      <c r="I130" s="8">
        <v>0</v>
      </c>
      <c r="J130" s="8">
        <v>279304.8</v>
      </c>
      <c r="K130" s="8">
        <v>5082782</v>
      </c>
      <c r="L130" s="8">
        <v>0</v>
      </c>
      <c r="M130" s="8">
        <v>0</v>
      </c>
      <c r="N130" s="8">
        <v>0</v>
      </c>
    </row>
    <row r="131" spans="2:14">
      <c r="B131" t="s">
        <v>299</v>
      </c>
      <c r="D131" t="s">
        <v>183</v>
      </c>
      <c r="F131" s="21">
        <f>SUM(G131:N131)</f>
        <v>1582403.5213139681</v>
      </c>
      <c r="G131" s="8">
        <v>0</v>
      </c>
      <c r="H131" s="8">
        <v>51500</v>
      </c>
      <c r="I131" s="8">
        <v>0</v>
      </c>
      <c r="J131" s="8">
        <v>4706.0959999999995</v>
      </c>
      <c r="K131" s="8">
        <v>206283.21111111113</v>
      </c>
      <c r="L131" s="8">
        <v>0</v>
      </c>
      <c r="M131" s="8">
        <v>1319914.2142028571</v>
      </c>
      <c r="N131" s="8">
        <v>0</v>
      </c>
    </row>
    <row r="132" spans="2:14">
      <c r="B132" t="s">
        <v>300</v>
      </c>
      <c r="D132" t="s">
        <v>183</v>
      </c>
      <c r="F132" s="21">
        <f>SUM(G132:N132)</f>
        <v>26208726.171584606</v>
      </c>
      <c r="G132" s="8">
        <v>0</v>
      </c>
      <c r="H132" s="8">
        <v>978500</v>
      </c>
      <c r="I132" s="8">
        <v>0</v>
      </c>
      <c r="J132" s="8">
        <v>274598.70400000003</v>
      </c>
      <c r="K132" s="8">
        <v>4876498.7888888884</v>
      </c>
      <c r="L132" s="8">
        <v>0</v>
      </c>
      <c r="M132" s="8">
        <v>20079128.678695716</v>
      </c>
      <c r="N132" s="8">
        <v>0</v>
      </c>
    </row>
    <row r="134" spans="2:14">
      <c r="B134" s="3" t="s">
        <v>301</v>
      </c>
    </row>
    <row r="135" spans="2:14">
      <c r="B135" t="s">
        <v>302</v>
      </c>
      <c r="D135" t="s">
        <v>183</v>
      </c>
      <c r="F135" s="24">
        <f>F110+F115+F120+F125+F130</f>
        <v>656270281.54616976</v>
      </c>
      <c r="G135" s="24">
        <f>G110+G115+G120+G125+G130</f>
        <v>3879809</v>
      </c>
      <c r="H135" s="24">
        <f t="shared" ref="H135:N135" si="8">H110+H115+H120+H125+H130</f>
        <v>22713458.133099999</v>
      </c>
      <c r="I135" s="24">
        <f t="shared" si="8"/>
        <v>7186733.5627800003</v>
      </c>
      <c r="J135" s="24">
        <f t="shared" si="8"/>
        <v>224567019.01000002</v>
      </c>
      <c r="K135" s="24">
        <f t="shared" si="8"/>
        <v>196935189.90066698</v>
      </c>
      <c r="L135" s="24">
        <f t="shared" si="8"/>
        <v>1513958.19</v>
      </c>
      <c r="M135" s="24">
        <f t="shared" si="8"/>
        <v>192162981.66098002</v>
      </c>
      <c r="N135" s="24">
        <f t="shared" si="8"/>
        <v>7311132.0886428747</v>
      </c>
    </row>
    <row r="136" spans="2:14">
      <c r="B136" t="s">
        <v>277</v>
      </c>
      <c r="D136" t="s">
        <v>183</v>
      </c>
      <c r="F136" s="24">
        <f t="shared" ref="F136:N136" si="9">F111+F116+F121+F126+F131</f>
        <v>505871982.84403133</v>
      </c>
      <c r="G136" s="24">
        <f t="shared" si="9"/>
        <v>3016107.3146907543</v>
      </c>
      <c r="H136" s="24">
        <f t="shared" si="9"/>
        <v>14398012.600001566</v>
      </c>
      <c r="I136" s="24">
        <f t="shared" si="9"/>
        <v>7451857.3514416385</v>
      </c>
      <c r="J136" s="24">
        <f t="shared" si="9"/>
        <v>189022645.07069251</v>
      </c>
      <c r="K136" s="24">
        <f t="shared" si="9"/>
        <v>144652919.69485635</v>
      </c>
      <c r="L136" s="24">
        <f t="shared" si="9"/>
        <v>3389220.9288309352</v>
      </c>
      <c r="M136" s="24">
        <f t="shared" si="9"/>
        <v>135403428.88434321</v>
      </c>
      <c r="N136" s="24">
        <f t="shared" si="9"/>
        <v>8537790.9991743863</v>
      </c>
    </row>
    <row r="137" spans="2:14">
      <c r="B137" t="s">
        <v>303</v>
      </c>
      <c r="D137" t="s">
        <v>183</v>
      </c>
      <c r="F137" s="24">
        <f t="shared" ref="F137:N137" si="10">F112+F117+F122+F127+F132</f>
        <v>10465717360.743889</v>
      </c>
      <c r="G137" s="24">
        <f t="shared" si="10"/>
        <v>54357721.555152483</v>
      </c>
      <c r="H137" s="24">
        <f t="shared" si="10"/>
        <v>261517988.19176802</v>
      </c>
      <c r="I137" s="24">
        <f t="shared" si="10"/>
        <v>99352335.161045387</v>
      </c>
      <c r="J137" s="24">
        <f t="shared" si="10"/>
        <v>3466870365.1520081</v>
      </c>
      <c r="K137" s="24">
        <f t="shared" si="10"/>
        <v>3434926406.141685</v>
      </c>
      <c r="L137" s="24">
        <f t="shared" si="10"/>
        <v>37248076.877557486</v>
      </c>
      <c r="M137" s="24">
        <f t="shared" si="10"/>
        <v>2867267750.1604724</v>
      </c>
      <c r="N137" s="24">
        <f t="shared" si="10"/>
        <v>244176717.50419894</v>
      </c>
    </row>
    <row r="141" spans="2:14">
      <c r="F141" s="32"/>
    </row>
  </sheetData>
  <phoneticPr fontId="3" type="noConversion"/>
  <pageMargins left="0.75" right="0.75" top="1" bottom="1" header="0.5" footer="0.5"/>
  <pageSetup paperSize="9"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enableFormatConditionsCalculation="0">
    <tabColor indexed="42"/>
  </sheetPr>
  <dimension ref="B1:Q76"/>
  <sheetViews>
    <sheetView showGridLines="0" zoomScale="85" zoomScaleNormal="85" workbookViewId="0"/>
  </sheetViews>
  <sheetFormatPr defaultRowHeight="12.75"/>
  <cols>
    <col min="1" max="1" width="2.5703125" customWidth="1"/>
    <col min="2" max="2" width="57.85546875" customWidth="1"/>
    <col min="3" max="3" width="2.5703125" customWidth="1"/>
    <col min="4" max="4" width="13.5703125" customWidth="1"/>
    <col min="5" max="5" width="3" customWidth="1"/>
    <col min="6" max="6" width="22" customWidth="1"/>
    <col min="7" max="14" width="15.7109375" customWidth="1"/>
    <col min="15" max="15" width="16.28515625" customWidth="1"/>
    <col min="16" max="16" width="8.140625" customWidth="1"/>
    <col min="17" max="17" width="27.42578125" customWidth="1"/>
  </cols>
  <sheetData>
    <row r="1" spans="2:17" ht="12" customHeight="1"/>
    <row r="2" spans="2:17" s="1" customFormat="1" ht="18">
      <c r="B2" s="1" t="s">
        <v>493</v>
      </c>
      <c r="F2" s="5"/>
      <c r="G2" s="5"/>
      <c r="H2" s="5"/>
      <c r="I2" s="5"/>
      <c r="J2" s="5"/>
      <c r="K2" s="5"/>
      <c r="L2" s="5"/>
      <c r="M2" s="5"/>
      <c r="N2" s="5"/>
      <c r="Q2" s="5"/>
    </row>
    <row r="5" spans="2:17" s="2" customFormat="1">
      <c r="B5" s="2" t="s">
        <v>276</v>
      </c>
    </row>
    <row r="7" spans="2:17">
      <c r="B7" s="50" t="s">
        <v>429</v>
      </c>
    </row>
    <row r="8" spans="2:17">
      <c r="B8" s="50" t="s">
        <v>430</v>
      </c>
    </row>
    <row r="9" spans="2:17">
      <c r="B9" s="50" t="s">
        <v>512</v>
      </c>
    </row>
    <row r="11" spans="2:17">
      <c r="B11" s="26" t="s">
        <v>465</v>
      </c>
    </row>
    <row r="12" spans="2:17">
      <c r="B12" s="26"/>
    </row>
    <row r="13" spans="2:17">
      <c r="B13" s="3" t="s">
        <v>464</v>
      </c>
      <c r="G13" s="184" t="s">
        <v>366</v>
      </c>
      <c r="H13" s="184">
        <v>2009</v>
      </c>
      <c r="I13" s="184">
        <v>2010</v>
      </c>
      <c r="J13" s="184">
        <v>2011</v>
      </c>
      <c r="K13" s="184">
        <v>2012</v>
      </c>
      <c r="L13" s="184">
        <v>2013</v>
      </c>
      <c r="M13" s="184">
        <v>2014</v>
      </c>
      <c r="N13" s="184">
        <v>2015</v>
      </c>
      <c r="O13" s="184">
        <v>2016</v>
      </c>
    </row>
    <row r="14" spans="2:17">
      <c r="B14" s="50"/>
      <c r="G14" s="184"/>
      <c r="H14" s="184"/>
      <c r="I14" s="184"/>
      <c r="J14" s="184"/>
      <c r="K14" s="184"/>
      <c r="L14" s="184"/>
      <c r="M14" s="184"/>
      <c r="N14" s="184"/>
      <c r="O14" s="184"/>
    </row>
    <row r="15" spans="2:17">
      <c r="B15" s="50"/>
      <c r="G15" s="185" t="s">
        <v>334</v>
      </c>
      <c r="H15" s="185" t="s">
        <v>334</v>
      </c>
      <c r="I15" s="185" t="s">
        <v>335</v>
      </c>
      <c r="J15" s="185" t="s">
        <v>336</v>
      </c>
      <c r="K15" s="185" t="s">
        <v>337</v>
      </c>
      <c r="L15" s="185" t="s">
        <v>338</v>
      </c>
      <c r="M15" s="185" t="s">
        <v>338</v>
      </c>
      <c r="N15" s="185" t="s">
        <v>338</v>
      </c>
      <c r="O15" s="185" t="s">
        <v>338</v>
      </c>
    </row>
    <row r="17" spans="2:15">
      <c r="B17" s="50" t="s">
        <v>462</v>
      </c>
      <c r="G17" s="119">
        <v>7023000</v>
      </c>
      <c r="H17" s="119">
        <v>7050000</v>
      </c>
      <c r="I17" s="119">
        <v>8589000</v>
      </c>
      <c r="J17" s="119">
        <v>9021000</v>
      </c>
      <c r="K17" s="119">
        <v>9278000</v>
      </c>
      <c r="L17" s="119">
        <v>17391000</v>
      </c>
      <c r="M17" s="119">
        <v>34131000</v>
      </c>
      <c r="N17" s="119">
        <v>36713000</v>
      </c>
      <c r="O17" s="119">
        <v>36713000</v>
      </c>
    </row>
    <row r="18" spans="2:15">
      <c r="B18" s="50" t="s">
        <v>463</v>
      </c>
      <c r="G18" s="119">
        <v>587000</v>
      </c>
      <c r="H18" s="119">
        <v>226000</v>
      </c>
      <c r="I18" s="119">
        <v>226000</v>
      </c>
      <c r="J18" s="119">
        <v>71000</v>
      </c>
      <c r="K18" s="119">
        <v>87000</v>
      </c>
      <c r="L18" s="119">
        <v>98000</v>
      </c>
      <c r="M18" s="119">
        <v>97000</v>
      </c>
      <c r="N18" s="119">
        <v>96000</v>
      </c>
      <c r="O18" s="159">
        <f>125000-29000</f>
        <v>96000</v>
      </c>
    </row>
    <row r="19" spans="2:15">
      <c r="B19" s="50" t="s">
        <v>514</v>
      </c>
      <c r="G19" s="113">
        <f>G17-G18</f>
        <v>6436000</v>
      </c>
      <c r="H19" s="113">
        <f t="shared" ref="H19:N19" si="0">H17-H18</f>
        <v>6824000</v>
      </c>
      <c r="I19" s="113">
        <f t="shared" si="0"/>
        <v>8363000</v>
      </c>
      <c r="J19" s="113">
        <f t="shared" si="0"/>
        <v>8950000</v>
      </c>
      <c r="K19" s="113">
        <f>K17-K18</f>
        <v>9191000</v>
      </c>
      <c r="L19" s="113">
        <f>L17-L18</f>
        <v>17293000</v>
      </c>
      <c r="M19" s="113">
        <f>M17-M18</f>
        <v>34034000</v>
      </c>
      <c r="N19" s="113">
        <f t="shared" si="0"/>
        <v>36617000</v>
      </c>
      <c r="O19" s="113">
        <f>O17-O18</f>
        <v>36617000</v>
      </c>
    </row>
    <row r="20" spans="2:15">
      <c r="B20" s="50"/>
      <c r="G20" s="52"/>
      <c r="H20" s="52"/>
      <c r="I20" s="52"/>
      <c r="J20" s="52"/>
      <c r="K20" s="52"/>
      <c r="L20" s="52"/>
      <c r="M20" s="52"/>
      <c r="N20" s="52"/>
      <c r="O20" s="52"/>
    </row>
    <row r="21" spans="2:15">
      <c r="B21" s="50" t="s">
        <v>515</v>
      </c>
      <c r="G21" s="52"/>
      <c r="H21" s="52"/>
      <c r="I21" s="112">
        <f>I19-$H$19</f>
        <v>1539000</v>
      </c>
      <c r="J21" s="112">
        <f>J19-$H$19</f>
        <v>2126000</v>
      </c>
      <c r="K21" s="112">
        <f>K19-$H$19</f>
        <v>2367000</v>
      </c>
      <c r="L21" s="188">
        <f>F28</f>
        <v>6863222.222222222</v>
      </c>
      <c r="M21" s="112">
        <f>M19-$H$19</f>
        <v>27210000</v>
      </c>
      <c r="N21" s="112">
        <f>N19-$H$19</f>
        <v>29793000</v>
      </c>
      <c r="O21" s="112">
        <f>O19-$H$19</f>
        <v>29793000</v>
      </c>
    </row>
    <row r="23" spans="2:15">
      <c r="B23" s="3" t="s">
        <v>1104</v>
      </c>
    </row>
    <row r="24" spans="2:15">
      <c r="B24" s="50" t="s">
        <v>1102</v>
      </c>
      <c r="F24" s="113">
        <f>L17-K17</f>
        <v>8113000</v>
      </c>
    </row>
    <row r="25" spans="2:15">
      <c r="B25" s="50" t="s">
        <v>1103</v>
      </c>
      <c r="F25" s="113">
        <f>(5/9)*F24</f>
        <v>4507222.222222222</v>
      </c>
    </row>
    <row r="26" spans="2:15">
      <c r="B26" s="190" t="s">
        <v>556</v>
      </c>
      <c r="F26" s="113">
        <f>K17+F25</f>
        <v>13785222.222222222</v>
      </c>
    </row>
    <row r="27" spans="2:15">
      <c r="B27" s="50" t="s">
        <v>463</v>
      </c>
      <c r="F27" s="41">
        <f>L18</f>
        <v>98000</v>
      </c>
    </row>
    <row r="28" spans="2:15">
      <c r="B28" s="50" t="s">
        <v>525</v>
      </c>
      <c r="F28" s="112">
        <f>F26-H19-F27</f>
        <v>6863222.222222222</v>
      </c>
    </row>
    <row r="31" spans="2:15">
      <c r="B31" s="3"/>
    </row>
    <row r="32" spans="2:15">
      <c r="B32" s="3"/>
    </row>
    <row r="33" spans="2:2">
      <c r="B33" s="164"/>
    </row>
    <row r="34" spans="2:2">
      <c r="B34" s="23"/>
    </row>
    <row r="35" spans="2:2">
      <c r="B35" s="23"/>
    </row>
    <row r="36" spans="2:2">
      <c r="B36" s="58"/>
    </row>
    <row r="37" spans="2:2">
      <c r="B37" s="58"/>
    </row>
    <row r="38" spans="2:2">
      <c r="B38" s="23"/>
    </row>
    <row r="39" spans="2:2">
      <c r="B39" s="164"/>
    </row>
    <row r="40" spans="2:2">
      <c r="B40" s="23"/>
    </row>
    <row r="41" spans="2:2">
      <c r="B41" s="23"/>
    </row>
    <row r="42" spans="2:2">
      <c r="B42" s="58"/>
    </row>
    <row r="43" spans="2:2">
      <c r="B43" s="58"/>
    </row>
    <row r="44" spans="2:2">
      <c r="B44" s="23"/>
    </row>
    <row r="45" spans="2:2">
      <c r="B45" s="164"/>
    </row>
    <row r="46" spans="2:2">
      <c r="B46" s="23"/>
    </row>
    <row r="47" spans="2:2">
      <c r="B47" s="3"/>
    </row>
    <row r="48" spans="2:2">
      <c r="B48" s="3"/>
    </row>
    <row r="49" spans="2:2">
      <c r="B49" s="3"/>
    </row>
    <row r="50" spans="2:2">
      <c r="B50" s="3"/>
    </row>
    <row r="51" spans="2:2">
      <c r="B51" s="164"/>
    </row>
    <row r="52" spans="2:2">
      <c r="B52" s="58"/>
    </row>
    <row r="53" spans="2:2">
      <c r="B53" s="58"/>
    </row>
    <row r="54" spans="2:2">
      <c r="B54" s="58"/>
    </row>
    <row r="55" spans="2:2">
      <c r="B55" s="58"/>
    </row>
    <row r="56" spans="2:2">
      <c r="B56" s="165"/>
    </row>
    <row r="57" spans="2:2">
      <c r="B57" s="58"/>
    </row>
    <row r="58" spans="2:2">
      <c r="B58" s="58"/>
    </row>
    <row r="59" spans="2:2">
      <c r="B59" s="58"/>
    </row>
    <row r="60" spans="2:2">
      <c r="B60" s="23"/>
    </row>
    <row r="61" spans="2:2">
      <c r="B61" s="23"/>
    </row>
    <row r="62" spans="2:2">
      <c r="B62" s="23"/>
    </row>
    <row r="63" spans="2:2">
      <c r="B63" s="164"/>
    </row>
    <row r="64" spans="2:2">
      <c r="B64" s="58"/>
    </row>
    <row r="65" spans="2:2">
      <c r="B65" s="58"/>
    </row>
    <row r="66" spans="2:2">
      <c r="B66" s="58"/>
    </row>
    <row r="67" spans="2:2">
      <c r="B67" s="58"/>
    </row>
    <row r="68" spans="2:2">
      <c r="B68" s="165"/>
    </row>
    <row r="69" spans="2:2">
      <c r="B69" s="58"/>
    </row>
    <row r="70" spans="2:2">
      <c r="B70" s="58"/>
    </row>
    <row r="71" spans="2:2">
      <c r="B71" s="58"/>
    </row>
    <row r="72" spans="2:2">
      <c r="B72" s="23"/>
    </row>
    <row r="73" spans="2:2">
      <c r="B73" s="23"/>
    </row>
    <row r="74" spans="2:2">
      <c r="B74" s="23"/>
    </row>
    <row r="75" spans="2:2">
      <c r="B75" s="164"/>
    </row>
    <row r="76" spans="2:2">
      <c r="B76" s="23"/>
    </row>
  </sheetData>
  <phoneticPr fontId="3" type="noConversion"/>
  <pageMargins left="0.75" right="0.75" top="1" bottom="1" header="0.5" footer="0.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Z150"/>
  <sheetViews>
    <sheetView showGridLines="0" zoomScale="85" zoomScaleNormal="85" workbookViewId="0">
      <pane ySplit="2" topLeftCell="A3" activePane="bottomLeft" state="frozen"/>
      <selection pane="bottomLeft" activeCell="A3" sqref="A3"/>
    </sheetView>
  </sheetViews>
  <sheetFormatPr defaultRowHeight="14.25"/>
  <cols>
    <col min="1" max="1" width="2.5703125" style="903" customWidth="1"/>
    <col min="2" max="2" width="74.5703125" style="904" customWidth="1"/>
    <col min="3" max="3" width="2.5703125" style="904" customWidth="1"/>
    <col min="4" max="4" width="14.5703125" style="904" customWidth="1"/>
    <col min="5" max="5" width="2.5703125" style="905" customWidth="1"/>
    <col min="6" max="6" width="21.42578125" style="906" customWidth="1"/>
    <col min="7" max="14" width="14.85546875" style="905" customWidth="1"/>
    <col min="15" max="15" width="11.42578125" style="905" customWidth="1"/>
    <col min="16" max="16" width="20.7109375" style="905" customWidth="1"/>
    <col min="17" max="18" width="9.140625" style="905"/>
    <col min="19" max="20" width="15" style="905" customWidth="1"/>
    <col min="21" max="21" width="17.85546875" style="905" customWidth="1"/>
    <col min="22" max="22" width="15" style="905" customWidth="1"/>
    <col min="23" max="23" width="18.7109375" style="905" customWidth="1"/>
    <col min="24" max="24" width="15" style="905" customWidth="1"/>
    <col min="25" max="16384" width="9.140625" style="905"/>
  </cols>
  <sheetData>
    <row r="1" spans="1:24" ht="12" customHeight="1"/>
    <row r="2" spans="1:24" s="909" customFormat="1" ht="18">
      <c r="A2" s="907"/>
      <c r="B2" s="908" t="s">
        <v>956</v>
      </c>
      <c r="C2" s="908"/>
      <c r="D2" s="908"/>
      <c r="F2" s="910" t="s">
        <v>177</v>
      </c>
      <c r="G2" s="911" t="s">
        <v>168</v>
      </c>
      <c r="H2" s="911" t="s">
        <v>169</v>
      </c>
      <c r="I2" s="911" t="s">
        <v>170</v>
      </c>
      <c r="J2" s="911" t="s">
        <v>171</v>
      </c>
      <c r="K2" s="911" t="s">
        <v>172</v>
      </c>
      <c r="L2" s="911" t="s">
        <v>173</v>
      </c>
      <c r="M2" s="911" t="s">
        <v>174</v>
      </c>
      <c r="N2" s="911" t="s">
        <v>175</v>
      </c>
      <c r="P2" s="907" t="s">
        <v>438</v>
      </c>
      <c r="S2" s="907" t="s">
        <v>957</v>
      </c>
      <c r="T2" s="907" t="s">
        <v>958</v>
      </c>
      <c r="U2" s="907" t="s">
        <v>959</v>
      </c>
      <c r="V2" s="907" t="s">
        <v>960</v>
      </c>
      <c r="W2" s="907" t="s">
        <v>961</v>
      </c>
      <c r="X2" s="907" t="s">
        <v>962</v>
      </c>
    </row>
    <row r="3" spans="1:24" customFormat="1" ht="12.75">
      <c r="B3" s="50" t="s">
        <v>1020</v>
      </c>
    </row>
    <row r="4" spans="1:24" customFormat="1" ht="12.75">
      <c r="B4" s="50" t="s">
        <v>1099</v>
      </c>
    </row>
    <row r="5" spans="1:24">
      <c r="B5" s="912" t="s">
        <v>1021</v>
      </c>
      <c r="F5" s="913"/>
      <c r="G5" s="903"/>
      <c r="H5" s="903"/>
      <c r="I5" s="903"/>
      <c r="J5" s="903"/>
      <c r="K5" s="903"/>
      <c r="L5" s="903"/>
      <c r="M5" s="903"/>
      <c r="N5" s="903"/>
    </row>
    <row r="6" spans="1:24">
      <c r="B6" s="904" t="s">
        <v>1022</v>
      </c>
      <c r="F6" s="913"/>
      <c r="G6" s="903"/>
      <c r="H6" s="903"/>
      <c r="I6" s="903"/>
      <c r="J6" s="903"/>
      <c r="K6" s="903"/>
      <c r="L6" s="903"/>
      <c r="M6" s="903"/>
      <c r="N6" s="903"/>
    </row>
    <row r="7" spans="1:24">
      <c r="F7" s="913"/>
      <c r="G7" s="903"/>
      <c r="H7" s="903"/>
      <c r="I7" s="903"/>
      <c r="J7" s="903"/>
      <c r="K7" s="903"/>
      <c r="L7" s="903"/>
      <c r="M7" s="903"/>
      <c r="N7" s="903"/>
    </row>
    <row r="8" spans="1:24">
      <c r="B8" s="904" t="s">
        <v>1023</v>
      </c>
      <c r="F8" s="914"/>
      <c r="G8" s="903"/>
      <c r="H8" s="903"/>
      <c r="I8" s="903"/>
      <c r="J8" s="903"/>
      <c r="K8" s="903"/>
      <c r="L8" s="903"/>
      <c r="M8" s="903"/>
      <c r="N8" s="903"/>
    </row>
    <row r="9" spans="1:24">
      <c r="B9" s="904" t="s">
        <v>1111</v>
      </c>
      <c r="F9" s="914"/>
      <c r="G9" s="903"/>
      <c r="H9" s="903"/>
      <c r="I9" s="903"/>
      <c r="J9" s="903"/>
      <c r="K9" s="903"/>
      <c r="L9" s="903"/>
      <c r="M9" s="903"/>
      <c r="N9" s="903"/>
    </row>
    <row r="10" spans="1:24">
      <c r="B10" s="904" t="s">
        <v>1101</v>
      </c>
      <c r="F10" s="914"/>
      <c r="G10" s="903"/>
      <c r="H10" s="903"/>
      <c r="I10" s="903"/>
      <c r="J10" s="903"/>
      <c r="K10" s="903"/>
      <c r="L10" s="903"/>
      <c r="M10" s="903"/>
      <c r="N10" s="903"/>
    </row>
    <row r="11" spans="1:24">
      <c r="F11" s="915"/>
      <c r="G11" s="903"/>
      <c r="H11" s="903"/>
      <c r="I11" s="903"/>
      <c r="J11" s="903"/>
      <c r="K11" s="903"/>
      <c r="L11" s="903"/>
      <c r="M11" s="903"/>
      <c r="N11" s="903"/>
    </row>
    <row r="12" spans="1:24" s="916" customFormat="1" ht="12.75">
      <c r="B12" s="917" t="s">
        <v>963</v>
      </c>
      <c r="C12" s="917"/>
      <c r="D12" s="917"/>
      <c r="F12" s="917"/>
      <c r="G12" s="917"/>
      <c r="H12" s="917"/>
    </row>
    <row r="13" spans="1:24">
      <c r="F13" s="915"/>
      <c r="G13" s="903"/>
      <c r="H13" s="903"/>
      <c r="I13" s="903"/>
      <c r="J13" s="903"/>
      <c r="K13" s="903"/>
      <c r="L13" s="903"/>
      <c r="M13" s="903"/>
      <c r="N13" s="903"/>
    </row>
    <row r="14" spans="1:24">
      <c r="B14" s="904" t="s">
        <v>964</v>
      </c>
      <c r="D14" s="904" t="s">
        <v>965</v>
      </c>
      <c r="F14" s="915"/>
      <c r="G14" s="903"/>
      <c r="H14" s="903"/>
      <c r="I14" s="903"/>
      <c r="J14" s="903"/>
      <c r="K14" s="903"/>
      <c r="L14" s="903"/>
      <c r="M14" s="903"/>
      <c r="N14" s="903"/>
    </row>
    <row r="15" spans="1:24">
      <c r="B15" s="904" t="s">
        <v>966</v>
      </c>
      <c r="D15" s="904" t="s">
        <v>967</v>
      </c>
      <c r="F15" s="915"/>
      <c r="G15" s="903"/>
      <c r="H15" s="903"/>
      <c r="I15" s="903"/>
      <c r="J15" s="903"/>
      <c r="K15" s="903"/>
      <c r="L15" s="903"/>
      <c r="M15" s="903"/>
      <c r="N15" s="903"/>
    </row>
    <row r="16" spans="1:24">
      <c r="B16" s="904" t="s">
        <v>968</v>
      </c>
      <c r="D16" s="904" t="s">
        <v>965</v>
      </c>
      <c r="F16" s="915"/>
      <c r="G16" s="903"/>
      <c r="H16" s="903"/>
      <c r="I16" s="903"/>
      <c r="J16" s="903"/>
      <c r="K16" s="903"/>
      <c r="L16" s="903"/>
      <c r="M16" s="903"/>
      <c r="N16" s="903"/>
    </row>
    <row r="17" spans="2:24">
      <c r="F17" s="915"/>
      <c r="G17" s="903"/>
      <c r="H17" s="903"/>
      <c r="I17" s="903"/>
      <c r="J17" s="903"/>
      <c r="K17" s="903"/>
      <c r="L17" s="903"/>
      <c r="M17" s="903"/>
      <c r="N17" s="903"/>
    </row>
    <row r="18" spans="2:24">
      <c r="B18" s="918" t="s">
        <v>969</v>
      </c>
      <c r="F18" s="915"/>
      <c r="G18" s="903"/>
      <c r="H18" s="903"/>
      <c r="I18" s="903"/>
      <c r="J18" s="903"/>
      <c r="K18" s="903"/>
      <c r="L18" s="903"/>
      <c r="M18" s="903"/>
      <c r="N18" s="903"/>
    </row>
    <row r="19" spans="2:24">
      <c r="B19" s="904" t="s">
        <v>970</v>
      </c>
      <c r="D19" s="903" t="s">
        <v>335</v>
      </c>
      <c r="F19" s="919"/>
      <c r="G19" s="920"/>
      <c r="H19" s="920"/>
      <c r="I19" s="921">
        <f>T19+S19</f>
        <v>0</v>
      </c>
      <c r="J19" s="921">
        <f>U19+V19</f>
        <v>0</v>
      </c>
      <c r="K19" s="921">
        <f>X19+W19</f>
        <v>0</v>
      </c>
      <c r="L19" s="920"/>
      <c r="M19" s="920"/>
      <c r="N19" s="920"/>
      <c r="S19" s="920"/>
      <c r="T19" s="920"/>
      <c r="U19" s="920"/>
      <c r="V19" s="920"/>
      <c r="W19" s="920"/>
      <c r="X19" s="920"/>
    </row>
    <row r="20" spans="2:24">
      <c r="B20" s="904" t="s">
        <v>971</v>
      </c>
      <c r="D20" s="903" t="s">
        <v>336</v>
      </c>
      <c r="F20" s="919"/>
      <c r="G20" s="920"/>
      <c r="H20" s="920"/>
      <c r="I20" s="921">
        <f t="shared" ref="I20:I21" si="0">T20+S20</f>
        <v>0</v>
      </c>
      <c r="J20" s="921">
        <f t="shared" ref="J20:J21" si="1">U20+V20</f>
        <v>0</v>
      </c>
      <c r="K20" s="921">
        <f t="shared" ref="K20" si="2">X20+W20</f>
        <v>0</v>
      </c>
      <c r="L20" s="920"/>
      <c r="M20" s="920"/>
      <c r="N20" s="920"/>
      <c r="S20" s="920"/>
      <c r="T20" s="920"/>
      <c r="U20" s="920"/>
      <c r="V20" s="920"/>
      <c r="W20" s="920"/>
      <c r="X20" s="920"/>
    </row>
    <row r="21" spans="2:24">
      <c r="B21" s="904" t="s">
        <v>972</v>
      </c>
      <c r="D21" s="903" t="s">
        <v>337</v>
      </c>
      <c r="F21" s="919"/>
      <c r="G21" s="920"/>
      <c r="H21" s="920"/>
      <c r="I21" s="921">
        <f t="shared" si="0"/>
        <v>0</v>
      </c>
      <c r="J21" s="921">
        <f t="shared" si="1"/>
        <v>3647899</v>
      </c>
      <c r="K21" s="921">
        <f>X21+W21</f>
        <v>0</v>
      </c>
      <c r="L21" s="920"/>
      <c r="M21" s="920"/>
      <c r="N21" s="920"/>
      <c r="S21" s="920"/>
      <c r="T21" s="920"/>
      <c r="U21" s="920">
        <v>3647899</v>
      </c>
      <c r="V21" s="920"/>
      <c r="W21" s="920"/>
      <c r="X21" s="920"/>
    </row>
    <row r="22" spans="2:24">
      <c r="B22" s="922"/>
      <c r="F22" s="915"/>
      <c r="G22" s="923"/>
      <c r="H22" s="923"/>
      <c r="I22" s="923"/>
      <c r="J22" s="923"/>
      <c r="K22" s="923"/>
      <c r="L22" s="923"/>
      <c r="M22" s="923"/>
      <c r="N22" s="923"/>
    </row>
    <row r="23" spans="2:24" s="916" customFormat="1" ht="12.75">
      <c r="B23" s="917" t="s">
        <v>973</v>
      </c>
      <c r="C23" s="917"/>
      <c r="D23" s="917"/>
      <c r="F23" s="917"/>
      <c r="G23" s="917"/>
      <c r="H23" s="917"/>
    </row>
    <row r="24" spans="2:24">
      <c r="F24" s="915"/>
      <c r="G24" s="903"/>
      <c r="H24" s="903"/>
      <c r="I24" s="903"/>
      <c r="J24" s="903"/>
      <c r="K24" s="903"/>
      <c r="L24" s="903"/>
      <c r="M24" s="903"/>
      <c r="N24" s="903"/>
    </row>
    <row r="25" spans="2:24">
      <c r="B25" s="904" t="s">
        <v>964</v>
      </c>
      <c r="D25" s="904" t="s">
        <v>965</v>
      </c>
      <c r="F25" s="915"/>
      <c r="G25" s="903"/>
      <c r="H25" s="903"/>
      <c r="I25" s="903"/>
      <c r="J25" s="903"/>
      <c r="K25" s="903"/>
      <c r="L25" s="903"/>
      <c r="M25" s="903"/>
      <c r="N25" s="903"/>
    </row>
    <row r="26" spans="2:24">
      <c r="B26" s="904" t="s">
        <v>966</v>
      </c>
      <c r="D26" s="904" t="s">
        <v>965</v>
      </c>
      <c r="F26" s="915"/>
      <c r="G26" s="903"/>
      <c r="H26" s="903"/>
      <c r="I26" s="903"/>
      <c r="J26" s="903"/>
      <c r="K26" s="903"/>
      <c r="L26" s="903"/>
      <c r="M26" s="903"/>
      <c r="N26" s="903"/>
    </row>
    <row r="27" spans="2:24">
      <c r="B27" s="904" t="s">
        <v>968</v>
      </c>
      <c r="D27" s="904" t="s">
        <v>965</v>
      </c>
      <c r="F27" s="915"/>
      <c r="G27" s="903"/>
      <c r="H27" s="903"/>
      <c r="I27" s="903"/>
      <c r="J27" s="903"/>
      <c r="K27" s="903"/>
      <c r="L27" s="903"/>
      <c r="M27" s="903"/>
      <c r="N27" s="903"/>
    </row>
    <row r="28" spans="2:24">
      <c r="F28" s="915"/>
      <c r="G28" s="903"/>
      <c r="H28" s="903"/>
      <c r="I28" s="903"/>
      <c r="J28" s="903"/>
      <c r="K28" s="903"/>
      <c r="L28" s="903"/>
      <c r="M28" s="903"/>
      <c r="N28" s="903"/>
    </row>
    <row r="29" spans="2:24">
      <c r="B29" s="918" t="s">
        <v>969</v>
      </c>
      <c r="F29" s="915"/>
      <c r="G29" s="903"/>
      <c r="H29" s="903"/>
      <c r="I29" s="903"/>
      <c r="J29" s="903"/>
      <c r="K29" s="903"/>
      <c r="L29" s="903"/>
      <c r="M29" s="903"/>
      <c r="N29" s="903"/>
    </row>
    <row r="30" spans="2:24">
      <c r="B30" s="904" t="s">
        <v>970</v>
      </c>
      <c r="D30" s="903" t="s">
        <v>335</v>
      </c>
      <c r="F30" s="919"/>
      <c r="G30" s="920"/>
      <c r="H30" s="920"/>
      <c r="I30" s="921">
        <f>T30+S30</f>
        <v>423000</v>
      </c>
      <c r="J30" s="921">
        <f>U30+V30</f>
        <v>0</v>
      </c>
      <c r="K30" s="921">
        <f>X30+W30</f>
        <v>66000</v>
      </c>
      <c r="L30" s="920"/>
      <c r="M30" s="920"/>
      <c r="N30" s="920"/>
      <c r="S30" s="920">
        <v>378000</v>
      </c>
      <c r="T30" s="1025">
        <v>45000</v>
      </c>
      <c r="U30" s="920"/>
      <c r="V30" s="920"/>
      <c r="W30" s="920"/>
      <c r="X30" s="1025">
        <v>66000</v>
      </c>
    </row>
    <row r="31" spans="2:24">
      <c r="B31" s="904" t="s">
        <v>971</v>
      </c>
      <c r="D31" s="903" t="s">
        <v>336</v>
      </c>
      <c r="F31" s="919"/>
      <c r="G31" s="920"/>
      <c r="H31" s="920"/>
      <c r="I31" s="921">
        <f t="shared" ref="I31:I32" si="3">T31+S31</f>
        <v>459000</v>
      </c>
      <c r="J31" s="921">
        <f t="shared" ref="J31:J32" si="4">U31+V31</f>
        <v>1138000</v>
      </c>
      <c r="K31" s="921">
        <f t="shared" ref="K31" si="5">X31+W31</f>
        <v>0</v>
      </c>
      <c r="L31" s="920"/>
      <c r="M31" s="920"/>
      <c r="N31" s="920"/>
      <c r="S31" s="920">
        <v>459000</v>
      </c>
      <c r="T31" s="920"/>
      <c r="U31" s="920">
        <v>1138000</v>
      </c>
      <c r="V31" s="920"/>
      <c r="W31" s="920"/>
      <c r="X31" s="920"/>
    </row>
    <row r="32" spans="2:24">
      <c r="B32" s="904" t="s">
        <v>972</v>
      </c>
      <c r="D32" s="903" t="s">
        <v>337</v>
      </c>
      <c r="F32" s="919"/>
      <c r="G32" s="920"/>
      <c r="H32" s="920"/>
      <c r="I32" s="921">
        <f t="shared" si="3"/>
        <v>494000</v>
      </c>
      <c r="J32" s="921">
        <f t="shared" si="4"/>
        <v>0</v>
      </c>
      <c r="K32" s="921">
        <f>X32+W32</f>
        <v>0</v>
      </c>
      <c r="L32" s="920"/>
      <c r="M32" s="920"/>
      <c r="N32" s="920"/>
      <c r="S32" s="920">
        <v>494000</v>
      </c>
      <c r="T32" s="920"/>
      <c r="U32" s="920"/>
      <c r="V32" s="920"/>
      <c r="W32" s="920"/>
      <c r="X32" s="920"/>
    </row>
    <row r="33" spans="2:24">
      <c r="B33" s="922"/>
      <c r="F33" s="915"/>
      <c r="G33" s="923"/>
      <c r="H33" s="923"/>
      <c r="I33" s="923"/>
      <c r="J33" s="923"/>
      <c r="K33" s="923"/>
      <c r="L33" s="923"/>
      <c r="M33" s="923"/>
      <c r="N33" s="923"/>
    </row>
    <row r="34" spans="2:24" s="916" customFormat="1" ht="12.75">
      <c r="B34" s="917" t="s">
        <v>974</v>
      </c>
      <c r="C34" s="917"/>
      <c r="D34" s="917"/>
      <c r="F34" s="917"/>
      <c r="G34" s="917"/>
      <c r="H34" s="917"/>
    </row>
    <row r="35" spans="2:24">
      <c r="F35" s="915"/>
      <c r="G35" s="903"/>
      <c r="H35" s="903"/>
      <c r="I35" s="903"/>
      <c r="J35" s="903"/>
      <c r="K35" s="903"/>
      <c r="L35" s="903"/>
      <c r="M35" s="903"/>
      <c r="N35" s="903"/>
    </row>
    <row r="36" spans="2:24">
      <c r="B36" s="904" t="s">
        <v>964</v>
      </c>
      <c r="D36" s="904" t="s">
        <v>965</v>
      </c>
      <c r="F36" s="915"/>
      <c r="G36" s="903"/>
      <c r="H36" s="903"/>
      <c r="I36" s="903"/>
      <c r="J36" s="903"/>
      <c r="K36" s="903"/>
      <c r="L36" s="903"/>
      <c r="M36" s="903"/>
      <c r="N36" s="903"/>
    </row>
    <row r="37" spans="2:24">
      <c r="B37" s="904" t="s">
        <v>966</v>
      </c>
      <c r="D37" s="904" t="s">
        <v>965</v>
      </c>
      <c r="F37" s="915"/>
      <c r="G37" s="903"/>
      <c r="H37" s="903"/>
      <c r="I37" s="903"/>
      <c r="J37" s="903"/>
      <c r="K37" s="903"/>
      <c r="L37" s="903"/>
      <c r="M37" s="903"/>
      <c r="N37" s="903"/>
    </row>
    <row r="38" spans="2:24">
      <c r="B38" s="904" t="s">
        <v>968</v>
      </c>
      <c r="D38" s="904" t="s">
        <v>967</v>
      </c>
      <c r="F38" s="915"/>
      <c r="G38" s="903"/>
      <c r="H38" s="903"/>
      <c r="I38" s="903"/>
      <c r="J38" s="903"/>
      <c r="K38" s="903"/>
      <c r="L38" s="903"/>
      <c r="M38" s="903"/>
      <c r="N38" s="903"/>
    </row>
    <row r="39" spans="2:24">
      <c r="F39" s="915"/>
      <c r="G39" s="903"/>
      <c r="H39" s="903"/>
      <c r="I39" s="903"/>
      <c r="J39" s="903"/>
      <c r="K39" s="903"/>
      <c r="L39" s="903"/>
      <c r="M39" s="903"/>
      <c r="N39" s="903"/>
    </row>
    <row r="40" spans="2:24">
      <c r="B40" s="918" t="s">
        <v>969</v>
      </c>
      <c r="F40" s="915"/>
      <c r="G40" s="903"/>
      <c r="H40" s="903"/>
      <c r="I40" s="903"/>
      <c r="J40" s="903"/>
      <c r="K40" s="903"/>
      <c r="L40" s="903"/>
      <c r="M40" s="903"/>
      <c r="N40" s="903"/>
    </row>
    <row r="41" spans="2:24">
      <c r="B41" s="904" t="s">
        <v>970</v>
      </c>
      <c r="D41" s="903" t="s">
        <v>335</v>
      </c>
      <c r="F41" s="919"/>
      <c r="G41" s="920"/>
      <c r="H41" s="920"/>
      <c r="I41" s="921">
        <f>T41+S41</f>
        <v>0</v>
      </c>
      <c r="J41" s="921">
        <f>U41+V41</f>
        <v>0</v>
      </c>
      <c r="K41" s="921">
        <f>X41+W41</f>
        <v>0</v>
      </c>
      <c r="L41" s="920"/>
      <c r="M41" s="920"/>
      <c r="N41" s="920"/>
      <c r="S41" s="920"/>
      <c r="T41" s="920"/>
      <c r="U41" s="920"/>
      <c r="V41" s="920"/>
      <c r="W41" s="920"/>
      <c r="X41" s="920"/>
    </row>
    <row r="42" spans="2:24">
      <c r="B42" s="904" t="s">
        <v>971</v>
      </c>
      <c r="D42" s="903" t="s">
        <v>336</v>
      </c>
      <c r="F42" s="919"/>
      <c r="G42" s="920"/>
      <c r="H42" s="920"/>
      <c r="I42" s="921">
        <f t="shared" ref="I42:I43" si="6">T42+S42</f>
        <v>0</v>
      </c>
      <c r="J42" s="921">
        <f t="shared" ref="J42:J43" si="7">U42+V42</f>
        <v>0</v>
      </c>
      <c r="K42" s="921">
        <f t="shared" ref="K42" si="8">X42+W42</f>
        <v>0</v>
      </c>
      <c r="L42" s="920"/>
      <c r="M42" s="920"/>
      <c r="N42" s="920">
        <v>103000</v>
      </c>
      <c r="S42" s="920"/>
      <c r="T42" s="920"/>
      <c r="U42" s="920"/>
      <c r="V42" s="920"/>
      <c r="W42" s="920"/>
      <c r="X42" s="920"/>
    </row>
    <row r="43" spans="2:24">
      <c r="B43" s="904" t="s">
        <v>972</v>
      </c>
      <c r="D43" s="903" t="s">
        <v>337</v>
      </c>
      <c r="F43" s="919"/>
      <c r="G43" s="920"/>
      <c r="H43" s="920"/>
      <c r="I43" s="921">
        <f t="shared" si="6"/>
        <v>0</v>
      </c>
      <c r="J43" s="921">
        <f t="shared" si="7"/>
        <v>0</v>
      </c>
      <c r="K43" s="921">
        <f>X43+W43</f>
        <v>0</v>
      </c>
      <c r="L43" s="920"/>
      <c r="M43" s="920"/>
      <c r="N43" s="920"/>
      <c r="S43" s="920"/>
      <c r="T43" s="920"/>
      <c r="U43" s="920"/>
      <c r="V43" s="920"/>
      <c r="W43" s="920"/>
      <c r="X43" s="920"/>
    </row>
    <row r="44" spans="2:24">
      <c r="B44" s="922"/>
      <c r="F44" s="915"/>
      <c r="G44" s="924"/>
      <c r="H44" s="924"/>
      <c r="I44" s="924"/>
      <c r="J44" s="924"/>
      <c r="K44" s="924"/>
      <c r="L44" s="924"/>
      <c r="M44" s="924"/>
      <c r="N44" s="923"/>
    </row>
    <row r="45" spans="2:24" s="916" customFormat="1" ht="12.75">
      <c r="B45" s="917" t="s">
        <v>975</v>
      </c>
      <c r="C45" s="917"/>
      <c r="D45" s="917"/>
      <c r="E45" s="917"/>
      <c r="F45" s="917"/>
    </row>
    <row r="46" spans="2:24">
      <c r="F46" s="915"/>
      <c r="G46" s="903"/>
      <c r="H46" s="903"/>
      <c r="I46" s="903"/>
      <c r="J46" s="903"/>
      <c r="K46" s="903"/>
      <c r="L46" s="903"/>
      <c r="M46" s="903"/>
      <c r="N46" s="903"/>
    </row>
    <row r="47" spans="2:24">
      <c r="B47" s="904" t="s">
        <v>964</v>
      </c>
      <c r="D47" s="904" t="s">
        <v>967</v>
      </c>
      <c r="F47" s="915"/>
      <c r="G47" s="903"/>
      <c r="H47" s="903"/>
      <c r="I47" s="903"/>
      <c r="J47" s="903"/>
      <c r="K47" s="903"/>
      <c r="L47" s="903"/>
      <c r="M47" s="903"/>
      <c r="N47" s="903"/>
    </row>
    <row r="48" spans="2:24">
      <c r="B48" s="904" t="s">
        <v>966</v>
      </c>
      <c r="D48" s="904" t="s">
        <v>965</v>
      </c>
      <c r="F48" s="915"/>
      <c r="G48" s="903"/>
      <c r="H48" s="903"/>
      <c r="I48" s="903"/>
      <c r="J48" s="903"/>
      <c r="K48" s="903"/>
      <c r="L48" s="903"/>
      <c r="M48" s="903"/>
      <c r="N48" s="903"/>
    </row>
    <row r="49" spans="2:26">
      <c r="B49" s="904" t="s">
        <v>968</v>
      </c>
      <c r="D49" s="904" t="s">
        <v>967</v>
      </c>
      <c r="F49" s="915"/>
      <c r="G49" s="903"/>
      <c r="H49" s="903"/>
      <c r="I49" s="903"/>
      <c r="J49" s="903"/>
      <c r="K49" s="903"/>
      <c r="L49" s="903"/>
      <c r="M49" s="903"/>
      <c r="N49" s="903"/>
    </row>
    <row r="50" spans="2:26">
      <c r="F50" s="915"/>
      <c r="G50" s="903"/>
      <c r="H50" s="903"/>
      <c r="I50" s="903"/>
      <c r="J50" s="903"/>
      <c r="K50" s="903"/>
      <c r="L50" s="903"/>
      <c r="M50" s="903"/>
      <c r="N50" s="903"/>
    </row>
    <row r="51" spans="2:26">
      <c r="B51" s="918" t="s">
        <v>976</v>
      </c>
      <c r="F51" s="915"/>
      <c r="G51" s="903"/>
      <c r="H51" s="903"/>
      <c r="I51" s="903"/>
      <c r="J51" s="903"/>
      <c r="K51" s="903"/>
      <c r="L51" s="903"/>
      <c r="M51" s="903"/>
      <c r="N51" s="903"/>
    </row>
    <row r="52" spans="2:26">
      <c r="B52" s="904" t="s">
        <v>970</v>
      </c>
      <c r="D52" s="903" t="s">
        <v>335</v>
      </c>
      <c r="F52" s="919"/>
      <c r="G52" s="920">
        <v>119000</v>
      </c>
      <c r="H52" s="920">
        <v>130000</v>
      </c>
      <c r="I52" s="921">
        <f>T52+S52</f>
        <v>0</v>
      </c>
      <c r="J52" s="921">
        <f>U52+V52</f>
        <v>2006000</v>
      </c>
      <c r="K52" s="921">
        <f>X52+W52</f>
        <v>4095000</v>
      </c>
      <c r="L52" s="920">
        <v>44046</v>
      </c>
      <c r="M52" s="920">
        <v>6592000</v>
      </c>
      <c r="N52" s="920"/>
      <c r="S52" s="920"/>
      <c r="T52" s="920"/>
      <c r="U52" s="920">
        <v>2006000</v>
      </c>
      <c r="V52" s="920"/>
      <c r="W52" s="920">
        <v>4095000</v>
      </c>
      <c r="X52" s="920"/>
    </row>
    <row r="53" spans="2:26">
      <c r="B53" s="904" t="s">
        <v>971</v>
      </c>
      <c r="D53" s="903" t="s">
        <v>336</v>
      </c>
      <c r="F53" s="919"/>
      <c r="G53" s="920">
        <v>116392</v>
      </c>
      <c r="H53" s="920">
        <v>307300</v>
      </c>
      <c r="I53" s="921">
        <f t="shared" ref="I53" si="9">T53+S53</f>
        <v>0</v>
      </c>
      <c r="J53" s="921">
        <f>U53+V53</f>
        <v>0</v>
      </c>
      <c r="K53" s="921">
        <f>X53+W53</f>
        <v>3506307.5553520401</v>
      </c>
      <c r="L53" s="920">
        <v>35346</v>
      </c>
      <c r="M53" s="920">
        <v>5217000</v>
      </c>
      <c r="N53" s="920"/>
      <c r="S53" s="920"/>
      <c r="T53" s="920"/>
      <c r="U53" s="920"/>
      <c r="V53" s="920"/>
      <c r="W53" s="920">
        <v>3506307.5553520401</v>
      </c>
      <c r="X53" s="920"/>
    </row>
    <row r="54" spans="2:26">
      <c r="B54" s="904" t="s">
        <v>972</v>
      </c>
      <c r="D54" s="903" t="s">
        <v>337</v>
      </c>
      <c r="F54" s="919"/>
      <c r="G54" s="920">
        <v>-9612</v>
      </c>
      <c r="H54" s="920"/>
      <c r="I54" s="921">
        <f>T54+S54</f>
        <v>0</v>
      </c>
      <c r="J54" s="921">
        <f>U54+V54</f>
        <v>0</v>
      </c>
      <c r="K54" s="921">
        <f>X54+W54</f>
        <v>0</v>
      </c>
      <c r="L54" s="920">
        <v>28104</v>
      </c>
      <c r="M54" s="920"/>
      <c r="N54" s="920">
        <v>105500</v>
      </c>
      <c r="S54" s="920"/>
      <c r="T54" s="920"/>
      <c r="U54" s="920"/>
      <c r="V54" s="920"/>
      <c r="W54" s="920"/>
      <c r="X54" s="920"/>
    </row>
    <row r="55" spans="2:26">
      <c r="B55" s="922"/>
      <c r="F55" s="915"/>
      <c r="G55" s="923"/>
      <c r="H55" s="923"/>
      <c r="I55" s="924"/>
      <c r="J55" s="924"/>
      <c r="K55" s="924"/>
      <c r="L55" s="923"/>
      <c r="M55" s="923"/>
      <c r="N55" s="923"/>
      <c r="U55" s="924"/>
      <c r="W55" s="923"/>
    </row>
    <row r="56" spans="2:26">
      <c r="B56" s="918" t="s">
        <v>977</v>
      </c>
      <c r="F56" s="915"/>
      <c r="G56" s="923"/>
      <c r="H56" s="923"/>
      <c r="I56" s="923"/>
      <c r="J56" s="923"/>
      <c r="K56" s="923"/>
      <c r="L56" s="923"/>
      <c r="M56" s="923"/>
      <c r="N56" s="923"/>
      <c r="U56" s="923"/>
      <c r="W56" s="923"/>
    </row>
    <row r="57" spans="2:26">
      <c r="B57" s="922" t="s">
        <v>978</v>
      </c>
      <c r="D57" s="903" t="s">
        <v>335</v>
      </c>
      <c r="F57" s="919"/>
      <c r="G57" s="920">
        <v>160000</v>
      </c>
      <c r="H57" s="920">
        <v>62000</v>
      </c>
      <c r="I57" s="921">
        <f>T57+S57</f>
        <v>45000</v>
      </c>
      <c r="J57" s="921">
        <f>U57+V57</f>
        <v>837000</v>
      </c>
      <c r="K57" s="921">
        <f>X57+W57</f>
        <v>1565000</v>
      </c>
      <c r="L57" s="920">
        <v>22421.64</v>
      </c>
      <c r="M57" s="920">
        <v>2721000</v>
      </c>
      <c r="N57" s="920"/>
      <c r="S57" s="920"/>
      <c r="T57" s="920">
        <v>45000</v>
      </c>
      <c r="U57" s="920">
        <v>673000</v>
      </c>
      <c r="V57" s="920">
        <v>164000</v>
      </c>
      <c r="W57" s="920">
        <v>1499000</v>
      </c>
      <c r="X57" s="920">
        <v>66000</v>
      </c>
      <c r="Y57" s="924"/>
      <c r="Z57" s="924"/>
    </row>
    <row r="58" spans="2:26">
      <c r="B58" s="925" t="s">
        <v>979</v>
      </c>
      <c r="D58" s="903" t="s">
        <v>335</v>
      </c>
      <c r="F58" s="919"/>
      <c r="G58" s="920">
        <v>0</v>
      </c>
      <c r="H58" s="920">
        <v>0</v>
      </c>
      <c r="I58" s="921">
        <f>T58+S58</f>
        <v>0</v>
      </c>
      <c r="J58" s="921">
        <f>U58+V58</f>
        <v>0</v>
      </c>
      <c r="K58" s="921">
        <f t="shared" ref="K58" si="10">X58+W58</f>
        <v>0</v>
      </c>
      <c r="L58" s="920">
        <v>28664.94</v>
      </c>
      <c r="M58" s="920">
        <v>0</v>
      </c>
      <c r="N58" s="920"/>
      <c r="S58" s="920"/>
      <c r="T58" s="920"/>
      <c r="U58" s="920">
        <v>0</v>
      </c>
      <c r="V58" s="920"/>
      <c r="W58" s="920">
        <v>0</v>
      </c>
      <c r="X58" s="920"/>
      <c r="Y58" s="924"/>
      <c r="Z58" s="924"/>
    </row>
    <row r="59" spans="2:26">
      <c r="B59" s="904" t="s">
        <v>980</v>
      </c>
      <c r="D59" s="903" t="s">
        <v>335</v>
      </c>
      <c r="F59" s="919"/>
      <c r="G59" s="926">
        <f>G57+G58</f>
        <v>160000</v>
      </c>
      <c r="H59" s="926">
        <f t="shared" ref="H59:N59" si="11">H57+H58</f>
        <v>62000</v>
      </c>
      <c r="I59" s="926">
        <f t="shared" si="11"/>
        <v>45000</v>
      </c>
      <c r="J59" s="926">
        <f t="shared" si="11"/>
        <v>837000</v>
      </c>
      <c r="K59" s="926">
        <f>K57+K58</f>
        <v>1565000</v>
      </c>
      <c r="L59" s="926">
        <f t="shared" si="11"/>
        <v>51086.58</v>
      </c>
      <c r="M59" s="926">
        <f t="shared" si="11"/>
        <v>2721000</v>
      </c>
      <c r="N59" s="926">
        <f t="shared" si="11"/>
        <v>0</v>
      </c>
      <c r="S59" s="919"/>
      <c r="T59" s="919"/>
      <c r="U59" s="919"/>
      <c r="V59" s="919"/>
      <c r="W59" s="919"/>
      <c r="X59" s="919"/>
      <c r="Y59" s="919"/>
      <c r="Z59" s="919"/>
    </row>
    <row r="60" spans="2:26">
      <c r="B60" s="922" t="s">
        <v>981</v>
      </c>
      <c r="D60" s="903" t="s">
        <v>336</v>
      </c>
      <c r="F60" s="919"/>
      <c r="G60" s="920">
        <v>120161</v>
      </c>
      <c r="H60" s="920">
        <v>109750</v>
      </c>
      <c r="I60" s="921">
        <f>T60+S60</f>
        <v>0</v>
      </c>
      <c r="J60" s="921">
        <f t="shared" ref="J60" si="12">U60+V60</f>
        <v>178000</v>
      </c>
      <c r="K60" s="921">
        <f>X60+W60</f>
        <v>1005846</v>
      </c>
      <c r="L60" s="920">
        <v>37697</v>
      </c>
      <c r="M60" s="920">
        <v>2123000</v>
      </c>
      <c r="N60" s="920"/>
      <c r="S60" s="920"/>
      <c r="T60" s="920"/>
      <c r="U60" s="920"/>
      <c r="V60" s="920">
        <v>178000</v>
      </c>
      <c r="W60" s="920">
        <v>1005846</v>
      </c>
      <c r="X60" s="920"/>
      <c r="Y60" s="924"/>
      <c r="Z60" s="924"/>
    </row>
    <row r="61" spans="2:26">
      <c r="B61" s="925" t="s">
        <v>982</v>
      </c>
      <c r="D61" s="903" t="s">
        <v>336</v>
      </c>
      <c r="F61" s="919"/>
      <c r="G61" s="920">
        <v>23192</v>
      </c>
      <c r="H61" s="920">
        <v>21950</v>
      </c>
      <c r="I61" s="921">
        <f>T61+S61</f>
        <v>0</v>
      </c>
      <c r="J61" s="921">
        <f>U61+V61</f>
        <v>0</v>
      </c>
      <c r="K61" s="921">
        <f>X61+W61</f>
        <v>207984</v>
      </c>
      <c r="L61" s="920">
        <v>21723</v>
      </c>
      <c r="M61" s="920">
        <v>0</v>
      </c>
      <c r="N61" s="920"/>
      <c r="S61" s="920"/>
      <c r="T61" s="920"/>
      <c r="U61" s="920"/>
      <c r="V61" s="920"/>
      <c r="W61" s="920">
        <v>207984</v>
      </c>
      <c r="X61" s="920"/>
      <c r="Y61" s="924"/>
      <c r="Z61" s="924"/>
    </row>
    <row r="62" spans="2:26">
      <c r="B62" s="904" t="s">
        <v>983</v>
      </c>
      <c r="D62" s="903" t="s">
        <v>336</v>
      </c>
      <c r="F62" s="919"/>
      <c r="G62" s="926">
        <f>G60+G61</f>
        <v>143353</v>
      </c>
      <c r="H62" s="926">
        <f t="shared" ref="H62:N62" si="13">H60+H61</f>
        <v>131700</v>
      </c>
      <c r="I62" s="926">
        <f t="shared" si="13"/>
        <v>0</v>
      </c>
      <c r="J62" s="926">
        <f t="shared" si="13"/>
        <v>178000</v>
      </c>
      <c r="K62" s="926">
        <f>K60+K61</f>
        <v>1213830</v>
      </c>
      <c r="L62" s="926">
        <f t="shared" si="13"/>
        <v>59420</v>
      </c>
      <c r="M62" s="926">
        <f t="shared" si="13"/>
        <v>2123000</v>
      </c>
      <c r="N62" s="926">
        <f t="shared" si="13"/>
        <v>0</v>
      </c>
      <c r="S62" s="919"/>
      <c r="T62" s="919"/>
      <c r="U62" s="919"/>
      <c r="V62" s="919"/>
      <c r="W62" s="919"/>
      <c r="X62" s="919"/>
      <c r="Y62" s="919"/>
      <c r="Z62" s="919"/>
    </row>
    <row r="63" spans="2:26">
      <c r="B63" s="922" t="s">
        <v>984</v>
      </c>
      <c r="D63" s="903" t="s">
        <v>337</v>
      </c>
      <c r="F63" s="919"/>
      <c r="G63" s="920">
        <v>53495</v>
      </c>
      <c r="H63" s="920">
        <v>0</v>
      </c>
      <c r="I63" s="921">
        <f>T63+S63</f>
        <v>0</v>
      </c>
      <c r="J63" s="921">
        <f>U63+V63</f>
        <v>0</v>
      </c>
      <c r="K63" s="921">
        <f>X63+W63</f>
        <v>859130</v>
      </c>
      <c r="L63" s="920">
        <v>17802</v>
      </c>
      <c r="M63" s="920">
        <v>1877165</v>
      </c>
      <c r="N63" s="920">
        <v>58718</v>
      </c>
      <c r="S63" s="920"/>
      <c r="T63" s="920"/>
      <c r="U63" s="920"/>
      <c r="V63" s="920"/>
      <c r="W63" s="920">
        <v>859130</v>
      </c>
      <c r="X63" s="920"/>
      <c r="Y63" s="924"/>
      <c r="Z63" s="924"/>
    </row>
    <row r="64" spans="2:26">
      <c r="B64" s="925" t="s">
        <v>985</v>
      </c>
      <c r="D64" s="903" t="s">
        <v>337</v>
      </c>
      <c r="F64" s="919"/>
      <c r="G64" s="920">
        <v>8870</v>
      </c>
      <c r="H64" s="920">
        <v>0</v>
      </c>
      <c r="I64" s="921">
        <f>T64+S64</f>
        <v>0</v>
      </c>
      <c r="J64" s="921">
        <f>U64+V64</f>
        <v>0</v>
      </c>
      <c r="K64" s="921">
        <f>X64+W64</f>
        <v>151893</v>
      </c>
      <c r="L64" s="920">
        <v>20829</v>
      </c>
      <c r="M64" s="920">
        <v>511183</v>
      </c>
      <c r="N64" s="920">
        <v>4582</v>
      </c>
      <c r="S64" s="920"/>
      <c r="T64" s="920"/>
      <c r="U64" s="920"/>
      <c r="V64" s="920"/>
      <c r="W64" s="920">
        <v>151893</v>
      </c>
      <c r="X64" s="920"/>
      <c r="Y64" s="924"/>
      <c r="Z64" s="924"/>
    </row>
    <row r="65" spans="2:26">
      <c r="B65" s="904" t="s">
        <v>986</v>
      </c>
      <c r="D65" s="903" t="s">
        <v>337</v>
      </c>
      <c r="F65" s="919"/>
      <c r="G65" s="926">
        <f>G63+G64</f>
        <v>62365</v>
      </c>
      <c r="H65" s="926">
        <f t="shared" ref="H65:N65" si="14">H63+H64</f>
        <v>0</v>
      </c>
      <c r="I65" s="926">
        <f t="shared" si="14"/>
        <v>0</v>
      </c>
      <c r="J65" s="926">
        <f t="shared" si="14"/>
        <v>0</v>
      </c>
      <c r="K65" s="926">
        <f>K63+K64</f>
        <v>1011023</v>
      </c>
      <c r="L65" s="926">
        <f t="shared" si="14"/>
        <v>38631</v>
      </c>
      <c r="M65" s="926">
        <f t="shared" si="14"/>
        <v>2388348</v>
      </c>
      <c r="N65" s="926">
        <f t="shared" si="14"/>
        <v>63300</v>
      </c>
      <c r="S65" s="924"/>
      <c r="T65" s="924"/>
      <c r="U65" s="924"/>
      <c r="V65" s="924"/>
      <c r="W65" s="924"/>
      <c r="X65" s="924"/>
      <c r="Y65" s="919"/>
      <c r="Z65" s="919"/>
    </row>
    <row r="66" spans="2:26">
      <c r="F66" s="913"/>
      <c r="G66" s="903"/>
      <c r="H66" s="903"/>
      <c r="I66" s="903"/>
      <c r="J66" s="903"/>
      <c r="K66" s="903"/>
      <c r="L66" s="903"/>
      <c r="M66" s="903"/>
      <c r="N66" s="903"/>
    </row>
    <row r="67" spans="2:26" s="916" customFormat="1" ht="12.75">
      <c r="B67" s="917" t="s">
        <v>1073</v>
      </c>
      <c r="C67" s="917"/>
      <c r="D67" s="917"/>
      <c r="F67" s="929"/>
    </row>
    <row r="68" spans="2:26">
      <c r="B68" s="930" t="s">
        <v>1024</v>
      </c>
      <c r="F68" s="913"/>
      <c r="G68" s="903"/>
      <c r="H68" s="903"/>
      <c r="I68" s="903"/>
      <c r="J68" s="903"/>
      <c r="K68" s="903"/>
      <c r="L68" s="903"/>
      <c r="M68" s="903"/>
      <c r="N68" s="903"/>
    </row>
    <row r="69" spans="2:26">
      <c r="B69" s="930"/>
      <c r="F69" s="913"/>
      <c r="G69" s="903"/>
      <c r="H69" s="903"/>
      <c r="I69" s="903"/>
      <c r="J69" s="903"/>
      <c r="K69" s="903"/>
      <c r="L69" s="903"/>
      <c r="M69" s="903"/>
      <c r="N69" s="903"/>
    </row>
    <row r="70" spans="2:26">
      <c r="B70" s="904" t="s">
        <v>964</v>
      </c>
      <c r="D70" s="904" t="s">
        <v>967</v>
      </c>
      <c r="F70" s="913"/>
      <c r="G70" s="903"/>
      <c r="H70" s="903"/>
      <c r="I70" s="903"/>
      <c r="J70" s="903"/>
      <c r="K70" s="903"/>
      <c r="L70" s="903"/>
      <c r="M70" s="903"/>
      <c r="N70" s="903"/>
    </row>
    <row r="71" spans="2:26">
      <c r="B71" s="904" t="s">
        <v>966</v>
      </c>
      <c r="D71" s="904" t="s">
        <v>967</v>
      </c>
      <c r="F71" s="913"/>
      <c r="G71" s="903"/>
      <c r="H71" s="903"/>
      <c r="I71" s="903"/>
      <c r="J71" s="903"/>
      <c r="K71" s="903"/>
      <c r="L71" s="903"/>
      <c r="M71" s="903"/>
      <c r="N71" s="903"/>
    </row>
    <row r="72" spans="2:26">
      <c r="B72" s="904" t="s">
        <v>968</v>
      </c>
      <c r="D72" s="904" t="s">
        <v>967</v>
      </c>
      <c r="F72" s="913"/>
      <c r="G72" s="903"/>
      <c r="H72" s="903"/>
      <c r="I72" s="903"/>
      <c r="J72" s="903"/>
      <c r="K72" s="903"/>
      <c r="L72" s="903"/>
      <c r="M72" s="903"/>
      <c r="N72" s="903"/>
    </row>
    <row r="73" spans="2:26">
      <c r="F73" s="913"/>
      <c r="G73" s="903"/>
      <c r="H73" s="903"/>
      <c r="I73" s="903"/>
      <c r="J73" s="903"/>
      <c r="K73" s="903"/>
      <c r="L73" s="903"/>
      <c r="M73" s="903"/>
      <c r="N73" s="903"/>
    </row>
    <row r="74" spans="2:26">
      <c r="B74" s="918" t="s">
        <v>976</v>
      </c>
      <c r="F74" s="915"/>
      <c r="G74" s="903"/>
      <c r="H74" s="903"/>
      <c r="I74" s="903"/>
      <c r="J74" s="903"/>
      <c r="K74" s="903"/>
      <c r="L74" s="903"/>
      <c r="M74" s="903"/>
      <c r="N74" s="903"/>
    </row>
    <row r="75" spans="2:26">
      <c r="B75" s="904" t="s">
        <v>987</v>
      </c>
      <c r="D75" s="903" t="s">
        <v>335</v>
      </c>
      <c r="F75" s="919"/>
      <c r="G75" s="920"/>
      <c r="H75" s="920"/>
      <c r="I75" s="921">
        <f>T75+S75</f>
        <v>0</v>
      </c>
      <c r="J75" s="921">
        <f>U75+V75</f>
        <v>0</v>
      </c>
      <c r="K75" s="921">
        <f>X75+W75</f>
        <v>0</v>
      </c>
      <c r="L75" s="920"/>
      <c r="M75" s="920"/>
      <c r="N75" s="921">
        <f>0.5%*N90</f>
        <v>182858.68439422306</v>
      </c>
      <c r="P75" s="930"/>
      <c r="S75" s="920"/>
      <c r="T75" s="920"/>
      <c r="U75" s="920"/>
      <c r="V75" s="920"/>
      <c r="W75" s="920"/>
      <c r="X75" s="920"/>
    </row>
    <row r="76" spans="2:26">
      <c r="B76" s="904" t="s">
        <v>988</v>
      </c>
      <c r="D76" s="903" t="s">
        <v>336</v>
      </c>
      <c r="F76" s="919"/>
      <c r="G76" s="920"/>
      <c r="H76" s="920"/>
      <c r="I76" s="921">
        <f t="shared" ref="I76:I77" si="15">T76+S76</f>
        <v>0</v>
      </c>
      <c r="J76" s="921">
        <f t="shared" ref="J76:J77" si="16">U76+V76</f>
        <v>0</v>
      </c>
      <c r="K76" s="921">
        <f t="shared" ref="K76" si="17">X76+W76</f>
        <v>0</v>
      </c>
      <c r="L76" s="920"/>
      <c r="M76" s="920"/>
      <c r="N76" s="920"/>
      <c r="S76" s="920"/>
      <c r="T76" s="920"/>
      <c r="U76" s="920"/>
      <c r="V76" s="920"/>
      <c r="W76" s="920"/>
      <c r="X76" s="920"/>
    </row>
    <row r="77" spans="2:26">
      <c r="B77" s="904" t="s">
        <v>989</v>
      </c>
      <c r="D77" s="903" t="s">
        <v>337</v>
      </c>
      <c r="F77" s="919"/>
      <c r="G77" s="920"/>
      <c r="H77" s="920">
        <v>1000</v>
      </c>
      <c r="I77" s="921">
        <f t="shared" si="15"/>
        <v>0</v>
      </c>
      <c r="J77" s="921">
        <f t="shared" si="16"/>
        <v>0</v>
      </c>
      <c r="K77" s="921">
        <f>X77+W77</f>
        <v>1905310</v>
      </c>
      <c r="L77" s="920"/>
      <c r="M77" s="920">
        <v>2127868</v>
      </c>
      <c r="N77" s="920"/>
      <c r="S77" s="920"/>
      <c r="T77" s="920"/>
      <c r="U77" s="920"/>
      <c r="V77" s="920"/>
      <c r="W77" s="920">
        <v>1905310</v>
      </c>
      <c r="X77" s="920"/>
    </row>
    <row r="78" spans="2:26">
      <c r="B78" s="922"/>
      <c r="F78" s="915"/>
      <c r="G78" s="923"/>
      <c r="H78" s="923"/>
      <c r="I78" s="923"/>
      <c r="J78" s="923"/>
      <c r="K78" s="923"/>
      <c r="L78" s="923"/>
      <c r="M78" s="923"/>
      <c r="N78" s="923"/>
    </row>
    <row r="79" spans="2:26">
      <c r="B79" s="918" t="s">
        <v>977</v>
      </c>
      <c r="F79" s="915"/>
      <c r="G79" s="923"/>
      <c r="H79" s="923"/>
      <c r="I79" s="923"/>
      <c r="J79" s="923"/>
      <c r="K79" s="923"/>
      <c r="L79" s="923"/>
      <c r="M79" s="923"/>
      <c r="N79" s="923"/>
    </row>
    <row r="80" spans="2:26">
      <c r="B80" s="904" t="s">
        <v>987</v>
      </c>
      <c r="D80" s="903" t="s">
        <v>335</v>
      </c>
      <c r="F80" s="919"/>
      <c r="G80" s="920"/>
      <c r="H80" s="920"/>
      <c r="I80" s="921">
        <f>T80+S80</f>
        <v>0</v>
      </c>
      <c r="J80" s="921">
        <f>U80+V80</f>
        <v>0</v>
      </c>
      <c r="K80" s="921">
        <f>X80+W80</f>
        <v>0</v>
      </c>
      <c r="L80" s="920"/>
      <c r="M80" s="920"/>
      <c r="N80" s="921">
        <f>0.5%*N95</f>
        <v>72833.819896062705</v>
      </c>
      <c r="P80" s="930"/>
      <c r="S80" s="920"/>
      <c r="T80" s="920"/>
      <c r="U80" s="920"/>
      <c r="V80" s="920"/>
      <c r="W80" s="920"/>
      <c r="X80" s="920"/>
    </row>
    <row r="81" spans="2:24">
      <c r="B81" s="904" t="s">
        <v>988</v>
      </c>
      <c r="D81" s="903" t="s">
        <v>336</v>
      </c>
      <c r="F81" s="919"/>
      <c r="G81" s="920"/>
      <c r="H81" s="920"/>
      <c r="I81" s="921">
        <f t="shared" ref="I81:I82" si="18">T81+S81</f>
        <v>0</v>
      </c>
      <c r="J81" s="921">
        <f t="shared" ref="J81:J82" si="19">U81+V81</f>
        <v>0</v>
      </c>
      <c r="K81" s="921">
        <f t="shared" ref="K81" si="20">X81+W81</f>
        <v>0</v>
      </c>
      <c r="L81" s="920"/>
      <c r="M81" s="920"/>
      <c r="N81" s="920"/>
      <c r="S81" s="920"/>
      <c r="T81" s="920"/>
      <c r="U81" s="920"/>
      <c r="V81" s="920"/>
      <c r="W81" s="920"/>
      <c r="X81" s="920"/>
    </row>
    <row r="82" spans="2:24">
      <c r="B82" s="904" t="s">
        <v>989</v>
      </c>
      <c r="D82" s="903" t="s">
        <v>337</v>
      </c>
      <c r="F82" s="919"/>
      <c r="G82" s="920"/>
      <c r="H82" s="920">
        <v>0</v>
      </c>
      <c r="I82" s="921">
        <f t="shared" si="18"/>
        <v>0</v>
      </c>
      <c r="J82" s="921">
        <f t="shared" si="19"/>
        <v>0</v>
      </c>
      <c r="K82" s="921">
        <f>X82+W82</f>
        <v>0</v>
      </c>
      <c r="L82" s="920"/>
      <c r="M82" s="920"/>
      <c r="N82" s="920"/>
      <c r="S82" s="920"/>
      <c r="T82" s="920"/>
      <c r="U82" s="920"/>
      <c r="V82" s="920"/>
      <c r="W82" s="920"/>
      <c r="X82" s="920"/>
    </row>
    <row r="83" spans="2:24">
      <c r="F83" s="913"/>
      <c r="G83" s="903"/>
      <c r="H83" s="903"/>
      <c r="I83" s="903"/>
      <c r="J83" s="903"/>
      <c r="K83" s="903"/>
      <c r="L83" s="903"/>
      <c r="M83" s="903"/>
      <c r="N83" s="903"/>
    </row>
    <row r="84" spans="2:24" s="916" customFormat="1" ht="12.75">
      <c r="B84" s="917" t="s">
        <v>990</v>
      </c>
      <c r="C84" s="917"/>
      <c r="D84" s="917"/>
      <c r="F84" s="931"/>
      <c r="G84" s="932"/>
      <c r="H84" s="932"/>
      <c r="I84" s="932"/>
      <c r="J84" s="932"/>
      <c r="K84" s="932"/>
      <c r="L84" s="932"/>
      <c r="M84" s="932"/>
      <c r="N84" s="932"/>
    </row>
    <row r="85" spans="2:24">
      <c r="F85" s="933"/>
      <c r="G85" s="934"/>
      <c r="H85" s="934"/>
      <c r="I85" s="934"/>
      <c r="J85" s="934"/>
      <c r="K85" s="934"/>
      <c r="L85" s="934"/>
      <c r="M85" s="934"/>
      <c r="N85" s="934"/>
    </row>
    <row r="86" spans="2:24">
      <c r="B86" s="904">
        <v>2010</v>
      </c>
      <c r="F86" s="933"/>
      <c r="G86" s="934"/>
      <c r="H86" s="934"/>
      <c r="I86" s="934"/>
      <c r="J86" s="934"/>
      <c r="K86" s="934"/>
      <c r="L86" s="934"/>
      <c r="M86" s="934"/>
      <c r="N86" s="934"/>
      <c r="P86" s="935" t="s">
        <v>991</v>
      </c>
    </row>
    <row r="87" spans="2:24">
      <c r="B87" s="936" t="s">
        <v>976</v>
      </c>
      <c r="F87" s="933"/>
      <c r="G87" s="934"/>
      <c r="H87" s="934"/>
      <c r="I87" s="934"/>
      <c r="J87" s="934"/>
      <c r="K87" s="934"/>
      <c r="L87" s="934"/>
      <c r="M87" s="934"/>
      <c r="N87" s="934"/>
    </row>
    <row r="88" spans="2:24">
      <c r="B88" s="937" t="s">
        <v>992</v>
      </c>
      <c r="D88" s="903" t="s">
        <v>335</v>
      </c>
      <c r="F88" s="938">
        <f>SUM(G88:N88)</f>
        <v>1433837882.3414092</v>
      </c>
      <c r="G88" s="939"/>
      <c r="H88" s="939"/>
      <c r="I88" s="939">
        <v>26619797.719999999</v>
      </c>
      <c r="J88" s="939">
        <v>670417268.65051699</v>
      </c>
      <c r="K88" s="1026">
        <v>701920627.31632304</v>
      </c>
      <c r="L88" s="939"/>
      <c r="M88" s="939"/>
      <c r="N88" s="939">
        <v>34880188.654569201</v>
      </c>
      <c r="P88" s="928"/>
    </row>
    <row r="89" spans="2:24">
      <c r="B89" s="937" t="s">
        <v>993</v>
      </c>
      <c r="D89" s="903" t="s">
        <v>335</v>
      </c>
      <c r="F89" s="938">
        <f>SUM(G89:N89)</f>
        <v>150980913.49231184</v>
      </c>
      <c r="G89" s="939"/>
      <c r="H89" s="939"/>
      <c r="I89" s="939">
        <v>2167066.73</v>
      </c>
      <c r="J89" s="939">
        <v>82654974.127443403</v>
      </c>
      <c r="K89" s="1026">
        <v>64467324.410593003</v>
      </c>
      <c r="L89" s="939"/>
      <c r="M89" s="939"/>
      <c r="N89" s="939">
        <v>1691548.2242754099</v>
      </c>
      <c r="P89" s="928"/>
    </row>
    <row r="90" spans="2:24">
      <c r="B90" s="940" t="s">
        <v>994</v>
      </c>
      <c r="D90" s="903" t="s">
        <v>335</v>
      </c>
      <c r="F90" s="938">
        <f>SUM(G90:N90)</f>
        <v>1584818795.8337209</v>
      </c>
      <c r="G90" s="938">
        <f t="shared" ref="G90:N90" si="21">SUM(G88:G89)</f>
        <v>0</v>
      </c>
      <c r="H90" s="938">
        <f t="shared" si="21"/>
        <v>0</v>
      </c>
      <c r="I90" s="938">
        <f t="shared" si="21"/>
        <v>28786864.449999999</v>
      </c>
      <c r="J90" s="938">
        <f t="shared" si="21"/>
        <v>753072242.77796042</v>
      </c>
      <c r="K90" s="938">
        <f t="shared" si="21"/>
        <v>766387951.72691607</v>
      </c>
      <c r="L90" s="938">
        <f t="shared" si="21"/>
        <v>0</v>
      </c>
      <c r="M90" s="938">
        <f t="shared" si="21"/>
        <v>0</v>
      </c>
      <c r="N90" s="938">
        <f t="shared" si="21"/>
        <v>36571736.878844611</v>
      </c>
      <c r="P90" s="928"/>
    </row>
    <row r="91" spans="2:24">
      <c r="B91" s="936"/>
      <c r="F91" s="933"/>
      <c r="G91" s="934"/>
      <c r="H91" s="934"/>
      <c r="I91" s="934"/>
      <c r="J91" s="934"/>
      <c r="K91" s="934"/>
      <c r="L91" s="934"/>
      <c r="M91" s="934"/>
      <c r="N91" s="934"/>
      <c r="P91" s="928"/>
    </row>
    <row r="92" spans="2:24">
      <c r="B92" s="936" t="s">
        <v>977</v>
      </c>
      <c r="F92" s="933"/>
      <c r="G92" s="934"/>
      <c r="H92" s="934"/>
      <c r="I92" s="934"/>
      <c r="J92" s="934"/>
      <c r="K92" s="934"/>
      <c r="L92" s="934"/>
      <c r="M92" s="934"/>
      <c r="N92" s="934"/>
      <c r="P92" s="928"/>
    </row>
    <row r="93" spans="2:24">
      <c r="B93" s="937" t="s">
        <v>992</v>
      </c>
      <c r="D93" s="903" t="s">
        <v>335</v>
      </c>
      <c r="F93" s="938">
        <f>SUM(G93:N93)</f>
        <v>513023970.8031438</v>
      </c>
      <c r="G93" s="939"/>
      <c r="H93" s="939"/>
      <c r="I93" s="1025">
        <f>T93+S93</f>
        <v>42560365.516598105</v>
      </c>
      <c r="J93" s="1025">
        <f>U93+V93</f>
        <v>218270484.3766703</v>
      </c>
      <c r="K93" s="1025">
        <f>X93+W93</f>
        <v>238454441.167153</v>
      </c>
      <c r="L93" s="939"/>
      <c r="M93" s="939"/>
      <c r="N93" s="939">
        <v>13738679.7427224</v>
      </c>
      <c r="P93" s="928"/>
      <c r="S93" s="1025">
        <v>19890953.550000001</v>
      </c>
      <c r="T93" s="1025">
        <v>22669411.966598101</v>
      </c>
      <c r="U93" s="1025">
        <v>200795499.338337</v>
      </c>
      <c r="V93" s="1025">
        <v>17474985.038333301</v>
      </c>
      <c r="W93" s="1025">
        <v>232067856.33715299</v>
      </c>
      <c r="X93" s="1025">
        <v>6386584.8300000001</v>
      </c>
    </row>
    <row r="94" spans="2:24">
      <c r="B94" s="937" t="s">
        <v>993</v>
      </c>
      <c r="D94" s="903" t="s">
        <v>335</v>
      </c>
      <c r="F94" s="938">
        <f>SUM(G94:N94)</f>
        <v>116396207.69331972</v>
      </c>
      <c r="G94" s="939"/>
      <c r="H94" s="939"/>
      <c r="I94" s="1025">
        <f t="shared" ref="I94" si="22">T94+S94</f>
        <v>11623227.804853581</v>
      </c>
      <c r="J94" s="1025">
        <f t="shared" ref="J94" si="23">U94+V94</f>
        <v>46201617.45597703</v>
      </c>
      <c r="K94" s="1025">
        <f t="shared" ref="K94" si="24">X94+W94</f>
        <v>57743278.195998959</v>
      </c>
      <c r="L94" s="939"/>
      <c r="M94" s="939"/>
      <c r="N94" s="939">
        <v>828084.23649013997</v>
      </c>
      <c r="P94" s="928"/>
      <c r="S94" s="1025">
        <v>6249659.021892</v>
      </c>
      <c r="T94" s="1025">
        <v>5373568.78296158</v>
      </c>
      <c r="U94" s="1025">
        <v>39403202.117064901</v>
      </c>
      <c r="V94" s="1025">
        <v>6798415.3389121303</v>
      </c>
      <c r="W94" s="1025">
        <v>56133842.82</v>
      </c>
      <c r="X94" s="1025">
        <v>1609435.3759989601</v>
      </c>
    </row>
    <row r="95" spans="2:24">
      <c r="B95" s="940" t="s">
        <v>995</v>
      </c>
      <c r="D95" s="903" t="s">
        <v>335</v>
      </c>
      <c r="F95" s="938">
        <f>SUM(G95:N95)</f>
        <v>629420178.49646354</v>
      </c>
      <c r="G95" s="938">
        <f t="shared" ref="G95:N95" si="25">SUM(G93:G94)</f>
        <v>0</v>
      </c>
      <c r="H95" s="938">
        <f t="shared" si="25"/>
        <v>0</v>
      </c>
      <c r="I95" s="938">
        <f t="shared" si="25"/>
        <v>54183593.321451686</v>
      </c>
      <c r="J95" s="938">
        <f t="shared" si="25"/>
        <v>264472101.83264732</v>
      </c>
      <c r="K95" s="938">
        <f t="shared" si="25"/>
        <v>296197719.36315197</v>
      </c>
      <c r="L95" s="938">
        <f t="shared" si="25"/>
        <v>0</v>
      </c>
      <c r="M95" s="938">
        <f t="shared" si="25"/>
        <v>0</v>
      </c>
      <c r="N95" s="938">
        <f t="shared" si="25"/>
        <v>14566763.979212539</v>
      </c>
      <c r="P95" s="928"/>
    </row>
    <row r="96" spans="2:24">
      <c r="B96" s="936"/>
      <c r="F96" s="933"/>
      <c r="G96" s="934"/>
      <c r="H96" s="934"/>
      <c r="I96" s="934"/>
      <c r="J96" s="934"/>
      <c r="K96" s="934"/>
      <c r="L96" s="934"/>
      <c r="M96" s="934"/>
      <c r="N96" s="934"/>
    </row>
    <row r="97" spans="2:22">
      <c r="B97" s="904">
        <v>2011</v>
      </c>
      <c r="F97" s="933"/>
      <c r="G97" s="934"/>
      <c r="H97" s="934"/>
      <c r="I97" s="934"/>
      <c r="J97" s="934"/>
      <c r="K97" s="934"/>
      <c r="L97" s="934"/>
      <c r="M97" s="934"/>
      <c r="N97" s="934"/>
    </row>
    <row r="98" spans="2:22">
      <c r="B98" s="936" t="s">
        <v>976</v>
      </c>
      <c r="F98" s="933"/>
      <c r="G98" s="934"/>
      <c r="H98" s="934"/>
      <c r="I98" s="934"/>
      <c r="J98" s="934"/>
      <c r="K98" s="934"/>
      <c r="L98" s="934"/>
      <c r="M98" s="934"/>
      <c r="N98" s="934"/>
    </row>
    <row r="99" spans="2:22">
      <c r="B99" s="937" t="s">
        <v>992</v>
      </c>
      <c r="D99" s="903" t="s">
        <v>336</v>
      </c>
      <c r="F99" s="938">
        <f>SUM(G99:N99)</f>
        <v>792528632.60155559</v>
      </c>
      <c r="G99" s="939"/>
      <c r="H99" s="939"/>
      <c r="I99" s="939">
        <v>28252014.067827143</v>
      </c>
      <c r="J99" s="939">
        <v>725943680.46662831</v>
      </c>
      <c r="K99" s="939"/>
      <c r="L99" s="939"/>
      <c r="M99" s="939"/>
      <c r="N99" s="939">
        <v>38332938.067100145</v>
      </c>
    </row>
    <row r="100" spans="2:22">
      <c r="B100" s="937" t="s">
        <v>993</v>
      </c>
      <c r="D100" s="903" t="s">
        <v>336</v>
      </c>
      <c r="F100" s="938">
        <f>SUM(G100:N100)</f>
        <v>94621084.238296211</v>
      </c>
      <c r="G100" s="939"/>
      <c r="H100" s="939"/>
      <c r="I100" s="939">
        <v>2305618.1</v>
      </c>
      <c r="J100" s="939">
        <v>90417084.620814413</v>
      </c>
      <c r="K100" s="939"/>
      <c r="L100" s="939"/>
      <c r="M100" s="939"/>
      <c r="N100" s="939">
        <v>1898381.517481806</v>
      </c>
    </row>
    <row r="101" spans="2:22">
      <c r="B101" s="940" t="s">
        <v>996</v>
      </c>
      <c r="D101" s="903" t="s">
        <v>336</v>
      </c>
      <c r="F101" s="938">
        <f>SUM(G101:N101)</f>
        <v>887149716.83985186</v>
      </c>
      <c r="G101" s="938">
        <f t="shared" ref="G101:N101" si="26">SUM(G99:G100)</f>
        <v>0</v>
      </c>
      <c r="H101" s="938">
        <f t="shared" si="26"/>
        <v>0</v>
      </c>
      <c r="I101" s="938">
        <f t="shared" si="26"/>
        <v>30557632.167827144</v>
      </c>
      <c r="J101" s="938">
        <f t="shared" si="26"/>
        <v>816360765.08744276</v>
      </c>
      <c r="K101" s="938">
        <f t="shared" si="26"/>
        <v>0</v>
      </c>
      <c r="L101" s="938">
        <f t="shared" si="26"/>
        <v>0</v>
      </c>
      <c r="M101" s="938">
        <f t="shared" si="26"/>
        <v>0</v>
      </c>
      <c r="N101" s="938">
        <f t="shared" si="26"/>
        <v>40231319.584581949</v>
      </c>
    </row>
    <row r="102" spans="2:22">
      <c r="F102" s="933"/>
      <c r="G102" s="934"/>
      <c r="H102" s="934"/>
      <c r="I102" s="934"/>
      <c r="J102" s="934"/>
      <c r="K102" s="934"/>
      <c r="L102" s="934"/>
      <c r="M102" s="934"/>
      <c r="N102" s="934"/>
    </row>
    <row r="103" spans="2:22">
      <c r="B103" s="936" t="s">
        <v>977</v>
      </c>
      <c r="F103" s="933"/>
      <c r="G103" s="934"/>
      <c r="H103" s="934"/>
      <c r="I103" s="934"/>
      <c r="J103" s="934"/>
      <c r="K103" s="934"/>
      <c r="L103" s="934"/>
      <c r="M103" s="934"/>
      <c r="N103" s="934"/>
    </row>
    <row r="104" spans="2:22">
      <c r="B104" s="937" t="s">
        <v>992</v>
      </c>
      <c r="D104" s="903" t="s">
        <v>336</v>
      </c>
      <c r="F104" s="938">
        <f>SUM(G104:N104)</f>
        <v>295240685.33781272</v>
      </c>
      <c r="G104" s="939"/>
      <c r="H104" s="939"/>
      <c r="I104" s="939">
        <v>45393970.511100911</v>
      </c>
      <c r="J104" s="1025">
        <f>U104+V104</f>
        <v>235447455.37324199</v>
      </c>
      <c r="K104" s="939"/>
      <c r="L104" s="939"/>
      <c r="M104" s="939"/>
      <c r="N104" s="939">
        <v>14399259.453469791</v>
      </c>
      <c r="U104" s="1025">
        <v>216471739.68324199</v>
      </c>
      <c r="V104" s="1025">
        <v>18975715.690000001</v>
      </c>
    </row>
    <row r="105" spans="2:22">
      <c r="B105" s="937" t="s">
        <v>993</v>
      </c>
      <c r="D105" s="903" t="s">
        <v>336</v>
      </c>
      <c r="F105" s="938">
        <f>SUM(G105:N105)</f>
        <v>52012024.888442516</v>
      </c>
      <c r="G105" s="939"/>
      <c r="H105" s="939"/>
      <c r="I105" s="939">
        <v>9453202.1999999974</v>
      </c>
      <c r="J105" s="1025">
        <f t="shared" ref="J105" si="27">U105+V105</f>
        <v>41851682.109690897</v>
      </c>
      <c r="K105" s="939"/>
      <c r="L105" s="939"/>
      <c r="M105" s="939"/>
      <c r="N105" s="939">
        <v>707140.57875162584</v>
      </c>
      <c r="U105" s="1025">
        <v>36981739.341618776</v>
      </c>
      <c r="V105" s="1025">
        <v>4869942.7680721181</v>
      </c>
    </row>
    <row r="106" spans="2:22">
      <c r="B106" s="940" t="s">
        <v>997</v>
      </c>
      <c r="D106" s="903" t="s">
        <v>336</v>
      </c>
      <c r="F106" s="938">
        <f>SUM(G106:N106)</f>
        <v>347252710.22625518</v>
      </c>
      <c r="G106" s="938">
        <f t="shared" ref="G106:N106" si="28">SUM(G104:G105)</f>
        <v>0</v>
      </c>
      <c r="H106" s="938">
        <f t="shared" si="28"/>
        <v>0</v>
      </c>
      <c r="I106" s="938">
        <f t="shared" si="28"/>
        <v>54847172.711100906</v>
      </c>
      <c r="J106" s="938">
        <f t="shared" si="28"/>
        <v>277299137.48293287</v>
      </c>
      <c r="K106" s="938">
        <f t="shared" si="28"/>
        <v>0</v>
      </c>
      <c r="L106" s="938">
        <f t="shared" si="28"/>
        <v>0</v>
      </c>
      <c r="M106" s="938">
        <f t="shared" si="28"/>
        <v>0</v>
      </c>
      <c r="N106" s="938">
        <f t="shared" si="28"/>
        <v>15106400.032221416</v>
      </c>
    </row>
    <row r="107" spans="2:22">
      <c r="F107" s="933"/>
      <c r="G107" s="934"/>
      <c r="H107" s="934"/>
      <c r="I107" s="934"/>
      <c r="J107" s="934"/>
      <c r="K107" s="934"/>
      <c r="L107" s="934"/>
      <c r="M107" s="934"/>
      <c r="N107" s="934"/>
    </row>
    <row r="108" spans="2:22">
      <c r="B108" s="904">
        <v>2012</v>
      </c>
      <c r="F108" s="933"/>
      <c r="G108" s="934"/>
      <c r="H108" s="934"/>
      <c r="I108" s="934"/>
      <c r="J108" s="934"/>
      <c r="K108" s="934"/>
      <c r="L108" s="934"/>
      <c r="M108" s="934"/>
      <c r="N108" s="934"/>
    </row>
    <row r="109" spans="2:22">
      <c r="B109" s="936" t="s">
        <v>976</v>
      </c>
      <c r="F109" s="933"/>
      <c r="G109" s="934"/>
      <c r="H109" s="934"/>
      <c r="I109" s="934"/>
      <c r="J109" s="934"/>
      <c r="K109" s="934"/>
      <c r="L109" s="934"/>
      <c r="M109" s="934"/>
      <c r="N109" s="934"/>
    </row>
    <row r="110" spans="2:22">
      <c r="B110" s="937" t="s">
        <v>992</v>
      </c>
      <c r="D110" s="903" t="s">
        <v>337</v>
      </c>
      <c r="F110" s="938">
        <f>SUM(G110:N110)</f>
        <v>824934680.00303102</v>
      </c>
      <c r="G110" s="939"/>
      <c r="H110" s="939"/>
      <c r="I110" s="939">
        <v>31138302.642435953</v>
      </c>
      <c r="J110" s="939">
        <v>749096214.15452588</v>
      </c>
      <c r="K110" s="939"/>
      <c r="L110" s="939"/>
      <c r="M110" s="939"/>
      <c r="N110" s="939">
        <v>44700163.206069186</v>
      </c>
    </row>
    <row r="111" spans="2:22">
      <c r="B111" s="937" t="s">
        <v>993</v>
      </c>
      <c r="D111" s="903" t="s">
        <v>337</v>
      </c>
      <c r="F111" s="938">
        <f>SUM(G111:N111)</f>
        <v>98314172.399579212</v>
      </c>
      <c r="G111" s="939"/>
      <c r="H111" s="939"/>
      <c r="I111" s="939">
        <v>2560692.36</v>
      </c>
      <c r="J111" s="939">
        <v>93576963.053326383</v>
      </c>
      <c r="K111" s="939"/>
      <c r="L111" s="939"/>
      <c r="M111" s="939"/>
      <c r="N111" s="939">
        <v>2176516.9862528313</v>
      </c>
    </row>
    <row r="112" spans="2:22">
      <c r="B112" s="940" t="s">
        <v>998</v>
      </c>
      <c r="D112" s="903" t="s">
        <v>337</v>
      </c>
      <c r="F112" s="938">
        <f>SUM(G112:N112)</f>
        <v>923248852.40261018</v>
      </c>
      <c r="G112" s="938">
        <f t="shared" ref="G112:N112" si="29">SUM(G110:G111)</f>
        <v>0</v>
      </c>
      <c r="H112" s="938">
        <f t="shared" si="29"/>
        <v>0</v>
      </c>
      <c r="I112" s="938">
        <f t="shared" si="29"/>
        <v>33698995.002435952</v>
      </c>
      <c r="J112" s="938">
        <f t="shared" si="29"/>
        <v>842673177.20785224</v>
      </c>
      <c r="K112" s="938">
        <f t="shared" si="29"/>
        <v>0</v>
      </c>
      <c r="L112" s="938">
        <f t="shared" si="29"/>
        <v>0</v>
      </c>
      <c r="M112" s="938">
        <f t="shared" si="29"/>
        <v>0</v>
      </c>
      <c r="N112" s="938">
        <f t="shared" si="29"/>
        <v>46876680.192322016</v>
      </c>
    </row>
    <row r="113" spans="2:16">
      <c r="F113" s="933"/>
      <c r="G113" s="934"/>
      <c r="H113" s="934"/>
      <c r="I113" s="934"/>
      <c r="J113" s="934"/>
      <c r="K113" s="934"/>
      <c r="L113" s="934"/>
      <c r="M113" s="934"/>
      <c r="N113" s="934"/>
    </row>
    <row r="114" spans="2:16">
      <c r="B114" s="936" t="s">
        <v>977</v>
      </c>
      <c r="F114" s="933"/>
      <c r="G114" s="934"/>
      <c r="H114" s="934"/>
      <c r="I114" s="934"/>
      <c r="J114" s="934"/>
      <c r="K114" s="934"/>
      <c r="L114" s="934"/>
      <c r="M114" s="934"/>
      <c r="N114" s="934"/>
    </row>
    <row r="115" spans="2:16">
      <c r="B115" s="937" t="s">
        <v>992</v>
      </c>
      <c r="D115" s="903" t="s">
        <v>337</v>
      </c>
      <c r="F115" s="938">
        <f>SUM(G115:N115)</f>
        <v>306047200.6986059</v>
      </c>
      <c r="G115" s="939"/>
      <c r="H115" s="939"/>
      <c r="I115" s="939">
        <v>49333997.305200011</v>
      </c>
      <c r="J115" s="939">
        <v>241339449.66275641</v>
      </c>
      <c r="K115" s="939"/>
      <c r="L115" s="939"/>
      <c r="M115" s="939"/>
      <c r="N115" s="939">
        <v>15373753.730649471</v>
      </c>
    </row>
    <row r="116" spans="2:16">
      <c r="B116" s="937" t="s">
        <v>993</v>
      </c>
      <c r="D116" s="903" t="s">
        <v>337</v>
      </c>
      <c r="F116" s="938">
        <f>SUM(G116:N116)</f>
        <v>48026426.297074668</v>
      </c>
      <c r="G116" s="939"/>
      <c r="H116" s="939"/>
      <c r="I116" s="939">
        <v>8330528.1599999983</v>
      </c>
      <c r="J116" s="939">
        <v>38948936.341001771</v>
      </c>
      <c r="K116" s="939"/>
      <c r="L116" s="939"/>
      <c r="M116" s="939"/>
      <c r="N116" s="939">
        <v>746961.79607289948</v>
      </c>
    </row>
    <row r="117" spans="2:16">
      <c r="B117" s="940" t="s">
        <v>999</v>
      </c>
      <c r="D117" s="903" t="s">
        <v>337</v>
      </c>
      <c r="F117" s="938">
        <f>SUM(G117:N117)</f>
        <v>354073626.99568057</v>
      </c>
      <c r="G117" s="938">
        <f t="shared" ref="G117:N117" si="30">SUM(G115:G116)</f>
        <v>0</v>
      </c>
      <c r="H117" s="938">
        <f t="shared" si="30"/>
        <v>0</v>
      </c>
      <c r="I117" s="938">
        <f t="shared" si="30"/>
        <v>57664525.465200007</v>
      </c>
      <c r="J117" s="938">
        <f t="shared" si="30"/>
        <v>280288386.00375819</v>
      </c>
      <c r="K117" s="938">
        <f t="shared" si="30"/>
        <v>0</v>
      </c>
      <c r="L117" s="938">
        <f t="shared" si="30"/>
        <v>0</v>
      </c>
      <c r="M117" s="938">
        <f t="shared" si="30"/>
        <v>0</v>
      </c>
      <c r="N117" s="938">
        <f t="shared" si="30"/>
        <v>16120715.526722372</v>
      </c>
    </row>
    <row r="118" spans="2:16">
      <c r="F118" s="941"/>
      <c r="G118" s="934"/>
      <c r="H118" s="934"/>
      <c r="I118" s="934"/>
      <c r="J118" s="934"/>
      <c r="K118" s="934"/>
      <c r="L118" s="934"/>
      <c r="M118" s="934"/>
      <c r="N118" s="934"/>
    </row>
    <row r="119" spans="2:16">
      <c r="F119" s="941"/>
      <c r="G119" s="934"/>
      <c r="H119" s="934"/>
      <c r="I119" s="934"/>
      <c r="J119" s="934"/>
      <c r="K119" s="934"/>
      <c r="L119" s="934"/>
      <c r="M119" s="934"/>
      <c r="N119" s="934"/>
    </row>
    <row r="120" spans="2:16" s="916" customFormat="1" ht="15">
      <c r="B120" s="917" t="s">
        <v>1000</v>
      </c>
      <c r="C120" s="917"/>
      <c r="D120" s="917"/>
      <c r="F120" s="942"/>
      <c r="G120" s="932"/>
      <c r="H120" s="932"/>
      <c r="I120" s="932"/>
      <c r="J120" s="932"/>
      <c r="K120" s="932"/>
      <c r="L120" s="932"/>
      <c r="M120" s="932"/>
      <c r="N120" s="932"/>
    </row>
    <row r="121" spans="2:16">
      <c r="B121" s="943" t="s">
        <v>1100</v>
      </c>
      <c r="F121" s="941"/>
      <c r="G121" s="934"/>
      <c r="H121" s="934"/>
      <c r="I121" s="934"/>
      <c r="J121" s="934"/>
      <c r="K121" s="934"/>
      <c r="L121" s="934"/>
      <c r="M121" s="934"/>
      <c r="N121" s="934"/>
    </row>
    <row r="122" spans="2:16">
      <c r="B122" s="943"/>
      <c r="F122" s="941"/>
      <c r="G122" s="934"/>
      <c r="H122" s="934"/>
      <c r="I122" s="934"/>
      <c r="J122" s="934"/>
      <c r="K122" s="934"/>
      <c r="L122" s="934"/>
      <c r="M122" s="934"/>
      <c r="N122" s="934"/>
    </row>
    <row r="123" spans="2:16">
      <c r="B123" s="904" t="s">
        <v>1001</v>
      </c>
      <c r="F123" s="948">
        <f>CPI!F18</f>
        <v>1.4999999999999999E-2</v>
      </c>
      <c r="G123" s="934"/>
      <c r="H123" s="934"/>
      <c r="I123" s="934"/>
      <c r="J123" s="934"/>
      <c r="K123" s="934"/>
      <c r="L123" s="934"/>
      <c r="M123" s="934"/>
      <c r="N123" s="934"/>
    </row>
    <row r="124" spans="2:16">
      <c r="B124" s="904" t="s">
        <v>1002</v>
      </c>
      <c r="F124" s="948">
        <f>CPI!F19</f>
        <v>2.5999999999999999E-2</v>
      </c>
      <c r="G124" s="934"/>
      <c r="H124" s="934"/>
      <c r="I124" s="934"/>
      <c r="J124" s="934"/>
      <c r="K124" s="934"/>
      <c r="L124" s="934"/>
      <c r="M124" s="934"/>
      <c r="N124" s="934"/>
    </row>
    <row r="125" spans="2:16">
      <c r="B125" s="904" t="s">
        <v>1003</v>
      </c>
      <c r="F125" s="949">
        <f>I140/I139</f>
        <v>2.0012571026598879E-2</v>
      </c>
      <c r="G125" s="934"/>
      <c r="H125" s="934"/>
      <c r="I125" s="934"/>
      <c r="J125" s="934"/>
      <c r="K125" s="934"/>
      <c r="L125" s="934"/>
      <c r="M125" s="934"/>
      <c r="N125" s="934"/>
      <c r="P125" s="930"/>
    </row>
    <row r="126" spans="2:16">
      <c r="F126" s="941"/>
      <c r="G126" s="934"/>
      <c r="H126" s="934"/>
      <c r="I126" s="934"/>
      <c r="J126" s="934"/>
      <c r="K126" s="934"/>
      <c r="L126" s="934"/>
      <c r="M126" s="934"/>
      <c r="N126" s="934"/>
      <c r="P126" s="930"/>
    </row>
    <row r="127" spans="2:16">
      <c r="B127" s="904" t="s">
        <v>1004</v>
      </c>
      <c r="D127" s="904" t="s">
        <v>335</v>
      </c>
      <c r="F127" s="944"/>
      <c r="G127" s="938">
        <f>G133/(1+$F$123)</f>
        <v>0</v>
      </c>
      <c r="H127" s="938">
        <f>H133/(1+$F$123)</f>
        <v>0</v>
      </c>
      <c r="I127" s="938">
        <f>I133/(1+$F$123)</f>
        <v>2627068.2857142864</v>
      </c>
      <c r="J127" s="938">
        <f t="shared" ref="J127:N127" si="31">J133/(1+$F$123)</f>
        <v>63644373.399014786</v>
      </c>
      <c r="K127" s="938">
        <f t="shared" si="31"/>
        <v>0</v>
      </c>
      <c r="L127" s="938">
        <f t="shared" si="31"/>
        <v>0</v>
      </c>
      <c r="M127" s="938">
        <f t="shared" si="31"/>
        <v>0</v>
      </c>
      <c r="N127" s="938">
        <f t="shared" si="31"/>
        <v>0</v>
      </c>
      <c r="P127" s="930" t="s">
        <v>1136</v>
      </c>
    </row>
    <row r="128" spans="2:16">
      <c r="B128" s="904" t="s">
        <v>1005</v>
      </c>
      <c r="D128" s="904" t="s">
        <v>335</v>
      </c>
      <c r="F128" s="944"/>
      <c r="G128" s="945">
        <f>G127*(1-$F$125)</f>
        <v>0</v>
      </c>
      <c r="H128" s="945">
        <f>H127*(1-$F$125)</f>
        <v>0</v>
      </c>
      <c r="I128" s="945">
        <f>I127*(1-$F$125)</f>
        <v>2574493.8950547036</v>
      </c>
      <c r="J128" s="945">
        <f>J127*(1-$F$125)</f>
        <v>62370685.855923623</v>
      </c>
      <c r="K128" s="945">
        <f t="shared" ref="K128:N128" si="32">K127*(1-$F$125)</f>
        <v>0</v>
      </c>
      <c r="L128" s="945">
        <f t="shared" si="32"/>
        <v>0</v>
      </c>
      <c r="M128" s="945">
        <f t="shared" si="32"/>
        <v>0</v>
      </c>
      <c r="N128" s="945">
        <f t="shared" si="32"/>
        <v>0</v>
      </c>
    </row>
    <row r="129" spans="2:14">
      <c r="B129" s="904" t="s">
        <v>1006</v>
      </c>
      <c r="D129" s="904" t="s">
        <v>335</v>
      </c>
      <c r="F129" s="944">
        <f t="shared" ref="F129:H129" si="33">F142/((1+$F$124)*(1+$F$123))</f>
        <v>0</v>
      </c>
      <c r="G129" s="938">
        <f t="shared" si="33"/>
        <v>0</v>
      </c>
      <c r="H129" s="938">
        <f t="shared" si="33"/>
        <v>0</v>
      </c>
      <c r="I129" s="938">
        <f>I142/((1+$F$124)*(1+$F$123))</f>
        <v>7790838.6099348161</v>
      </c>
      <c r="J129" s="938">
        <f t="shared" ref="J129:N129" si="34">J142/((1+$F$124)*(1+$F$123))</f>
        <v>35507617.703261994</v>
      </c>
      <c r="K129" s="938">
        <f t="shared" si="34"/>
        <v>0</v>
      </c>
      <c r="L129" s="938">
        <f t="shared" si="34"/>
        <v>0</v>
      </c>
      <c r="M129" s="938">
        <f t="shared" si="34"/>
        <v>0</v>
      </c>
      <c r="N129" s="938">
        <f t="shared" si="34"/>
        <v>0</v>
      </c>
    </row>
    <row r="130" spans="2:14">
      <c r="B130" s="904" t="s">
        <v>1007</v>
      </c>
      <c r="D130" s="904" t="s">
        <v>335</v>
      </c>
      <c r="F130" s="944"/>
      <c r="G130" s="945">
        <f t="shared" ref="G130:N130" si="35">G129*(1-$F$125)</f>
        <v>0</v>
      </c>
      <c r="H130" s="945">
        <f t="shared" si="35"/>
        <v>0</v>
      </c>
      <c r="I130" s="945">
        <f t="shared" si="35"/>
        <v>7634923.8988967268</v>
      </c>
      <c r="J130" s="945">
        <f t="shared" si="35"/>
        <v>34797018.981990144</v>
      </c>
      <c r="K130" s="945">
        <f t="shared" si="35"/>
        <v>0</v>
      </c>
      <c r="L130" s="945">
        <f t="shared" si="35"/>
        <v>0</v>
      </c>
      <c r="M130" s="945">
        <f t="shared" si="35"/>
        <v>0</v>
      </c>
      <c r="N130" s="945">
        <f t="shared" si="35"/>
        <v>0</v>
      </c>
    </row>
    <row r="131" spans="2:14">
      <c r="B131" s="936" t="s">
        <v>1008</v>
      </c>
      <c r="D131" s="904" t="s">
        <v>335</v>
      </c>
      <c r="F131" s="944"/>
      <c r="G131" s="945">
        <f t="shared" ref="G131:N131" si="36">G128+G130</f>
        <v>0</v>
      </c>
      <c r="H131" s="945">
        <f t="shared" si="36"/>
        <v>0</v>
      </c>
      <c r="I131" s="945">
        <f t="shared" si="36"/>
        <v>10209417.793951429</v>
      </c>
      <c r="J131" s="945">
        <f t="shared" si="36"/>
        <v>97167704.837913767</v>
      </c>
      <c r="K131" s="945">
        <f t="shared" si="36"/>
        <v>0</v>
      </c>
      <c r="L131" s="945">
        <f t="shared" si="36"/>
        <v>0</v>
      </c>
      <c r="M131" s="945">
        <f t="shared" si="36"/>
        <v>0</v>
      </c>
      <c r="N131" s="945">
        <f t="shared" si="36"/>
        <v>0</v>
      </c>
    </row>
    <row r="132" spans="2:14">
      <c r="F132" s="946"/>
      <c r="G132" s="934"/>
      <c r="H132" s="934"/>
      <c r="I132" s="934"/>
      <c r="J132" s="934"/>
      <c r="K132" s="934"/>
      <c r="L132" s="934"/>
      <c r="M132" s="934"/>
      <c r="N132" s="934"/>
    </row>
    <row r="133" spans="2:14">
      <c r="B133" s="904" t="s">
        <v>1009</v>
      </c>
      <c r="D133" s="904" t="s">
        <v>336</v>
      </c>
      <c r="F133" s="944"/>
      <c r="G133" s="939"/>
      <c r="H133" s="939"/>
      <c r="I133" s="939">
        <v>2666474.3100000005</v>
      </c>
      <c r="J133" s="939">
        <v>64599039</v>
      </c>
      <c r="K133" s="939"/>
      <c r="L133" s="939"/>
      <c r="M133" s="939"/>
      <c r="N133" s="939"/>
    </row>
    <row r="134" spans="2:14">
      <c r="B134" s="904" t="s">
        <v>1010</v>
      </c>
      <c r="D134" s="904" t="s">
        <v>336</v>
      </c>
      <c r="F134" s="944"/>
      <c r="G134" s="945">
        <f t="shared" ref="G134:H134" si="37">G133*(1-$F$125)</f>
        <v>0</v>
      </c>
      <c r="H134" s="945">
        <f t="shared" si="37"/>
        <v>0</v>
      </c>
      <c r="I134" s="945">
        <f>I133*(1-$F$125)</f>
        <v>2613111.3034805241</v>
      </c>
      <c r="J134" s="945">
        <f>J133*(1-$F$125)</f>
        <v>63306246.143762469</v>
      </c>
      <c r="K134" s="945">
        <f t="shared" ref="K134:N134" si="38">K133*(1-$F$125)</f>
        <v>0</v>
      </c>
      <c r="L134" s="945">
        <f t="shared" si="38"/>
        <v>0</v>
      </c>
      <c r="M134" s="945">
        <f t="shared" si="38"/>
        <v>0</v>
      </c>
      <c r="N134" s="945">
        <f t="shared" si="38"/>
        <v>0</v>
      </c>
    </row>
    <row r="135" spans="2:14">
      <c r="B135" s="904" t="s">
        <v>1011</v>
      </c>
      <c r="D135" s="904" t="s">
        <v>336</v>
      </c>
      <c r="F135" s="944"/>
      <c r="G135" s="947">
        <f t="shared" ref="G135:N135" si="39">G142/(1+D124)</f>
        <v>0</v>
      </c>
      <c r="H135" s="947">
        <f t="shared" si="39"/>
        <v>0</v>
      </c>
      <c r="I135" s="947">
        <f t="shared" si="39"/>
        <v>7907701.189083837</v>
      </c>
      <c r="J135" s="947">
        <f t="shared" si="39"/>
        <v>36977278</v>
      </c>
      <c r="K135" s="947">
        <f t="shared" si="39"/>
        <v>0</v>
      </c>
      <c r="L135" s="947">
        <f t="shared" si="39"/>
        <v>0</v>
      </c>
      <c r="M135" s="947">
        <f t="shared" si="39"/>
        <v>0</v>
      </c>
      <c r="N135" s="947">
        <f t="shared" si="39"/>
        <v>0</v>
      </c>
    </row>
    <row r="136" spans="2:14">
      <c r="B136" s="904" t="s">
        <v>1012</v>
      </c>
      <c r="D136" s="904" t="s">
        <v>336</v>
      </c>
      <c r="F136" s="944"/>
      <c r="G136" s="945">
        <f t="shared" ref="G136:H136" si="40">G135*(1-$F$125)</f>
        <v>0</v>
      </c>
      <c r="H136" s="945">
        <f t="shared" si="40"/>
        <v>0</v>
      </c>
      <c r="I136" s="945">
        <f>I135*(1-$F$125)</f>
        <v>7749447.7573801763</v>
      </c>
      <c r="J136" s="945">
        <f>J135*(1-$F$125)</f>
        <v>36237267.597654708</v>
      </c>
      <c r="K136" s="945">
        <f t="shared" ref="K136:N136" si="41">K135*(1-$F$125)</f>
        <v>0</v>
      </c>
      <c r="L136" s="945">
        <f t="shared" si="41"/>
        <v>0</v>
      </c>
      <c r="M136" s="945">
        <f t="shared" si="41"/>
        <v>0</v>
      </c>
      <c r="N136" s="945">
        <f t="shared" si="41"/>
        <v>0</v>
      </c>
    </row>
    <row r="137" spans="2:14">
      <c r="B137" s="936" t="s">
        <v>1013</v>
      </c>
      <c r="D137" s="904" t="s">
        <v>336</v>
      </c>
      <c r="F137" s="944"/>
      <c r="G137" s="945">
        <f>G134+G136</f>
        <v>0</v>
      </c>
      <c r="H137" s="945">
        <f t="shared" ref="H137:N137" si="42">H134+H136</f>
        <v>0</v>
      </c>
      <c r="I137" s="945">
        <f>I134+I136</f>
        <v>10362559.060860701</v>
      </c>
      <c r="J137" s="945">
        <f>J134+J136</f>
        <v>99543513.74141717</v>
      </c>
      <c r="K137" s="945">
        <f t="shared" si="42"/>
        <v>0</v>
      </c>
      <c r="L137" s="945">
        <f t="shared" si="42"/>
        <v>0</v>
      </c>
      <c r="M137" s="945">
        <f t="shared" si="42"/>
        <v>0</v>
      </c>
      <c r="N137" s="945">
        <f t="shared" si="42"/>
        <v>0</v>
      </c>
    </row>
    <row r="138" spans="2:14">
      <c r="F138" s="946"/>
      <c r="G138" s="934"/>
      <c r="H138" s="934"/>
      <c r="I138" s="934"/>
      <c r="J138" s="934"/>
      <c r="K138" s="934"/>
      <c r="L138" s="934"/>
      <c r="M138" s="934"/>
      <c r="N138" s="934"/>
    </row>
    <row r="139" spans="2:14">
      <c r="B139" s="904" t="s">
        <v>1014</v>
      </c>
      <c r="D139" s="904" t="s">
        <v>337</v>
      </c>
      <c r="F139" s="944"/>
      <c r="G139" s="939"/>
      <c r="H139" s="939"/>
      <c r="I139" s="939">
        <v>2795841.6700000088</v>
      </c>
      <c r="J139" s="939">
        <v>67899323</v>
      </c>
      <c r="K139" s="939"/>
      <c r="L139" s="939"/>
      <c r="M139" s="939"/>
      <c r="N139" s="939"/>
    </row>
    <row r="140" spans="2:14">
      <c r="B140" s="904" t="s">
        <v>1015</v>
      </c>
      <c r="D140" s="904" t="s">
        <v>337</v>
      </c>
      <c r="F140" s="944"/>
      <c r="G140" s="939"/>
      <c r="H140" s="939"/>
      <c r="I140" s="939">
        <v>55951.979999999996</v>
      </c>
      <c r="J140" s="939">
        <v>1591048.1571747412</v>
      </c>
      <c r="K140" s="939"/>
      <c r="L140" s="939"/>
      <c r="M140" s="939"/>
      <c r="N140" s="939"/>
    </row>
    <row r="141" spans="2:14">
      <c r="B141" s="904" t="s">
        <v>1016</v>
      </c>
      <c r="D141" s="904" t="s">
        <v>337</v>
      </c>
      <c r="F141" s="944"/>
      <c r="G141" s="938">
        <f t="shared" ref="G141:H141" si="43">G139-G140</f>
        <v>0</v>
      </c>
      <c r="H141" s="938">
        <f t="shared" si="43"/>
        <v>0</v>
      </c>
      <c r="I141" s="938">
        <f>I139-I140</f>
        <v>2739889.6900000088</v>
      </c>
      <c r="J141" s="938">
        <f t="shared" ref="J141:N141" si="44">J139-J140</f>
        <v>66308274.842825256</v>
      </c>
      <c r="K141" s="938">
        <f t="shared" si="44"/>
        <v>0</v>
      </c>
      <c r="L141" s="938">
        <f t="shared" si="44"/>
        <v>0</v>
      </c>
      <c r="M141" s="938">
        <f t="shared" si="44"/>
        <v>0</v>
      </c>
      <c r="N141" s="938">
        <f t="shared" si="44"/>
        <v>0</v>
      </c>
    </row>
    <row r="142" spans="2:14">
      <c r="B142" s="904" t="s">
        <v>1017</v>
      </c>
      <c r="D142" s="904" t="s">
        <v>337</v>
      </c>
      <c r="F142" s="944"/>
      <c r="G142" s="939"/>
      <c r="H142" s="939"/>
      <c r="I142" s="939">
        <v>8113301.4200000167</v>
      </c>
      <c r="J142" s="939">
        <v>36977278</v>
      </c>
      <c r="K142" s="939"/>
      <c r="L142" s="939"/>
      <c r="M142" s="939"/>
      <c r="N142" s="939"/>
    </row>
    <row r="143" spans="2:14">
      <c r="B143" s="904" t="s">
        <v>1018</v>
      </c>
      <c r="D143" s="904" t="s">
        <v>337</v>
      </c>
      <c r="F143" s="944"/>
      <c r="G143" s="945">
        <f t="shared" ref="G143:H143" si="45">G142*(1-$F$125)</f>
        <v>0</v>
      </c>
      <c r="H143" s="945">
        <f t="shared" si="45"/>
        <v>0</v>
      </c>
      <c r="I143" s="945">
        <f>I142*(1-$F$125)</f>
        <v>7950933.3990720604</v>
      </c>
      <c r="J143" s="945">
        <f>J142*(1-$F$125)</f>
        <v>36237267.597654708</v>
      </c>
      <c r="K143" s="945">
        <f t="shared" ref="K143:N143" si="46">K142*(1-$F$125)</f>
        <v>0</v>
      </c>
      <c r="L143" s="945">
        <f t="shared" si="46"/>
        <v>0</v>
      </c>
      <c r="M143" s="945">
        <f t="shared" si="46"/>
        <v>0</v>
      </c>
      <c r="N143" s="945">
        <f t="shared" si="46"/>
        <v>0</v>
      </c>
    </row>
    <row r="144" spans="2:14">
      <c r="B144" s="936" t="s">
        <v>1019</v>
      </c>
      <c r="D144" s="904" t="s">
        <v>337</v>
      </c>
      <c r="F144" s="944"/>
      <c r="G144" s="945">
        <f t="shared" ref="G144:H144" si="47">G143+G141</f>
        <v>0</v>
      </c>
      <c r="H144" s="945">
        <f t="shared" si="47"/>
        <v>0</v>
      </c>
      <c r="I144" s="945">
        <f>I143+I141</f>
        <v>10690823.089072069</v>
      </c>
      <c r="J144" s="945">
        <f t="shared" ref="J144:N144" si="48">J143+J141</f>
        <v>102545542.44047996</v>
      </c>
      <c r="K144" s="945">
        <f t="shared" si="48"/>
        <v>0</v>
      </c>
      <c r="L144" s="945">
        <f t="shared" si="48"/>
        <v>0</v>
      </c>
      <c r="M144" s="945">
        <f t="shared" si="48"/>
        <v>0</v>
      </c>
      <c r="N144" s="945">
        <f t="shared" si="48"/>
        <v>0</v>
      </c>
    </row>
    <row r="145" spans="2:16">
      <c r="G145" s="903"/>
      <c r="H145" s="903"/>
      <c r="I145" s="903"/>
      <c r="J145" s="903"/>
      <c r="K145" s="903"/>
      <c r="L145" s="903"/>
      <c r="M145" s="903"/>
      <c r="N145" s="903"/>
    </row>
    <row r="146" spans="2:16" s="916" customFormat="1" ht="15">
      <c r="B146" s="917" t="s">
        <v>1043</v>
      </c>
      <c r="F146" s="955"/>
      <c r="G146" s="956"/>
      <c r="H146" s="956"/>
      <c r="I146" s="956"/>
      <c r="J146" s="956"/>
      <c r="K146" s="956"/>
      <c r="L146" s="956"/>
      <c r="M146" s="956"/>
      <c r="N146" s="956"/>
      <c r="O146" s="956"/>
      <c r="P146" s="956"/>
    </row>
    <row r="147" spans="2:16" s="958" customFormat="1" ht="15">
      <c r="B147" s="957"/>
      <c r="F147" s="959"/>
      <c r="G147" s="960"/>
      <c r="H147" s="960"/>
      <c r="I147" s="960"/>
      <c r="J147" s="960"/>
      <c r="K147" s="960"/>
      <c r="L147" s="960"/>
      <c r="M147" s="960"/>
      <c r="N147" s="960"/>
      <c r="O147" s="960"/>
      <c r="P147" s="960"/>
    </row>
    <row r="148" spans="2:16" s="950" customFormat="1" ht="15">
      <c r="B148" s="904" t="s">
        <v>1044</v>
      </c>
      <c r="D148" s="904" t="s">
        <v>335</v>
      </c>
      <c r="F148" s="962"/>
      <c r="G148" s="963">
        <f>G90+G95+G131</f>
        <v>0</v>
      </c>
      <c r="H148" s="963">
        <f t="shared" ref="H148:M148" si="49">H90+H95+H131</f>
        <v>0</v>
      </c>
      <c r="I148" s="963">
        <f t="shared" si="49"/>
        <v>93179875.565403104</v>
      </c>
      <c r="J148" s="963">
        <f t="shared" si="49"/>
        <v>1114712049.4485216</v>
      </c>
      <c r="K148" s="963">
        <f t="shared" si="49"/>
        <v>1062585671.0900681</v>
      </c>
      <c r="L148" s="963">
        <f t="shared" si="49"/>
        <v>0</v>
      </c>
      <c r="M148" s="963">
        <f t="shared" si="49"/>
        <v>0</v>
      </c>
      <c r="N148" s="963">
        <f>N90+N95+N131</f>
        <v>51138500.858057149</v>
      </c>
      <c r="O148" s="952"/>
      <c r="P148" s="952"/>
    </row>
    <row r="149" spans="2:16" s="950" customFormat="1" ht="15">
      <c r="B149" s="904" t="s">
        <v>1045</v>
      </c>
      <c r="D149" s="904" t="s">
        <v>336</v>
      </c>
      <c r="F149" s="962"/>
      <c r="G149" s="963">
        <f>G101+G106+G137</f>
        <v>0</v>
      </c>
      <c r="H149" s="963">
        <f t="shared" ref="H149:M149" si="50">H101+H106+H137</f>
        <v>0</v>
      </c>
      <c r="I149" s="963">
        <f t="shared" si="50"/>
        <v>95767363.939788759</v>
      </c>
      <c r="J149" s="963">
        <f t="shared" si="50"/>
        <v>1193203416.3117929</v>
      </c>
      <c r="K149" s="963">
        <f t="shared" si="50"/>
        <v>0</v>
      </c>
      <c r="L149" s="963">
        <f t="shared" si="50"/>
        <v>0</v>
      </c>
      <c r="M149" s="963">
        <f t="shared" si="50"/>
        <v>0</v>
      </c>
      <c r="N149" s="963">
        <f>N101+N106+N137</f>
        <v>55337719.616803363</v>
      </c>
      <c r="O149" s="952"/>
      <c r="P149" s="952"/>
    </row>
    <row r="150" spans="2:16" s="950" customFormat="1" ht="15">
      <c r="B150" s="904" t="s">
        <v>1046</v>
      </c>
      <c r="D150" s="904" t="s">
        <v>337</v>
      </c>
      <c r="F150" s="962"/>
      <c r="G150" s="963">
        <f>G112+G117+G144</f>
        <v>0</v>
      </c>
      <c r="H150" s="963">
        <f t="shared" ref="H150:M150" si="51">H112+H117+H144</f>
        <v>0</v>
      </c>
      <c r="I150" s="963">
        <f t="shared" si="51"/>
        <v>102054343.55670802</v>
      </c>
      <c r="J150" s="963">
        <f>J112+J117+J144</f>
        <v>1225507105.6520903</v>
      </c>
      <c r="K150" s="963">
        <f t="shared" si="51"/>
        <v>0</v>
      </c>
      <c r="L150" s="963">
        <f t="shared" si="51"/>
        <v>0</v>
      </c>
      <c r="M150" s="963">
        <f t="shared" si="51"/>
        <v>0</v>
      </c>
      <c r="N150" s="963">
        <f>N112+N117+N144</f>
        <v>62997395.719044387</v>
      </c>
      <c r="O150" s="952"/>
      <c r="P150" s="952"/>
    </row>
  </sheetData>
  <pageMargins left="0.70866141732283472" right="0.70866141732283472" top="0.74803149606299213" bottom="0.74803149606299213" header="0.31496062992125984" footer="0.31496062992125984"/>
  <pageSetup paperSize="9" scale="46" fitToWidth="2" fitToHeight="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enableFormatConditionsCalculation="0">
    <tabColor indexed="42"/>
  </sheetPr>
  <dimension ref="B1:H12"/>
  <sheetViews>
    <sheetView showGridLines="0" zoomScale="85" zoomScaleNormal="85" workbookViewId="0"/>
  </sheetViews>
  <sheetFormatPr defaultRowHeight="12.75"/>
  <cols>
    <col min="1" max="1" width="2.5703125" customWidth="1"/>
    <col min="2" max="2" width="60" customWidth="1"/>
    <col min="3" max="3" width="2.5703125" customWidth="1"/>
    <col min="4" max="4" width="14.140625" customWidth="1"/>
    <col min="5" max="5" width="2.5703125" customWidth="1"/>
    <col min="6" max="6" width="21.42578125" customWidth="1"/>
    <col min="7" max="7" width="10" customWidth="1"/>
    <col min="8" max="10" width="16.140625" customWidth="1"/>
    <col min="11" max="15" width="14.85546875" customWidth="1"/>
  </cols>
  <sheetData>
    <row r="1" spans="2:8" ht="12" customHeight="1"/>
    <row r="2" spans="2:8" s="1" customFormat="1" ht="18">
      <c r="B2" s="1" t="s">
        <v>931</v>
      </c>
      <c r="H2" s="5" t="s">
        <v>438</v>
      </c>
    </row>
    <row r="4" spans="2:8" s="2" customFormat="1">
      <c r="B4" s="2" t="s">
        <v>930</v>
      </c>
    </row>
    <row r="7" spans="2:8">
      <c r="B7" s="50" t="s">
        <v>471</v>
      </c>
      <c r="F7" s="30">
        <v>5.5E-2</v>
      </c>
      <c r="H7" s="50" t="s">
        <v>926</v>
      </c>
    </row>
    <row r="8" spans="2:8">
      <c r="B8" s="50" t="s">
        <v>472</v>
      </c>
      <c r="F8" s="30">
        <v>6.2E-2</v>
      </c>
      <c r="H8" s="50" t="s">
        <v>927</v>
      </c>
    </row>
    <row r="9" spans="2:8">
      <c r="B9" s="50" t="s">
        <v>543</v>
      </c>
      <c r="F9" s="30">
        <v>3.5999999999999997E-2</v>
      </c>
      <c r="H9" s="50" t="s">
        <v>928</v>
      </c>
    </row>
    <row r="11" spans="2:8">
      <c r="B11" s="50" t="s">
        <v>929</v>
      </c>
      <c r="F11" s="111">
        <v>0.02</v>
      </c>
      <c r="G11" s="27"/>
      <c r="H11" s="50" t="s">
        <v>928</v>
      </c>
    </row>
    <row r="12" spans="2:8">
      <c r="F12" s="43"/>
      <c r="G12" s="27"/>
    </row>
  </sheetData>
  <phoneticPr fontId="3"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enableFormatConditionsCalculation="0">
    <tabColor indexed="42"/>
  </sheetPr>
  <dimension ref="B2:BB61"/>
  <sheetViews>
    <sheetView showGridLines="0" zoomScale="85" zoomScaleNormal="85" workbookViewId="0">
      <pane xSplit="6" ySplit="3" topLeftCell="G4" activePane="bottomRight" state="frozen"/>
      <selection pane="topRight"/>
      <selection pane="bottomLeft"/>
      <selection pane="bottomRight" activeCell="G4" sqref="G4"/>
    </sheetView>
  </sheetViews>
  <sheetFormatPr defaultRowHeight="12.75"/>
  <cols>
    <col min="1" max="1" width="2.42578125" customWidth="1"/>
    <col min="2" max="2" width="57.140625" customWidth="1"/>
    <col min="3" max="3" width="2.42578125" customWidth="1"/>
    <col min="4" max="4" width="9.85546875" customWidth="1"/>
    <col min="5" max="5" width="10" customWidth="1"/>
    <col min="6" max="19" width="12" customWidth="1"/>
    <col min="20" max="54" width="12.28515625" customWidth="1"/>
  </cols>
  <sheetData>
    <row r="2" spans="2:54" s="1" customFormat="1" ht="18">
      <c r="B2" s="1" t="s">
        <v>83</v>
      </c>
    </row>
    <row r="5" spans="2:54" s="9" customFormat="1">
      <c r="B5" s="2" t="s">
        <v>184</v>
      </c>
      <c r="F5" s="10"/>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7" spans="2:54">
      <c r="B7" s="3" t="s">
        <v>185</v>
      </c>
    </row>
    <row r="8" spans="2:54">
      <c r="B8" s="3"/>
      <c r="D8">
        <v>2001</v>
      </c>
      <c r="F8" s="6">
        <v>2.5000000000000001E-2</v>
      </c>
    </row>
    <row r="9" spans="2:54">
      <c r="B9" s="3"/>
      <c r="D9">
        <v>2002</v>
      </c>
      <c r="F9" s="6">
        <v>4.7E-2</v>
      </c>
    </row>
    <row r="10" spans="2:54">
      <c r="B10" s="3"/>
      <c r="D10">
        <v>2003</v>
      </c>
      <c r="F10" s="6">
        <v>3.3000000000000002E-2</v>
      </c>
    </row>
    <row r="11" spans="2:54">
      <c r="B11" s="3"/>
      <c r="D11">
        <v>2004</v>
      </c>
      <c r="F11" s="6">
        <v>2.1000000000000001E-2</v>
      </c>
    </row>
    <row r="12" spans="2:54">
      <c r="B12" s="3"/>
      <c r="D12">
        <v>2005</v>
      </c>
      <c r="F12" s="6">
        <v>1.0999999999999999E-2</v>
      </c>
    </row>
    <row r="13" spans="2:54">
      <c r="B13" s="3"/>
      <c r="D13">
        <v>2006</v>
      </c>
      <c r="F13" s="6">
        <v>1.7999999999999999E-2</v>
      </c>
    </row>
    <row r="14" spans="2:54">
      <c r="B14" s="3"/>
      <c r="D14">
        <v>2007</v>
      </c>
      <c r="F14" s="6">
        <v>1.4E-2</v>
      </c>
    </row>
    <row r="15" spans="2:54">
      <c r="B15" s="3"/>
      <c r="D15">
        <v>2008</v>
      </c>
      <c r="F15" s="6">
        <v>1.0999999999999999E-2</v>
      </c>
    </row>
    <row r="16" spans="2:54">
      <c r="B16" s="3"/>
      <c r="D16">
        <v>2009</v>
      </c>
      <c r="F16" s="6">
        <v>3.2000000000000001E-2</v>
      </c>
    </row>
    <row r="17" spans="2:54">
      <c r="B17" s="3"/>
      <c r="D17">
        <v>2010</v>
      </c>
      <c r="F17" s="6">
        <v>3.0000000000000001E-3</v>
      </c>
    </row>
    <row r="18" spans="2:54">
      <c r="B18" s="3"/>
      <c r="D18">
        <v>2011</v>
      </c>
      <c r="F18" s="6">
        <v>1.4999999999999999E-2</v>
      </c>
    </row>
    <row r="19" spans="2:54">
      <c r="B19" s="3"/>
      <c r="D19">
        <v>2012</v>
      </c>
      <c r="F19" s="6">
        <v>2.5999999999999999E-2</v>
      </c>
    </row>
    <row r="20" spans="2:54">
      <c r="B20" s="3"/>
      <c r="D20">
        <v>2013</v>
      </c>
      <c r="F20" s="6">
        <v>2.3E-2</v>
      </c>
    </row>
    <row r="21" spans="2:54">
      <c r="B21" s="3"/>
      <c r="D21" s="27"/>
      <c r="E21" s="27"/>
      <c r="F21" s="27"/>
    </row>
    <row r="22" spans="2:54">
      <c r="B22" s="3"/>
    </row>
    <row r="23" spans="2:54">
      <c r="B23" s="3"/>
      <c r="G23" s="11">
        <v>2001</v>
      </c>
      <c r="H23" s="11">
        <v>2002</v>
      </c>
      <c r="I23" s="11">
        <v>2003</v>
      </c>
      <c r="J23" s="11">
        <v>2004</v>
      </c>
      <c r="K23" s="11">
        <v>2005</v>
      </c>
      <c r="L23" s="11">
        <v>2006</v>
      </c>
      <c r="M23" s="11">
        <v>2007</v>
      </c>
      <c r="N23" s="11">
        <v>2008</v>
      </c>
      <c r="O23" s="11">
        <v>2009</v>
      </c>
      <c r="P23" s="11">
        <v>2010</v>
      </c>
      <c r="Q23" s="11">
        <v>2011</v>
      </c>
      <c r="R23" s="11">
        <v>2012</v>
      </c>
      <c r="S23" s="11">
        <v>2013</v>
      </c>
    </row>
    <row r="24" spans="2:54">
      <c r="B24" s="3" t="s">
        <v>186</v>
      </c>
      <c r="G24" s="12">
        <f>F8</f>
        <v>2.5000000000000001E-2</v>
      </c>
      <c r="H24" s="12">
        <f>F9</f>
        <v>4.7E-2</v>
      </c>
      <c r="I24" s="12">
        <f>F10</f>
        <v>3.3000000000000002E-2</v>
      </c>
      <c r="J24" s="12">
        <f>F11</f>
        <v>2.1000000000000001E-2</v>
      </c>
      <c r="K24" s="12">
        <f>F12</f>
        <v>1.0999999999999999E-2</v>
      </c>
      <c r="L24" s="12">
        <f>F13</f>
        <v>1.7999999999999999E-2</v>
      </c>
      <c r="M24" s="12">
        <f>F14</f>
        <v>1.4E-2</v>
      </c>
      <c r="N24" s="12">
        <f>F15</f>
        <v>1.0999999999999999E-2</v>
      </c>
      <c r="O24" s="12">
        <f>F16</f>
        <v>3.2000000000000001E-2</v>
      </c>
      <c r="P24" s="12">
        <f>F17</f>
        <v>3.0000000000000001E-3</v>
      </c>
      <c r="Q24" s="12">
        <f>F18</f>
        <v>1.4999999999999999E-2</v>
      </c>
      <c r="R24" s="12">
        <f>F19</f>
        <v>2.5999999999999999E-2</v>
      </c>
      <c r="S24" s="12">
        <f>F20</f>
        <v>2.3E-2</v>
      </c>
    </row>
    <row r="25" spans="2:54">
      <c r="B25" s="3"/>
    </row>
    <row r="26" spans="2:54">
      <c r="B26" s="3"/>
    </row>
    <row r="27" spans="2:54" s="9" customFormat="1">
      <c r="B27" s="2" t="s">
        <v>187</v>
      </c>
      <c r="F27" s="10"/>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2:54">
      <c r="B28" s="3"/>
    </row>
    <row r="29" spans="2:54">
      <c r="B29" s="3" t="s">
        <v>187</v>
      </c>
      <c r="D29" s="13"/>
      <c r="E29" s="13"/>
      <c r="F29" s="13" t="s">
        <v>188</v>
      </c>
      <c r="G29" s="13"/>
      <c r="H29" s="13"/>
      <c r="I29" s="13"/>
      <c r="J29" s="13"/>
      <c r="K29" s="13"/>
      <c r="L29" s="13"/>
      <c r="M29" s="13"/>
      <c r="N29" s="13"/>
      <c r="O29" s="13"/>
      <c r="P29" s="13"/>
      <c r="Q29" s="13"/>
      <c r="R29" s="13"/>
      <c r="S29" s="13"/>
    </row>
    <row r="30" spans="2:54">
      <c r="D30" s="14" t="s">
        <v>189</v>
      </c>
      <c r="E30" s="15"/>
      <c r="F30" s="11">
        <v>2000</v>
      </c>
      <c r="G30" s="11">
        <v>2001</v>
      </c>
      <c r="H30" s="11">
        <v>2002</v>
      </c>
      <c r="I30" s="11">
        <v>2003</v>
      </c>
      <c r="J30" s="11">
        <v>2004</v>
      </c>
      <c r="K30" s="11">
        <v>2005</v>
      </c>
      <c r="L30" s="11">
        <v>2006</v>
      </c>
      <c r="M30" s="11">
        <v>2007</v>
      </c>
      <c r="N30" s="11">
        <v>2008</v>
      </c>
      <c r="O30" s="11">
        <v>2009</v>
      </c>
      <c r="P30" s="11">
        <v>2010</v>
      </c>
      <c r="Q30" s="11">
        <v>2011</v>
      </c>
      <c r="R30" s="11">
        <v>2012</v>
      </c>
      <c r="S30" s="11">
        <v>2013</v>
      </c>
    </row>
    <row r="31" spans="2:54">
      <c r="D31" s="15">
        <v>2001</v>
      </c>
      <c r="E31" s="16"/>
      <c r="F31" s="17">
        <f>$F8</f>
        <v>2.5000000000000001E-2</v>
      </c>
      <c r="G31" s="18"/>
      <c r="H31" s="18"/>
      <c r="I31" s="18"/>
      <c r="J31" s="18"/>
      <c r="K31" s="18"/>
      <c r="L31" s="18"/>
      <c r="M31" s="18"/>
      <c r="N31" s="18"/>
      <c r="O31" s="18"/>
      <c r="P31" s="18"/>
      <c r="Q31" s="18"/>
      <c r="R31" s="18"/>
      <c r="S31" s="18"/>
    </row>
    <row r="32" spans="2:54">
      <c r="D32" s="15">
        <v>2002</v>
      </c>
      <c r="E32" s="16"/>
      <c r="F32" s="19">
        <f t="shared" ref="F32:F43" si="0">(1+F31)*(1+$F9)-1</f>
        <v>7.3174999999999768E-2</v>
      </c>
      <c r="G32" s="17">
        <f>$F9</f>
        <v>4.7E-2</v>
      </c>
      <c r="H32" s="18"/>
      <c r="I32" s="18"/>
      <c r="J32" s="18"/>
      <c r="K32" s="18"/>
      <c r="L32" s="18"/>
      <c r="M32" s="18"/>
      <c r="N32" s="18"/>
      <c r="O32" s="18"/>
      <c r="P32" s="18"/>
      <c r="Q32" s="18"/>
      <c r="R32" s="18"/>
      <c r="S32" s="18"/>
    </row>
    <row r="33" spans="2:19">
      <c r="D33" s="15">
        <v>2003</v>
      </c>
      <c r="E33" s="16"/>
      <c r="F33" s="19">
        <f t="shared" si="0"/>
        <v>0.10858977499999978</v>
      </c>
      <c r="G33" s="19">
        <f t="shared" ref="G33:G43" si="1">(1+G32)*(1+$F10)-1</f>
        <v>8.1550999999999929E-2</v>
      </c>
      <c r="H33" s="17">
        <f>$F10</f>
        <v>3.3000000000000002E-2</v>
      </c>
      <c r="I33" s="18"/>
      <c r="J33" s="18"/>
      <c r="K33" s="18"/>
      <c r="L33" s="18"/>
      <c r="M33" s="18"/>
      <c r="N33" s="18"/>
      <c r="O33" s="18"/>
      <c r="P33" s="18"/>
      <c r="Q33" s="18"/>
      <c r="R33" s="18"/>
      <c r="S33" s="18"/>
    </row>
    <row r="34" spans="2:19">
      <c r="D34" s="11">
        <v>2004</v>
      </c>
      <c r="E34" s="13"/>
      <c r="F34" s="19">
        <f t="shared" si="0"/>
        <v>0.13187016027499965</v>
      </c>
      <c r="G34" s="19">
        <f t="shared" si="1"/>
        <v>0.10426357099999972</v>
      </c>
      <c r="H34" s="19">
        <f t="shared" ref="H34:H43" si="2">(1+H33)*(1+$F11)-1</f>
        <v>5.4692999999999881E-2</v>
      </c>
      <c r="I34" s="17">
        <f>$F11</f>
        <v>2.1000000000000001E-2</v>
      </c>
      <c r="J34" s="18"/>
      <c r="K34" s="18"/>
      <c r="L34" s="18"/>
      <c r="M34" s="18"/>
      <c r="N34" s="18"/>
      <c r="O34" s="18"/>
      <c r="P34" s="18"/>
      <c r="Q34" s="18"/>
      <c r="R34" s="18"/>
      <c r="S34" s="18"/>
    </row>
    <row r="35" spans="2:19">
      <c r="D35" s="11">
        <v>2005</v>
      </c>
      <c r="E35" s="13"/>
      <c r="F35" s="19">
        <f t="shared" si="0"/>
        <v>0.14432073203802442</v>
      </c>
      <c r="G35" s="19">
        <f t="shared" si="1"/>
        <v>0.1164104702809996</v>
      </c>
      <c r="H35" s="19">
        <f t="shared" si="2"/>
        <v>6.6294622999999664E-2</v>
      </c>
      <c r="I35" s="19">
        <f t="shared" ref="I35:I43" si="3">(1+I34)*(1+$F12)-1</f>
        <v>3.2230999999999899E-2</v>
      </c>
      <c r="J35" s="17">
        <f>$F12</f>
        <v>1.0999999999999999E-2</v>
      </c>
      <c r="K35" s="18"/>
      <c r="L35" s="18"/>
      <c r="M35" s="18"/>
      <c r="N35" s="18"/>
      <c r="O35" s="18"/>
      <c r="P35" s="18"/>
      <c r="Q35" s="18"/>
      <c r="R35" s="18"/>
      <c r="S35" s="18"/>
    </row>
    <row r="36" spans="2:19">
      <c r="D36" s="11">
        <v>2006</v>
      </c>
      <c r="E36" s="13"/>
      <c r="F36" s="19">
        <f t="shared" si="0"/>
        <v>0.16491850521470885</v>
      </c>
      <c r="G36" s="19">
        <f t="shared" si="1"/>
        <v>0.1365058587460577</v>
      </c>
      <c r="H36" s="19">
        <f t="shared" si="2"/>
        <v>8.5487926213999588E-2</v>
      </c>
      <c r="I36" s="19">
        <f t="shared" si="3"/>
        <v>5.0811157999999912E-2</v>
      </c>
      <c r="J36" s="19">
        <f t="shared" ref="J36:J43" si="4">(1+J35)*(1+$F13)-1</f>
        <v>2.9197999999999835E-2</v>
      </c>
      <c r="K36" s="17">
        <f>$F13</f>
        <v>1.7999999999999999E-2</v>
      </c>
      <c r="L36" s="18"/>
      <c r="M36" s="18"/>
      <c r="N36" s="18"/>
      <c r="O36" s="18"/>
      <c r="P36" s="18"/>
      <c r="Q36" s="18"/>
      <c r="R36" s="18"/>
      <c r="S36" s="18"/>
    </row>
    <row r="37" spans="2:19">
      <c r="D37" s="11">
        <v>2007</v>
      </c>
      <c r="E37" s="13"/>
      <c r="F37" s="19">
        <f t="shared" si="0"/>
        <v>0.18122736428771469</v>
      </c>
      <c r="G37" s="19">
        <f t="shared" si="1"/>
        <v>0.15241694076850254</v>
      </c>
      <c r="H37" s="19">
        <f t="shared" si="2"/>
        <v>0.10068475718099568</v>
      </c>
      <c r="I37" s="19">
        <f t="shared" si="3"/>
        <v>6.5522514211999949E-2</v>
      </c>
      <c r="J37" s="19">
        <f t="shared" si="4"/>
        <v>4.3606771999999738E-2</v>
      </c>
      <c r="K37" s="19">
        <f t="shared" ref="K37:K43" si="5">(1+K36)*(1+$F14)-1</f>
        <v>3.2251999999999947E-2</v>
      </c>
      <c r="L37" s="17">
        <f>$F14</f>
        <v>1.4E-2</v>
      </c>
      <c r="M37" s="18"/>
      <c r="N37" s="18"/>
      <c r="O37" s="18"/>
      <c r="P37" s="18"/>
      <c r="Q37" s="18"/>
      <c r="R37" s="18"/>
      <c r="S37" s="18"/>
    </row>
    <row r="38" spans="2:19">
      <c r="D38" s="11">
        <v>2008</v>
      </c>
      <c r="E38" s="13"/>
      <c r="F38" s="19">
        <f t="shared" si="0"/>
        <v>0.19422086529487936</v>
      </c>
      <c r="G38" s="19">
        <f t="shared" si="1"/>
        <v>0.16509352711695602</v>
      </c>
      <c r="H38" s="19">
        <f t="shared" si="2"/>
        <v>0.11279228950998643</v>
      </c>
      <c r="I38" s="19">
        <f t="shared" si="3"/>
        <v>7.7243261868331858E-2</v>
      </c>
      <c r="J38" s="19">
        <f t="shared" si="4"/>
        <v>5.5086446491999563E-2</v>
      </c>
      <c r="K38" s="19">
        <f t="shared" si="5"/>
        <v>4.3606771999999738E-2</v>
      </c>
      <c r="L38" s="19">
        <f t="shared" ref="L38:L43" si="6">(1+L37)*(1+$F15)-1</f>
        <v>2.5153999999999899E-2</v>
      </c>
      <c r="M38" s="17">
        <f>$F15</f>
        <v>1.0999999999999999E-2</v>
      </c>
      <c r="N38" s="18"/>
      <c r="O38" s="18"/>
      <c r="P38" s="18"/>
      <c r="Q38" s="18"/>
      <c r="R38" s="18"/>
      <c r="S38" s="18"/>
    </row>
    <row r="39" spans="2:19">
      <c r="D39" s="11">
        <v>2009</v>
      </c>
      <c r="E39" s="13"/>
      <c r="F39" s="19">
        <f t="shared" si="0"/>
        <v>0.23243593298431553</v>
      </c>
      <c r="G39" s="19">
        <f t="shared" si="1"/>
        <v>0.20237651998469874</v>
      </c>
      <c r="H39" s="19">
        <f t="shared" si="2"/>
        <v>0.14840164277430601</v>
      </c>
      <c r="I39" s="19">
        <f t="shared" si="3"/>
        <v>0.11171504624811845</v>
      </c>
      <c r="J39" s="19">
        <f t="shared" si="4"/>
        <v>8.8849212779743558E-2</v>
      </c>
      <c r="K39" s="19">
        <f t="shared" si="5"/>
        <v>7.7002188703999774E-2</v>
      </c>
      <c r="L39" s="19">
        <f t="shared" si="6"/>
        <v>5.795892799999991E-2</v>
      </c>
      <c r="M39" s="19">
        <f>(1+M38)*(1+$F16)-1</f>
        <v>4.3351999999999835E-2</v>
      </c>
      <c r="N39" s="17">
        <f>$F16</f>
        <v>3.2000000000000001E-2</v>
      </c>
      <c r="O39" s="18"/>
      <c r="P39" s="18"/>
      <c r="Q39" s="18"/>
      <c r="R39" s="18"/>
      <c r="S39" s="18"/>
    </row>
    <row r="40" spans="2:19">
      <c r="D40" s="11">
        <v>2010</v>
      </c>
      <c r="E40" s="13"/>
      <c r="F40" s="19">
        <f t="shared" si="0"/>
        <v>0.23613324078326836</v>
      </c>
      <c r="G40" s="19">
        <f t="shared" si="1"/>
        <v>0.20598364954465276</v>
      </c>
      <c r="H40" s="19">
        <f t="shared" si="2"/>
        <v>0.15184684770262891</v>
      </c>
      <c r="I40" s="19">
        <f t="shared" si="3"/>
        <v>0.11505019138686268</v>
      </c>
      <c r="J40" s="19">
        <f t="shared" si="4"/>
        <v>9.2115760418082671E-2</v>
      </c>
      <c r="K40" s="19">
        <f t="shared" si="5"/>
        <v>8.0233195270111635E-2</v>
      </c>
      <c r="L40" s="19">
        <f t="shared" si="6"/>
        <v>6.113280478399985E-2</v>
      </c>
      <c r="M40" s="19">
        <f>(1+M39)*(1+$F17)-1</f>
        <v>4.6482055999999661E-2</v>
      </c>
      <c r="N40" s="19">
        <f>(1+N39)*(1+$F17)-1</f>
        <v>3.5096000000000016E-2</v>
      </c>
      <c r="O40" s="17">
        <f>$F17</f>
        <v>3.0000000000000001E-3</v>
      </c>
      <c r="P40" s="18"/>
      <c r="Q40" s="18"/>
      <c r="R40" s="18"/>
      <c r="S40" s="18"/>
    </row>
    <row r="41" spans="2:19">
      <c r="D41" s="11">
        <v>2011</v>
      </c>
      <c r="E41" s="13"/>
      <c r="F41" s="19">
        <f t="shared" si="0"/>
        <v>0.25467523939501735</v>
      </c>
      <c r="G41" s="19">
        <f t="shared" si="1"/>
        <v>0.22407340428782252</v>
      </c>
      <c r="H41" s="19">
        <f t="shared" si="2"/>
        <v>0.16912455041816821</v>
      </c>
      <c r="I41" s="19">
        <f t="shared" si="3"/>
        <v>0.13177594425766559</v>
      </c>
      <c r="J41" s="19">
        <f t="shared" si="4"/>
        <v>0.10849749682435372</v>
      </c>
      <c r="K41" s="19">
        <f t="shared" si="5"/>
        <v>9.6436693199163148E-2</v>
      </c>
      <c r="L41" s="19">
        <f t="shared" si="6"/>
        <v>7.7049796855759745E-2</v>
      </c>
      <c r="M41" s="19">
        <f>(1+M40)*(1+$F18)-1</f>
        <v>6.2179286839999515E-2</v>
      </c>
      <c r="N41" s="19">
        <f>(1+N40)*(1+$F18)-1</f>
        <v>5.0622439999999935E-2</v>
      </c>
      <c r="O41" s="19">
        <f>(1+O40)*(1+$F18)-1</f>
        <v>1.8044999999999867E-2</v>
      </c>
      <c r="P41" s="17">
        <f>$F18</f>
        <v>1.4999999999999999E-2</v>
      </c>
      <c r="Q41" s="18"/>
      <c r="R41" s="18"/>
      <c r="S41" s="18"/>
    </row>
    <row r="42" spans="2:19">
      <c r="D42" s="11">
        <v>2012</v>
      </c>
      <c r="E42" s="13"/>
      <c r="F42" s="19">
        <f t="shared" si="0"/>
        <v>0.28729679561928778</v>
      </c>
      <c r="G42" s="19">
        <f t="shared" si="1"/>
        <v>0.25589931279930589</v>
      </c>
      <c r="H42" s="19">
        <f t="shared" si="2"/>
        <v>0.19952178872904058</v>
      </c>
      <c r="I42" s="19">
        <f t="shared" si="3"/>
        <v>0.16120211880836499</v>
      </c>
      <c r="J42" s="19">
        <f t="shared" si="4"/>
        <v>0.13731843174178704</v>
      </c>
      <c r="K42" s="19">
        <f t="shared" si="5"/>
        <v>0.12494404722234131</v>
      </c>
      <c r="L42" s="19">
        <f t="shared" si="6"/>
        <v>0.10505309157400955</v>
      </c>
      <c r="M42" s="19">
        <f>(1+M41)*(1+$F19)-1</f>
        <v>8.9795948297839434E-2</v>
      </c>
      <c r="N42" s="19">
        <f>(1+N41)*(1+$F19)-1</f>
        <v>7.793862343999991E-2</v>
      </c>
      <c r="O42" s="19">
        <f>(1+O41)*(1+$F19)-1</f>
        <v>4.4514169999999798E-2</v>
      </c>
      <c r="P42" s="19">
        <f>(1+P41)*(1+$F19)-1</f>
        <v>4.1389999999999816E-2</v>
      </c>
      <c r="Q42" s="17">
        <f>$F19</f>
        <v>2.5999999999999999E-2</v>
      </c>
      <c r="R42" s="18"/>
      <c r="S42" s="18"/>
    </row>
    <row r="43" spans="2:19">
      <c r="D43" s="11">
        <v>2013</v>
      </c>
      <c r="E43" s="13"/>
      <c r="F43" s="19">
        <f t="shared" si="0"/>
        <v>0.31690462191853119</v>
      </c>
      <c r="G43" s="19">
        <f t="shared" si="1"/>
        <v>0.28478499699368975</v>
      </c>
      <c r="H43" s="19">
        <f t="shared" si="2"/>
        <v>0.22711078986980837</v>
      </c>
      <c r="I43" s="19">
        <f t="shared" si="3"/>
        <v>0.18790976754095734</v>
      </c>
      <c r="J43" s="19">
        <f t="shared" si="4"/>
        <v>0.16347675567184794</v>
      </c>
      <c r="K43" s="19">
        <f t="shared" si="5"/>
        <v>0.15081776030845506</v>
      </c>
      <c r="L43" s="19">
        <f t="shared" si="6"/>
        <v>0.13046931268021167</v>
      </c>
      <c r="M43" s="19">
        <f>(1+M42)*(1+$F20)-1</f>
        <v>0.11486125510868961</v>
      </c>
      <c r="N43" s="19">
        <f>(1+N42)*(1+$F20)-1</f>
        <v>0.1027312117791197</v>
      </c>
      <c r="O43" s="19">
        <f>(1+O42)*(1+$F20)-1</f>
        <v>6.8537995909999649E-2</v>
      </c>
      <c r="P43" s="19">
        <f>(1+P42)*(1+$F20)-1</f>
        <v>6.5341969999999749E-2</v>
      </c>
      <c r="Q43" s="19">
        <f>(1+Q42)*(1+$F20)-1</f>
        <v>4.9598000000000031E-2</v>
      </c>
      <c r="R43" s="17">
        <f>$F20</f>
        <v>2.3E-2</v>
      </c>
      <c r="S43" s="18"/>
    </row>
    <row r="46" spans="2:19">
      <c r="B46" s="3" t="s">
        <v>190</v>
      </c>
    </row>
    <row r="48" spans="2:19">
      <c r="D48" t="s">
        <v>188</v>
      </c>
      <c r="F48" t="s">
        <v>189</v>
      </c>
      <c r="G48">
        <v>2001</v>
      </c>
      <c r="H48">
        <v>2002</v>
      </c>
      <c r="I48">
        <v>2003</v>
      </c>
      <c r="J48">
        <v>2004</v>
      </c>
      <c r="K48">
        <v>2005</v>
      </c>
      <c r="L48">
        <v>2006</v>
      </c>
      <c r="M48">
        <v>2007</v>
      </c>
      <c r="N48">
        <v>2008</v>
      </c>
      <c r="O48">
        <v>2009</v>
      </c>
      <c r="P48">
        <v>2010</v>
      </c>
      <c r="Q48">
        <v>2011</v>
      </c>
      <c r="R48">
        <v>2012</v>
      </c>
      <c r="S48">
        <v>2013</v>
      </c>
    </row>
    <row r="49" spans="4:19">
      <c r="D49">
        <v>2000</v>
      </c>
      <c r="F49" s="20"/>
      <c r="G49" s="12">
        <f>G$24</f>
        <v>2.5000000000000001E-2</v>
      </c>
      <c r="H49" s="19">
        <f t="shared" ref="H49:S49" si="7">(1+G49)*(1+H$24)-1</f>
        <v>7.3174999999999768E-2</v>
      </c>
      <c r="I49" s="19">
        <f t="shared" si="7"/>
        <v>0.10858977499999978</v>
      </c>
      <c r="J49" s="19">
        <f t="shared" si="7"/>
        <v>0.13187016027499965</v>
      </c>
      <c r="K49" s="19">
        <f t="shared" si="7"/>
        <v>0.14432073203802442</v>
      </c>
      <c r="L49" s="19">
        <f t="shared" si="7"/>
        <v>0.16491850521470885</v>
      </c>
      <c r="M49" s="19">
        <f t="shared" si="7"/>
        <v>0.18122736428771469</v>
      </c>
      <c r="N49" s="19">
        <f t="shared" si="7"/>
        <v>0.19422086529487936</v>
      </c>
      <c r="O49" s="19">
        <f t="shared" si="7"/>
        <v>0.23243593298431553</v>
      </c>
      <c r="P49" s="19">
        <f t="shared" si="7"/>
        <v>0.23613324078326836</v>
      </c>
      <c r="Q49" s="19">
        <f t="shared" si="7"/>
        <v>0.25467523939501735</v>
      </c>
      <c r="R49" s="19">
        <f t="shared" si="7"/>
        <v>0.28729679561928778</v>
      </c>
      <c r="S49" s="19">
        <f t="shared" si="7"/>
        <v>0.31690462191853119</v>
      </c>
    </row>
    <row r="50" spans="4:19">
      <c r="D50">
        <v>2001</v>
      </c>
      <c r="F50" s="20"/>
      <c r="G50" s="20"/>
      <c r="H50" s="12">
        <f>H$24</f>
        <v>4.7E-2</v>
      </c>
      <c r="I50" s="19">
        <f t="shared" ref="I50:S50" si="8">(1+H50)*(1+I$24)-1</f>
        <v>8.1550999999999929E-2</v>
      </c>
      <c r="J50" s="19">
        <f t="shared" si="8"/>
        <v>0.10426357099999972</v>
      </c>
      <c r="K50" s="19">
        <f t="shared" si="8"/>
        <v>0.1164104702809996</v>
      </c>
      <c r="L50" s="19">
        <f t="shared" si="8"/>
        <v>0.1365058587460577</v>
      </c>
      <c r="M50" s="19">
        <f t="shared" si="8"/>
        <v>0.15241694076850254</v>
      </c>
      <c r="N50" s="19">
        <f t="shared" si="8"/>
        <v>0.16509352711695602</v>
      </c>
      <c r="O50" s="19">
        <f t="shared" si="8"/>
        <v>0.20237651998469874</v>
      </c>
      <c r="P50" s="19">
        <f t="shared" si="8"/>
        <v>0.20598364954465276</v>
      </c>
      <c r="Q50" s="19">
        <f t="shared" si="8"/>
        <v>0.22407340428782252</v>
      </c>
      <c r="R50" s="19">
        <f t="shared" si="8"/>
        <v>0.25589931279930589</v>
      </c>
      <c r="S50" s="19">
        <f t="shared" si="8"/>
        <v>0.28478499699368975</v>
      </c>
    </row>
    <row r="51" spans="4:19">
      <c r="D51">
        <v>2002</v>
      </c>
      <c r="F51" s="20"/>
      <c r="G51" s="20"/>
      <c r="H51" s="20"/>
      <c r="I51" s="12">
        <f>I$24</f>
        <v>3.3000000000000002E-2</v>
      </c>
      <c r="J51" s="19">
        <f t="shared" ref="J51:S51" si="9">(1+I51)*(1+J$24)-1</f>
        <v>5.4692999999999881E-2</v>
      </c>
      <c r="K51" s="19">
        <f t="shared" si="9"/>
        <v>6.6294622999999664E-2</v>
      </c>
      <c r="L51" s="19">
        <f t="shared" si="9"/>
        <v>8.5487926213999588E-2</v>
      </c>
      <c r="M51" s="19">
        <f t="shared" si="9"/>
        <v>0.10068475718099568</v>
      </c>
      <c r="N51" s="19">
        <f t="shared" si="9"/>
        <v>0.11279228950998643</v>
      </c>
      <c r="O51" s="19">
        <f t="shared" si="9"/>
        <v>0.14840164277430601</v>
      </c>
      <c r="P51" s="19">
        <f t="shared" si="9"/>
        <v>0.15184684770262891</v>
      </c>
      <c r="Q51" s="19">
        <f t="shared" si="9"/>
        <v>0.16912455041816821</v>
      </c>
      <c r="R51" s="19">
        <f t="shared" si="9"/>
        <v>0.19952178872904058</v>
      </c>
      <c r="S51" s="19">
        <f t="shared" si="9"/>
        <v>0.22711078986980837</v>
      </c>
    </row>
    <row r="52" spans="4:19">
      <c r="D52">
        <v>2003</v>
      </c>
      <c r="F52" s="20"/>
      <c r="G52" s="20"/>
      <c r="H52" s="20"/>
      <c r="I52" s="20"/>
      <c r="J52" s="12">
        <f>J$24</f>
        <v>2.1000000000000001E-2</v>
      </c>
      <c r="K52" s="19">
        <f t="shared" ref="K52:S52" si="10">(1+J52)*(1+K$24)-1</f>
        <v>3.2230999999999899E-2</v>
      </c>
      <c r="L52" s="19">
        <f t="shared" si="10"/>
        <v>5.0811157999999912E-2</v>
      </c>
      <c r="M52" s="19">
        <f t="shared" si="10"/>
        <v>6.5522514211999949E-2</v>
      </c>
      <c r="N52" s="19">
        <f t="shared" si="10"/>
        <v>7.7243261868331858E-2</v>
      </c>
      <c r="O52" s="19">
        <f t="shared" si="10"/>
        <v>0.11171504624811845</v>
      </c>
      <c r="P52" s="19">
        <f t="shared" si="10"/>
        <v>0.11505019138686268</v>
      </c>
      <c r="Q52" s="19">
        <f t="shared" si="10"/>
        <v>0.13177594425766559</v>
      </c>
      <c r="R52" s="19">
        <f t="shared" si="10"/>
        <v>0.16120211880836499</v>
      </c>
      <c r="S52" s="19">
        <f t="shared" si="10"/>
        <v>0.18790976754095734</v>
      </c>
    </row>
    <row r="53" spans="4:19">
      <c r="D53">
        <v>2004</v>
      </c>
      <c r="F53" s="20"/>
      <c r="G53" s="20"/>
      <c r="H53" s="20"/>
      <c r="I53" s="20"/>
      <c r="J53" s="20"/>
      <c r="K53" s="12">
        <f>K$24</f>
        <v>1.0999999999999999E-2</v>
      </c>
      <c r="L53" s="19">
        <f t="shared" ref="L53:S53" si="11">(1+K53)*(1+L$24)-1</f>
        <v>2.9197999999999835E-2</v>
      </c>
      <c r="M53" s="19">
        <f t="shared" si="11"/>
        <v>4.3606771999999738E-2</v>
      </c>
      <c r="N53" s="19">
        <f t="shared" si="11"/>
        <v>5.5086446491999563E-2</v>
      </c>
      <c r="O53" s="19">
        <f t="shared" si="11"/>
        <v>8.8849212779743558E-2</v>
      </c>
      <c r="P53" s="19">
        <f t="shared" si="11"/>
        <v>9.2115760418082671E-2</v>
      </c>
      <c r="Q53" s="19">
        <f t="shared" si="11"/>
        <v>0.10849749682435372</v>
      </c>
      <c r="R53" s="19">
        <f t="shared" si="11"/>
        <v>0.13731843174178704</v>
      </c>
      <c r="S53" s="19">
        <f t="shared" si="11"/>
        <v>0.16347675567184794</v>
      </c>
    </row>
    <row r="54" spans="4:19">
      <c r="D54">
        <v>2005</v>
      </c>
      <c r="F54" s="20"/>
      <c r="G54" s="20"/>
      <c r="H54" s="20"/>
      <c r="I54" s="20"/>
      <c r="J54" s="20"/>
      <c r="K54" s="20"/>
      <c r="L54" s="12">
        <f>L$24</f>
        <v>1.7999999999999999E-2</v>
      </c>
      <c r="M54" s="19">
        <f t="shared" ref="M54:S54" si="12">(1+L54)*(1+M$24)-1</f>
        <v>3.2251999999999947E-2</v>
      </c>
      <c r="N54" s="19">
        <f t="shared" si="12"/>
        <v>4.3606771999999738E-2</v>
      </c>
      <c r="O54" s="19">
        <f t="shared" si="12"/>
        <v>7.7002188703999774E-2</v>
      </c>
      <c r="P54" s="19">
        <f t="shared" si="12"/>
        <v>8.0233195270111635E-2</v>
      </c>
      <c r="Q54" s="19">
        <f t="shared" si="12"/>
        <v>9.6436693199163148E-2</v>
      </c>
      <c r="R54" s="19">
        <f t="shared" si="12"/>
        <v>0.12494404722234131</v>
      </c>
      <c r="S54" s="19">
        <f t="shared" si="12"/>
        <v>0.15081776030845506</v>
      </c>
    </row>
    <row r="55" spans="4:19">
      <c r="D55">
        <v>2006</v>
      </c>
      <c r="F55" s="20"/>
      <c r="G55" s="20"/>
      <c r="H55" s="20"/>
      <c r="I55" s="20"/>
      <c r="J55" s="20"/>
      <c r="K55" s="20"/>
      <c r="L55" s="20"/>
      <c r="M55" s="12">
        <f>M$24</f>
        <v>1.4E-2</v>
      </c>
      <c r="N55" s="19">
        <f t="shared" ref="N55:S55" si="13">(1+M55)*(1+N$24)-1</f>
        <v>2.5153999999999899E-2</v>
      </c>
      <c r="O55" s="19">
        <f t="shared" si="13"/>
        <v>5.795892799999991E-2</v>
      </c>
      <c r="P55" s="19">
        <f t="shared" si="13"/>
        <v>6.113280478399985E-2</v>
      </c>
      <c r="Q55" s="19">
        <f t="shared" si="13"/>
        <v>7.7049796855759745E-2</v>
      </c>
      <c r="R55" s="19">
        <f t="shared" si="13"/>
        <v>0.10505309157400955</v>
      </c>
      <c r="S55" s="19">
        <f t="shared" si="13"/>
        <v>0.13046931268021167</v>
      </c>
    </row>
    <row r="56" spans="4:19">
      <c r="D56">
        <v>2007</v>
      </c>
      <c r="F56" s="20"/>
      <c r="G56" s="20"/>
      <c r="H56" s="20"/>
      <c r="I56" s="20"/>
      <c r="J56" s="20"/>
      <c r="K56" s="20"/>
      <c r="L56" s="20"/>
      <c r="M56" s="20"/>
      <c r="N56" s="12">
        <f>N$24</f>
        <v>1.0999999999999999E-2</v>
      </c>
      <c r="O56" s="19">
        <f>(1+N56)*(1+O$24)-1</f>
        <v>4.3351999999999835E-2</v>
      </c>
      <c r="P56" s="19">
        <f>(1+O56)*(1+P$24)-1</f>
        <v>4.6482055999999661E-2</v>
      </c>
      <c r="Q56" s="19">
        <f>(1+P56)*(1+Q$24)-1</f>
        <v>6.2179286839999515E-2</v>
      </c>
      <c r="R56" s="19">
        <f>(1+Q56)*(1+R$24)-1</f>
        <v>8.9795948297839434E-2</v>
      </c>
      <c r="S56" s="19">
        <f>(1+R56)*(1+S$24)-1</f>
        <v>0.11486125510868961</v>
      </c>
    </row>
    <row r="57" spans="4:19">
      <c r="D57">
        <v>2008</v>
      </c>
      <c r="F57" s="20"/>
      <c r="G57" s="20"/>
      <c r="H57" s="20"/>
      <c r="I57" s="20"/>
      <c r="J57" s="20"/>
      <c r="K57" s="20"/>
      <c r="L57" s="20"/>
      <c r="M57" s="20"/>
      <c r="N57" s="20"/>
      <c r="O57" s="12">
        <f>O$24</f>
        <v>3.2000000000000001E-2</v>
      </c>
      <c r="P57" s="19">
        <f>(1+O57)*(1+P$24)-1</f>
        <v>3.5096000000000016E-2</v>
      </c>
      <c r="Q57" s="19">
        <f>(1+P57)*(1+Q$24)-1</f>
        <v>5.0622439999999935E-2</v>
      </c>
      <c r="R57" s="19">
        <f>(1+Q57)*(1+R$24)-1</f>
        <v>7.793862343999991E-2</v>
      </c>
      <c r="S57" s="19">
        <f>(1+R57)*(1+S$24)-1</f>
        <v>0.1027312117791197</v>
      </c>
    </row>
    <row r="58" spans="4:19">
      <c r="D58">
        <v>2009</v>
      </c>
      <c r="F58" s="20"/>
      <c r="G58" s="20"/>
      <c r="H58" s="20"/>
      <c r="I58" s="20"/>
      <c r="J58" s="20"/>
      <c r="K58" s="20"/>
      <c r="L58" s="20"/>
      <c r="M58" s="20"/>
      <c r="N58" s="20"/>
      <c r="O58" s="20"/>
      <c r="P58" s="12">
        <f>P$24</f>
        <v>3.0000000000000001E-3</v>
      </c>
      <c r="Q58" s="19">
        <f>(1+P58)*(1+Q$24)-1</f>
        <v>1.8044999999999867E-2</v>
      </c>
      <c r="R58" s="19">
        <f>(1+Q58)*(1+R$24)-1</f>
        <v>4.4514169999999798E-2</v>
      </c>
      <c r="S58" s="19">
        <f>(1+R58)*(1+S$24)-1</f>
        <v>6.8537995909999649E-2</v>
      </c>
    </row>
    <row r="59" spans="4:19">
      <c r="D59">
        <v>2010</v>
      </c>
      <c r="F59" s="20"/>
      <c r="G59" s="20"/>
      <c r="H59" s="20"/>
      <c r="I59" s="20"/>
      <c r="J59" s="20"/>
      <c r="K59" s="20"/>
      <c r="L59" s="20"/>
      <c r="M59" s="20"/>
      <c r="N59" s="20"/>
      <c r="O59" s="20"/>
      <c r="P59" s="20"/>
      <c r="Q59" s="12">
        <f>Q$24</f>
        <v>1.4999999999999999E-2</v>
      </c>
      <c r="R59" s="19">
        <f>(1+Q59)*(1+R$24)-1</f>
        <v>4.1389999999999816E-2</v>
      </c>
      <c r="S59" s="19">
        <f>(1+R59)*(1+S$24)-1</f>
        <v>6.5341969999999749E-2</v>
      </c>
    </row>
    <row r="60" spans="4:19">
      <c r="D60">
        <v>2011</v>
      </c>
      <c r="F60" s="20"/>
      <c r="G60" s="20"/>
      <c r="H60" s="20"/>
      <c r="I60" s="20"/>
      <c r="J60" s="20"/>
      <c r="K60" s="20"/>
      <c r="L60" s="20"/>
      <c r="M60" s="20"/>
      <c r="N60" s="20"/>
      <c r="O60" s="20"/>
      <c r="P60" s="20"/>
      <c r="Q60" s="20"/>
      <c r="R60" s="12">
        <f>R$24</f>
        <v>2.5999999999999999E-2</v>
      </c>
      <c r="S60" s="19">
        <f>(1+R60)*(1+S$24)-1</f>
        <v>4.9598000000000031E-2</v>
      </c>
    </row>
    <row r="61" spans="4:19">
      <c r="D61">
        <v>2012</v>
      </c>
      <c r="F61" s="20"/>
      <c r="G61" s="20"/>
      <c r="H61" s="20"/>
      <c r="I61" s="20"/>
      <c r="J61" s="20"/>
      <c r="K61" s="20"/>
      <c r="L61" s="20"/>
      <c r="M61" s="20"/>
      <c r="N61" s="20"/>
      <c r="O61" s="20"/>
      <c r="P61" s="20"/>
      <c r="Q61" s="20"/>
      <c r="R61" s="20"/>
      <c r="S61" s="12">
        <f>S$24</f>
        <v>2.3E-2</v>
      </c>
    </row>
  </sheetData>
  <phoneticPr fontId="3"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tabColor rgb="FFDBE91F"/>
  </sheetPr>
  <dimension ref="A1:AA120"/>
  <sheetViews>
    <sheetView showGridLines="0" zoomScale="85" zoomScaleNormal="85" workbookViewId="0"/>
  </sheetViews>
  <sheetFormatPr defaultRowHeight="11.25"/>
  <cols>
    <col min="1" max="1" width="9.140625" style="359" customWidth="1"/>
    <col min="2" max="2" width="44.7109375" style="359" customWidth="1"/>
    <col min="3" max="3" width="9.85546875" style="359" customWidth="1"/>
    <col min="4" max="4" width="9.28515625" style="359" customWidth="1"/>
    <col min="5" max="5" width="9.140625" style="316" customWidth="1"/>
    <col min="6" max="6" width="44.85546875" style="359" bestFit="1" customWidth="1"/>
    <col min="7" max="7" width="9.85546875" style="359" bestFit="1" customWidth="1"/>
    <col min="8" max="8" width="9.28515625" style="359" bestFit="1" customWidth="1"/>
    <col min="9" max="9" width="9.140625" style="316"/>
    <col min="10" max="10" width="44.85546875" style="359" bestFit="1" customWidth="1"/>
    <col min="11" max="11" width="10.5703125" style="359" bestFit="1" customWidth="1"/>
    <col min="12" max="12" width="9.28515625" style="359" bestFit="1" customWidth="1"/>
    <col min="13" max="13" width="9.140625" style="316"/>
    <col min="14" max="14" width="44.85546875" style="359" bestFit="1" customWidth="1"/>
    <col min="15" max="15" width="10" style="359" bestFit="1" customWidth="1"/>
    <col min="16" max="16" width="9" style="359" bestFit="1" customWidth="1"/>
    <col min="17" max="17" width="8.140625" style="316" customWidth="1"/>
    <col min="18" max="18" width="44.85546875" style="359" bestFit="1" customWidth="1"/>
    <col min="19" max="19" width="9.85546875" style="359" bestFit="1" customWidth="1"/>
    <col min="20" max="20" width="8.7109375" style="359" bestFit="1" customWidth="1"/>
    <col min="21" max="21" width="3" style="359" customWidth="1" collapsed="1"/>
    <col min="22" max="22" width="44.85546875" style="359" bestFit="1" customWidth="1"/>
    <col min="23" max="23" width="9.85546875" style="359" bestFit="1" customWidth="1"/>
    <col min="24" max="16384" width="9.140625" style="359"/>
  </cols>
  <sheetData>
    <row r="1" spans="2:24">
      <c r="B1" s="828" t="s">
        <v>894</v>
      </c>
      <c r="C1" s="828" t="s">
        <v>650</v>
      </c>
      <c r="D1" s="828" t="s">
        <v>325</v>
      </c>
    </row>
    <row r="2" spans="2:24" ht="15.75">
      <c r="B2" s="240" t="str">
        <f>B1</f>
        <v>NE6R Cogas</v>
      </c>
      <c r="C2" s="240" t="str">
        <f>C1</f>
        <v>Standaardisatie</v>
      </c>
      <c r="D2" s="240"/>
      <c r="E2" s="240"/>
      <c r="F2" s="240" t="str">
        <f>D1</f>
        <v>PAV</v>
      </c>
      <c r="G2" s="291"/>
      <c r="H2" s="292"/>
      <c r="I2" s="293"/>
      <c r="J2" s="293"/>
      <c r="K2" s="291"/>
      <c r="L2" s="292"/>
      <c r="M2" s="293"/>
      <c r="N2" s="293"/>
      <c r="O2" s="293"/>
      <c r="P2" s="293"/>
      <c r="Q2" s="293"/>
      <c r="R2" s="293"/>
      <c r="S2" s="293"/>
      <c r="T2" s="293"/>
      <c r="V2" s="294" t="s">
        <v>651</v>
      </c>
      <c r="W2" s="295"/>
      <c r="X2" s="295"/>
    </row>
    <row r="4" spans="2:24" ht="12.75">
      <c r="B4" s="296" t="s">
        <v>1403</v>
      </c>
      <c r="C4" s="297" t="s">
        <v>1404</v>
      </c>
      <c r="D4" s="297"/>
      <c r="E4" s="297"/>
      <c r="F4" s="297"/>
      <c r="G4" s="297"/>
      <c r="H4" s="297"/>
      <c r="I4" s="297"/>
      <c r="J4" s="298"/>
    </row>
    <row r="5" spans="2:24" ht="12.75">
      <c r="B5" s="299" t="s">
        <v>1405</v>
      </c>
      <c r="C5" s="300" t="s">
        <v>1406</v>
      </c>
      <c r="D5" s="300"/>
      <c r="E5" s="300"/>
      <c r="F5" s="300"/>
      <c r="G5" s="300"/>
      <c r="H5" s="300"/>
      <c r="I5" s="300"/>
      <c r="J5" s="301"/>
    </row>
    <row r="6" spans="2:24" ht="12.75">
      <c r="B6" s="302" t="s">
        <v>1407</v>
      </c>
      <c r="C6" s="303" t="s">
        <v>1408</v>
      </c>
      <c r="D6" s="303"/>
      <c r="E6" s="303"/>
      <c r="F6" s="303"/>
      <c r="G6" s="303"/>
      <c r="H6" s="303"/>
      <c r="I6" s="303"/>
      <c r="J6" s="304"/>
    </row>
    <row r="7" spans="2:24" ht="12.75">
      <c r="B7" s="305" t="s">
        <v>1409</v>
      </c>
      <c r="C7" s="306" t="s">
        <v>1410</v>
      </c>
      <c r="D7" s="306"/>
      <c r="E7" s="306"/>
      <c r="F7" s="306"/>
      <c r="G7" s="306"/>
      <c r="H7" s="306"/>
      <c r="I7" s="306"/>
      <c r="J7" s="307"/>
    </row>
    <row r="8" spans="2:24" ht="12.75">
      <c r="B8" s="1105" t="s">
        <v>1411</v>
      </c>
      <c r="C8" s="308" t="s">
        <v>1438</v>
      </c>
      <c r="D8" s="308"/>
      <c r="E8" s="308"/>
      <c r="F8" s="308"/>
      <c r="G8" s="308"/>
      <c r="H8" s="308"/>
      <c r="I8" s="308"/>
      <c r="J8" s="309"/>
    </row>
    <row r="9" spans="2:24" ht="12.75">
      <c r="B9" s="310" t="s">
        <v>1415</v>
      </c>
      <c r="C9" s="311" t="s">
        <v>1416</v>
      </c>
      <c r="D9" s="311"/>
      <c r="E9" s="311"/>
      <c r="F9" s="311"/>
      <c r="G9" s="311"/>
      <c r="H9" s="311"/>
      <c r="I9" s="311"/>
      <c r="J9" s="312"/>
    </row>
    <row r="12" spans="2:24" ht="15.75">
      <c r="B12" s="463" t="s">
        <v>895</v>
      </c>
      <c r="C12" s="464"/>
      <c r="D12" s="465"/>
      <c r="E12" s="359"/>
      <c r="I12" s="359"/>
      <c r="M12" s="359"/>
      <c r="Q12" s="359"/>
    </row>
    <row r="13" spans="2:24" ht="12.75">
      <c r="B13" s="317"/>
      <c r="C13" s="1190">
        <v>2009</v>
      </c>
      <c r="D13" s="1191"/>
      <c r="E13" s="829"/>
      <c r="F13" s="320"/>
      <c r="G13" s="1192">
        <v>2010</v>
      </c>
      <c r="H13" s="1191"/>
      <c r="I13" s="829"/>
      <c r="J13" s="514"/>
      <c r="K13" s="1188">
        <v>2011</v>
      </c>
      <c r="L13" s="1189"/>
      <c r="M13" s="321"/>
      <c r="N13" s="514"/>
      <c r="O13" s="1188">
        <v>2012</v>
      </c>
      <c r="P13" s="1189"/>
      <c r="Q13" s="321"/>
      <c r="R13" s="514"/>
      <c r="S13" s="1190">
        <v>2013</v>
      </c>
      <c r="T13" s="1193"/>
      <c r="V13" s="514" t="s">
        <v>656</v>
      </c>
      <c r="W13" s="1188" t="s">
        <v>657</v>
      </c>
      <c r="X13" s="1189"/>
    </row>
    <row r="14" spans="2:24" s="830" customFormat="1" ht="20.25" customHeight="1">
      <c r="B14" s="322" t="s">
        <v>658</v>
      </c>
      <c r="C14" s="322" t="s">
        <v>632</v>
      </c>
      <c r="D14" s="323" t="s">
        <v>633</v>
      </c>
      <c r="E14" s="324"/>
      <c r="F14" s="323" t="s">
        <v>658</v>
      </c>
      <c r="G14" s="606" t="s">
        <v>632</v>
      </c>
      <c r="H14" s="323" t="s">
        <v>633</v>
      </c>
      <c r="I14" s="324"/>
      <c r="J14" s="322" t="s">
        <v>658</v>
      </c>
      <c r="K14" s="325" t="s">
        <v>632</v>
      </c>
      <c r="L14" s="470" t="s">
        <v>633</v>
      </c>
      <c r="M14" s="324"/>
      <c r="N14" s="322" t="s">
        <v>658</v>
      </c>
      <c r="O14" s="325" t="s">
        <v>632</v>
      </c>
      <c r="P14" s="470" t="s">
        <v>633</v>
      </c>
      <c r="Q14" s="324"/>
      <c r="R14" s="322" t="s">
        <v>658</v>
      </c>
      <c r="S14" s="516" t="s">
        <v>710</v>
      </c>
      <c r="T14" s="516" t="s">
        <v>633</v>
      </c>
      <c r="V14" s="322" t="s">
        <v>658</v>
      </c>
      <c r="W14" s="516" t="s">
        <v>710</v>
      </c>
      <c r="X14" s="516" t="s">
        <v>633</v>
      </c>
    </row>
    <row r="15" spans="2:24">
      <c r="B15" s="326" t="s">
        <v>739</v>
      </c>
      <c r="C15" s="674"/>
      <c r="D15" s="607"/>
      <c r="F15" s="330" t="s">
        <v>739</v>
      </c>
      <c r="G15" s="614"/>
      <c r="H15" s="607"/>
      <c r="J15" s="337" t="s">
        <v>739</v>
      </c>
      <c r="K15" s="726"/>
      <c r="L15" s="608"/>
      <c r="N15" s="398"/>
      <c r="O15" s="726"/>
      <c r="P15" s="608"/>
      <c r="R15" s="337"/>
      <c r="S15" s="797"/>
      <c r="T15" s="608"/>
      <c r="V15" s="337"/>
      <c r="W15" s="797"/>
      <c r="X15" s="608"/>
    </row>
    <row r="16" spans="2:24">
      <c r="B16" s="326" t="s">
        <v>218</v>
      </c>
      <c r="C16" s="674"/>
      <c r="D16" s="607"/>
      <c r="F16" s="342" t="s">
        <v>218</v>
      </c>
      <c r="G16" s="614"/>
      <c r="H16" s="607"/>
      <c r="J16" s="326" t="s">
        <v>218</v>
      </c>
      <c r="K16" s="674"/>
      <c r="L16" s="607"/>
      <c r="N16" s="366" t="s">
        <v>739</v>
      </c>
      <c r="O16" s="674"/>
      <c r="P16" s="607"/>
      <c r="R16" s="326" t="s">
        <v>739</v>
      </c>
      <c r="S16" s="831"/>
      <c r="T16" s="607"/>
      <c r="V16" s="326" t="s">
        <v>739</v>
      </c>
      <c r="W16" s="831"/>
      <c r="X16" s="607"/>
    </row>
    <row r="17" spans="2:24">
      <c r="B17" s="326" t="s">
        <v>742</v>
      </c>
      <c r="C17" s="674"/>
      <c r="D17" s="607"/>
      <c r="F17" s="342" t="s">
        <v>742</v>
      </c>
      <c r="G17" s="614"/>
      <c r="H17" s="607"/>
      <c r="J17" s="326" t="s">
        <v>742</v>
      </c>
      <c r="K17" s="674"/>
      <c r="L17" s="607"/>
      <c r="N17" s="366" t="s">
        <v>218</v>
      </c>
      <c r="O17" s="674"/>
      <c r="P17" s="607"/>
      <c r="R17" s="326" t="s">
        <v>218</v>
      </c>
      <c r="S17" s="831"/>
      <c r="T17" s="607"/>
      <c r="V17" s="326" t="s">
        <v>218</v>
      </c>
      <c r="W17" s="831"/>
      <c r="X17" s="607"/>
    </row>
    <row r="18" spans="2:24">
      <c r="B18" s="326" t="s">
        <v>222</v>
      </c>
      <c r="C18" s="674"/>
      <c r="D18" s="607"/>
      <c r="F18" s="342" t="s">
        <v>222</v>
      </c>
      <c r="G18" s="614"/>
      <c r="H18" s="607"/>
      <c r="J18" s="326" t="s">
        <v>222</v>
      </c>
      <c r="K18" s="674"/>
      <c r="L18" s="607"/>
      <c r="N18" s="611" t="s">
        <v>742</v>
      </c>
      <c r="O18" s="662"/>
      <c r="P18" s="832"/>
      <c r="R18" s="611" t="s">
        <v>742</v>
      </c>
      <c r="S18" s="662"/>
      <c r="T18" s="833"/>
      <c r="V18" s="611" t="s">
        <v>742</v>
      </c>
      <c r="W18" s="662"/>
      <c r="X18" s="833"/>
    </row>
    <row r="19" spans="2:24">
      <c r="B19" s="326" t="s">
        <v>896</v>
      </c>
      <c r="C19" s="651">
        <v>467.58</v>
      </c>
      <c r="D19" s="341">
        <v>30</v>
      </c>
      <c r="E19" s="329"/>
      <c r="F19" s="342" t="s">
        <v>896</v>
      </c>
      <c r="G19" s="649">
        <v>404.55</v>
      </c>
      <c r="H19" s="341">
        <v>29</v>
      </c>
      <c r="I19" s="329"/>
      <c r="J19" s="326" t="s">
        <v>896</v>
      </c>
      <c r="K19" s="651">
        <v>445.0104</v>
      </c>
      <c r="L19" s="341">
        <v>29.76923076923077</v>
      </c>
      <c r="M19" s="329"/>
      <c r="N19" s="366" t="s">
        <v>222</v>
      </c>
      <c r="O19" s="662"/>
      <c r="P19" s="833"/>
      <c r="R19" s="326" t="s">
        <v>222</v>
      </c>
      <c r="S19" s="662"/>
      <c r="T19" s="833"/>
      <c r="V19" s="326" t="s">
        <v>222</v>
      </c>
      <c r="W19" s="662"/>
      <c r="X19" s="802"/>
    </row>
    <row r="20" spans="2:24">
      <c r="B20" s="1101" t="s">
        <v>897</v>
      </c>
      <c r="C20" s="1106">
        <v>408.79</v>
      </c>
      <c r="D20" s="1107">
        <v>209</v>
      </c>
      <c r="E20" s="725"/>
      <c r="F20" s="1102" t="s">
        <v>897</v>
      </c>
      <c r="G20" s="1108">
        <v>353.69</v>
      </c>
      <c r="H20" s="1107">
        <v>212</v>
      </c>
      <c r="I20" s="725"/>
      <c r="J20" s="1101" t="s">
        <v>897</v>
      </c>
      <c r="K20" s="1106">
        <v>389.06040000000002</v>
      </c>
      <c r="L20" s="1109">
        <v>216.84615384615384</v>
      </c>
      <c r="M20" s="329"/>
      <c r="N20" s="366" t="s">
        <v>898</v>
      </c>
      <c r="O20" s="654">
        <v>1345.2</v>
      </c>
      <c r="P20" s="653">
        <v>0</v>
      </c>
      <c r="R20" s="326" t="s">
        <v>898</v>
      </c>
      <c r="S20" s="654">
        <v>1537.56</v>
      </c>
      <c r="T20" s="833"/>
      <c r="V20" s="326" t="s">
        <v>898</v>
      </c>
      <c r="W20" s="654">
        <v>1537.56</v>
      </c>
      <c r="X20" s="653">
        <v>0</v>
      </c>
    </row>
    <row r="21" spans="2:24">
      <c r="B21" s="326" t="s">
        <v>899</v>
      </c>
      <c r="C21" s="351">
        <v>20.46</v>
      </c>
      <c r="D21" s="834">
        <v>305</v>
      </c>
      <c r="E21" s="725"/>
      <c r="F21" s="342" t="s">
        <v>899</v>
      </c>
      <c r="G21" s="353">
        <v>17.7</v>
      </c>
      <c r="H21" s="834">
        <v>307</v>
      </c>
      <c r="I21" s="725"/>
      <c r="J21" s="326" t="s">
        <v>899</v>
      </c>
      <c r="K21" s="351">
        <v>19.47</v>
      </c>
      <c r="L21" s="834">
        <v>307.23076923076923</v>
      </c>
      <c r="M21" s="725"/>
      <c r="N21" s="366" t="s">
        <v>896</v>
      </c>
      <c r="O21" s="480">
        <v>507.31</v>
      </c>
      <c r="P21" s="348">
        <v>29.615384615384617</v>
      </c>
      <c r="R21" s="326" t="s">
        <v>896</v>
      </c>
      <c r="S21" s="480">
        <v>579.85</v>
      </c>
      <c r="T21" s="833"/>
      <c r="V21" s="326" t="s">
        <v>896</v>
      </c>
      <c r="W21" s="480">
        <v>579.85</v>
      </c>
      <c r="X21" s="348">
        <f>(H19+L19+P21)/3</f>
        <v>29.461538461538463</v>
      </c>
    </row>
    <row r="22" spans="2:24">
      <c r="B22" s="326" t="s">
        <v>900</v>
      </c>
      <c r="C22" s="360">
        <v>17.05</v>
      </c>
      <c r="D22" s="835">
        <v>1179</v>
      </c>
      <c r="E22" s="725"/>
      <c r="F22" s="342" t="s">
        <v>900</v>
      </c>
      <c r="G22" s="362">
        <v>14.75</v>
      </c>
      <c r="H22" s="835">
        <v>1174</v>
      </c>
      <c r="I22" s="725"/>
      <c r="J22" s="326" t="s">
        <v>900</v>
      </c>
      <c r="K22" s="360">
        <v>16.23</v>
      </c>
      <c r="L22" s="835">
        <v>1195.3846153846155</v>
      </c>
      <c r="M22" s="725"/>
      <c r="N22" s="1101" t="s">
        <v>897</v>
      </c>
      <c r="O22" s="1110">
        <v>443.53</v>
      </c>
      <c r="P22" s="1111">
        <v>224.23076923076923</v>
      </c>
      <c r="R22" s="1101" t="s">
        <v>897</v>
      </c>
      <c r="S22" s="1110">
        <v>506.95</v>
      </c>
      <c r="T22" s="833"/>
      <c r="V22" s="1101" t="s">
        <v>897</v>
      </c>
      <c r="W22" s="1110">
        <v>506.95</v>
      </c>
      <c r="X22" s="1111">
        <f>(H20+L20+P22)/3</f>
        <v>217.69230769230771</v>
      </c>
    </row>
    <row r="23" spans="2:24">
      <c r="B23" s="326" t="s">
        <v>901</v>
      </c>
      <c r="C23" s="360">
        <v>17.05</v>
      </c>
      <c r="D23" s="835">
        <v>472</v>
      </c>
      <c r="E23" s="725"/>
      <c r="F23" s="342" t="s">
        <v>901</v>
      </c>
      <c r="G23" s="362">
        <v>14.75</v>
      </c>
      <c r="H23" s="835">
        <v>455</v>
      </c>
      <c r="I23" s="725"/>
      <c r="J23" s="326" t="s">
        <v>901</v>
      </c>
      <c r="K23" s="360">
        <v>16.23</v>
      </c>
      <c r="L23" s="835">
        <v>472.38461538461536</v>
      </c>
      <c r="M23" s="725"/>
      <c r="N23" s="366" t="s">
        <v>899</v>
      </c>
      <c r="O23" s="357">
        <v>22.2</v>
      </c>
      <c r="P23" s="358">
        <v>312.76923076923077</v>
      </c>
      <c r="R23" s="326" t="s">
        <v>899</v>
      </c>
      <c r="S23" s="357">
        <v>25.37</v>
      </c>
      <c r="T23" s="833"/>
      <c r="V23" s="326" t="s">
        <v>899</v>
      </c>
      <c r="W23" s="357">
        <v>25.37</v>
      </c>
      <c r="X23" s="358">
        <f>(H21+L21+P23)/3</f>
        <v>309</v>
      </c>
    </row>
    <row r="24" spans="2:24">
      <c r="B24" s="326" t="s">
        <v>902</v>
      </c>
      <c r="C24" s="368">
        <v>17.05</v>
      </c>
      <c r="D24" s="836">
        <v>31654</v>
      </c>
      <c r="E24" s="725"/>
      <c r="F24" s="342" t="s">
        <v>902</v>
      </c>
      <c r="G24" s="370">
        <v>14.75</v>
      </c>
      <c r="H24" s="836">
        <v>31699</v>
      </c>
      <c r="I24" s="725"/>
      <c r="J24" s="326" t="s">
        <v>902</v>
      </c>
      <c r="K24" s="368">
        <v>16.23</v>
      </c>
      <c r="L24" s="836">
        <v>31833.307692307691</v>
      </c>
      <c r="M24" s="725"/>
      <c r="N24" s="366" t="s">
        <v>903</v>
      </c>
      <c r="O24" s="364">
        <v>18.5</v>
      </c>
      <c r="P24" s="365">
        <v>1753</v>
      </c>
      <c r="R24" s="326" t="s">
        <v>903</v>
      </c>
      <c r="S24" s="364">
        <v>21.14</v>
      </c>
      <c r="T24" s="833"/>
      <c r="V24" s="326" t="s">
        <v>903</v>
      </c>
      <c r="W24" s="364">
        <v>21.14</v>
      </c>
      <c r="X24" s="365">
        <f>(H22+H23+L22+L23+P24)/3</f>
        <v>1683.2564102564102</v>
      </c>
    </row>
    <row r="25" spans="2:24">
      <c r="B25" s="326" t="s">
        <v>904</v>
      </c>
      <c r="C25" s="368">
        <v>17.05</v>
      </c>
      <c r="D25" s="836">
        <v>18648</v>
      </c>
      <c r="E25" s="725"/>
      <c r="F25" s="342" t="s">
        <v>904</v>
      </c>
      <c r="G25" s="370">
        <v>14.75</v>
      </c>
      <c r="H25" s="836">
        <v>18753</v>
      </c>
      <c r="I25" s="725"/>
      <c r="J25" s="326" t="s">
        <v>904</v>
      </c>
      <c r="K25" s="368">
        <v>16.23</v>
      </c>
      <c r="L25" s="836">
        <v>18651.923076923078</v>
      </c>
      <c r="M25" s="725"/>
      <c r="N25" s="366" t="s">
        <v>905</v>
      </c>
      <c r="O25" s="372">
        <v>18.5</v>
      </c>
      <c r="P25" s="373">
        <v>50364</v>
      </c>
      <c r="R25" s="326" t="s">
        <v>905</v>
      </c>
      <c r="S25" s="372">
        <v>21.14</v>
      </c>
      <c r="T25" s="833"/>
      <c r="V25" s="326" t="s">
        <v>905</v>
      </c>
      <c r="W25" s="372">
        <v>21.14</v>
      </c>
      <c r="X25" s="373">
        <f>(H24+H25+L24+L25+P25)/3</f>
        <v>50433.743589743586</v>
      </c>
    </row>
    <row r="26" spans="2:24">
      <c r="B26" s="523" t="s">
        <v>906</v>
      </c>
      <c r="C26" s="661">
        <v>5.96</v>
      </c>
      <c r="D26" s="837">
        <v>22611</v>
      </c>
      <c r="E26" s="725"/>
      <c r="F26" s="521" t="s">
        <v>906</v>
      </c>
      <c r="G26" s="731">
        <v>5.16</v>
      </c>
      <c r="H26" s="837">
        <v>22807</v>
      </c>
      <c r="I26" s="725"/>
      <c r="J26" s="523" t="s">
        <v>906</v>
      </c>
      <c r="K26" s="661">
        <v>5.6795999999999998</v>
      </c>
      <c r="L26" s="837">
        <v>22945</v>
      </c>
      <c r="M26" s="725"/>
      <c r="N26" s="379" t="s">
        <v>906</v>
      </c>
      <c r="O26" s="380">
        <v>6.48</v>
      </c>
      <c r="P26" s="382">
        <v>24005</v>
      </c>
      <c r="R26" s="523" t="s">
        <v>906</v>
      </c>
      <c r="S26" s="380">
        <v>7.4</v>
      </c>
      <c r="T26" s="838"/>
      <c r="V26" s="523" t="s">
        <v>906</v>
      </c>
      <c r="W26" s="380">
        <v>7.4</v>
      </c>
      <c r="X26" s="382">
        <f>(H26+L26+P26)/3</f>
        <v>23252.333333333332</v>
      </c>
    </row>
    <row r="27" spans="2:24" ht="18.75" customHeight="1">
      <c r="C27" s="507"/>
      <c r="D27" s="508"/>
      <c r="F27" s="839"/>
      <c r="G27" s="840"/>
      <c r="H27" s="839"/>
      <c r="J27" s="508"/>
      <c r="K27" s="507"/>
      <c r="L27" s="508"/>
      <c r="N27" s="839"/>
      <c r="O27" s="840"/>
      <c r="P27" s="839"/>
      <c r="R27" s="839"/>
      <c r="S27" s="840"/>
      <c r="T27" s="839"/>
      <c r="U27" s="596"/>
      <c r="V27" s="839"/>
      <c r="W27" s="840"/>
      <c r="X27" s="839"/>
    </row>
    <row r="28" spans="2:24" ht="12.75">
      <c r="B28" s="423" t="s">
        <v>680</v>
      </c>
      <c r="C28" s="1195">
        <f>SUMPRODUCT(C15:C26,D15:D26)</f>
        <v>1126265.02</v>
      </c>
      <c r="D28" s="1196"/>
      <c r="E28" s="386"/>
      <c r="F28" s="387" t="s">
        <v>680</v>
      </c>
      <c r="G28" s="1197">
        <f>SUMPRODUCT(G15:G26,H15:H26)</f>
        <v>978027</v>
      </c>
      <c r="H28" s="1196"/>
      <c r="I28" s="386"/>
      <c r="J28" s="423" t="s">
        <v>680</v>
      </c>
      <c r="K28" s="1195">
        <f>SUMPRODUCT(K15:K26,L15:L26)</f>
        <v>1080357.263723077</v>
      </c>
      <c r="L28" s="1198"/>
      <c r="M28" s="386"/>
      <c r="N28" s="388" t="s">
        <v>680</v>
      </c>
      <c r="O28" s="1195">
        <f>SUMPRODUCT(O15:O26,P15:P26)</f>
        <v>1241137.6307692309</v>
      </c>
      <c r="P28" s="1198"/>
      <c r="Q28" s="386"/>
      <c r="R28" s="388" t="s">
        <v>680</v>
      </c>
      <c r="S28" s="1199">
        <f>SUMPRODUCT(S15:S26,T15:T26)</f>
        <v>0</v>
      </c>
      <c r="T28" s="1200"/>
      <c r="V28" s="388" t="s">
        <v>680</v>
      </c>
      <c r="W28" s="1195">
        <f>SUMPRODUCT(W15:W26,X15:X26)</f>
        <v>1409102.3651282049</v>
      </c>
      <c r="X28" s="1198"/>
    </row>
    <row r="29" spans="2:24" ht="12.75">
      <c r="B29" s="390"/>
      <c r="C29" s="455"/>
      <c r="D29" s="386"/>
      <c r="E29" s="386"/>
      <c r="F29" s="390"/>
      <c r="G29" s="455"/>
      <c r="H29" s="386"/>
      <c r="I29" s="386"/>
      <c r="J29" s="575"/>
      <c r="K29" s="455"/>
      <c r="L29" s="386"/>
      <c r="M29" s="386"/>
      <c r="N29" s="390"/>
      <c r="O29" s="455"/>
      <c r="P29" s="386"/>
      <c r="Q29" s="386"/>
      <c r="R29" s="390"/>
      <c r="S29" s="455"/>
      <c r="T29" s="386"/>
      <c r="V29" s="390"/>
      <c r="W29" s="455"/>
      <c r="X29" s="386"/>
    </row>
    <row r="30" spans="2:24">
      <c r="B30" s="392" t="s">
        <v>681</v>
      </c>
      <c r="C30" s="393" t="s">
        <v>682</v>
      </c>
      <c r="D30" s="394" t="s">
        <v>683</v>
      </c>
      <c r="E30" s="395"/>
      <c r="F30" s="394" t="s">
        <v>681</v>
      </c>
      <c r="G30" s="396" t="s">
        <v>682</v>
      </c>
      <c r="H30" s="394" t="s">
        <v>683</v>
      </c>
      <c r="I30" s="395"/>
      <c r="J30" s="841" t="s">
        <v>681</v>
      </c>
      <c r="K30" s="393" t="s">
        <v>682</v>
      </c>
      <c r="L30" s="394" t="s">
        <v>683</v>
      </c>
      <c r="M30" s="395"/>
      <c r="N30" s="392" t="s">
        <v>681</v>
      </c>
      <c r="O30" s="393" t="s">
        <v>682</v>
      </c>
      <c r="P30" s="394" t="s">
        <v>683</v>
      </c>
      <c r="Q30" s="395"/>
      <c r="R30" s="392" t="s">
        <v>681</v>
      </c>
      <c r="S30" s="393" t="s">
        <v>682</v>
      </c>
      <c r="T30" s="394" t="s">
        <v>683</v>
      </c>
      <c r="V30" s="392" t="s">
        <v>681</v>
      </c>
      <c r="W30" s="393" t="s">
        <v>682</v>
      </c>
      <c r="X30" s="394" t="s">
        <v>683</v>
      </c>
    </row>
    <row r="31" spans="2:24">
      <c r="B31" s="398"/>
      <c r="C31" s="399"/>
      <c r="D31" s="404"/>
      <c r="E31" s="405"/>
      <c r="F31" s="402"/>
      <c r="G31" s="403"/>
      <c r="H31" s="404"/>
      <c r="I31" s="405"/>
      <c r="J31" s="398"/>
      <c r="K31" s="399"/>
      <c r="L31" s="404"/>
      <c r="M31" s="405"/>
      <c r="N31" s="398"/>
      <c r="O31" s="399"/>
      <c r="P31" s="404"/>
      <c r="Q31" s="405"/>
      <c r="R31" s="398"/>
      <c r="S31" s="399">
        <v>2.73</v>
      </c>
      <c r="T31" s="406"/>
      <c r="V31" s="398"/>
      <c r="W31" s="399">
        <f>S31</f>
        <v>2.73</v>
      </c>
      <c r="X31" s="400">
        <f>(H31+L31+P31)/3</f>
        <v>0</v>
      </c>
    </row>
    <row r="32" spans="2:24">
      <c r="B32" s="407"/>
      <c r="C32" s="408"/>
      <c r="D32" s="409"/>
      <c r="E32" s="405"/>
      <c r="F32" s="410"/>
      <c r="G32" s="411"/>
      <c r="H32" s="409"/>
      <c r="I32" s="405"/>
      <c r="J32" s="407"/>
      <c r="K32" s="408"/>
      <c r="L32" s="409"/>
      <c r="M32" s="405"/>
      <c r="N32" s="407"/>
      <c r="O32" s="408"/>
      <c r="P32" s="409"/>
      <c r="Q32" s="405"/>
      <c r="R32" s="407"/>
      <c r="S32" s="408"/>
      <c r="T32" s="412"/>
      <c r="V32" s="407"/>
      <c r="W32" s="408">
        <v>0</v>
      </c>
      <c r="X32" s="413">
        <f>(H32+L32+P32)/3</f>
        <v>0</v>
      </c>
    </row>
    <row r="33" spans="2:24">
      <c r="B33" s="414"/>
      <c r="C33" s="415"/>
      <c r="D33" s="416"/>
      <c r="E33" s="417"/>
      <c r="F33" s="414"/>
      <c r="G33" s="415"/>
      <c r="H33" s="416"/>
      <c r="I33" s="417"/>
      <c r="J33" s="414"/>
      <c r="K33" s="415"/>
      <c r="L33" s="416"/>
      <c r="M33" s="417"/>
      <c r="N33" s="414"/>
      <c r="O33" s="415"/>
      <c r="P33" s="416"/>
      <c r="Q33" s="417"/>
      <c r="R33" s="414"/>
      <c r="S33" s="415"/>
      <c r="T33" s="416"/>
      <c r="V33" s="414"/>
      <c r="W33" s="415"/>
      <c r="X33" s="416"/>
    </row>
    <row r="34" spans="2:24" ht="12.75">
      <c r="B34" s="383" t="s">
        <v>680</v>
      </c>
      <c r="C34" s="432">
        <f>SUMPRODUCT(C31:C32,D31:D32)</f>
        <v>0</v>
      </c>
      <c r="D34" s="422"/>
      <c r="E34" s="386"/>
      <c r="F34" s="388" t="s">
        <v>680</v>
      </c>
      <c r="G34" s="842">
        <f>SUMPRODUCT(G31:G32,H31:H32)</f>
        <v>0</v>
      </c>
      <c r="H34" s="422"/>
      <c r="I34" s="386"/>
      <c r="J34" s="383" t="s">
        <v>680</v>
      </c>
      <c r="K34" s="432">
        <f>SUMPRODUCT(K31:K32,L31:L32)</f>
        <v>0</v>
      </c>
      <c r="L34" s="422"/>
      <c r="M34" s="386"/>
      <c r="N34" s="383" t="s">
        <v>680</v>
      </c>
      <c r="O34" s="432">
        <f>SUMPRODUCT(O31:O32,P31:P32)</f>
        <v>0</v>
      </c>
      <c r="P34" s="422"/>
      <c r="Q34" s="386"/>
      <c r="R34" s="383" t="s">
        <v>680</v>
      </c>
      <c r="S34" s="432">
        <f>SUMPRODUCT(S31:S32,T31:T32)</f>
        <v>0</v>
      </c>
      <c r="T34" s="422"/>
      <c r="V34" s="383" t="s">
        <v>680</v>
      </c>
      <c r="W34" s="432">
        <f>SUMPRODUCT(W31:W32,X31:X32)</f>
        <v>0</v>
      </c>
      <c r="X34" s="422"/>
    </row>
    <row r="35" spans="2:24">
      <c r="C35" s="425"/>
      <c r="G35" s="425"/>
      <c r="K35" s="425"/>
      <c r="O35" s="425"/>
      <c r="S35" s="425"/>
      <c r="W35" s="425"/>
    </row>
    <row r="36" spans="2:24">
      <c r="C36" s="425"/>
      <c r="G36" s="425"/>
      <c r="K36" s="425"/>
      <c r="O36" s="425"/>
      <c r="S36" s="425"/>
      <c r="W36" s="425"/>
    </row>
    <row r="37" spans="2:24" ht="12.75">
      <c r="B37" s="427"/>
      <c r="C37" s="428"/>
      <c r="D37" s="429"/>
      <c r="E37" s="430"/>
      <c r="F37" s="429"/>
      <c r="G37" s="425"/>
      <c r="K37" s="425"/>
      <c r="O37" s="425"/>
      <c r="R37" s="316"/>
      <c r="S37" s="536"/>
      <c r="T37" s="316"/>
      <c r="W37" s="425"/>
    </row>
    <row r="38" spans="2:24" ht="19.5" customHeight="1">
      <c r="B38" s="431" t="s">
        <v>686</v>
      </c>
      <c r="C38" s="432"/>
      <c r="D38" s="433"/>
      <c r="E38" s="434"/>
      <c r="F38" s="435" t="s">
        <v>686</v>
      </c>
      <c r="G38" s="432"/>
      <c r="H38" s="433"/>
      <c r="I38" s="434"/>
      <c r="J38" s="431" t="s">
        <v>686</v>
      </c>
      <c r="K38" s="432"/>
      <c r="L38" s="436"/>
      <c r="M38" s="434"/>
      <c r="N38" s="431" t="s">
        <v>686</v>
      </c>
      <c r="O38" s="432"/>
      <c r="P38" s="436"/>
      <c r="Q38" s="434"/>
      <c r="R38" s="542"/>
      <c r="S38" s="500"/>
      <c r="T38" s="434"/>
      <c r="V38" s="431" t="s">
        <v>686</v>
      </c>
      <c r="W38" s="432"/>
      <c r="X38" s="436"/>
    </row>
    <row r="39" spans="2:24">
      <c r="B39" s="441" t="s">
        <v>1403</v>
      </c>
      <c r="C39" s="249">
        <f>C26</f>
        <v>5.96</v>
      </c>
      <c r="D39" s="250">
        <f>D26</f>
        <v>22611</v>
      </c>
      <c r="E39" s="440"/>
      <c r="F39" s="441" t="s">
        <v>1403</v>
      </c>
      <c r="G39" s="581">
        <f>G26</f>
        <v>5.16</v>
      </c>
      <c r="H39" s="250">
        <f>H26</f>
        <v>22807</v>
      </c>
      <c r="I39" s="440"/>
      <c r="J39" s="441" t="s">
        <v>1403</v>
      </c>
      <c r="K39" s="249">
        <f>K26</f>
        <v>5.6795999999999998</v>
      </c>
      <c r="L39" s="250">
        <f>L26</f>
        <v>22945</v>
      </c>
      <c r="M39" s="440"/>
      <c r="N39" s="441" t="s">
        <v>1403</v>
      </c>
      <c r="O39" s="249">
        <f>O26</f>
        <v>6.48</v>
      </c>
      <c r="P39" s="250">
        <f>P26</f>
        <v>24005</v>
      </c>
      <c r="Q39" s="440"/>
      <c r="R39" s="271"/>
      <c r="S39" s="280"/>
      <c r="T39" s="440"/>
      <c r="V39" s="441" t="s">
        <v>1403</v>
      </c>
      <c r="W39" s="249">
        <f>W26</f>
        <v>7.4</v>
      </c>
      <c r="X39" s="250">
        <f>X26</f>
        <v>23252.333333333332</v>
      </c>
    </row>
    <row r="40" spans="2:24">
      <c r="B40" s="441" t="s">
        <v>1405</v>
      </c>
      <c r="C40" s="252">
        <f>SUMPRODUCT(C24:C25,D24:D25)/SUM(D24:D25)</f>
        <v>17.05</v>
      </c>
      <c r="D40" s="253">
        <f>SUM(D24:D25)</f>
        <v>50302</v>
      </c>
      <c r="E40" s="443"/>
      <c r="F40" s="441" t="s">
        <v>1405</v>
      </c>
      <c r="G40" s="582">
        <f>SUMPRODUCT(G24:G25,H24:H25)/SUM(H24:H25)</f>
        <v>14.75</v>
      </c>
      <c r="H40" s="253">
        <f>SUM(H24:H25)</f>
        <v>50452</v>
      </c>
      <c r="I40" s="443"/>
      <c r="J40" s="441" t="s">
        <v>1405</v>
      </c>
      <c r="K40" s="252">
        <f>SUMPRODUCT(K24:K25,L24:L25)/SUM(L24:L25)</f>
        <v>16.23</v>
      </c>
      <c r="L40" s="253">
        <f>SUM(L24:L25)</f>
        <v>50485.230769230766</v>
      </c>
      <c r="M40" s="443"/>
      <c r="N40" s="441" t="s">
        <v>1405</v>
      </c>
      <c r="O40" s="252">
        <f>SUMPRODUCT(O25,P25)/SUM(P25)</f>
        <v>18.5</v>
      </c>
      <c r="P40" s="253">
        <f>SUM(P25)</f>
        <v>50364</v>
      </c>
      <c r="Q40" s="443"/>
      <c r="R40" s="271"/>
      <c r="S40" s="623"/>
      <c r="T40" s="443"/>
      <c r="V40" s="441" t="s">
        <v>1405</v>
      </c>
      <c r="W40" s="252">
        <f>SUMPRODUCT(W25,X25)/SUM(X25)</f>
        <v>21.14</v>
      </c>
      <c r="X40" s="253">
        <f>SUM(X25)</f>
        <v>50433.743589743586</v>
      </c>
    </row>
    <row r="41" spans="2:24">
      <c r="B41" s="441" t="s">
        <v>1407</v>
      </c>
      <c r="C41" s="254">
        <f>SUMPRODUCT(C22:C23,D22:D23)/SUM(D22:D23)</f>
        <v>17.05</v>
      </c>
      <c r="D41" s="255">
        <f>SUM(D22:D23)</f>
        <v>1651</v>
      </c>
      <c r="E41" s="443"/>
      <c r="F41" s="441" t="s">
        <v>1407</v>
      </c>
      <c r="G41" s="583">
        <f>SUMPRODUCT(G22:G23,H22:H23)/SUM(H22:H23)</f>
        <v>14.75</v>
      </c>
      <c r="H41" s="255">
        <f>SUM(H22:H23)</f>
        <v>1629</v>
      </c>
      <c r="I41" s="443"/>
      <c r="J41" s="441" t="s">
        <v>1407</v>
      </c>
      <c r="K41" s="254">
        <f>SUMPRODUCT(K22:K23,L22:L23)/SUM(L22:L23)</f>
        <v>16.23</v>
      </c>
      <c r="L41" s="255">
        <f>SUM(L22:L23)</f>
        <v>1667.7692307692309</v>
      </c>
      <c r="M41" s="443"/>
      <c r="N41" s="441" t="s">
        <v>1407</v>
      </c>
      <c r="O41" s="254">
        <f>SUMPRODUCT(O24,P24)/SUM(P24)</f>
        <v>18.5</v>
      </c>
      <c r="P41" s="255">
        <f>SUM(P24)</f>
        <v>1753</v>
      </c>
      <c r="Q41" s="443"/>
      <c r="R41" s="271"/>
      <c r="S41" s="280"/>
      <c r="T41" s="443"/>
      <c r="V41" s="441" t="s">
        <v>1407</v>
      </c>
      <c r="W41" s="254">
        <f>SUMPRODUCT(W24,X24)/SUM(X24)</f>
        <v>21.14</v>
      </c>
      <c r="X41" s="255">
        <f>SUM(X24)</f>
        <v>1683.2564102564102</v>
      </c>
    </row>
    <row r="42" spans="2:24">
      <c r="B42" s="1113" t="s">
        <v>1409</v>
      </c>
      <c r="C42" s="256">
        <f>SUMPRODUCT(C21,D21)/SUM(D21)</f>
        <v>20.46</v>
      </c>
      <c r="D42" s="257">
        <f>SUM(D21)</f>
        <v>305</v>
      </c>
      <c r="E42" s="443"/>
      <c r="F42" s="1113" t="s">
        <v>1409</v>
      </c>
      <c r="G42" s="256">
        <f>SUMPRODUCT(G21,H21)/SUM(H21)</f>
        <v>17.7</v>
      </c>
      <c r="H42" s="257">
        <f>SUM(H21)</f>
        <v>307</v>
      </c>
      <c r="I42" s="443"/>
      <c r="J42" s="1113" t="s">
        <v>1409</v>
      </c>
      <c r="K42" s="256">
        <f>SUMPRODUCT(K21,L21)/SUM(L21)</f>
        <v>19.47</v>
      </c>
      <c r="L42" s="257">
        <f>SUM(L21)</f>
        <v>307.23076923076923</v>
      </c>
      <c r="M42" s="443"/>
      <c r="N42" s="1113" t="s">
        <v>1409</v>
      </c>
      <c r="O42" s="256">
        <f>SUMPRODUCT(O23,P23)/SUM(P23)</f>
        <v>22.2</v>
      </c>
      <c r="P42" s="257">
        <f>SUM(P23)</f>
        <v>312.76923076923077</v>
      </c>
      <c r="Q42" s="443"/>
      <c r="R42" s="271"/>
      <c r="S42" s="280"/>
      <c r="T42" s="443"/>
      <c r="V42" s="1113" t="s">
        <v>1409</v>
      </c>
      <c r="W42" s="256">
        <f>SUMPRODUCT(W23,X23)/SUM(X23)</f>
        <v>25.37</v>
      </c>
      <c r="X42" s="257">
        <f>SUM(X23)</f>
        <v>309</v>
      </c>
    </row>
    <row r="43" spans="2:24">
      <c r="B43" s="1113" t="s">
        <v>1411</v>
      </c>
      <c r="C43" s="1112">
        <f>SUMPRODUCT(C19:C20,D19:D20)/SUM(D19:D20)</f>
        <v>416.16949790794979</v>
      </c>
      <c r="D43" s="259">
        <f>SUM(D19:D20)</f>
        <v>239</v>
      </c>
      <c r="E43" s="440"/>
      <c r="F43" s="1113" t="s">
        <v>1411</v>
      </c>
      <c r="G43" s="1112">
        <f>SUMPRODUCT(G19:G20,H19:H20)/SUM(H19:H20)</f>
        <v>359.81008298755182</v>
      </c>
      <c r="H43" s="259">
        <f>SUM(H19:H20)</f>
        <v>241</v>
      </c>
      <c r="I43" s="440"/>
      <c r="J43" s="1113" t="s">
        <v>1411</v>
      </c>
      <c r="K43" s="1112">
        <f>SUMPRODUCT(K19:K20,L19:L20)/SUM(L19:L20)</f>
        <v>395.8141897691828</v>
      </c>
      <c r="L43" s="259">
        <f>SUM(L19:L20)</f>
        <v>246.61538461538461</v>
      </c>
      <c r="M43" s="440"/>
      <c r="N43" s="1113" t="s">
        <v>1411</v>
      </c>
      <c r="O43" s="1112">
        <f>SUMPRODUCT(O21:O22,P21:P22)/SUM(P21:P22)</f>
        <v>450.971</v>
      </c>
      <c r="P43" s="259">
        <f>SUM(P21:P22)</f>
        <v>253.84615384615384</v>
      </c>
      <c r="Q43" s="440"/>
      <c r="R43" s="271"/>
      <c r="S43" s="280"/>
      <c r="T43" s="440"/>
      <c r="V43" s="1113" t="s">
        <v>1411</v>
      </c>
      <c r="W43" s="1112">
        <f>SUMPRODUCT(W21:W22,X21:X22)/SUM(X21:X22)</f>
        <v>515.63991596638664</v>
      </c>
      <c r="X43" s="259">
        <f>SUM(X21:X22)</f>
        <v>247.15384615384616</v>
      </c>
    </row>
    <row r="44" spans="2:24">
      <c r="B44" s="449" t="s">
        <v>1415</v>
      </c>
      <c r="C44" s="261"/>
      <c r="D44" s="262"/>
      <c r="E44" s="440"/>
      <c r="F44" s="449" t="s">
        <v>1415</v>
      </c>
      <c r="G44" s="685"/>
      <c r="H44" s="262"/>
      <c r="I44" s="440"/>
      <c r="J44" s="449" t="s">
        <v>1415</v>
      </c>
      <c r="K44" s="261"/>
      <c r="L44" s="262"/>
      <c r="M44" s="440"/>
      <c r="N44" s="449" t="s">
        <v>1415</v>
      </c>
      <c r="O44" s="686">
        <f>SUM(O20)</f>
        <v>1345.2</v>
      </c>
      <c r="P44" s="262">
        <f>SUM(P20)</f>
        <v>0</v>
      </c>
      <c r="Q44" s="440"/>
      <c r="R44" s="271"/>
      <c r="S44" s="280"/>
      <c r="T44" s="440"/>
      <c r="V44" s="449" t="s">
        <v>1415</v>
      </c>
      <c r="W44" s="686">
        <f>SUM(W20)</f>
        <v>1537.56</v>
      </c>
      <c r="X44" s="262">
        <f>SUM(X20)</f>
        <v>0</v>
      </c>
    </row>
    <row r="45" spans="2:24">
      <c r="B45" s="450" t="s">
        <v>680</v>
      </c>
      <c r="C45" s="451">
        <f>SUMPRODUCT(C39:C44,D39:D44)</f>
        <v>1126265.0200000003</v>
      </c>
      <c r="D45" s="452"/>
      <c r="E45" s="443"/>
      <c r="F45" s="453" t="s">
        <v>680</v>
      </c>
      <c r="G45" s="451">
        <f>SUMPRODUCT(G39:G44,H39:H44)</f>
        <v>978027</v>
      </c>
      <c r="H45" s="452"/>
      <c r="I45" s="443"/>
      <c r="J45" s="450" t="s">
        <v>680</v>
      </c>
      <c r="K45" s="451">
        <f>SUMPRODUCT(K39:K44,L39:L44)</f>
        <v>1080357.263723077</v>
      </c>
      <c r="L45" s="452"/>
      <c r="M45" s="443"/>
      <c r="N45" s="450" t="s">
        <v>680</v>
      </c>
      <c r="O45" s="451">
        <f>SUMPRODUCT(O39:O44,P39:P44)</f>
        <v>1241137.6307692307</v>
      </c>
      <c r="P45" s="452"/>
      <c r="Q45" s="443"/>
      <c r="R45" s="543"/>
      <c r="S45" s="443"/>
      <c r="T45" s="443"/>
      <c r="V45" s="450" t="s">
        <v>680</v>
      </c>
      <c r="W45" s="451">
        <f>SUMPRODUCT(W39:W44,X39:X44)</f>
        <v>1409102.3651282052</v>
      </c>
      <c r="X45" s="454"/>
    </row>
    <row r="46" spans="2:24" ht="12.75">
      <c r="B46" s="390"/>
      <c r="C46" s="455"/>
      <c r="D46" s="386"/>
      <c r="E46" s="386"/>
      <c r="F46" s="390"/>
      <c r="G46" s="455"/>
      <c r="H46" s="386"/>
      <c r="I46" s="386"/>
      <c r="J46" s="390"/>
      <c r="K46" s="455"/>
      <c r="L46" s="386"/>
      <c r="M46" s="386"/>
      <c r="N46" s="390"/>
      <c r="O46" s="455"/>
      <c r="P46" s="386"/>
      <c r="Q46" s="386"/>
      <c r="R46" s="390"/>
      <c r="S46" s="500"/>
      <c r="T46" s="386"/>
      <c r="V46" s="390"/>
      <c r="W46" s="455"/>
      <c r="X46" s="391"/>
    </row>
    <row r="47" spans="2:24">
      <c r="B47" s="392" t="s">
        <v>681</v>
      </c>
      <c r="C47" s="456"/>
      <c r="D47" s="394"/>
      <c r="E47" s="395"/>
      <c r="F47" s="392" t="s">
        <v>681</v>
      </c>
      <c r="G47" s="456"/>
      <c r="H47" s="394"/>
      <c r="I47" s="395"/>
      <c r="J47" s="392" t="s">
        <v>681</v>
      </c>
      <c r="K47" s="456"/>
      <c r="L47" s="394"/>
      <c r="M47" s="395"/>
      <c r="N47" s="392" t="s">
        <v>681</v>
      </c>
      <c r="O47" s="456"/>
      <c r="P47" s="394"/>
      <c r="Q47" s="395"/>
      <c r="R47" s="395"/>
      <c r="S47" s="544"/>
      <c r="T47" s="395"/>
      <c r="V47" s="392" t="s">
        <v>681</v>
      </c>
      <c r="W47" s="456"/>
      <c r="X47" s="397"/>
    </row>
    <row r="48" spans="2:24">
      <c r="B48" s="398" t="s">
        <v>684</v>
      </c>
      <c r="C48" s="399" t="e">
        <f>SUMPRODUCT(C31:C32,D31:D32)/SUM(D31:D32)</f>
        <v>#DIV/0!</v>
      </c>
      <c r="D48" s="404">
        <f>SUM(D31:D32)</f>
        <v>0</v>
      </c>
      <c r="E48" s="405"/>
      <c r="F48" s="398" t="s">
        <v>684</v>
      </c>
      <c r="G48" s="399" t="e">
        <f>SUMPRODUCT(G31:G32,H31:H32)/SUM(H31:H32)</f>
        <v>#DIV/0!</v>
      </c>
      <c r="H48" s="404">
        <f>SUM(H31:H32)</f>
        <v>0</v>
      </c>
      <c r="I48" s="405"/>
      <c r="J48" s="398" t="s">
        <v>684</v>
      </c>
      <c r="K48" s="399" t="e">
        <f>SUMPRODUCT(K31:K32,L31:L32)/SUM(L31:L32)</f>
        <v>#DIV/0!</v>
      </c>
      <c r="L48" s="404">
        <f>SUM(L31:L32)</f>
        <v>0</v>
      </c>
      <c r="M48" s="405"/>
      <c r="N48" s="398" t="s">
        <v>684</v>
      </c>
      <c r="O48" s="399" t="e">
        <f>SUMPRODUCT(O31:O32,P31:P32)/SUM(P31:P32)</f>
        <v>#DIV/0!</v>
      </c>
      <c r="P48" s="404">
        <f>SUM(P31:P32)</f>
        <v>0</v>
      </c>
      <c r="Q48" s="405"/>
      <c r="R48" s="529"/>
      <c r="S48" s="624"/>
      <c r="T48" s="405"/>
      <c r="V48" s="398" t="s">
        <v>684</v>
      </c>
      <c r="W48" s="399" t="e">
        <f>SUMPRODUCT(W31:W32,X31:X32)/SUM(X31:X32)</f>
        <v>#DIV/0!</v>
      </c>
      <c r="X48" s="400">
        <f>SUM(X31:X32)</f>
        <v>0</v>
      </c>
    </row>
    <row r="49" spans="2:24">
      <c r="B49" s="414"/>
      <c r="C49" s="415"/>
      <c r="D49" s="416"/>
      <c r="E49" s="417"/>
      <c r="F49" s="414"/>
      <c r="G49" s="415"/>
      <c r="H49" s="416"/>
      <c r="I49" s="417"/>
      <c r="J49" s="414"/>
      <c r="K49" s="415"/>
      <c r="L49" s="416"/>
      <c r="M49" s="417"/>
      <c r="N49" s="414"/>
      <c r="O49" s="415"/>
      <c r="P49" s="416"/>
      <c r="Q49" s="417"/>
      <c r="R49" s="529"/>
      <c r="S49" s="545"/>
      <c r="T49" s="417"/>
      <c r="V49" s="414"/>
      <c r="W49" s="415"/>
      <c r="X49" s="416"/>
    </row>
    <row r="50" spans="2:24" ht="12.75">
      <c r="B50" s="383" t="s">
        <v>680</v>
      </c>
      <c r="C50" s="432"/>
      <c r="D50" s="422"/>
      <c r="E50" s="386"/>
      <c r="F50" s="383" t="s">
        <v>680</v>
      </c>
      <c r="G50" s="432"/>
      <c r="H50" s="422"/>
      <c r="I50" s="386"/>
      <c r="J50" s="383" t="s">
        <v>680</v>
      </c>
      <c r="K50" s="432"/>
      <c r="L50" s="422"/>
      <c r="M50" s="386"/>
      <c r="N50" s="383" t="s">
        <v>680</v>
      </c>
      <c r="O50" s="432"/>
      <c r="P50" s="422"/>
      <c r="Q50" s="386"/>
      <c r="R50" s="390"/>
      <c r="S50" s="500"/>
      <c r="T50" s="386"/>
      <c r="V50" s="383" t="s">
        <v>680</v>
      </c>
      <c r="W50" s="432"/>
      <c r="X50" s="422"/>
    </row>
    <row r="51" spans="2:24" ht="12.75">
      <c r="B51" s="390"/>
      <c r="C51" s="458"/>
      <c r="D51" s="386"/>
      <c r="E51" s="386"/>
      <c r="F51" s="390"/>
      <c r="G51" s="458"/>
      <c r="H51" s="386"/>
      <c r="I51" s="386"/>
      <c r="J51" s="390"/>
      <c r="K51" s="458"/>
      <c r="L51" s="386"/>
      <c r="M51" s="386"/>
      <c r="N51" s="390"/>
      <c r="O51" s="458"/>
      <c r="P51" s="386"/>
      <c r="Q51" s="386"/>
      <c r="R51" s="390"/>
      <c r="S51" s="430"/>
      <c r="T51" s="386"/>
    </row>
    <row r="52" spans="2:24" ht="12.75">
      <c r="B52" s="390"/>
      <c r="C52" s="458"/>
      <c r="D52" s="386"/>
      <c r="E52" s="386"/>
      <c r="F52" s="390"/>
      <c r="G52" s="458"/>
      <c r="H52" s="386"/>
      <c r="I52" s="386"/>
      <c r="J52" s="390"/>
      <c r="K52" s="458"/>
      <c r="L52" s="386"/>
      <c r="M52" s="386"/>
      <c r="N52" s="390"/>
      <c r="O52" s="458"/>
      <c r="P52" s="386"/>
      <c r="Q52" s="386"/>
      <c r="R52" s="390"/>
      <c r="S52" s="458"/>
      <c r="T52" s="386"/>
    </row>
    <row r="53" spans="2:24" ht="12.75">
      <c r="B53" s="390"/>
      <c r="C53" s="458"/>
      <c r="D53" s="386"/>
      <c r="E53" s="386"/>
      <c r="F53" s="390"/>
      <c r="G53" s="458"/>
      <c r="H53" s="386"/>
      <c r="I53" s="386"/>
      <c r="J53" s="390"/>
      <c r="K53" s="458"/>
      <c r="L53" s="386"/>
      <c r="M53" s="386"/>
      <c r="N53" s="390"/>
      <c r="O53" s="458"/>
      <c r="P53" s="386"/>
      <c r="Q53" s="386"/>
      <c r="R53" s="390"/>
      <c r="S53" s="458"/>
      <c r="T53" s="386"/>
    </row>
    <row r="54" spans="2:24" ht="15.75">
      <c r="B54" s="240" t="str">
        <f>B1</f>
        <v>NE6R Cogas</v>
      </c>
      <c r="C54" s="240" t="s">
        <v>722</v>
      </c>
      <c r="D54" s="546"/>
      <c r="E54" s="293"/>
      <c r="F54" s="293"/>
      <c r="G54" s="291"/>
      <c r="H54" s="292"/>
      <c r="I54" s="293"/>
      <c r="J54" s="293"/>
      <c r="K54" s="291"/>
      <c r="L54" s="292"/>
      <c r="M54" s="293"/>
      <c r="N54" s="293"/>
      <c r="O54" s="293"/>
      <c r="P54" s="293"/>
      <c r="Q54" s="293"/>
      <c r="R54" s="293"/>
      <c r="S54" s="293"/>
      <c r="T54" s="293"/>
      <c r="V54" s="294" t="s">
        <v>651</v>
      </c>
      <c r="W54" s="295"/>
      <c r="X54" s="295"/>
    </row>
    <row r="55" spans="2:24" ht="12.75">
      <c r="B55" s="390"/>
      <c r="C55" s="458"/>
      <c r="D55" s="386"/>
      <c r="E55" s="386"/>
      <c r="F55" s="390"/>
      <c r="G55" s="458"/>
      <c r="H55" s="386"/>
      <c r="I55" s="386"/>
      <c r="J55" s="390"/>
      <c r="K55" s="458"/>
      <c r="L55" s="386"/>
      <c r="M55" s="386"/>
      <c r="N55" s="390"/>
      <c r="O55" s="458"/>
      <c r="P55" s="386"/>
      <c r="Q55" s="386"/>
      <c r="R55" s="390"/>
      <c r="S55" s="458"/>
      <c r="T55" s="386"/>
    </row>
    <row r="56" spans="2:24" ht="12.75">
      <c r="B56" s="296" t="s">
        <v>251</v>
      </c>
      <c r="C56" s="297" t="s">
        <v>652</v>
      </c>
      <c r="D56" s="297"/>
      <c r="E56" s="298"/>
      <c r="F56" s="297"/>
      <c r="G56" s="298"/>
      <c r="H56" s="386"/>
      <c r="I56" s="386"/>
      <c r="J56" s="390"/>
      <c r="K56" s="458"/>
      <c r="L56" s="386"/>
      <c r="M56" s="386"/>
      <c r="N56" s="390"/>
      <c r="O56" s="458"/>
      <c r="P56" s="386"/>
      <c r="Q56" s="386"/>
      <c r="R56" s="390"/>
      <c r="S56" s="458"/>
      <c r="T56" s="386"/>
    </row>
    <row r="57" spans="2:24" ht="12.75">
      <c r="B57" s="299" t="s">
        <v>252</v>
      </c>
      <c r="C57" s="300" t="s">
        <v>652</v>
      </c>
      <c r="D57" s="300"/>
      <c r="E57" s="301"/>
      <c r="F57" s="300"/>
      <c r="G57" s="301"/>
      <c r="H57" s="386"/>
      <c r="I57" s="386"/>
      <c r="J57" s="390"/>
      <c r="K57" s="458"/>
      <c r="L57" s="386"/>
      <c r="M57" s="386"/>
      <c r="N57" s="390"/>
      <c r="O57" s="458"/>
      <c r="P57" s="386"/>
      <c r="Q57" s="386"/>
      <c r="R57" s="390"/>
      <c r="S57" s="458"/>
      <c r="T57" s="386"/>
    </row>
    <row r="58" spans="2:24" ht="12.75">
      <c r="B58" s="302" t="s">
        <v>253</v>
      </c>
      <c r="C58" s="303" t="s">
        <v>653</v>
      </c>
      <c r="D58" s="303"/>
      <c r="E58" s="304"/>
      <c r="F58" s="303"/>
      <c r="G58" s="304"/>
      <c r="H58" s="386"/>
      <c r="I58" s="386"/>
      <c r="J58" s="390"/>
      <c r="K58" s="458"/>
      <c r="L58" s="386"/>
      <c r="M58" s="386"/>
      <c r="N58" s="390"/>
      <c r="O58" s="458"/>
      <c r="P58" s="386"/>
      <c r="Q58" s="386"/>
      <c r="R58" s="390"/>
      <c r="S58" s="458"/>
      <c r="T58" s="386"/>
    </row>
    <row r="59" spans="2:24" ht="12.75">
      <c r="B59" s="305" t="s">
        <v>654</v>
      </c>
      <c r="C59" s="306" t="s">
        <v>653</v>
      </c>
      <c r="D59" s="306"/>
      <c r="E59" s="307"/>
      <c r="F59" s="306"/>
      <c r="G59" s="307"/>
      <c r="H59" s="386"/>
      <c r="I59" s="386"/>
      <c r="J59" s="390"/>
      <c r="K59" s="458"/>
      <c r="L59" s="386"/>
      <c r="M59" s="386"/>
      <c r="N59" s="390"/>
      <c r="O59" s="458"/>
      <c r="P59" s="386"/>
      <c r="Q59" s="386"/>
      <c r="R59" s="390"/>
      <c r="S59" s="458"/>
      <c r="T59" s="386"/>
    </row>
    <row r="60" spans="2:24" ht="12.75">
      <c r="B60" s="460" t="s">
        <v>254</v>
      </c>
      <c r="C60" s="461" t="s">
        <v>688</v>
      </c>
      <c r="D60" s="461"/>
      <c r="E60" s="462"/>
      <c r="F60" s="461"/>
      <c r="G60" s="462"/>
      <c r="H60" s="386"/>
      <c r="I60" s="386"/>
      <c r="J60" s="390"/>
      <c r="K60" s="458"/>
      <c r="L60" s="386"/>
      <c r="M60" s="386"/>
      <c r="N60" s="390"/>
      <c r="O60" s="458"/>
      <c r="P60" s="386"/>
      <c r="Q60" s="386"/>
      <c r="R60" s="390"/>
      <c r="S60" s="458"/>
      <c r="T60" s="386"/>
    </row>
    <row r="61" spans="2:24" ht="12.75">
      <c r="B61" s="390"/>
      <c r="C61" s="458"/>
      <c r="D61" s="386"/>
      <c r="E61" s="386"/>
      <c r="F61" s="390"/>
      <c r="G61" s="458"/>
      <c r="H61" s="386"/>
      <c r="I61" s="386"/>
      <c r="J61" s="390"/>
      <c r="K61" s="458"/>
      <c r="L61" s="386"/>
      <c r="M61" s="386"/>
      <c r="N61" s="390"/>
      <c r="O61" s="458"/>
      <c r="P61" s="386"/>
      <c r="Q61" s="386"/>
      <c r="R61" s="390"/>
      <c r="S61" s="458"/>
      <c r="T61" s="386"/>
    </row>
    <row r="64" spans="2:24" ht="15.75">
      <c r="B64" s="463" t="s">
        <v>907</v>
      </c>
      <c r="C64" s="464"/>
      <c r="D64" s="465"/>
      <c r="E64" s="359"/>
      <c r="I64" s="359"/>
      <c r="M64" s="359"/>
      <c r="Q64" s="359"/>
    </row>
    <row r="65" spans="2:24" ht="12.75">
      <c r="B65" s="317"/>
      <c r="C65" s="1190">
        <v>2009</v>
      </c>
      <c r="D65" s="1194"/>
      <c r="E65" s="321"/>
      <c r="F65" s="319"/>
      <c r="G65" s="1190">
        <v>2010</v>
      </c>
      <c r="H65" s="1194"/>
      <c r="I65" s="321"/>
      <c r="J65" s="320"/>
      <c r="K65" s="1190">
        <v>2011</v>
      </c>
      <c r="L65" s="1194"/>
      <c r="M65" s="321"/>
      <c r="N65" s="320"/>
      <c r="O65" s="1190">
        <v>2012</v>
      </c>
      <c r="P65" s="1194"/>
      <c r="Q65" s="321"/>
      <c r="R65" s="319"/>
      <c r="S65" s="1190">
        <v>2013</v>
      </c>
      <c r="T65" s="1193"/>
      <c r="V65" s="319" t="s">
        <v>656</v>
      </c>
      <c r="W65" s="1190" t="s">
        <v>657</v>
      </c>
      <c r="X65" s="1194"/>
    </row>
    <row r="66" spans="2:24" ht="21.75" customHeight="1">
      <c r="B66" s="325" t="s">
        <v>690</v>
      </c>
      <c r="C66" s="470" t="s">
        <v>632</v>
      </c>
      <c r="D66" s="470" t="s">
        <v>633</v>
      </c>
      <c r="E66" s="324"/>
      <c r="F66" s="325" t="s">
        <v>690</v>
      </c>
      <c r="G66" s="470" t="s">
        <v>632</v>
      </c>
      <c r="H66" s="470" t="s">
        <v>633</v>
      </c>
      <c r="I66" s="324"/>
      <c r="J66" s="325" t="s">
        <v>690</v>
      </c>
      <c r="K66" s="470" t="s">
        <v>632</v>
      </c>
      <c r="L66" s="471" t="s">
        <v>633</v>
      </c>
      <c r="M66" s="324"/>
      <c r="N66" s="325" t="s">
        <v>690</v>
      </c>
      <c r="O66" s="325" t="s">
        <v>632</v>
      </c>
      <c r="P66" s="470" t="s">
        <v>633</v>
      </c>
      <c r="Q66" s="324"/>
      <c r="R66" s="325" t="s">
        <v>690</v>
      </c>
      <c r="S66" s="547" t="s">
        <v>710</v>
      </c>
      <c r="T66" s="548" t="s">
        <v>633</v>
      </c>
      <c r="V66" s="325" t="s">
        <v>690</v>
      </c>
      <c r="W66" s="547" t="s">
        <v>710</v>
      </c>
      <c r="X66" s="548" t="s">
        <v>633</v>
      </c>
    </row>
    <row r="67" spans="2:24">
      <c r="B67" s="337" t="s">
        <v>908</v>
      </c>
      <c r="C67" s="286">
        <v>424.02</v>
      </c>
      <c r="D67" s="843">
        <v>541.60681758540704</v>
      </c>
      <c r="E67" s="570"/>
      <c r="F67" s="337" t="s">
        <v>908</v>
      </c>
      <c r="G67" s="286">
        <v>350</v>
      </c>
      <c r="H67" s="843">
        <v>141</v>
      </c>
      <c r="I67" s="570"/>
      <c r="J67" s="337" t="s">
        <v>908</v>
      </c>
      <c r="K67" s="249">
        <v>369.79</v>
      </c>
      <c r="L67" s="1072">
        <f>'Aanpassing gegevens (aug 2016)'!I150</f>
        <v>286</v>
      </c>
      <c r="M67" s="570"/>
      <c r="N67" s="504" t="s">
        <v>908</v>
      </c>
      <c r="O67" s="249">
        <v>406.77</v>
      </c>
      <c r="P67" s="1072">
        <f>'Aanpassing gegevens (aug 2016)'!I186</f>
        <v>291</v>
      </c>
      <c r="Q67" s="570"/>
      <c r="R67" s="504" t="s">
        <v>908</v>
      </c>
      <c r="S67" s="844">
        <v>447.45</v>
      </c>
      <c r="T67" s="845"/>
      <c r="V67" s="504" t="s">
        <v>908</v>
      </c>
      <c r="W67" s="844">
        <f t="shared" ref="W67:W83" si="0">S67</f>
        <v>447.45</v>
      </c>
      <c r="X67" s="846">
        <f t="shared" ref="X67:X82" si="1">(P67+L67+H67)/3</f>
        <v>239.33333333333334</v>
      </c>
    </row>
    <row r="68" spans="2:24">
      <c r="B68" s="326" t="s">
        <v>909</v>
      </c>
      <c r="C68" s="287">
        <v>604.57000000000005</v>
      </c>
      <c r="D68" s="847">
        <v>658.00028046380021</v>
      </c>
      <c r="E68" s="570"/>
      <c r="F68" s="326" t="s">
        <v>909</v>
      </c>
      <c r="G68" s="287">
        <v>585</v>
      </c>
      <c r="H68" s="847">
        <v>213</v>
      </c>
      <c r="I68" s="570"/>
      <c r="J68" s="326" t="s">
        <v>909</v>
      </c>
      <c r="K68" s="252">
        <v>583.15</v>
      </c>
      <c r="L68" s="1073">
        <f>'Aanpassing gegevens (aug 2016)'!I151</f>
        <v>323</v>
      </c>
      <c r="M68" s="570"/>
      <c r="N68" s="472" t="s">
        <v>909</v>
      </c>
      <c r="O68" s="252">
        <v>641.46</v>
      </c>
      <c r="P68" s="1073">
        <f>'Aanpassing gegevens (aug 2016)'!I187</f>
        <v>132</v>
      </c>
      <c r="Q68" s="570"/>
      <c r="R68" s="472" t="s">
        <v>909</v>
      </c>
      <c r="S68" s="848">
        <v>705.61</v>
      </c>
      <c r="T68" s="849"/>
      <c r="V68" s="472" t="s">
        <v>909</v>
      </c>
      <c r="W68" s="848">
        <f t="shared" si="0"/>
        <v>705.61</v>
      </c>
      <c r="X68" s="850">
        <f t="shared" si="1"/>
        <v>222.66666666666666</v>
      </c>
    </row>
    <row r="69" spans="2:24">
      <c r="B69" s="326" t="s">
        <v>677</v>
      </c>
      <c r="C69" s="288">
        <v>969.47</v>
      </c>
      <c r="D69" s="851">
        <v>18</v>
      </c>
      <c r="E69" s="570"/>
      <c r="F69" s="326" t="s">
        <v>677</v>
      </c>
      <c r="G69" s="288">
        <v>990.8</v>
      </c>
      <c r="H69" s="851">
        <v>19</v>
      </c>
      <c r="I69" s="570"/>
      <c r="J69" s="326" t="s">
        <v>677</v>
      </c>
      <c r="K69" s="254">
        <v>833.19</v>
      </c>
      <c r="L69" s="1073">
        <f>'Aanpassing gegevens (aug 2016)'!I152</f>
        <v>8</v>
      </c>
      <c r="M69" s="570"/>
      <c r="N69" s="472" t="s">
        <v>677</v>
      </c>
      <c r="O69" s="254">
        <v>916.51</v>
      </c>
      <c r="P69" s="1073">
        <f>'Aanpassing gegevens (aug 2016)'!I188</f>
        <v>9</v>
      </c>
      <c r="Q69" s="570"/>
      <c r="R69" s="472" t="s">
        <v>677</v>
      </c>
      <c r="S69" s="852">
        <v>1008.16</v>
      </c>
      <c r="T69" s="849"/>
      <c r="V69" s="472" t="s">
        <v>677</v>
      </c>
      <c r="W69" s="852">
        <f t="shared" si="0"/>
        <v>1008.16</v>
      </c>
      <c r="X69" s="853">
        <f t="shared" si="1"/>
        <v>12</v>
      </c>
    </row>
    <row r="70" spans="2:24">
      <c r="B70" s="326" t="s">
        <v>676</v>
      </c>
      <c r="C70" s="288">
        <v>969.47</v>
      </c>
      <c r="D70" s="851">
        <v>4</v>
      </c>
      <c r="E70" s="570"/>
      <c r="F70" s="326" t="s">
        <v>676</v>
      </c>
      <c r="G70" s="288">
        <v>990.8</v>
      </c>
      <c r="H70" s="851">
        <v>0</v>
      </c>
      <c r="I70" s="570"/>
      <c r="J70" s="326" t="s">
        <v>676</v>
      </c>
      <c r="K70" s="254">
        <v>833.19</v>
      </c>
      <c r="L70" s="1073">
        <f>'Aanpassing gegevens (aug 2016)'!I153</f>
        <v>2</v>
      </c>
      <c r="M70" s="570"/>
      <c r="N70" s="472" t="s">
        <v>676</v>
      </c>
      <c r="O70" s="254">
        <v>916.51</v>
      </c>
      <c r="P70" s="1073">
        <f>'Aanpassing gegevens (aug 2016)'!I189</f>
        <v>3</v>
      </c>
      <c r="Q70" s="570"/>
      <c r="R70" s="472" t="s">
        <v>676</v>
      </c>
      <c r="S70" s="852">
        <v>1008.16</v>
      </c>
      <c r="T70" s="849"/>
      <c r="V70" s="472" t="s">
        <v>676</v>
      </c>
      <c r="W70" s="852">
        <f t="shared" si="0"/>
        <v>1008.16</v>
      </c>
      <c r="X70" s="853">
        <f t="shared" si="1"/>
        <v>1.6666666666666667</v>
      </c>
    </row>
    <row r="71" spans="2:24">
      <c r="B71" s="326" t="s">
        <v>695</v>
      </c>
      <c r="C71" s="288">
        <v>969.47</v>
      </c>
      <c r="D71" s="851">
        <v>8.6792410161424058</v>
      </c>
      <c r="E71" s="570"/>
      <c r="F71" s="326" t="s">
        <v>695</v>
      </c>
      <c r="G71" s="288">
        <v>990.8</v>
      </c>
      <c r="H71" s="851">
        <v>1</v>
      </c>
      <c r="I71" s="570"/>
      <c r="J71" s="326" t="s">
        <v>695</v>
      </c>
      <c r="K71" s="254">
        <v>1048.05</v>
      </c>
      <c r="L71" s="1073">
        <f>'Aanpassing gegevens (aug 2016)'!I154</f>
        <v>6</v>
      </c>
      <c r="M71" s="570"/>
      <c r="N71" s="472" t="s">
        <v>695</v>
      </c>
      <c r="O71" s="254">
        <v>1152.8499999999999</v>
      </c>
      <c r="P71" s="1073">
        <f>'Aanpassing gegevens (aug 2016)'!I190</f>
        <v>5</v>
      </c>
      <c r="Q71" s="570"/>
      <c r="R71" s="472" t="s">
        <v>695</v>
      </c>
      <c r="S71" s="852">
        <v>1268.1400000000001</v>
      </c>
      <c r="T71" s="849"/>
      <c r="V71" s="472" t="s">
        <v>695</v>
      </c>
      <c r="W71" s="852">
        <f t="shared" si="0"/>
        <v>1268.1400000000001</v>
      </c>
      <c r="X71" s="853">
        <f t="shared" si="1"/>
        <v>4</v>
      </c>
    </row>
    <row r="72" spans="2:24">
      <c r="B72" s="366" t="s">
        <v>697</v>
      </c>
      <c r="C72" s="288">
        <v>969.47</v>
      </c>
      <c r="D72" s="851">
        <v>18</v>
      </c>
      <c r="E72" s="570"/>
      <c r="F72" s="366" t="s">
        <v>697</v>
      </c>
      <c r="G72" s="288">
        <v>990.8</v>
      </c>
      <c r="H72" s="851">
        <v>8</v>
      </c>
      <c r="I72" s="570"/>
      <c r="J72" s="366" t="s">
        <v>697</v>
      </c>
      <c r="K72" s="254">
        <v>1048.05</v>
      </c>
      <c r="L72" s="1073">
        <f>'Aanpassing gegevens (aug 2016)'!I155</f>
        <v>6</v>
      </c>
      <c r="M72" s="570"/>
      <c r="N72" s="472" t="s">
        <v>697</v>
      </c>
      <c r="O72" s="254">
        <v>1152.8499999999999</v>
      </c>
      <c r="P72" s="1073">
        <f>'Aanpassing gegevens (aug 2016)'!I191</f>
        <v>4</v>
      </c>
      <c r="Q72" s="570"/>
      <c r="R72" s="472" t="s">
        <v>697</v>
      </c>
      <c r="S72" s="852">
        <v>1268.1400000000001</v>
      </c>
      <c r="T72" s="849"/>
      <c r="V72" s="472" t="s">
        <v>697</v>
      </c>
      <c r="W72" s="852">
        <f t="shared" si="0"/>
        <v>1268.1400000000001</v>
      </c>
      <c r="X72" s="853">
        <f t="shared" si="1"/>
        <v>6</v>
      </c>
    </row>
    <row r="73" spans="2:24">
      <c r="B73" s="326" t="s">
        <v>910</v>
      </c>
      <c r="C73" s="289">
        <v>3627.4</v>
      </c>
      <c r="D73" s="854">
        <v>0</v>
      </c>
      <c r="E73" s="570"/>
      <c r="F73" s="326" t="s">
        <v>910</v>
      </c>
      <c r="G73" s="289">
        <v>3707.2</v>
      </c>
      <c r="H73" s="854">
        <v>0</v>
      </c>
      <c r="I73" s="570"/>
      <c r="J73" s="326" t="s">
        <v>910</v>
      </c>
      <c r="K73" s="256">
        <v>3724.34</v>
      </c>
      <c r="L73" s="1073">
        <f>'Aanpassing gegevens (aug 2016)'!I156</f>
        <v>0</v>
      </c>
      <c r="M73" s="570"/>
      <c r="N73" s="472" t="s">
        <v>910</v>
      </c>
      <c r="O73" s="256">
        <v>4096.7700000000004</v>
      </c>
      <c r="P73" s="1073">
        <f>'Aanpassing gegevens (aug 2016)'!I192</f>
        <v>0</v>
      </c>
      <c r="Q73" s="570"/>
      <c r="R73" s="472" t="s">
        <v>910</v>
      </c>
      <c r="S73" s="855">
        <v>4506.45</v>
      </c>
      <c r="T73" s="849"/>
      <c r="V73" s="472" t="s">
        <v>910</v>
      </c>
      <c r="W73" s="855">
        <f t="shared" si="0"/>
        <v>4506.45</v>
      </c>
      <c r="X73" s="856">
        <f t="shared" si="1"/>
        <v>0</v>
      </c>
    </row>
    <row r="74" spans="2:24">
      <c r="B74" s="326" t="s">
        <v>911</v>
      </c>
      <c r="C74" s="289">
        <v>3834.38</v>
      </c>
      <c r="D74" s="854">
        <v>3</v>
      </c>
      <c r="E74" s="570"/>
      <c r="F74" s="326" t="s">
        <v>911</v>
      </c>
      <c r="G74" s="289">
        <v>3918.74</v>
      </c>
      <c r="H74" s="854">
        <v>3</v>
      </c>
      <c r="I74" s="570"/>
      <c r="J74" s="326" t="s">
        <v>911</v>
      </c>
      <c r="K74" s="256">
        <v>3724.34</v>
      </c>
      <c r="L74" s="1073">
        <f>'Aanpassing gegevens (aug 2016)'!I157</f>
        <v>3</v>
      </c>
      <c r="M74" s="570"/>
      <c r="N74" s="472" t="s">
        <v>911</v>
      </c>
      <c r="O74" s="256">
        <v>4096.7700000000004</v>
      </c>
      <c r="P74" s="1073">
        <f>'Aanpassing gegevens (aug 2016)'!I193</f>
        <v>1</v>
      </c>
      <c r="Q74" s="570"/>
      <c r="R74" s="472" t="s">
        <v>911</v>
      </c>
      <c r="S74" s="855">
        <v>4506.45</v>
      </c>
      <c r="T74" s="849"/>
      <c r="V74" s="472" t="s">
        <v>911</v>
      </c>
      <c r="W74" s="855">
        <f t="shared" si="0"/>
        <v>4506.45</v>
      </c>
      <c r="X74" s="856">
        <f t="shared" si="1"/>
        <v>2.3333333333333335</v>
      </c>
    </row>
    <row r="75" spans="2:24">
      <c r="B75" s="326" t="s">
        <v>912</v>
      </c>
      <c r="C75" s="289">
        <v>5286.04</v>
      </c>
      <c r="D75" s="854">
        <v>1</v>
      </c>
      <c r="E75" s="570"/>
      <c r="F75" s="326" t="s">
        <v>912</v>
      </c>
      <c r="G75" s="289">
        <v>5402.33</v>
      </c>
      <c r="H75" s="854">
        <v>2</v>
      </c>
      <c r="I75" s="570"/>
      <c r="J75" s="326" t="s">
        <v>912</v>
      </c>
      <c r="K75" s="256">
        <v>3853.92</v>
      </c>
      <c r="L75" s="1073">
        <f>'Aanpassing gegevens (aug 2016)'!I158</f>
        <v>0</v>
      </c>
      <c r="M75" s="570"/>
      <c r="N75" s="472" t="s">
        <v>912</v>
      </c>
      <c r="O75" s="256">
        <v>4239.3100000000004</v>
      </c>
      <c r="P75" s="1073">
        <f>'Aanpassing gegevens (aug 2016)'!I194</f>
        <v>3</v>
      </c>
      <c r="Q75" s="570"/>
      <c r="R75" s="472" t="s">
        <v>912</v>
      </c>
      <c r="S75" s="855">
        <v>4663.24</v>
      </c>
      <c r="T75" s="849"/>
      <c r="V75" s="472" t="s">
        <v>912</v>
      </c>
      <c r="W75" s="855">
        <f t="shared" si="0"/>
        <v>4663.24</v>
      </c>
      <c r="X75" s="856">
        <f t="shared" si="1"/>
        <v>1.6666666666666667</v>
      </c>
    </row>
    <row r="76" spans="2:24">
      <c r="B76" s="326" t="s">
        <v>913</v>
      </c>
      <c r="C76" s="289">
        <v>5629.23</v>
      </c>
      <c r="D76" s="854">
        <v>3.9989341348639158</v>
      </c>
      <c r="E76" s="570"/>
      <c r="F76" s="326" t="s">
        <v>913</v>
      </c>
      <c r="G76" s="289">
        <v>5753.07</v>
      </c>
      <c r="H76" s="854">
        <v>0</v>
      </c>
      <c r="I76" s="570"/>
      <c r="J76" s="326" t="s">
        <v>913</v>
      </c>
      <c r="K76" s="256">
        <v>3966.36</v>
      </c>
      <c r="L76" s="1073">
        <f>'Aanpassing gegevens (aug 2016)'!I159</f>
        <v>0</v>
      </c>
      <c r="M76" s="570"/>
      <c r="N76" s="472" t="s">
        <v>913</v>
      </c>
      <c r="O76" s="256">
        <v>4363</v>
      </c>
      <c r="P76" s="1073">
        <f>'Aanpassing gegevens (aug 2016)'!I195</f>
        <v>0</v>
      </c>
      <c r="Q76" s="570"/>
      <c r="R76" s="472" t="s">
        <v>913</v>
      </c>
      <c r="S76" s="855">
        <v>4799.3</v>
      </c>
      <c r="T76" s="849"/>
      <c r="V76" s="472" t="s">
        <v>913</v>
      </c>
      <c r="W76" s="855">
        <f t="shared" si="0"/>
        <v>4799.3</v>
      </c>
      <c r="X76" s="856">
        <f t="shared" si="1"/>
        <v>0</v>
      </c>
    </row>
    <row r="77" spans="2:24">
      <c r="B77" s="326" t="s">
        <v>914</v>
      </c>
      <c r="C77" s="289">
        <v>5900.43</v>
      </c>
      <c r="D77" s="854">
        <v>7</v>
      </c>
      <c r="E77" s="570"/>
      <c r="F77" s="326" t="s">
        <v>914</v>
      </c>
      <c r="G77" s="289">
        <v>6030.24</v>
      </c>
      <c r="H77" s="854">
        <v>1</v>
      </c>
      <c r="I77" s="570"/>
      <c r="J77" s="326" t="s">
        <v>914</v>
      </c>
      <c r="K77" s="256">
        <v>3942.79</v>
      </c>
      <c r="L77" s="1073">
        <f>'Aanpassing gegevens (aug 2016)'!I160</f>
        <v>5</v>
      </c>
      <c r="M77" s="570"/>
      <c r="N77" s="472" t="s">
        <v>914</v>
      </c>
      <c r="O77" s="256">
        <v>4337.07</v>
      </c>
      <c r="P77" s="1073">
        <f>'Aanpassing gegevens (aug 2016)'!I196</f>
        <v>4</v>
      </c>
      <c r="Q77" s="570"/>
      <c r="R77" s="472" t="s">
        <v>914</v>
      </c>
      <c r="S77" s="855">
        <v>4770.78</v>
      </c>
      <c r="T77" s="849"/>
      <c r="V77" s="472" t="s">
        <v>914</v>
      </c>
      <c r="W77" s="855">
        <f t="shared" si="0"/>
        <v>4770.78</v>
      </c>
      <c r="X77" s="856">
        <f t="shared" si="1"/>
        <v>3.3333333333333335</v>
      </c>
    </row>
    <row r="78" spans="2:24">
      <c r="B78" s="326" t="s">
        <v>915</v>
      </c>
      <c r="C78" s="289">
        <v>24470.76</v>
      </c>
      <c r="D78" s="854">
        <v>2</v>
      </c>
      <c r="E78" s="570"/>
      <c r="F78" s="326" t="s">
        <v>915</v>
      </c>
      <c r="G78" s="289">
        <v>25009.119999999999</v>
      </c>
      <c r="H78" s="854">
        <v>3</v>
      </c>
      <c r="I78" s="570"/>
      <c r="J78" s="326" t="s">
        <v>915</v>
      </c>
      <c r="K78" s="256">
        <v>23298.27</v>
      </c>
      <c r="L78" s="1073">
        <f>'Aanpassing gegevens (aug 2016)'!I161</f>
        <v>9</v>
      </c>
      <c r="M78" s="570"/>
      <c r="N78" s="472" t="s">
        <v>915</v>
      </c>
      <c r="O78" s="256">
        <v>25628.11</v>
      </c>
      <c r="P78" s="1073">
        <f>'Aanpassing gegevens (aug 2016)'!I197</f>
        <v>3</v>
      </c>
      <c r="Q78" s="570"/>
      <c r="R78" s="472" t="s">
        <v>915</v>
      </c>
      <c r="S78" s="855">
        <v>28190.92</v>
      </c>
      <c r="T78" s="849"/>
      <c r="V78" s="472" t="s">
        <v>915</v>
      </c>
      <c r="W78" s="855">
        <f t="shared" si="0"/>
        <v>28190.92</v>
      </c>
      <c r="X78" s="856">
        <f t="shared" si="1"/>
        <v>5</v>
      </c>
    </row>
    <row r="79" spans="2:24">
      <c r="B79" s="326" t="s">
        <v>916</v>
      </c>
      <c r="C79" s="684">
        <v>28483.71</v>
      </c>
      <c r="D79" s="857"/>
      <c r="E79" s="570"/>
      <c r="F79" s="326" t="s">
        <v>916</v>
      </c>
      <c r="G79" s="684">
        <v>29110.35</v>
      </c>
      <c r="H79" s="857">
        <v>0</v>
      </c>
      <c r="I79" s="570"/>
      <c r="J79" s="326" t="s">
        <v>916</v>
      </c>
      <c r="K79" s="258">
        <v>29110.35</v>
      </c>
      <c r="L79" s="1073">
        <f>'Aanpassing gegevens (aug 2016)'!I162</f>
        <v>0</v>
      </c>
      <c r="M79" s="570"/>
      <c r="N79" s="472" t="s">
        <v>916</v>
      </c>
      <c r="O79" s="258">
        <v>32021.38</v>
      </c>
      <c r="P79" s="1073">
        <f>'Aanpassing gegevens (aug 2016)'!I198</f>
        <v>0</v>
      </c>
      <c r="Q79" s="570"/>
      <c r="R79" s="472" t="s">
        <v>916</v>
      </c>
      <c r="S79" s="704">
        <v>35223.519999999997</v>
      </c>
      <c r="T79" s="849"/>
      <c r="V79" s="472" t="s">
        <v>916</v>
      </c>
      <c r="W79" s="704">
        <f t="shared" si="0"/>
        <v>35223.519999999997</v>
      </c>
      <c r="X79" s="705">
        <f t="shared" si="1"/>
        <v>0</v>
      </c>
    </row>
    <row r="80" spans="2:24">
      <c r="B80" s="326" t="s">
        <v>917</v>
      </c>
      <c r="C80" s="684">
        <v>57128.91</v>
      </c>
      <c r="D80" s="857"/>
      <c r="E80" s="570"/>
      <c r="F80" s="326" t="s">
        <v>917</v>
      </c>
      <c r="G80" s="684">
        <v>58385.75</v>
      </c>
      <c r="H80" s="857">
        <v>0</v>
      </c>
      <c r="I80" s="570"/>
      <c r="J80" s="326" t="s">
        <v>917</v>
      </c>
      <c r="K80" s="258">
        <v>58385.75</v>
      </c>
      <c r="L80" s="1073">
        <f>'Aanpassing gegevens (aug 2016)'!I163</f>
        <v>0</v>
      </c>
      <c r="M80" s="570"/>
      <c r="N80" s="472" t="s">
        <v>917</v>
      </c>
      <c r="O80" s="258">
        <v>64224.33</v>
      </c>
      <c r="P80" s="1073">
        <f>'Aanpassing gegevens (aug 2016)'!I199</f>
        <v>0</v>
      </c>
      <c r="Q80" s="570"/>
      <c r="R80" s="472" t="s">
        <v>917</v>
      </c>
      <c r="S80" s="704">
        <v>70646.759999999995</v>
      </c>
      <c r="T80" s="849"/>
      <c r="V80" s="472" t="s">
        <v>917</v>
      </c>
      <c r="W80" s="704">
        <f t="shared" si="0"/>
        <v>70646.759999999995</v>
      </c>
      <c r="X80" s="705">
        <f t="shared" si="1"/>
        <v>0</v>
      </c>
    </row>
    <row r="81" spans="1:27">
      <c r="B81" s="326" t="s">
        <v>918</v>
      </c>
      <c r="C81" s="684">
        <v>58038.49</v>
      </c>
      <c r="D81" s="857"/>
      <c r="E81" s="570"/>
      <c r="F81" s="326" t="s">
        <v>918</v>
      </c>
      <c r="G81" s="684">
        <v>59315.34</v>
      </c>
      <c r="H81" s="857">
        <v>0</v>
      </c>
      <c r="I81" s="570"/>
      <c r="J81" s="326" t="s">
        <v>918</v>
      </c>
      <c r="K81" s="258">
        <v>59315.34</v>
      </c>
      <c r="L81" s="1073">
        <f>'Aanpassing gegevens (aug 2016)'!I164</f>
        <v>0</v>
      </c>
      <c r="M81" s="570"/>
      <c r="N81" s="472" t="s">
        <v>918</v>
      </c>
      <c r="O81" s="258">
        <v>65246.87</v>
      </c>
      <c r="P81" s="1073">
        <f>'Aanpassing gegevens (aug 2016)'!I200</f>
        <v>0</v>
      </c>
      <c r="Q81" s="570"/>
      <c r="R81" s="472" t="s">
        <v>918</v>
      </c>
      <c r="S81" s="704">
        <v>71771.56</v>
      </c>
      <c r="T81" s="849"/>
      <c r="V81" s="472" t="s">
        <v>918</v>
      </c>
      <c r="W81" s="704">
        <f t="shared" si="0"/>
        <v>71771.56</v>
      </c>
      <c r="X81" s="705">
        <f t="shared" si="1"/>
        <v>0</v>
      </c>
    </row>
    <row r="82" spans="1:27">
      <c r="B82" s="523" t="s">
        <v>919</v>
      </c>
      <c r="C82" s="290">
        <v>58490.54</v>
      </c>
      <c r="D82" s="858"/>
      <c r="E82" s="570"/>
      <c r="F82" s="523" t="s">
        <v>919</v>
      </c>
      <c r="G82" s="290">
        <v>59777.33</v>
      </c>
      <c r="H82" s="858">
        <v>0</v>
      </c>
      <c r="I82" s="570"/>
      <c r="J82" s="523" t="s">
        <v>919</v>
      </c>
      <c r="K82" s="267">
        <v>59777.33</v>
      </c>
      <c r="L82" s="1073">
        <f>'Aanpassing gegevens (aug 2016)'!I165</f>
        <v>0</v>
      </c>
      <c r="M82" s="570"/>
      <c r="N82" s="472" t="s">
        <v>919</v>
      </c>
      <c r="O82" s="258">
        <v>65755.06</v>
      </c>
      <c r="P82" s="1073">
        <f>'Aanpassing gegevens (aug 2016)'!I201</f>
        <v>0</v>
      </c>
      <c r="Q82" s="570"/>
      <c r="R82" s="472" t="s">
        <v>919</v>
      </c>
      <c r="S82" s="704">
        <v>72330.570000000007</v>
      </c>
      <c r="T82" s="849"/>
      <c r="V82" s="472" t="s">
        <v>919</v>
      </c>
      <c r="W82" s="704">
        <f t="shared" si="0"/>
        <v>72330.570000000007</v>
      </c>
      <c r="X82" s="705">
        <f t="shared" si="1"/>
        <v>0</v>
      </c>
    </row>
    <row r="83" spans="1:27" ht="13.5" customHeight="1">
      <c r="A83" s="390"/>
      <c r="B83" s="390"/>
      <c r="C83" s="488"/>
      <c r="D83" s="390"/>
      <c r="E83" s="390"/>
      <c r="F83" s="489"/>
      <c r="G83" s="488"/>
      <c r="H83" s="859"/>
      <c r="I83" s="390"/>
      <c r="J83" s="1074" t="str">
        <f>'Aanpassing gegevens (aug 2016)'!B224</f>
        <v xml:space="preserve"> &gt;3,0 MVA en t/m 6,0 MVA MS met  MS meting </v>
      </c>
      <c r="K83" s="1079">
        <f>'Aanpassing gegevens (aug 2016)'!I224</f>
        <v>174413</v>
      </c>
      <c r="L83" s="1074">
        <f>'Aanpassing gegevens (aug 2016)'!I166</f>
        <v>1</v>
      </c>
      <c r="M83" s="390"/>
      <c r="N83" s="860" t="s">
        <v>920</v>
      </c>
      <c r="O83" s="267">
        <v>191854.3</v>
      </c>
      <c r="P83" s="1074">
        <f>'Aanpassing gegevens (aug 2016)'!I202</f>
        <v>0</v>
      </c>
      <c r="Q83" s="570"/>
      <c r="R83" s="861" t="s">
        <v>920</v>
      </c>
      <c r="S83" s="707">
        <v>211039.73</v>
      </c>
      <c r="T83" s="862"/>
      <c r="U83" s="390"/>
      <c r="V83" s="861" t="s">
        <v>920</v>
      </c>
      <c r="W83" s="707">
        <f t="shared" si="0"/>
        <v>211039.73</v>
      </c>
      <c r="X83" s="1080">
        <f>(P83+L83+0)/3</f>
        <v>0.33333333333333331</v>
      </c>
      <c r="Y83" s="1081"/>
      <c r="Z83" s="390"/>
      <c r="AA83" s="390"/>
    </row>
    <row r="84" spans="1:27" ht="13.5" customHeight="1">
      <c r="A84" s="390"/>
      <c r="B84" s="575"/>
      <c r="C84" s="576"/>
      <c r="D84" s="575"/>
      <c r="E84" s="390"/>
      <c r="F84" s="626"/>
      <c r="G84" s="576"/>
      <c r="H84" s="575"/>
      <c r="I84" s="390"/>
      <c r="J84" s="575"/>
      <c r="K84" s="576"/>
      <c r="L84" s="575"/>
      <c r="M84" s="390"/>
      <c r="N84" s="390"/>
      <c r="O84" s="488"/>
      <c r="P84" s="390"/>
      <c r="Q84" s="390"/>
      <c r="R84" s="390"/>
      <c r="S84" s="488"/>
      <c r="T84" s="390"/>
      <c r="U84" s="390"/>
      <c r="V84" s="390"/>
      <c r="W84" s="488"/>
      <c r="X84" s="390"/>
      <c r="Y84" s="1081"/>
      <c r="Z84" s="390"/>
      <c r="AA84" s="390"/>
    </row>
    <row r="85" spans="1:27">
      <c r="B85" s="388" t="s">
        <v>680</v>
      </c>
      <c r="C85" s="629">
        <f>SUMPRODUCT(C67:C82,D67:D82)</f>
        <v>804197.04614048358</v>
      </c>
      <c r="D85" s="385"/>
      <c r="E85" s="386"/>
      <c r="F85" s="628" t="s">
        <v>680</v>
      </c>
      <c r="G85" s="629">
        <f>SUMPRODUCT(G67:G82,H67:H82)</f>
        <v>305315.88</v>
      </c>
      <c r="H85" s="385"/>
      <c r="I85" s="386"/>
      <c r="J85" s="388" t="s">
        <v>680</v>
      </c>
      <c r="K85" s="1077">
        <f>SUMPRODUCT(K67:K83,L67:L83)</f>
        <v>730010.29</v>
      </c>
      <c r="L85" s="385"/>
      <c r="M85" s="386"/>
      <c r="N85" s="383" t="s">
        <v>680</v>
      </c>
      <c r="O85" s="491">
        <f>SUMPRODUCT(O67:O83,P67:P83)</f>
        <v>335463.86999999994</v>
      </c>
      <c r="P85" s="422"/>
      <c r="Q85" s="386"/>
      <c r="R85" s="383" t="s">
        <v>680</v>
      </c>
      <c r="S85" s="491">
        <f>SUMPRODUCT(S67:S83,T67:T83)</f>
        <v>0</v>
      </c>
      <c r="T85" s="422"/>
      <c r="V85" s="383" t="s">
        <v>680</v>
      </c>
      <c r="W85" s="491">
        <f>SUMPRODUCT(W67:W83,X67:X83)</f>
        <v>536156.0066666666</v>
      </c>
      <c r="X85" s="422"/>
      <c r="Y85" s="1082"/>
    </row>
    <row r="86" spans="1:27">
      <c r="B86" s="390"/>
      <c r="C86" s="269"/>
      <c r="D86" s="386"/>
      <c r="E86" s="386"/>
      <c r="F86" s="863"/>
      <c r="G86" s="421"/>
      <c r="H86" s="386"/>
      <c r="I86" s="386"/>
      <c r="J86" s="390"/>
      <c r="K86" s="269"/>
      <c r="L86" s="386"/>
      <c r="M86" s="386"/>
      <c r="N86" s="390"/>
      <c r="O86" s="269"/>
      <c r="P86" s="386"/>
      <c r="Q86" s="386"/>
      <c r="V86" s="390"/>
      <c r="W86" s="269"/>
      <c r="X86" s="386"/>
    </row>
    <row r="87" spans="1:27" ht="21.75" customHeight="1">
      <c r="B87" s="494" t="s">
        <v>704</v>
      </c>
      <c r="C87" s="495" t="s">
        <v>682</v>
      </c>
      <c r="D87" s="433" t="s">
        <v>683</v>
      </c>
      <c r="E87" s="434"/>
      <c r="F87" s="864" t="s">
        <v>705</v>
      </c>
      <c r="G87" s="865" t="s">
        <v>682</v>
      </c>
      <c r="H87" s="496" t="s">
        <v>683</v>
      </c>
      <c r="I87" s="434"/>
      <c r="J87" s="494" t="s">
        <v>705</v>
      </c>
      <c r="K87" s="393" t="s">
        <v>682</v>
      </c>
      <c r="L87" s="496" t="s">
        <v>683</v>
      </c>
      <c r="M87" s="434"/>
      <c r="N87" s="494" t="s">
        <v>705</v>
      </c>
      <c r="O87" s="393" t="s">
        <v>682</v>
      </c>
      <c r="P87" s="496" t="s">
        <v>683</v>
      </c>
      <c r="Q87" s="434"/>
      <c r="V87" s="579" t="s">
        <v>705</v>
      </c>
      <c r="W87" s="393" t="s">
        <v>682</v>
      </c>
      <c r="X87" s="496" t="s">
        <v>683</v>
      </c>
    </row>
    <row r="88" spans="1:27">
      <c r="B88" s="438" t="s">
        <v>251</v>
      </c>
      <c r="C88" s="286">
        <f>IF(D88&lt;&gt;0,C67,0)</f>
        <v>424.02</v>
      </c>
      <c r="D88" s="498">
        <f>D67</f>
        <v>541.60681758540704</v>
      </c>
      <c r="E88" s="443"/>
      <c r="F88" s="438" t="s">
        <v>251</v>
      </c>
      <c r="G88" s="286">
        <f>IF(H88&lt;&gt;0,G67,0)</f>
        <v>350</v>
      </c>
      <c r="H88" s="498">
        <f>H67</f>
        <v>141</v>
      </c>
      <c r="I88" s="443"/>
      <c r="J88" s="438" t="s">
        <v>251</v>
      </c>
      <c r="K88" s="286">
        <f>IF(L88&lt;&gt;0,K67,0)</f>
        <v>369.79</v>
      </c>
      <c r="L88" s="498">
        <f>L67</f>
        <v>286</v>
      </c>
      <c r="M88" s="443"/>
      <c r="N88" s="438" t="s">
        <v>251</v>
      </c>
      <c r="O88" s="286">
        <f>IF(P88&lt;&gt;0,O67,0)</f>
        <v>406.77</v>
      </c>
      <c r="P88" s="498">
        <f>P67</f>
        <v>291</v>
      </c>
      <c r="Q88" s="443"/>
      <c r="V88" s="580" t="s">
        <v>251</v>
      </c>
      <c r="W88" s="286">
        <f>IF(X88&lt;&gt;0,W67,0)</f>
        <v>447.45</v>
      </c>
      <c r="X88" s="498">
        <f>X67</f>
        <v>239.33333333333334</v>
      </c>
    </row>
    <row r="89" spans="1:27">
      <c r="B89" s="438" t="s">
        <v>252</v>
      </c>
      <c r="C89" s="287">
        <f>IF(D89&lt;&gt;0,SUMPRODUCT(C68,D68)/SUM(D68),0)</f>
        <v>604.57000000000005</v>
      </c>
      <c r="D89" s="442">
        <f>SUM(D68)</f>
        <v>658.00028046380021</v>
      </c>
      <c r="E89" s="443"/>
      <c r="F89" s="438" t="s">
        <v>252</v>
      </c>
      <c r="G89" s="287">
        <f>IF(H89&lt;&gt;0,SUMPRODUCT(G68,H68)/SUM(H68),0)</f>
        <v>585</v>
      </c>
      <c r="H89" s="442">
        <f>SUM(H68)</f>
        <v>213</v>
      </c>
      <c r="I89" s="443"/>
      <c r="J89" s="438" t="s">
        <v>252</v>
      </c>
      <c r="K89" s="287">
        <f>IF(L89&lt;&gt;0,SUMPRODUCT(K68,L68)/SUM(L68),0)</f>
        <v>583.15</v>
      </c>
      <c r="L89" s="442">
        <f>SUM(L68)</f>
        <v>323</v>
      </c>
      <c r="M89" s="443"/>
      <c r="N89" s="438" t="s">
        <v>252</v>
      </c>
      <c r="O89" s="287">
        <f>IF(P89&lt;&gt;0,SUMPRODUCT(O68,P68)/SUM(P68),0)</f>
        <v>641.46</v>
      </c>
      <c r="P89" s="442">
        <f>SUM(P68)</f>
        <v>132</v>
      </c>
      <c r="Q89" s="443"/>
      <c r="V89" s="441" t="s">
        <v>252</v>
      </c>
      <c r="W89" s="287">
        <f>IF(X89&lt;&gt;0,SUMPRODUCT(W68,X68)/SUM(X68),0)</f>
        <v>705.61</v>
      </c>
      <c r="X89" s="442">
        <f>SUM(X68)</f>
        <v>222.66666666666666</v>
      </c>
    </row>
    <row r="90" spans="1:27">
      <c r="B90" s="438" t="s">
        <v>253</v>
      </c>
      <c r="C90" s="288">
        <f>IF(D90&lt;&gt;0,SUMPRODUCT(C69:C72,D69:D72)/SUM(D69:D72),0)</f>
        <v>969.47</v>
      </c>
      <c r="D90" s="444">
        <f>SUM(D69:D72)</f>
        <v>48.679241016142406</v>
      </c>
      <c r="E90" s="443"/>
      <c r="F90" s="438" t="s">
        <v>253</v>
      </c>
      <c r="G90" s="288">
        <f>IF(H90&lt;&gt;0,SUMPRODUCT(G69:G72,H69:H72)/SUM(H69:H72),0)</f>
        <v>990.80000000000007</v>
      </c>
      <c r="H90" s="444">
        <f>SUM(H69:H72)</f>
        <v>28</v>
      </c>
      <c r="I90" s="443"/>
      <c r="J90" s="438" t="s">
        <v>253</v>
      </c>
      <c r="K90" s="288">
        <f>IF(L90&lt;&gt;0,SUMPRODUCT(K69:K72,L69:L72)/SUM(L69:L72),0)</f>
        <v>950.38636363636363</v>
      </c>
      <c r="L90" s="444">
        <f>SUM(L69:L72)</f>
        <v>22</v>
      </c>
      <c r="M90" s="443"/>
      <c r="N90" s="438" t="s">
        <v>253</v>
      </c>
      <c r="O90" s="288">
        <f>IF(P90&lt;&gt;0,SUMPRODUCT(O69:O72,P69:P72)/SUM(P69:P72),0)</f>
        <v>1017.7985714285712</v>
      </c>
      <c r="P90" s="444">
        <f>SUM(P69:P72)</f>
        <v>21</v>
      </c>
      <c r="Q90" s="443"/>
      <c r="V90" s="441" t="s">
        <v>253</v>
      </c>
      <c r="W90" s="288">
        <f>IF(X90&lt;&gt;0,SUMPRODUCT(W69:W72,X69:X72)/SUM(X69:X72),0)</f>
        <v>1118.0107042253521</v>
      </c>
      <c r="X90" s="444">
        <f>SUM(X69:X72)</f>
        <v>23.666666666666664</v>
      </c>
    </row>
    <row r="91" spans="1:27">
      <c r="B91" s="438" t="s">
        <v>255</v>
      </c>
      <c r="C91" s="289">
        <f>IF(D91&lt;&gt;0,SUMPRODUCT(C73:C78,D73:D78)/SUM(D73:D78),0)</f>
        <v>7620.7501583473295</v>
      </c>
      <c r="D91" s="445">
        <f>SUM(D73:D78)</f>
        <v>16.998934134863916</v>
      </c>
      <c r="E91" s="443"/>
      <c r="F91" s="438" t="s">
        <v>255</v>
      </c>
      <c r="G91" s="289">
        <f>IF(H91&lt;&gt;0,SUMPRODUCT(G73:G78,H73:H78)/SUM(H73:H78),0)</f>
        <v>11513.164444444445</v>
      </c>
      <c r="H91" s="445">
        <f>SUM(H73:H78)</f>
        <v>9</v>
      </c>
      <c r="I91" s="443"/>
      <c r="J91" s="438" t="s">
        <v>255</v>
      </c>
      <c r="K91" s="289">
        <f>IF(L91&lt;&gt;0,SUMPRODUCT(K73:K78,L73:L78)/SUM(L73:L78),0)</f>
        <v>14151.258823529412</v>
      </c>
      <c r="L91" s="445">
        <f>SUM(L73:L78)</f>
        <v>17</v>
      </c>
      <c r="M91" s="443"/>
      <c r="N91" s="438" t="s">
        <v>255</v>
      </c>
      <c r="O91" s="289">
        <f>IF(P91&lt;&gt;0,SUMPRODUCT(O73:O78,P73:P78)/SUM(P73:P78),0)</f>
        <v>10095.209999999999</v>
      </c>
      <c r="P91" s="445">
        <f>SUM(P73:P78)</f>
        <v>11</v>
      </c>
      <c r="Q91" s="443"/>
      <c r="V91" s="441" t="s">
        <v>255</v>
      </c>
      <c r="W91" s="289">
        <f>IF(X91&lt;&gt;0,SUMPRODUCT(W73:W78,X73:X78)/SUM(X73:X78),0)</f>
        <v>14200.890540540538</v>
      </c>
      <c r="X91" s="445">
        <f>SUM(X73:X78)</f>
        <v>12.333333333333334</v>
      </c>
    </row>
    <row r="92" spans="1:27">
      <c r="B92" s="438" t="s">
        <v>254</v>
      </c>
      <c r="C92" s="290">
        <f>IF(D92&lt;&gt;0,SUMPRODUCT(C79:C82,D79:D82)/SUM(D79:D82),0)</f>
        <v>0</v>
      </c>
      <c r="D92" s="499">
        <f>SUM(D79:D82)</f>
        <v>0</v>
      </c>
      <c r="E92" s="443"/>
      <c r="F92" s="447" t="s">
        <v>254</v>
      </c>
      <c r="G92" s="290">
        <f>IF(H92&lt;&gt;0,SUMPRODUCT(G79:G82,H79:H82)/SUM(H79:H82),0)</f>
        <v>0</v>
      </c>
      <c r="H92" s="499">
        <f>SUM(H79:H82)</f>
        <v>0</v>
      </c>
      <c r="I92" s="443"/>
      <c r="J92" s="438" t="s">
        <v>254</v>
      </c>
      <c r="K92" s="1077">
        <f>IF(L92&lt;&gt;0,SUMPRODUCT(K79:K83,L79:L83)/SUM(L79:L83),0)</f>
        <v>174413</v>
      </c>
      <c r="L92" s="1078">
        <f>SUM(L79:L83)</f>
        <v>1</v>
      </c>
      <c r="M92" s="443"/>
      <c r="N92" s="438" t="s">
        <v>254</v>
      </c>
      <c r="O92" s="290">
        <f>IF(P92&lt;&gt;0,SUMPRODUCT(O79:O83,P79:P83)/SUM(P79:P83),0)</f>
        <v>0</v>
      </c>
      <c r="P92" s="499">
        <f>SUM(P79:P83)</f>
        <v>0</v>
      </c>
      <c r="Q92" s="443"/>
      <c r="V92" s="449" t="s">
        <v>254</v>
      </c>
      <c r="W92" s="290">
        <f>IF(X92&lt;&gt;0,SUMPRODUCT(W79:W83,X79:X83)/SUM(X79:X83),0)</f>
        <v>211039.72999999998</v>
      </c>
      <c r="X92" s="499">
        <f>SUM(X79:X83)</f>
        <v>0.33333333333333331</v>
      </c>
    </row>
    <row r="93" spans="1:27">
      <c r="B93" s="450" t="s">
        <v>680</v>
      </c>
      <c r="C93" s="451">
        <f>SUMPRODUCT(C88:C92,D88:D92)</f>
        <v>804197.04614048358</v>
      </c>
      <c r="D93" s="452"/>
      <c r="E93" s="443"/>
      <c r="F93" s="450" t="s">
        <v>680</v>
      </c>
      <c r="G93" s="451">
        <f>SUMPRODUCT(G88:G92,H88:H92)</f>
        <v>305315.88</v>
      </c>
      <c r="H93" s="452"/>
      <c r="I93" s="443"/>
      <c r="J93" s="450" t="s">
        <v>680</v>
      </c>
      <c r="K93" s="451">
        <f>SUMPRODUCT(K88:K92,L88:L92)</f>
        <v>730010.29</v>
      </c>
      <c r="L93" s="452"/>
      <c r="M93" s="443"/>
      <c r="N93" s="450" t="s">
        <v>680</v>
      </c>
      <c r="O93" s="451">
        <f>SUMPRODUCT(O88:O92,P88:P92)</f>
        <v>335463.87</v>
      </c>
      <c r="P93" s="452"/>
      <c r="Q93" s="443"/>
      <c r="V93" s="586" t="s">
        <v>680</v>
      </c>
      <c r="W93" s="451">
        <f>SUMPRODUCT(W88:W92,X88:X92)</f>
        <v>536156.0066666666</v>
      </c>
      <c r="X93" s="452"/>
    </row>
    <row r="94" spans="1:27" ht="12.75">
      <c r="B94" s="390"/>
      <c r="C94" s="500"/>
      <c r="D94" s="386"/>
      <c r="E94" s="386"/>
      <c r="F94" s="489"/>
      <c r="G94" s="455"/>
      <c r="H94" s="386"/>
      <c r="I94" s="386"/>
      <c r="J94" s="390"/>
      <c r="K94" s="455"/>
      <c r="L94" s="386"/>
      <c r="M94" s="386"/>
      <c r="N94" s="390"/>
      <c r="O94" s="455"/>
      <c r="P94" s="386"/>
      <c r="Q94" s="386"/>
      <c r="V94" s="390"/>
      <c r="W94" s="455"/>
      <c r="X94" s="386"/>
    </row>
    <row r="95" spans="1:27" ht="25.5" customHeight="1">
      <c r="B95" s="501" t="s">
        <v>706</v>
      </c>
      <c r="C95" s="393" t="s">
        <v>682</v>
      </c>
      <c r="D95" s="502" t="s">
        <v>683</v>
      </c>
      <c r="E95" s="503"/>
      <c r="F95" s="501" t="s">
        <v>706</v>
      </c>
      <c r="G95" s="393" t="s">
        <v>682</v>
      </c>
      <c r="H95" s="496" t="s">
        <v>683</v>
      </c>
      <c r="I95" s="503"/>
      <c r="J95" s="501" t="s">
        <v>706</v>
      </c>
      <c r="K95" s="393" t="s">
        <v>682</v>
      </c>
      <c r="L95" s="496" t="s">
        <v>683</v>
      </c>
      <c r="M95" s="503"/>
      <c r="N95" s="501" t="s">
        <v>706</v>
      </c>
      <c r="O95" s="393" t="s">
        <v>682</v>
      </c>
      <c r="P95" s="496" t="s">
        <v>683</v>
      </c>
      <c r="Q95" s="503"/>
      <c r="R95" s="587" t="s">
        <v>706</v>
      </c>
      <c r="S95" s="393" t="s">
        <v>682</v>
      </c>
      <c r="T95" s="502" t="s">
        <v>683</v>
      </c>
      <c r="V95" s="587" t="s">
        <v>706</v>
      </c>
      <c r="W95" s="393" t="s">
        <v>682</v>
      </c>
      <c r="X95" s="502" t="s">
        <v>683</v>
      </c>
    </row>
    <row r="96" spans="1:27">
      <c r="B96" s="504" t="s">
        <v>908</v>
      </c>
      <c r="C96" s="249">
        <v>21.89</v>
      </c>
      <c r="D96" s="843">
        <v>704.66971219735046</v>
      </c>
      <c r="E96" s="570"/>
      <c r="F96" s="504" t="s">
        <v>908</v>
      </c>
      <c r="G96" s="249">
        <v>17.36</v>
      </c>
      <c r="H96" s="843">
        <v>968</v>
      </c>
      <c r="I96" s="570"/>
      <c r="J96" s="504" t="s">
        <v>908</v>
      </c>
      <c r="K96" s="249">
        <v>17.36</v>
      </c>
      <c r="L96" s="1072">
        <f>'Aanpassing gegevens (aug 2016)'!I168</f>
        <v>126</v>
      </c>
      <c r="M96" s="570"/>
      <c r="N96" s="504" t="s">
        <v>908</v>
      </c>
      <c r="O96" s="249">
        <v>19.100000000000001</v>
      </c>
      <c r="P96" s="1072">
        <f>'Aanpassing gegevens (aug 2016)'!I204</f>
        <v>0</v>
      </c>
      <c r="Q96" s="570"/>
      <c r="R96" s="333" t="s">
        <v>908</v>
      </c>
      <c r="S96" s="866">
        <v>21.01</v>
      </c>
      <c r="T96" s="867"/>
      <c r="V96" s="333" t="s">
        <v>908</v>
      </c>
      <c r="W96" s="866">
        <f t="shared" ref="W96:W112" si="2">S96</f>
        <v>21.01</v>
      </c>
      <c r="X96" s="846">
        <f t="shared" ref="X96:X111" si="3">(P96+L96+H96)/3</f>
        <v>364.66666666666669</v>
      </c>
    </row>
    <row r="97" spans="2:24">
      <c r="B97" s="472" t="s">
        <v>909</v>
      </c>
      <c r="C97" s="252">
        <v>17.28</v>
      </c>
      <c r="D97" s="847">
        <v>256.83500195815151</v>
      </c>
      <c r="E97" s="570"/>
      <c r="F97" s="472" t="s">
        <v>909</v>
      </c>
      <c r="G97" s="252">
        <v>17.66</v>
      </c>
      <c r="H97" s="847">
        <v>212</v>
      </c>
      <c r="I97" s="570"/>
      <c r="J97" s="472" t="s">
        <v>909</v>
      </c>
      <c r="K97" s="252">
        <v>17.66</v>
      </c>
      <c r="L97" s="1073">
        <f>'Aanpassing gegevens (aug 2016)'!I169</f>
        <v>217</v>
      </c>
      <c r="M97" s="570"/>
      <c r="N97" s="472" t="s">
        <v>909</v>
      </c>
      <c r="O97" s="252">
        <v>19.43</v>
      </c>
      <c r="P97" s="1073">
        <f>'Aanpassing gegevens (aug 2016)'!I205</f>
        <v>321</v>
      </c>
      <c r="Q97" s="570"/>
      <c r="R97" s="344" t="s">
        <v>909</v>
      </c>
      <c r="S97" s="868">
        <v>21.37</v>
      </c>
      <c r="T97" s="869"/>
      <c r="V97" s="344" t="s">
        <v>909</v>
      </c>
      <c r="W97" s="868">
        <f t="shared" si="2"/>
        <v>21.37</v>
      </c>
      <c r="X97" s="850">
        <f t="shared" si="3"/>
        <v>250</v>
      </c>
    </row>
    <row r="98" spans="2:24">
      <c r="B98" s="472" t="s">
        <v>677</v>
      </c>
      <c r="C98" s="254">
        <v>24.2</v>
      </c>
      <c r="D98" s="851">
        <v>1218.6744561070743</v>
      </c>
      <c r="E98" s="570"/>
      <c r="F98" s="472" t="s">
        <v>677</v>
      </c>
      <c r="G98" s="254">
        <v>24.73</v>
      </c>
      <c r="H98" s="851">
        <v>439</v>
      </c>
      <c r="I98" s="570"/>
      <c r="J98" s="472" t="s">
        <v>677</v>
      </c>
      <c r="K98" s="254">
        <v>24.73</v>
      </c>
      <c r="L98" s="1073">
        <f>'Aanpassing gegevens (aug 2016)'!I170</f>
        <v>0</v>
      </c>
      <c r="M98" s="570"/>
      <c r="N98" s="472" t="s">
        <v>677</v>
      </c>
      <c r="O98" s="254">
        <v>27.2</v>
      </c>
      <c r="P98" s="1073">
        <f>'Aanpassing gegevens (aug 2016)'!I206</f>
        <v>85</v>
      </c>
      <c r="Q98" s="570"/>
      <c r="R98" s="344" t="s">
        <v>677</v>
      </c>
      <c r="S98" s="870">
        <v>29.92</v>
      </c>
      <c r="T98" s="869"/>
      <c r="V98" s="344" t="s">
        <v>677</v>
      </c>
      <c r="W98" s="870">
        <f t="shared" si="2"/>
        <v>29.92</v>
      </c>
      <c r="X98" s="853">
        <f t="shared" si="3"/>
        <v>174.66666666666666</v>
      </c>
    </row>
    <row r="99" spans="2:24">
      <c r="B99" s="472" t="s">
        <v>676</v>
      </c>
      <c r="C99" s="254">
        <v>24.2</v>
      </c>
      <c r="D99" s="851">
        <v>0</v>
      </c>
      <c r="E99" s="570"/>
      <c r="F99" s="472" t="s">
        <v>676</v>
      </c>
      <c r="G99" s="254">
        <v>24.73</v>
      </c>
      <c r="H99" s="851">
        <v>50</v>
      </c>
      <c r="I99" s="570"/>
      <c r="J99" s="472" t="s">
        <v>676</v>
      </c>
      <c r="K99" s="254">
        <v>24.73</v>
      </c>
      <c r="L99" s="1073">
        <f>'Aanpassing gegevens (aug 2016)'!I171</f>
        <v>8</v>
      </c>
      <c r="M99" s="570"/>
      <c r="N99" s="472" t="s">
        <v>676</v>
      </c>
      <c r="O99" s="254">
        <v>27.2</v>
      </c>
      <c r="P99" s="1073">
        <f>'Aanpassing gegevens (aug 2016)'!I207</f>
        <v>0</v>
      </c>
      <c r="Q99" s="570"/>
      <c r="R99" s="344" t="s">
        <v>676</v>
      </c>
      <c r="S99" s="870">
        <v>29.92</v>
      </c>
      <c r="T99" s="869"/>
      <c r="V99" s="344" t="s">
        <v>676</v>
      </c>
      <c r="W99" s="870">
        <f t="shared" si="2"/>
        <v>29.92</v>
      </c>
      <c r="X99" s="853">
        <f t="shared" si="3"/>
        <v>19.333333333333332</v>
      </c>
    </row>
    <row r="100" spans="2:24">
      <c r="B100" s="472" t="s">
        <v>695</v>
      </c>
      <c r="C100" s="254">
        <v>24.2</v>
      </c>
      <c r="D100" s="851">
        <v>0</v>
      </c>
      <c r="E100" s="570"/>
      <c r="F100" s="472" t="s">
        <v>695</v>
      </c>
      <c r="G100" s="254">
        <v>24.73</v>
      </c>
      <c r="H100" s="851">
        <v>0</v>
      </c>
      <c r="I100" s="570"/>
      <c r="J100" s="472" t="s">
        <v>695</v>
      </c>
      <c r="K100" s="254">
        <v>24.73</v>
      </c>
      <c r="L100" s="1073">
        <f>'Aanpassing gegevens (aug 2016)'!I172</f>
        <v>28</v>
      </c>
      <c r="M100" s="570"/>
      <c r="N100" s="472" t="s">
        <v>695</v>
      </c>
      <c r="O100" s="254">
        <v>27.2</v>
      </c>
      <c r="P100" s="1073">
        <f>'Aanpassing gegevens (aug 2016)'!I208</f>
        <v>9</v>
      </c>
      <c r="Q100" s="570"/>
      <c r="R100" s="344" t="s">
        <v>695</v>
      </c>
      <c r="S100" s="870">
        <v>29.92</v>
      </c>
      <c r="T100" s="869"/>
      <c r="V100" s="344" t="s">
        <v>695</v>
      </c>
      <c r="W100" s="870">
        <f t="shared" si="2"/>
        <v>29.92</v>
      </c>
      <c r="X100" s="853">
        <f t="shared" si="3"/>
        <v>12.333333333333334</v>
      </c>
    </row>
    <row r="101" spans="2:24">
      <c r="B101" s="472" t="s">
        <v>697</v>
      </c>
      <c r="C101" s="254">
        <v>24.2</v>
      </c>
      <c r="D101" s="851">
        <v>0</v>
      </c>
      <c r="E101" s="570"/>
      <c r="F101" s="472" t="s">
        <v>697</v>
      </c>
      <c r="G101" s="254">
        <v>24.73</v>
      </c>
      <c r="H101" s="851">
        <v>21</v>
      </c>
      <c r="I101" s="570"/>
      <c r="J101" s="472" t="s">
        <v>697</v>
      </c>
      <c r="K101" s="254">
        <v>24.73</v>
      </c>
      <c r="L101" s="1073">
        <f>'Aanpassing gegevens (aug 2016)'!I173</f>
        <v>0</v>
      </c>
      <c r="M101" s="570"/>
      <c r="N101" s="472" t="s">
        <v>697</v>
      </c>
      <c r="O101" s="254">
        <v>27.2</v>
      </c>
      <c r="P101" s="1073">
        <f>'Aanpassing gegevens (aug 2016)'!I209</f>
        <v>128</v>
      </c>
      <c r="Q101" s="570"/>
      <c r="R101" s="344" t="s">
        <v>697</v>
      </c>
      <c r="S101" s="870">
        <v>29.92</v>
      </c>
      <c r="T101" s="869"/>
      <c r="V101" s="344" t="s">
        <v>697</v>
      </c>
      <c r="W101" s="870">
        <f t="shared" si="2"/>
        <v>29.92</v>
      </c>
      <c r="X101" s="853">
        <f t="shared" si="3"/>
        <v>49.666666666666664</v>
      </c>
    </row>
    <row r="102" spans="2:24">
      <c r="B102" s="472" t="s">
        <v>910</v>
      </c>
      <c r="C102" s="256">
        <v>31.09</v>
      </c>
      <c r="D102" s="854">
        <v>370</v>
      </c>
      <c r="E102" s="570"/>
      <c r="F102" s="472" t="s">
        <v>910</v>
      </c>
      <c r="G102" s="256">
        <v>31.77</v>
      </c>
      <c r="H102" s="854">
        <v>279</v>
      </c>
      <c r="I102" s="570"/>
      <c r="J102" s="472" t="s">
        <v>910</v>
      </c>
      <c r="K102" s="256">
        <v>31.77</v>
      </c>
      <c r="L102" s="1073">
        <f>'Aanpassing gegevens (aug 2016)'!I174</f>
        <v>0</v>
      </c>
      <c r="M102" s="570"/>
      <c r="N102" s="472" t="s">
        <v>910</v>
      </c>
      <c r="O102" s="256">
        <v>34.950000000000003</v>
      </c>
      <c r="P102" s="1073">
        <f>'Aanpassing gegevens (aug 2016)'!I210</f>
        <v>0</v>
      </c>
      <c r="Q102" s="570"/>
      <c r="R102" s="344" t="s">
        <v>910</v>
      </c>
      <c r="S102" s="871">
        <v>38.450000000000003</v>
      </c>
      <c r="T102" s="869"/>
      <c r="V102" s="344" t="s">
        <v>910</v>
      </c>
      <c r="W102" s="871">
        <f t="shared" si="2"/>
        <v>38.450000000000003</v>
      </c>
      <c r="X102" s="856">
        <f t="shared" si="3"/>
        <v>93</v>
      </c>
    </row>
    <row r="103" spans="2:24">
      <c r="B103" s="472" t="s">
        <v>911</v>
      </c>
      <c r="C103" s="256">
        <v>31.09</v>
      </c>
      <c r="D103" s="854">
        <v>0</v>
      </c>
      <c r="E103" s="570"/>
      <c r="F103" s="472" t="s">
        <v>911</v>
      </c>
      <c r="G103" s="256">
        <v>31.77</v>
      </c>
      <c r="H103" s="854">
        <v>0</v>
      </c>
      <c r="I103" s="570"/>
      <c r="J103" s="472" t="s">
        <v>911</v>
      </c>
      <c r="K103" s="256">
        <v>31.77</v>
      </c>
      <c r="L103" s="1073">
        <f>'Aanpassing gegevens (aug 2016)'!I175</f>
        <v>342</v>
      </c>
      <c r="M103" s="570"/>
      <c r="N103" s="472" t="s">
        <v>911</v>
      </c>
      <c r="O103" s="256">
        <v>34.950000000000003</v>
      </c>
      <c r="P103" s="1073">
        <f>'Aanpassing gegevens (aug 2016)'!I211</f>
        <v>282</v>
      </c>
      <c r="Q103" s="570"/>
      <c r="R103" s="344" t="s">
        <v>911</v>
      </c>
      <c r="S103" s="871">
        <v>38.450000000000003</v>
      </c>
      <c r="T103" s="869"/>
      <c r="V103" s="344" t="s">
        <v>911</v>
      </c>
      <c r="W103" s="871">
        <f t="shared" si="2"/>
        <v>38.450000000000003</v>
      </c>
      <c r="X103" s="856">
        <f t="shared" si="3"/>
        <v>208</v>
      </c>
    </row>
    <row r="104" spans="2:24">
      <c r="B104" s="472" t="s">
        <v>912</v>
      </c>
      <c r="C104" s="256">
        <v>38.020000000000003</v>
      </c>
      <c r="D104" s="854">
        <v>621.41433278418447</v>
      </c>
      <c r="E104" s="570"/>
      <c r="F104" s="472" t="s">
        <v>912</v>
      </c>
      <c r="G104" s="256">
        <v>38.86</v>
      </c>
      <c r="H104" s="854">
        <v>252</v>
      </c>
      <c r="I104" s="570"/>
      <c r="J104" s="472" t="s">
        <v>912</v>
      </c>
      <c r="K104" s="256">
        <v>38.86</v>
      </c>
      <c r="L104" s="1073">
        <f>'Aanpassing gegevens (aug 2016)'!I176</f>
        <v>0</v>
      </c>
      <c r="M104" s="570"/>
      <c r="N104" s="472" t="s">
        <v>912</v>
      </c>
      <c r="O104" s="256">
        <v>42.75</v>
      </c>
      <c r="P104" s="1073">
        <f>'Aanpassing gegevens (aug 2016)'!I212</f>
        <v>308</v>
      </c>
      <c r="Q104" s="570"/>
      <c r="R104" s="344" t="s">
        <v>912</v>
      </c>
      <c r="S104" s="871">
        <v>47.03</v>
      </c>
      <c r="T104" s="869"/>
      <c r="V104" s="344" t="s">
        <v>912</v>
      </c>
      <c r="W104" s="871">
        <f t="shared" si="2"/>
        <v>47.03</v>
      </c>
      <c r="X104" s="856">
        <f t="shared" si="3"/>
        <v>186.66666666666666</v>
      </c>
    </row>
    <row r="105" spans="2:24">
      <c r="B105" s="472" t="s">
        <v>913</v>
      </c>
      <c r="C105" s="256">
        <v>38.020000000000003</v>
      </c>
      <c r="D105" s="854">
        <v>1888.7824829037349</v>
      </c>
      <c r="E105" s="570"/>
      <c r="F105" s="472" t="s">
        <v>913</v>
      </c>
      <c r="G105" s="256">
        <v>38.86</v>
      </c>
      <c r="H105" s="854">
        <v>175</v>
      </c>
      <c r="I105" s="570"/>
      <c r="J105" s="472" t="s">
        <v>913</v>
      </c>
      <c r="K105" s="256">
        <v>38.86</v>
      </c>
      <c r="L105" s="1073">
        <f>'Aanpassing gegevens (aug 2016)'!I177</f>
        <v>0</v>
      </c>
      <c r="M105" s="570"/>
      <c r="N105" s="472" t="s">
        <v>913</v>
      </c>
      <c r="O105" s="256">
        <v>42.75</v>
      </c>
      <c r="P105" s="1073">
        <f>'Aanpassing gegevens (aug 2016)'!I213</f>
        <v>0</v>
      </c>
      <c r="Q105" s="570"/>
      <c r="R105" s="344" t="s">
        <v>913</v>
      </c>
      <c r="S105" s="871">
        <v>47.03</v>
      </c>
      <c r="T105" s="869"/>
      <c r="V105" s="344" t="s">
        <v>913</v>
      </c>
      <c r="W105" s="871">
        <f t="shared" si="2"/>
        <v>47.03</v>
      </c>
      <c r="X105" s="856">
        <f t="shared" si="3"/>
        <v>58.333333333333336</v>
      </c>
    </row>
    <row r="106" spans="2:24">
      <c r="B106" s="472" t="s">
        <v>914</v>
      </c>
      <c r="C106" s="256">
        <v>62.21</v>
      </c>
      <c r="D106" s="854">
        <v>401.27953705192095</v>
      </c>
      <c r="E106" s="570"/>
      <c r="F106" s="472" t="s">
        <v>914</v>
      </c>
      <c r="G106" s="256">
        <v>63.58</v>
      </c>
      <c r="H106" s="854">
        <v>0</v>
      </c>
      <c r="I106" s="570"/>
      <c r="J106" s="472" t="s">
        <v>914</v>
      </c>
      <c r="K106" s="256">
        <v>63.58</v>
      </c>
      <c r="L106" s="1073">
        <f>'Aanpassing gegevens (aug 2016)'!I178</f>
        <v>578</v>
      </c>
      <c r="M106" s="570"/>
      <c r="N106" s="472" t="s">
        <v>914</v>
      </c>
      <c r="O106" s="256">
        <v>69.94</v>
      </c>
      <c r="P106" s="1073">
        <f>'Aanpassing gegevens (aug 2016)'!I214</f>
        <v>281</v>
      </c>
      <c r="Q106" s="570"/>
      <c r="R106" s="344" t="s">
        <v>914</v>
      </c>
      <c r="S106" s="871">
        <v>76.930000000000007</v>
      </c>
      <c r="T106" s="869"/>
      <c r="V106" s="344" t="s">
        <v>914</v>
      </c>
      <c r="W106" s="871">
        <f t="shared" si="2"/>
        <v>76.930000000000007</v>
      </c>
      <c r="X106" s="856">
        <f t="shared" si="3"/>
        <v>286.33333333333331</v>
      </c>
    </row>
    <row r="107" spans="2:24">
      <c r="B107" s="472" t="s">
        <v>915</v>
      </c>
      <c r="C107" s="256">
        <v>132.63</v>
      </c>
      <c r="D107" s="854">
        <v>90</v>
      </c>
      <c r="E107" s="570"/>
      <c r="F107" s="472" t="s">
        <v>915</v>
      </c>
      <c r="G107" s="256">
        <v>135.55000000000001</v>
      </c>
      <c r="H107" s="854">
        <v>10</v>
      </c>
      <c r="I107" s="570"/>
      <c r="J107" s="472" t="s">
        <v>915</v>
      </c>
      <c r="K107" s="256">
        <v>130</v>
      </c>
      <c r="L107" s="1073">
        <f>'Aanpassing gegevens (aug 2016)'!I179</f>
        <v>220</v>
      </c>
      <c r="M107" s="570"/>
      <c r="N107" s="472" t="s">
        <v>915</v>
      </c>
      <c r="O107" s="256">
        <v>143</v>
      </c>
      <c r="P107" s="1073">
        <f>'Aanpassing gegevens (aug 2016)'!I215</f>
        <v>177</v>
      </c>
      <c r="Q107" s="570"/>
      <c r="R107" s="344" t="s">
        <v>915</v>
      </c>
      <c r="S107" s="871">
        <v>157.30000000000001</v>
      </c>
      <c r="T107" s="869"/>
      <c r="V107" s="344" t="s">
        <v>915</v>
      </c>
      <c r="W107" s="871">
        <f t="shared" si="2"/>
        <v>157.30000000000001</v>
      </c>
      <c r="X107" s="856">
        <f t="shared" si="3"/>
        <v>135.66666666666666</v>
      </c>
    </row>
    <row r="108" spans="2:24">
      <c r="B108" s="472" t="s">
        <v>916</v>
      </c>
      <c r="C108" s="258">
        <v>147.5</v>
      </c>
      <c r="D108" s="857"/>
      <c r="E108" s="570"/>
      <c r="F108" s="472" t="s">
        <v>916</v>
      </c>
      <c r="G108" s="258">
        <v>150.75</v>
      </c>
      <c r="H108" s="857">
        <v>0</v>
      </c>
      <c r="I108" s="570"/>
      <c r="J108" s="472" t="s">
        <v>916</v>
      </c>
      <c r="K108" s="258">
        <v>150.75</v>
      </c>
      <c r="L108" s="1073">
        <f>'Aanpassing gegevens (aug 2016)'!I180</f>
        <v>0</v>
      </c>
      <c r="M108" s="570"/>
      <c r="N108" s="472" t="s">
        <v>916</v>
      </c>
      <c r="O108" s="258">
        <v>165.83</v>
      </c>
      <c r="P108" s="1073">
        <f>'Aanpassing gegevens (aug 2016)'!I216</f>
        <v>0</v>
      </c>
      <c r="Q108" s="570"/>
      <c r="R108" s="344" t="s">
        <v>916</v>
      </c>
      <c r="S108" s="872">
        <v>182.41</v>
      </c>
      <c r="T108" s="869"/>
      <c r="V108" s="344" t="s">
        <v>916</v>
      </c>
      <c r="W108" s="872">
        <f t="shared" si="2"/>
        <v>182.41</v>
      </c>
      <c r="X108" s="705">
        <f t="shared" si="3"/>
        <v>0</v>
      </c>
    </row>
    <row r="109" spans="2:24">
      <c r="B109" s="472" t="s">
        <v>917</v>
      </c>
      <c r="C109" s="258">
        <v>147.5</v>
      </c>
      <c r="D109" s="857"/>
      <c r="E109" s="570"/>
      <c r="F109" s="472" t="s">
        <v>917</v>
      </c>
      <c r="G109" s="258">
        <v>150.75</v>
      </c>
      <c r="H109" s="857">
        <v>0</v>
      </c>
      <c r="I109" s="570"/>
      <c r="J109" s="472" t="s">
        <v>917</v>
      </c>
      <c r="K109" s="258">
        <v>150.75</v>
      </c>
      <c r="L109" s="1073">
        <f>'Aanpassing gegevens (aug 2016)'!I181</f>
        <v>0</v>
      </c>
      <c r="M109" s="570"/>
      <c r="N109" s="472" t="s">
        <v>917</v>
      </c>
      <c r="O109" s="258">
        <v>165.83</v>
      </c>
      <c r="P109" s="1073">
        <f>'Aanpassing gegevens (aug 2016)'!I217</f>
        <v>0</v>
      </c>
      <c r="Q109" s="570"/>
      <c r="R109" s="344" t="s">
        <v>917</v>
      </c>
      <c r="S109" s="872">
        <v>182.41</v>
      </c>
      <c r="T109" s="869"/>
      <c r="V109" s="344" t="s">
        <v>917</v>
      </c>
      <c r="W109" s="872">
        <f t="shared" si="2"/>
        <v>182.41</v>
      </c>
      <c r="X109" s="705">
        <f t="shared" si="3"/>
        <v>0</v>
      </c>
    </row>
    <row r="110" spans="2:24">
      <c r="B110" s="472" t="s">
        <v>918</v>
      </c>
      <c r="C110" s="258">
        <v>147.5</v>
      </c>
      <c r="D110" s="857"/>
      <c r="E110" s="570"/>
      <c r="F110" s="472" t="s">
        <v>918</v>
      </c>
      <c r="G110" s="258">
        <v>150.75</v>
      </c>
      <c r="H110" s="857">
        <v>0</v>
      </c>
      <c r="I110" s="570"/>
      <c r="J110" s="472" t="s">
        <v>918</v>
      </c>
      <c r="K110" s="258">
        <v>150.75</v>
      </c>
      <c r="L110" s="1073">
        <f>'Aanpassing gegevens (aug 2016)'!I182</f>
        <v>0</v>
      </c>
      <c r="M110" s="570"/>
      <c r="N110" s="472" t="s">
        <v>918</v>
      </c>
      <c r="O110" s="258">
        <v>165.83</v>
      </c>
      <c r="P110" s="1073">
        <f>'Aanpassing gegevens (aug 2016)'!I218</f>
        <v>0</v>
      </c>
      <c r="Q110" s="570"/>
      <c r="R110" s="344" t="s">
        <v>918</v>
      </c>
      <c r="S110" s="872">
        <v>182.41</v>
      </c>
      <c r="T110" s="869"/>
      <c r="V110" s="344" t="s">
        <v>918</v>
      </c>
      <c r="W110" s="872">
        <f t="shared" si="2"/>
        <v>182.41</v>
      </c>
      <c r="X110" s="705">
        <f t="shared" si="3"/>
        <v>0</v>
      </c>
    </row>
    <row r="111" spans="2:24">
      <c r="B111" s="483" t="s">
        <v>919</v>
      </c>
      <c r="C111" s="267">
        <v>147.5</v>
      </c>
      <c r="D111" s="858"/>
      <c r="E111" s="570"/>
      <c r="F111" s="483" t="s">
        <v>919</v>
      </c>
      <c r="G111" s="267">
        <v>150.75</v>
      </c>
      <c r="H111" s="858">
        <v>0</v>
      </c>
      <c r="I111" s="570"/>
      <c r="J111" s="483" t="s">
        <v>919</v>
      </c>
      <c r="K111" s="267">
        <v>150.75</v>
      </c>
      <c r="L111" s="1073">
        <f>'Aanpassing gegevens (aug 2016)'!I183</f>
        <v>0</v>
      </c>
      <c r="M111" s="570"/>
      <c r="N111" s="472" t="s">
        <v>919</v>
      </c>
      <c r="O111" s="258">
        <v>165.83</v>
      </c>
      <c r="P111" s="1073">
        <f>'Aanpassing gegevens (aug 2016)'!I219</f>
        <v>0</v>
      </c>
      <c r="Q111" s="570"/>
      <c r="R111" s="344" t="s">
        <v>919</v>
      </c>
      <c r="S111" s="872">
        <v>182.41</v>
      </c>
      <c r="T111" s="869"/>
      <c r="V111" s="344" t="s">
        <v>919</v>
      </c>
      <c r="W111" s="872">
        <f t="shared" si="2"/>
        <v>182.41</v>
      </c>
      <c r="X111" s="705">
        <f t="shared" si="3"/>
        <v>0</v>
      </c>
    </row>
    <row r="112" spans="2:24">
      <c r="B112" s="596"/>
      <c r="C112" s="536"/>
      <c r="D112" s="316"/>
      <c r="F112" s="596"/>
      <c r="G112" s="536"/>
      <c r="H112" s="316"/>
      <c r="J112" s="1074" t="str">
        <f>'Aanpassing gegevens (aug 2016)'!B226</f>
        <v xml:space="preserve"> &gt;3,0 MVA en t/m 6,0 MVA MS met  MS meting </v>
      </c>
      <c r="K112" s="1079">
        <f>'Aanpassing gegevens (aug 2016)'!I226</f>
        <v>150.75</v>
      </c>
      <c r="L112" s="1074">
        <f>'Aanpassing gegevens (aug 2016)'!I184</f>
        <v>150</v>
      </c>
      <c r="N112" s="860" t="s">
        <v>920</v>
      </c>
      <c r="O112" s="873">
        <v>165.83</v>
      </c>
      <c r="P112" s="1074">
        <f>'Aanpassing gegevens (aug 2016)'!I220</f>
        <v>0</v>
      </c>
      <c r="Q112" s="597"/>
      <c r="R112" s="706" t="s">
        <v>920</v>
      </c>
      <c r="S112" s="874">
        <v>182.41</v>
      </c>
      <c r="T112" s="875"/>
      <c r="V112" s="706" t="s">
        <v>920</v>
      </c>
      <c r="W112" s="874">
        <f t="shared" si="2"/>
        <v>182.41</v>
      </c>
      <c r="X112" s="1080">
        <f>(P112+L112+0)/3</f>
        <v>50</v>
      </c>
    </row>
    <row r="113" spans="2:24">
      <c r="B113" s="508"/>
      <c r="C113" s="507"/>
      <c r="D113" s="508"/>
      <c r="F113" s="508"/>
      <c r="G113" s="507"/>
      <c r="H113" s="508"/>
      <c r="J113" s="508"/>
      <c r="K113" s="507"/>
      <c r="L113" s="508"/>
      <c r="O113" s="425"/>
      <c r="W113" s="425"/>
    </row>
    <row r="114" spans="2:24" ht="25.5">
      <c r="B114" s="633" t="s">
        <v>707</v>
      </c>
      <c r="C114" s="509" t="s">
        <v>682</v>
      </c>
      <c r="D114" s="510" t="s">
        <v>683</v>
      </c>
      <c r="E114" s="434"/>
      <c r="F114" s="633" t="s">
        <v>707</v>
      </c>
      <c r="G114" s="509" t="s">
        <v>682</v>
      </c>
      <c r="H114" s="510" t="s">
        <v>683</v>
      </c>
      <c r="I114" s="434"/>
      <c r="J114" s="633" t="s">
        <v>707</v>
      </c>
      <c r="K114" s="509" t="s">
        <v>682</v>
      </c>
      <c r="L114" s="510" t="s">
        <v>683</v>
      </c>
      <c r="M114" s="434"/>
      <c r="N114" s="598" t="s">
        <v>707</v>
      </c>
      <c r="O114" s="393" t="s">
        <v>682</v>
      </c>
      <c r="P114" s="496" t="s">
        <v>683</v>
      </c>
      <c r="Q114" s="434"/>
      <c r="V114" s="600" t="s">
        <v>707</v>
      </c>
      <c r="W114" s="393" t="s">
        <v>682</v>
      </c>
      <c r="X114" s="496" t="s">
        <v>683</v>
      </c>
    </row>
    <row r="115" spans="2:24">
      <c r="B115" s="438" t="s">
        <v>251</v>
      </c>
      <c r="C115" s="286">
        <f>IF(D115&lt;&gt;0,C96,0)</f>
        <v>21.89</v>
      </c>
      <c r="D115" s="498">
        <f>D96</f>
        <v>704.66971219735046</v>
      </c>
      <c r="E115" s="443"/>
      <c r="F115" s="438" t="s">
        <v>251</v>
      </c>
      <c r="G115" s="286">
        <f>IF(H115&lt;&gt;0,G96,0)</f>
        <v>17.36</v>
      </c>
      <c r="H115" s="498">
        <f>H96</f>
        <v>968</v>
      </c>
      <c r="I115" s="443"/>
      <c r="J115" s="438" t="s">
        <v>251</v>
      </c>
      <c r="K115" s="286">
        <f>IF(L115&lt;&gt;0,K96,0)</f>
        <v>17.36</v>
      </c>
      <c r="L115" s="498">
        <f>L96</f>
        <v>126</v>
      </c>
      <c r="M115" s="443"/>
      <c r="N115" s="438" t="s">
        <v>251</v>
      </c>
      <c r="O115" s="286">
        <f>IF(P115&lt;&gt;0,O96,0)</f>
        <v>0</v>
      </c>
      <c r="P115" s="498">
        <f>P96</f>
        <v>0</v>
      </c>
      <c r="Q115" s="443"/>
      <c r="V115" s="441" t="s">
        <v>251</v>
      </c>
      <c r="W115" s="286">
        <f>IF(X115&lt;&gt;0,W96,0)</f>
        <v>21.01</v>
      </c>
      <c r="X115" s="498">
        <f>X96</f>
        <v>364.66666666666669</v>
      </c>
    </row>
    <row r="116" spans="2:24">
      <c r="B116" s="438" t="s">
        <v>252</v>
      </c>
      <c r="C116" s="287">
        <f>IF(D116&lt;&gt;0,SUMPRODUCT(C97,D97)/SUM(D97),0)</f>
        <v>17.28</v>
      </c>
      <c r="D116" s="442">
        <f>SUM(D97)</f>
        <v>256.83500195815151</v>
      </c>
      <c r="E116" s="443"/>
      <c r="F116" s="438" t="s">
        <v>252</v>
      </c>
      <c r="G116" s="287">
        <f>IF(H116&lt;&gt;0,SUMPRODUCT(G97,H97)/SUM(H97),0)</f>
        <v>17.66</v>
      </c>
      <c r="H116" s="442">
        <f>SUM(H97)</f>
        <v>212</v>
      </c>
      <c r="I116" s="443"/>
      <c r="J116" s="438" t="s">
        <v>252</v>
      </c>
      <c r="K116" s="287">
        <f>IF(L116&lt;&gt;0,SUMPRODUCT(K97,L97)/SUM(L97),0)</f>
        <v>17.66</v>
      </c>
      <c r="L116" s="442">
        <f>SUM(L97)</f>
        <v>217</v>
      </c>
      <c r="M116" s="443"/>
      <c r="N116" s="438" t="s">
        <v>252</v>
      </c>
      <c r="O116" s="287">
        <f>IF(P116&lt;&gt;0,SUMPRODUCT(O97,P97)/SUM(P97),0)</f>
        <v>19.43</v>
      </c>
      <c r="P116" s="442">
        <f>SUM(P97)</f>
        <v>321</v>
      </c>
      <c r="Q116" s="443"/>
      <c r="V116" s="441" t="s">
        <v>252</v>
      </c>
      <c r="W116" s="287">
        <f>IF(X116&lt;&gt;0,SUMPRODUCT(W97,X97)/SUM(X97),0)</f>
        <v>21.37</v>
      </c>
      <c r="X116" s="442">
        <f>SUM(X97)</f>
        <v>250</v>
      </c>
    </row>
    <row r="117" spans="2:24">
      <c r="B117" s="438" t="s">
        <v>253</v>
      </c>
      <c r="C117" s="288">
        <f>IF(D117&lt;&gt;0,SUMPRODUCT(C98:C101,D98:D101)/SUM(D98:D101),0)</f>
        <v>24.2</v>
      </c>
      <c r="D117" s="444">
        <f>SUM(D98:D101)</f>
        <v>1218.6744561070743</v>
      </c>
      <c r="E117" s="443"/>
      <c r="F117" s="438" t="s">
        <v>253</v>
      </c>
      <c r="G117" s="288">
        <f>IF(H117&lt;&gt;0,SUMPRODUCT(G98:G101,H98:H101)/SUM(H98:H101),0)</f>
        <v>24.729999999999997</v>
      </c>
      <c r="H117" s="444">
        <f>SUM(H98:H101)</f>
        <v>510</v>
      </c>
      <c r="I117" s="443"/>
      <c r="J117" s="438" t="s">
        <v>253</v>
      </c>
      <c r="K117" s="288">
        <f>IF(L117&lt;&gt;0,SUMPRODUCT(K98:K101,L98:L101)/SUM(L98:L101),0)</f>
        <v>24.730000000000004</v>
      </c>
      <c r="L117" s="444">
        <f>SUM(L98:L101)</f>
        <v>36</v>
      </c>
      <c r="M117" s="443"/>
      <c r="N117" s="438" t="s">
        <v>253</v>
      </c>
      <c r="O117" s="288">
        <f>IF(P117&lt;&gt;0,SUMPRODUCT(O98:O101,P98:P101)/SUM(P98:P101),0)</f>
        <v>27.2</v>
      </c>
      <c r="P117" s="444">
        <f>SUM(P98:P101)</f>
        <v>222</v>
      </c>
      <c r="Q117" s="443"/>
      <c r="V117" s="441" t="s">
        <v>253</v>
      </c>
      <c r="W117" s="288">
        <f>IF(X117&lt;&gt;0,SUMPRODUCT(W98:W101,X98:X101)/SUM(X98:X101),0)</f>
        <v>29.919999999999998</v>
      </c>
      <c r="X117" s="444">
        <f>SUM(X98:X101)</f>
        <v>256</v>
      </c>
    </row>
    <row r="118" spans="2:24">
      <c r="B118" s="438" t="s">
        <v>255</v>
      </c>
      <c r="C118" s="289">
        <f>IF(D118&lt;&gt;0,SUMPRODUCT(C102:C107,D102:D107)/SUM(D102:D107),0)</f>
        <v>42.664182655637397</v>
      </c>
      <c r="D118" s="445">
        <f>SUM(D102:D107)</f>
        <v>3371.4763527398404</v>
      </c>
      <c r="E118" s="443"/>
      <c r="F118" s="438" t="s">
        <v>255</v>
      </c>
      <c r="G118" s="289">
        <f>IF(H118&lt;&gt;0,SUMPRODUCT(G102:G107,H102:H107)/SUM(H102:H107),0)</f>
        <v>37.447695530726257</v>
      </c>
      <c r="H118" s="445">
        <f>SUM(H102:H107)</f>
        <v>716</v>
      </c>
      <c r="I118" s="443"/>
      <c r="J118" s="438" t="s">
        <v>255</v>
      </c>
      <c r="K118" s="289">
        <f>IF(L118&lt;&gt;0,SUMPRODUCT(K102:K107,L102:L107)/SUM(L102:L107),0)</f>
        <v>66.854894736842112</v>
      </c>
      <c r="L118" s="445">
        <f>SUM(L102:L107)</f>
        <v>1140</v>
      </c>
      <c r="M118" s="443"/>
      <c r="N118" s="438" t="s">
        <v>255</v>
      </c>
      <c r="O118" s="289">
        <f>IF(P118&lt;&gt;0,SUMPRODUCT(O102:O107,P102:P107)/SUM(P102:P107),0)</f>
        <v>64.873129770992378</v>
      </c>
      <c r="P118" s="445">
        <f>SUM(P102:P107)</f>
        <v>1048</v>
      </c>
      <c r="Q118" s="443"/>
      <c r="V118" s="441" t="s">
        <v>255</v>
      </c>
      <c r="W118" s="289">
        <f>IF(X118&lt;&gt;0,SUMPRODUCT(W102:W107,X102:X107)/SUM(X102:X107),0)</f>
        <v>68.660940082644629</v>
      </c>
      <c r="X118" s="445">
        <f>SUM(X102:X107)</f>
        <v>967.99999999999989</v>
      </c>
    </row>
    <row r="119" spans="2:24">
      <c r="B119" s="438" t="s">
        <v>254</v>
      </c>
      <c r="C119" s="290">
        <f>IF(D119&lt;&gt;0,SUMPRODUCT(C108:C111,D108:D111)/SUM(D108:D111),0)</f>
        <v>0</v>
      </c>
      <c r="D119" s="499">
        <f>SUM(D108:D111)</f>
        <v>0</v>
      </c>
      <c r="E119" s="443"/>
      <c r="F119" s="438" t="s">
        <v>254</v>
      </c>
      <c r="G119" s="290">
        <f>IF(H119&lt;&gt;0,SUMPRODUCT(G108:G111,H108:H111)/SUM(H108:H111),0)</f>
        <v>0</v>
      </c>
      <c r="H119" s="499">
        <f>SUM(H108:H111)</f>
        <v>0</v>
      </c>
      <c r="I119" s="443"/>
      <c r="J119" s="438" t="s">
        <v>254</v>
      </c>
      <c r="K119" s="1077">
        <f>IF(L119&lt;&gt;0,SUMPRODUCT(K108:K112,L108:L112)/SUM(L108:L112),0)</f>
        <v>150.75</v>
      </c>
      <c r="L119" s="1078">
        <f>SUM(L108:L112)</f>
        <v>150</v>
      </c>
      <c r="M119" s="443"/>
      <c r="N119" s="438" t="s">
        <v>254</v>
      </c>
      <c r="O119" s="290">
        <f>IF(P119&lt;&gt;0,SUMPRODUCT(O108:O112,P108:P112)/SUM(P108:P112),0)</f>
        <v>0</v>
      </c>
      <c r="P119" s="499">
        <f>SUM(P108:P112)</f>
        <v>0</v>
      </c>
      <c r="Q119" s="443"/>
      <c r="V119" s="441" t="s">
        <v>254</v>
      </c>
      <c r="W119" s="290">
        <f>IF(X119&lt;&gt;0,SUMPRODUCT(W108:W112,X108:X112)/SUM(X108:X112),0)</f>
        <v>182.41</v>
      </c>
      <c r="X119" s="499">
        <f>SUM(X108:X112)</f>
        <v>50</v>
      </c>
    </row>
    <row r="120" spans="2:24">
      <c r="B120" s="450" t="s">
        <v>680</v>
      </c>
      <c r="C120" s="451">
        <f>SUMPRODUCT(C115:C119,D115:D119)</f>
        <v>193196.53360408277</v>
      </c>
      <c r="D120" s="511"/>
      <c r="E120" s="443"/>
      <c r="F120" s="450" t="s">
        <v>680</v>
      </c>
      <c r="G120" s="451">
        <f>SUMPRODUCT(G115:G119,H115:H119)</f>
        <v>59973.25</v>
      </c>
      <c r="H120" s="511"/>
      <c r="I120" s="443"/>
      <c r="J120" s="450" t="s">
        <v>680</v>
      </c>
      <c r="K120" s="451">
        <f>SUMPRODUCT(K115:K119,L115:L119)</f>
        <v>105736.94</v>
      </c>
      <c r="L120" s="511"/>
      <c r="M120" s="443"/>
      <c r="N120" s="450" t="s">
        <v>680</v>
      </c>
      <c r="O120" s="451">
        <f>SUMPRODUCT(O115:O119,P115:P119)</f>
        <v>80262.47</v>
      </c>
      <c r="P120" s="511"/>
      <c r="Q120" s="443"/>
      <c r="V120" s="603" t="s">
        <v>680</v>
      </c>
      <c r="W120" s="451">
        <f>SUMPRODUCT(W115:W119,X115:X119)</f>
        <v>96247.956666666665</v>
      </c>
      <c r="X120" s="511"/>
    </row>
  </sheetData>
  <mergeCells count="18">
    <mergeCell ref="W65:X65"/>
    <mergeCell ref="C28:D28"/>
    <mergeCell ref="G28:H28"/>
    <mergeCell ref="K28:L28"/>
    <mergeCell ref="O28:P28"/>
    <mergeCell ref="S28:T28"/>
    <mergeCell ref="W28:X28"/>
    <mergeCell ref="C65:D65"/>
    <mergeCell ref="G65:H65"/>
    <mergeCell ref="K65:L65"/>
    <mergeCell ref="O65:P65"/>
    <mergeCell ref="S65:T65"/>
    <mergeCell ref="W13:X13"/>
    <mergeCell ref="C13:D13"/>
    <mergeCell ref="G13:H13"/>
    <mergeCell ref="K13:L13"/>
    <mergeCell ref="O13:P13"/>
    <mergeCell ref="S13:T13"/>
  </mergeCells>
  <pageMargins left="0.75" right="0.75" top="1" bottom="1" header="0.5" footer="0.5"/>
  <pageSetup paperSize="9"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DBE91F"/>
  </sheetPr>
  <dimension ref="B1:Y132"/>
  <sheetViews>
    <sheetView showGridLines="0" zoomScale="85" zoomScaleNormal="85" workbookViewId="0"/>
  </sheetViews>
  <sheetFormatPr defaultRowHeight="12.75"/>
  <cols>
    <col min="1" max="1" width="9.140625" style="210"/>
    <col min="2" max="2" width="47.7109375" style="210" bestFit="1" customWidth="1"/>
    <col min="3" max="3" width="11.28515625" style="210" bestFit="1" customWidth="1"/>
    <col min="4" max="4" width="9.85546875" style="210" bestFit="1" customWidth="1"/>
    <col min="5" max="5" width="8.140625" style="238" customWidth="1"/>
    <col min="6" max="6" width="44.85546875" style="210" bestFit="1" customWidth="1"/>
    <col min="7" max="7" width="11.140625" style="210" bestFit="1" customWidth="1"/>
    <col min="8" max="8" width="9.85546875" style="210" bestFit="1" customWidth="1"/>
    <col min="9" max="9" width="8.7109375" style="238" customWidth="1"/>
    <col min="10" max="10" width="44.85546875" style="210" bestFit="1" customWidth="1"/>
    <col min="11" max="11" width="11.140625" style="210" bestFit="1" customWidth="1"/>
    <col min="12" max="12" width="9.85546875" style="210" bestFit="1" customWidth="1"/>
    <col min="13" max="13" width="8.140625" style="238" customWidth="1"/>
    <col min="14" max="14" width="44.85546875" style="210" bestFit="1" customWidth="1"/>
    <col min="15" max="15" width="11.140625" style="210" bestFit="1" customWidth="1"/>
    <col min="16" max="16" width="9.85546875" style="210" bestFit="1" customWidth="1"/>
    <col min="17" max="17" width="8.140625" style="238" customWidth="1"/>
    <col min="18" max="18" width="44.85546875" style="210" customWidth="1"/>
    <col min="19" max="19" width="9.85546875" style="210" customWidth="1"/>
    <col min="20" max="20" width="8.140625" style="210" customWidth="1"/>
    <col min="21" max="21" width="9.140625" style="210"/>
    <col min="22" max="22" width="41" style="210" bestFit="1" customWidth="1"/>
    <col min="23" max="23" width="11.140625" style="210" bestFit="1" customWidth="1"/>
    <col min="24" max="24" width="9.85546875" style="210" bestFit="1" customWidth="1"/>
    <col min="25" max="25" width="10.85546875" style="210" bestFit="1" customWidth="1"/>
    <col min="26" max="16384" width="9.140625" style="210"/>
  </cols>
  <sheetData>
    <row r="1" spans="2:25">
      <c r="B1" s="513" t="s">
        <v>864</v>
      </c>
      <c r="C1" s="513" t="s">
        <v>650</v>
      </c>
      <c r="D1" s="513" t="s">
        <v>325</v>
      </c>
    </row>
    <row r="2" spans="2:25" ht="15.75">
      <c r="B2" s="240" t="str">
        <f>B1</f>
        <v>NE6R DNWB</v>
      </c>
      <c r="C2" s="240" t="str">
        <f>C1</f>
        <v>Standaardisatie</v>
      </c>
      <c r="D2" s="240"/>
      <c r="E2" s="240"/>
      <c r="F2" s="240" t="str">
        <f>D1</f>
        <v>PAV</v>
      </c>
      <c r="G2" s="291"/>
      <c r="H2" s="292"/>
      <c r="I2" s="293"/>
      <c r="J2" s="293"/>
      <c r="K2" s="291"/>
      <c r="L2" s="292"/>
      <c r="M2" s="293"/>
      <c r="N2" s="293"/>
      <c r="O2" s="293"/>
      <c r="P2" s="293"/>
      <c r="Q2" s="293"/>
      <c r="R2" s="293"/>
      <c r="S2" s="293"/>
      <c r="T2" s="293"/>
      <c r="V2" s="294" t="s">
        <v>651</v>
      </c>
      <c r="W2" s="295"/>
      <c r="X2" s="295"/>
    </row>
    <row r="3" spans="2:25">
      <c r="B3" s="359"/>
      <c r="C3" s="359"/>
      <c r="D3" s="359"/>
      <c r="E3" s="316"/>
      <c r="F3" s="359"/>
      <c r="G3" s="359"/>
      <c r="H3" s="359"/>
      <c r="I3" s="316"/>
      <c r="J3" s="359"/>
      <c r="K3" s="359"/>
      <c r="L3" s="359"/>
      <c r="M3" s="316"/>
      <c r="N3" s="359"/>
      <c r="O3" s="359"/>
      <c r="P3" s="359"/>
      <c r="Q3" s="316"/>
      <c r="R3" s="359"/>
      <c r="S3" s="359"/>
      <c r="T3" s="359"/>
    </row>
    <row r="4" spans="2:25">
      <c r="B4" s="296" t="s">
        <v>1403</v>
      </c>
      <c r="C4" s="297" t="s">
        <v>1404</v>
      </c>
      <c r="D4" s="297"/>
      <c r="E4" s="297"/>
      <c r="F4" s="297"/>
      <c r="G4" s="297"/>
      <c r="H4" s="297"/>
      <c r="I4" s="297"/>
      <c r="J4" s="298"/>
      <c r="K4" s="359"/>
      <c r="L4" s="359"/>
      <c r="M4" s="316"/>
      <c r="N4" s="359"/>
      <c r="O4" s="359"/>
      <c r="P4" s="359"/>
      <c r="Q4" s="316"/>
      <c r="R4" s="359"/>
      <c r="S4" s="359"/>
      <c r="T4" s="359"/>
    </row>
    <row r="5" spans="2:25">
      <c r="B5" s="299" t="s">
        <v>1405</v>
      </c>
      <c r="C5" s="300" t="s">
        <v>1406</v>
      </c>
      <c r="D5" s="300"/>
      <c r="E5" s="300"/>
      <c r="F5" s="300"/>
      <c r="G5" s="300"/>
      <c r="H5" s="300"/>
      <c r="I5" s="300"/>
      <c r="J5" s="301"/>
      <c r="K5" s="359"/>
      <c r="L5" s="359"/>
      <c r="M5" s="316"/>
      <c r="N5" s="359"/>
      <c r="O5" s="359"/>
      <c r="P5" s="359"/>
      <c r="Q5" s="316"/>
      <c r="R5" s="359"/>
      <c r="S5" s="359"/>
      <c r="T5" s="359"/>
    </row>
    <row r="6" spans="2:25">
      <c r="B6" s="302" t="s">
        <v>1407</v>
      </c>
      <c r="C6" s="303" t="s">
        <v>1408</v>
      </c>
      <c r="D6" s="303"/>
      <c r="E6" s="303"/>
      <c r="F6" s="303"/>
      <c r="G6" s="303"/>
      <c r="H6" s="303"/>
      <c r="I6" s="303"/>
      <c r="J6" s="304"/>
      <c r="K6" s="359"/>
      <c r="L6" s="359"/>
      <c r="M6" s="316"/>
      <c r="N6" s="359"/>
      <c r="O6" s="359"/>
      <c r="P6" s="359"/>
      <c r="Q6" s="316"/>
      <c r="R6" s="359"/>
      <c r="S6" s="359"/>
      <c r="T6" s="359"/>
    </row>
    <row r="7" spans="2:25">
      <c r="B7" s="305" t="s">
        <v>1409</v>
      </c>
      <c r="C7" s="306" t="s">
        <v>1410</v>
      </c>
      <c r="D7" s="306"/>
      <c r="E7" s="306"/>
      <c r="F7" s="306"/>
      <c r="G7" s="306"/>
      <c r="H7" s="306"/>
      <c r="I7" s="306"/>
      <c r="J7" s="307"/>
      <c r="K7" s="359"/>
      <c r="L7" s="359"/>
      <c r="M7" s="316"/>
      <c r="N7" s="359"/>
      <c r="O7" s="359"/>
      <c r="P7" s="359"/>
      <c r="Q7" s="316"/>
      <c r="R7" s="359"/>
      <c r="S7" s="359"/>
      <c r="T7" s="359"/>
    </row>
    <row r="8" spans="2:25">
      <c r="B8" s="1105" t="s">
        <v>1411</v>
      </c>
      <c r="C8" s="308" t="s">
        <v>1438</v>
      </c>
      <c r="D8" s="308"/>
      <c r="E8" s="308"/>
      <c r="F8" s="308"/>
      <c r="G8" s="308"/>
      <c r="H8" s="308"/>
      <c r="I8" s="308"/>
      <c r="J8" s="309"/>
      <c r="K8" s="359"/>
      <c r="L8" s="359"/>
      <c r="M8" s="316"/>
      <c r="N8" s="359"/>
      <c r="O8" s="359"/>
      <c r="P8" s="359"/>
      <c r="Q8" s="316"/>
      <c r="R8" s="359"/>
      <c r="S8" s="359"/>
      <c r="T8" s="359"/>
    </row>
    <row r="9" spans="2:25">
      <c r="B9" s="310" t="s">
        <v>1415</v>
      </c>
      <c r="C9" s="311" t="s">
        <v>1416</v>
      </c>
      <c r="D9" s="311"/>
      <c r="E9" s="311"/>
      <c r="F9" s="311"/>
      <c r="G9" s="311"/>
      <c r="H9" s="311"/>
      <c r="I9" s="311"/>
      <c r="J9" s="312"/>
      <c r="K9" s="359"/>
      <c r="L9" s="359"/>
      <c r="M9" s="316"/>
      <c r="N9" s="359"/>
      <c r="O9" s="359"/>
      <c r="P9" s="359"/>
      <c r="Q9" s="316"/>
      <c r="R9" s="359"/>
      <c r="S9" s="359"/>
      <c r="T9" s="359"/>
    </row>
    <row r="12" spans="2:25" ht="15.75">
      <c r="B12" s="463" t="s">
        <v>865</v>
      </c>
      <c r="C12" s="464"/>
      <c r="D12" s="465"/>
      <c r="E12" s="359"/>
      <c r="F12" s="359"/>
      <c r="G12" s="359"/>
      <c r="H12" s="359"/>
      <c r="I12" s="359"/>
      <c r="J12" s="359"/>
      <c r="K12" s="359"/>
      <c r="L12" s="359"/>
      <c r="M12" s="359"/>
      <c r="N12" s="359"/>
      <c r="O12" s="359"/>
      <c r="P12" s="359"/>
      <c r="Q12" s="359"/>
      <c r="R12" s="359"/>
      <c r="S12" s="359"/>
      <c r="T12" s="359"/>
      <c r="U12" s="359"/>
    </row>
    <row r="13" spans="2:25">
      <c r="B13" s="317"/>
      <c r="C13" s="1190">
        <v>2009</v>
      </c>
      <c r="D13" s="1189"/>
      <c r="E13" s="321"/>
      <c r="F13" s="320"/>
      <c r="G13" s="1192">
        <v>2010</v>
      </c>
      <c r="H13" s="1189"/>
      <c r="I13" s="321"/>
      <c r="J13" s="514"/>
      <c r="K13" s="1188">
        <v>2011</v>
      </c>
      <c r="L13" s="1189"/>
      <c r="M13" s="321"/>
      <c r="N13" s="514"/>
      <c r="O13" s="1188">
        <v>2012</v>
      </c>
      <c r="P13" s="1189"/>
      <c r="Q13" s="321"/>
      <c r="R13" s="514"/>
      <c r="S13" s="1188">
        <v>2013</v>
      </c>
      <c r="T13" s="1189"/>
      <c r="V13" s="514" t="s">
        <v>656</v>
      </c>
      <c r="W13" s="1188" t="s">
        <v>657</v>
      </c>
      <c r="X13" s="1189"/>
    </row>
    <row r="14" spans="2:25">
      <c r="B14" s="322" t="s">
        <v>658</v>
      </c>
      <c r="C14" s="322" t="s">
        <v>632</v>
      </c>
      <c r="D14" s="323" t="s">
        <v>633</v>
      </c>
      <c r="E14" s="324"/>
      <c r="F14" s="470" t="s">
        <v>658</v>
      </c>
      <c r="G14" s="515" t="s">
        <v>632</v>
      </c>
      <c r="H14" s="470" t="s">
        <v>633</v>
      </c>
      <c r="I14" s="324"/>
      <c r="J14" s="325" t="s">
        <v>658</v>
      </c>
      <c r="K14" s="470" t="s">
        <v>632</v>
      </c>
      <c r="L14" s="471" t="s">
        <v>633</v>
      </c>
      <c r="M14" s="324"/>
      <c r="N14" s="322" t="s">
        <v>658</v>
      </c>
      <c r="O14" s="325" t="s">
        <v>632</v>
      </c>
      <c r="P14" s="470" t="s">
        <v>633</v>
      </c>
      <c r="Q14" s="324"/>
      <c r="R14" s="322" t="s">
        <v>658</v>
      </c>
      <c r="S14" s="516" t="s">
        <v>710</v>
      </c>
      <c r="T14" s="517" t="s">
        <v>633</v>
      </c>
      <c r="V14" s="322" t="s">
        <v>658</v>
      </c>
      <c r="W14" s="516" t="s">
        <v>710</v>
      </c>
      <c r="X14" s="517" t="s">
        <v>633</v>
      </c>
    </row>
    <row r="15" spans="2:25" s="359" customFormat="1">
      <c r="B15" s="398" t="s">
        <v>218</v>
      </c>
      <c r="C15" s="780"/>
      <c r="D15" s="792"/>
      <c r="E15" s="329"/>
      <c r="F15" s="580" t="s">
        <v>866</v>
      </c>
      <c r="G15" s="793"/>
      <c r="H15" s="794"/>
      <c r="I15" s="316"/>
      <c r="J15" s="402" t="s">
        <v>218</v>
      </c>
      <c r="K15" s="795"/>
      <c r="L15" s="796"/>
      <c r="M15" s="316"/>
      <c r="N15" s="366" t="s">
        <v>218</v>
      </c>
      <c r="O15" s="797"/>
      <c r="P15" s="608"/>
      <c r="Q15" s="316"/>
      <c r="R15" s="366" t="s">
        <v>218</v>
      </c>
      <c r="S15" s="797"/>
      <c r="T15" s="798"/>
      <c r="V15" s="366" t="s">
        <v>218</v>
      </c>
      <c r="W15" s="797"/>
      <c r="X15" s="798"/>
      <c r="Y15" s="210"/>
    </row>
    <row r="16" spans="2:25" s="359" customFormat="1">
      <c r="B16" s="366" t="s">
        <v>867</v>
      </c>
      <c r="C16" s="656">
        <v>5958.84</v>
      </c>
      <c r="D16" s="653">
        <v>10</v>
      </c>
      <c r="E16" s="329"/>
      <c r="F16" s="441" t="s">
        <v>868</v>
      </c>
      <c r="G16" s="652">
        <v>6097.2</v>
      </c>
      <c r="H16" s="653">
        <v>10</v>
      </c>
      <c r="I16" s="329"/>
      <c r="J16" s="367" t="s">
        <v>867</v>
      </c>
      <c r="K16" s="799">
        <v>6586.8</v>
      </c>
      <c r="L16" s="657">
        <v>10</v>
      </c>
      <c r="M16" s="329"/>
      <c r="N16" s="366" t="s">
        <v>867</v>
      </c>
      <c r="O16" s="654">
        <v>7328.64</v>
      </c>
      <c r="P16" s="657">
        <v>10</v>
      </c>
      <c r="Q16" s="329"/>
      <c r="R16" s="366" t="s">
        <v>867</v>
      </c>
      <c r="S16" s="654">
        <v>7955.76</v>
      </c>
      <c r="T16" s="800"/>
      <c r="V16" s="366" t="s">
        <v>867</v>
      </c>
      <c r="W16" s="654">
        <f>S16</f>
        <v>7955.76</v>
      </c>
      <c r="X16" s="653">
        <f>(H16+L16+P16)/3</f>
        <v>10</v>
      </c>
      <c r="Y16" s="210"/>
    </row>
    <row r="17" spans="2:25" s="359" customFormat="1">
      <c r="B17" s="366" t="s">
        <v>222</v>
      </c>
      <c r="C17" s="801"/>
      <c r="D17" s="802"/>
      <c r="E17" s="329"/>
      <c r="F17" s="441" t="s">
        <v>261</v>
      </c>
      <c r="G17" s="649">
        <v>915.36</v>
      </c>
      <c r="H17" s="348">
        <v>412.25000000000006</v>
      </c>
      <c r="I17" s="329"/>
      <c r="J17" s="367" t="s">
        <v>222</v>
      </c>
      <c r="K17" s="803"/>
      <c r="L17" s="804"/>
      <c r="M17" s="329"/>
      <c r="N17" s="366" t="s">
        <v>222</v>
      </c>
      <c r="O17" s="612"/>
      <c r="P17" s="804"/>
      <c r="Q17" s="329"/>
      <c r="R17" s="366" t="s">
        <v>222</v>
      </c>
      <c r="S17" s="612"/>
      <c r="T17" s="800"/>
      <c r="V17" s="366" t="s">
        <v>222</v>
      </c>
      <c r="W17" s="612"/>
      <c r="X17" s="613"/>
      <c r="Y17" s="210"/>
    </row>
    <row r="18" spans="2:25" s="359" customFormat="1">
      <c r="B18" s="366" t="s">
        <v>869</v>
      </c>
      <c r="C18" s="651">
        <v>894.27</v>
      </c>
      <c r="D18" s="348">
        <v>400.75000000000006</v>
      </c>
      <c r="E18" s="329"/>
      <c r="F18" s="441" t="s">
        <v>870</v>
      </c>
      <c r="G18" s="353">
        <v>132.47999999999999</v>
      </c>
      <c r="H18" s="358">
        <v>1493.4166666666667</v>
      </c>
      <c r="I18" s="329"/>
      <c r="J18" s="342" t="s">
        <v>869</v>
      </c>
      <c r="K18" s="520">
        <v>988.8</v>
      </c>
      <c r="L18" s="482">
        <v>410.91666666666669</v>
      </c>
      <c r="M18" s="329"/>
      <c r="N18" s="326" t="s">
        <v>869</v>
      </c>
      <c r="O18" s="480">
        <v>1100.0400000000002</v>
      </c>
      <c r="P18" s="482">
        <v>410.91666666666663</v>
      </c>
      <c r="Q18" s="329"/>
      <c r="R18" s="326" t="s">
        <v>869</v>
      </c>
      <c r="S18" s="480">
        <v>1194.24</v>
      </c>
      <c r="T18" s="800"/>
      <c r="V18" s="326" t="s">
        <v>869</v>
      </c>
      <c r="W18" s="480">
        <f t="shared" ref="W18:W23" si="0">S18</f>
        <v>1194.24</v>
      </c>
      <c r="X18" s="348">
        <f>(H17+L18+P18)/3</f>
        <v>411.36111111111114</v>
      </c>
      <c r="Y18" s="210"/>
    </row>
    <row r="19" spans="2:25" s="359" customFormat="1">
      <c r="B19" s="326" t="s">
        <v>871</v>
      </c>
      <c r="C19" s="351">
        <v>129.44999999999999</v>
      </c>
      <c r="D19" s="358">
        <v>1444.9166666666665</v>
      </c>
      <c r="E19" s="329"/>
      <c r="F19" s="1113" t="s">
        <v>850</v>
      </c>
      <c r="G19" s="1115">
        <v>31.560000000000002</v>
      </c>
      <c r="H19" s="902">
        <v>366.16666666666669</v>
      </c>
      <c r="I19" s="329"/>
      <c r="J19" s="342" t="s">
        <v>871</v>
      </c>
      <c r="K19" s="356">
        <v>143.03</v>
      </c>
      <c r="L19" s="648">
        <v>1532.7500000000002</v>
      </c>
      <c r="M19" s="329"/>
      <c r="N19" s="326" t="s">
        <v>871</v>
      </c>
      <c r="O19" s="357">
        <v>159.23999999999998</v>
      </c>
      <c r="P19" s="648">
        <v>1572.0833333333333</v>
      </c>
      <c r="Q19" s="329"/>
      <c r="R19" s="326" t="s">
        <v>871</v>
      </c>
      <c r="S19" s="357">
        <v>172.92000000000002</v>
      </c>
      <c r="T19" s="805"/>
      <c r="V19" s="326" t="s">
        <v>871</v>
      </c>
      <c r="W19" s="357">
        <f t="shared" si="0"/>
        <v>172.92000000000002</v>
      </c>
      <c r="X19" s="358">
        <f>(H18+L19+P19)/3</f>
        <v>1532.75</v>
      </c>
      <c r="Y19" s="210"/>
    </row>
    <row r="20" spans="2:25" s="359" customFormat="1">
      <c r="B20" s="1101" t="s">
        <v>872</v>
      </c>
      <c r="C20" s="1114">
        <v>30.93</v>
      </c>
      <c r="D20" s="902">
        <v>352.41666666666669</v>
      </c>
      <c r="E20" s="329"/>
      <c r="F20" s="441" t="s">
        <v>873</v>
      </c>
      <c r="G20" s="362">
        <v>31.560000000000002</v>
      </c>
      <c r="H20" s="365">
        <v>1120.2500000000002</v>
      </c>
      <c r="I20" s="329"/>
      <c r="J20" s="1102" t="s">
        <v>872</v>
      </c>
      <c r="K20" s="1116">
        <v>34.08</v>
      </c>
      <c r="L20" s="646">
        <v>355.66666666666657</v>
      </c>
      <c r="M20" s="329"/>
      <c r="N20" s="1101" t="s">
        <v>872</v>
      </c>
      <c r="O20" s="1117">
        <v>37.94</v>
      </c>
      <c r="P20" s="646">
        <v>352.41666666666674</v>
      </c>
      <c r="Q20" s="329"/>
      <c r="R20" s="1101" t="s">
        <v>872</v>
      </c>
      <c r="S20" s="1117">
        <v>41.28</v>
      </c>
      <c r="T20" s="805"/>
      <c r="V20" s="1101" t="s">
        <v>872</v>
      </c>
      <c r="W20" s="1117">
        <f t="shared" si="0"/>
        <v>41.28</v>
      </c>
      <c r="X20" s="902">
        <f>(H19+L20+P20)/3</f>
        <v>358.08333333333331</v>
      </c>
      <c r="Y20" s="210"/>
    </row>
    <row r="21" spans="2:25" s="359" customFormat="1">
      <c r="B21" s="326" t="s">
        <v>874</v>
      </c>
      <c r="C21" s="360">
        <v>30.93</v>
      </c>
      <c r="D21" s="365">
        <v>0</v>
      </c>
      <c r="E21" s="329"/>
      <c r="F21" s="441" t="s">
        <v>875</v>
      </c>
      <c r="G21" s="362">
        <v>31.560000000000002</v>
      </c>
      <c r="H21" s="365">
        <v>1225.6666666666665</v>
      </c>
      <c r="I21" s="329"/>
      <c r="J21" s="342" t="s">
        <v>876</v>
      </c>
      <c r="K21" s="363">
        <v>33.96</v>
      </c>
      <c r="L21" s="643">
        <v>7861.1666666666679</v>
      </c>
      <c r="M21" s="329"/>
      <c r="N21" s="326" t="s">
        <v>876</v>
      </c>
      <c r="O21" s="364">
        <v>37.81</v>
      </c>
      <c r="P21" s="643">
        <v>8003.5</v>
      </c>
      <c r="Q21" s="329"/>
      <c r="R21" s="326" t="s">
        <v>876</v>
      </c>
      <c r="S21" s="364">
        <v>41.04</v>
      </c>
      <c r="T21" s="805"/>
      <c r="V21" s="326" t="s">
        <v>876</v>
      </c>
      <c r="W21" s="364">
        <f t="shared" si="0"/>
        <v>41.04</v>
      </c>
      <c r="X21" s="365">
        <f>(SUM(H20:H23)+L21+P21)/3</f>
        <v>7864.166666666667</v>
      </c>
      <c r="Y21" s="210"/>
    </row>
    <row r="22" spans="2:25" s="359" customFormat="1">
      <c r="B22" s="326" t="s">
        <v>877</v>
      </c>
      <c r="C22" s="360">
        <v>30.93</v>
      </c>
      <c r="D22" s="902">
        <v>8081.08316685507</v>
      </c>
      <c r="E22" s="329"/>
      <c r="F22" s="441" t="s">
        <v>878</v>
      </c>
      <c r="G22" s="362">
        <v>31.560000000000002</v>
      </c>
      <c r="H22" s="365">
        <v>1776.4999999999998</v>
      </c>
      <c r="I22" s="329"/>
      <c r="J22" s="342" t="s">
        <v>879</v>
      </c>
      <c r="K22" s="371">
        <v>20.64</v>
      </c>
      <c r="L22" s="806">
        <v>196921.25000000003</v>
      </c>
      <c r="M22" s="329"/>
      <c r="N22" s="326" t="s">
        <v>879</v>
      </c>
      <c r="O22" s="372">
        <v>23.04</v>
      </c>
      <c r="P22" s="806">
        <v>198196.83333333331</v>
      </c>
      <c r="Q22" s="329"/>
      <c r="R22" s="326" t="s">
        <v>879</v>
      </c>
      <c r="S22" s="372">
        <v>24.96</v>
      </c>
      <c r="T22" s="805"/>
      <c r="V22" s="326" t="s">
        <v>879</v>
      </c>
      <c r="W22" s="372">
        <f t="shared" si="0"/>
        <v>24.96</v>
      </c>
      <c r="X22" s="373">
        <f>(H24+L22+P22)/3</f>
        <v>197052.38888888891</v>
      </c>
      <c r="Y22" s="210"/>
    </row>
    <row r="23" spans="2:25" s="359" customFormat="1">
      <c r="B23" s="326" t="s">
        <v>880</v>
      </c>
      <c r="C23" s="368">
        <v>18.809999999999999</v>
      </c>
      <c r="D23" s="373">
        <v>0</v>
      </c>
      <c r="E23" s="329"/>
      <c r="F23" s="441" t="s">
        <v>881</v>
      </c>
      <c r="G23" s="362">
        <v>31.560000000000002</v>
      </c>
      <c r="H23" s="365">
        <v>3605.4166666666665</v>
      </c>
      <c r="I23" s="329"/>
      <c r="J23" s="521" t="s">
        <v>882</v>
      </c>
      <c r="K23" s="378">
        <v>2.1</v>
      </c>
      <c r="L23" s="807">
        <v>87552.999999999985</v>
      </c>
      <c r="M23" s="329"/>
      <c r="N23" s="523" t="s">
        <v>882</v>
      </c>
      <c r="O23" s="380">
        <v>2.34</v>
      </c>
      <c r="P23" s="807">
        <v>87171.333333333358</v>
      </c>
      <c r="Q23" s="329"/>
      <c r="R23" s="523" t="s">
        <v>882</v>
      </c>
      <c r="S23" s="380">
        <v>2.5499999999999998</v>
      </c>
      <c r="T23" s="808"/>
      <c r="V23" s="523" t="s">
        <v>882</v>
      </c>
      <c r="W23" s="380">
        <f t="shared" si="0"/>
        <v>2.5499999999999998</v>
      </c>
      <c r="X23" s="382">
        <f>(H25+L23+P23)/3</f>
        <v>86556.777777777796</v>
      </c>
      <c r="Y23" s="210"/>
    </row>
    <row r="24" spans="2:25" s="359" customFormat="1">
      <c r="B24" s="326" t="s">
        <v>883</v>
      </c>
      <c r="C24" s="368">
        <v>18.809999999999999</v>
      </c>
      <c r="D24" s="901">
        <v>194449.583499812</v>
      </c>
      <c r="E24" s="329"/>
      <c r="F24" s="441" t="s">
        <v>884</v>
      </c>
      <c r="G24" s="370">
        <v>19.2</v>
      </c>
      <c r="H24" s="373">
        <v>196039.08333333337</v>
      </c>
      <c r="I24" s="329"/>
      <c r="J24" s="526"/>
      <c r="K24" s="809"/>
      <c r="L24" s="810"/>
      <c r="M24" s="529"/>
      <c r="N24" s="529"/>
      <c r="O24" s="527"/>
      <c r="P24" s="528"/>
      <c r="Q24" s="329"/>
      <c r="R24" s="529"/>
      <c r="S24" s="527"/>
      <c r="T24" s="329"/>
      <c r="V24" s="529"/>
      <c r="W24" s="527"/>
      <c r="X24" s="528"/>
      <c r="Y24" s="210"/>
    </row>
    <row r="25" spans="2:25" s="359" customFormat="1" ht="11.25">
      <c r="B25" s="326" t="s">
        <v>882</v>
      </c>
      <c r="C25" s="374">
        <v>1.92</v>
      </c>
      <c r="D25" s="658">
        <v>84946</v>
      </c>
      <c r="E25" s="329"/>
      <c r="F25" s="449" t="s">
        <v>885</v>
      </c>
      <c r="G25" s="731">
        <v>1.92</v>
      </c>
      <c r="H25" s="382">
        <v>84946</v>
      </c>
      <c r="I25" s="329"/>
      <c r="J25" s="526"/>
      <c r="K25" s="809"/>
      <c r="L25" s="810"/>
      <c r="M25" s="529"/>
      <c r="N25" s="529"/>
      <c r="O25" s="527"/>
      <c r="P25" s="528"/>
      <c r="Q25" s="329"/>
      <c r="R25" s="529"/>
      <c r="S25" s="527"/>
      <c r="T25" s="329"/>
      <c r="V25" s="529"/>
      <c r="W25" s="527"/>
      <c r="X25" s="528"/>
    </row>
    <row r="26" spans="2:25" s="359" customFormat="1" ht="11.25">
      <c r="B26" s="326"/>
      <c r="C26" s="801"/>
      <c r="D26" s="802"/>
      <c r="E26" s="329"/>
      <c r="F26" s="526"/>
      <c r="G26" s="545"/>
      <c r="H26" s="391"/>
      <c r="I26" s="529"/>
      <c r="J26" s="526"/>
      <c r="K26" s="809"/>
      <c r="L26" s="810"/>
      <c r="M26" s="529"/>
      <c r="N26" s="529"/>
      <c r="O26" s="614"/>
      <c r="P26" s="615"/>
      <c r="Q26" s="316"/>
      <c r="R26" s="526"/>
      <c r="S26" s="614"/>
      <c r="T26" s="316"/>
      <c r="V26" s="526"/>
      <c r="W26" s="614"/>
      <c r="X26" s="615"/>
    </row>
    <row r="27" spans="2:25" s="359" customFormat="1" ht="11.25">
      <c r="B27" s="379"/>
      <c r="C27" s="668"/>
      <c r="D27" s="811"/>
      <c r="E27" s="725"/>
      <c r="F27" s="508"/>
      <c r="G27" s="534"/>
      <c r="H27" s="535"/>
      <c r="I27" s="316"/>
      <c r="J27" s="508"/>
      <c r="K27" s="507"/>
      <c r="L27" s="622"/>
      <c r="M27" s="316"/>
      <c r="N27" s="508"/>
      <c r="O27" s="507"/>
      <c r="P27" s="622"/>
      <c r="Q27" s="316"/>
      <c r="R27" s="508"/>
      <c r="S27" s="507"/>
      <c r="T27" s="466"/>
      <c r="V27" s="508"/>
      <c r="W27" s="507"/>
      <c r="X27" s="622"/>
    </row>
    <row r="28" spans="2:25" s="359" customFormat="1" ht="11.25">
      <c r="B28" s="383" t="s">
        <v>680</v>
      </c>
      <c r="C28" s="384">
        <f>SUMPRODUCT(C15:C26,D15:D26)</f>
        <v>4686552.7004822912</v>
      </c>
      <c r="D28" s="389"/>
      <c r="E28" s="386"/>
      <c r="F28" s="387" t="s">
        <v>680</v>
      </c>
      <c r="G28" s="812">
        <f>SUMPRODUCT(G15:G25,H15:H25)</f>
        <v>4818670.3600000013</v>
      </c>
      <c r="H28" s="389"/>
      <c r="I28" s="386"/>
      <c r="J28" s="388" t="s">
        <v>680</v>
      </c>
      <c r="K28" s="629">
        <f>SUMPRODUCT(K15:K23,L15:L23)</f>
        <v>5218813.8725000005</v>
      </c>
      <c r="L28" s="389"/>
      <c r="M28" s="386"/>
      <c r="N28" s="388" t="s">
        <v>680</v>
      </c>
      <c r="O28" s="629">
        <f>SUMPRODUCT(O15:O23,P15:P23)</f>
        <v>5862068.7033333322</v>
      </c>
      <c r="P28" s="389"/>
      <c r="Q28" s="386"/>
      <c r="R28" s="388" t="s">
        <v>680</v>
      </c>
      <c r="S28" s="629">
        <f>SUMPRODUCT(S15:S26,T15:T26)</f>
        <v>0</v>
      </c>
      <c r="T28" s="385"/>
      <c r="V28" s="388" t="s">
        <v>680</v>
      </c>
      <c r="W28" s="629">
        <f>SUMPRODUCT(W15:W23,X15:X23)</f>
        <v>6312539.1133333333</v>
      </c>
      <c r="X28" s="389"/>
    </row>
    <row r="29" spans="2:25">
      <c r="B29" s="390"/>
      <c r="C29" s="455"/>
      <c r="D29" s="391"/>
      <c r="E29" s="386"/>
      <c r="F29" s="390"/>
      <c r="G29" s="455"/>
      <c r="H29" s="391"/>
      <c r="I29" s="386"/>
      <c r="J29" s="390"/>
      <c r="K29" s="455"/>
      <c r="L29" s="391"/>
      <c r="M29" s="386"/>
      <c r="N29" s="390"/>
      <c r="O29" s="455"/>
      <c r="P29" s="391"/>
      <c r="Q29" s="386"/>
      <c r="R29" s="390"/>
      <c r="S29" s="455"/>
      <c r="T29" s="386"/>
      <c r="V29" s="390"/>
      <c r="W29" s="455"/>
      <c r="X29" s="391"/>
    </row>
    <row r="30" spans="2:25">
      <c r="B30" s="392" t="s">
        <v>681</v>
      </c>
      <c r="C30" s="393" t="s">
        <v>682</v>
      </c>
      <c r="D30" s="397" t="s">
        <v>683</v>
      </c>
      <c r="E30" s="395"/>
      <c r="F30" s="394" t="s">
        <v>681</v>
      </c>
      <c r="G30" s="396" t="s">
        <v>682</v>
      </c>
      <c r="H30" s="397" t="s">
        <v>683</v>
      </c>
      <c r="I30" s="395"/>
      <c r="J30" s="392" t="s">
        <v>681</v>
      </c>
      <c r="K30" s="393" t="s">
        <v>682</v>
      </c>
      <c r="L30" s="397" t="s">
        <v>683</v>
      </c>
      <c r="M30" s="395"/>
      <c r="N30" s="392" t="s">
        <v>681</v>
      </c>
      <c r="O30" s="393" t="s">
        <v>682</v>
      </c>
      <c r="P30" s="497" t="s">
        <v>683</v>
      </c>
      <c r="Q30" s="395"/>
      <c r="R30" s="392" t="s">
        <v>681</v>
      </c>
      <c r="S30" s="393" t="s">
        <v>682</v>
      </c>
      <c r="T30" s="394" t="s">
        <v>683</v>
      </c>
      <c r="V30" s="392" t="s">
        <v>681</v>
      </c>
      <c r="W30" s="393" t="s">
        <v>682</v>
      </c>
      <c r="X30" s="397" t="s">
        <v>683</v>
      </c>
    </row>
    <row r="31" spans="2:25">
      <c r="B31" s="398"/>
      <c r="C31" s="399">
        <v>1.44</v>
      </c>
      <c r="D31" s="400">
        <v>146306</v>
      </c>
      <c r="E31" s="401"/>
      <c r="F31" s="402"/>
      <c r="G31" s="403">
        <v>1.47</v>
      </c>
      <c r="H31" s="400">
        <v>23200</v>
      </c>
      <c r="I31" s="401"/>
      <c r="J31" s="398"/>
      <c r="K31" s="399">
        <v>1.58</v>
      </c>
      <c r="L31" s="400">
        <v>23200</v>
      </c>
      <c r="M31" s="401"/>
      <c r="N31" s="398" t="s">
        <v>684</v>
      </c>
      <c r="O31" s="813">
        <v>1.76</v>
      </c>
      <c r="P31" s="400">
        <v>23200</v>
      </c>
      <c r="Q31" s="405"/>
      <c r="R31" s="398"/>
      <c r="S31" s="399">
        <v>1.92</v>
      </c>
      <c r="T31" s="406"/>
      <c r="V31" s="398"/>
      <c r="W31" s="399">
        <f>S31</f>
        <v>1.92</v>
      </c>
      <c r="X31" s="400">
        <f>(H31+L31+P31)/3</f>
        <v>23200</v>
      </c>
    </row>
    <row r="32" spans="2:25">
      <c r="B32" s="407"/>
      <c r="C32" s="408"/>
      <c r="D32" s="413"/>
      <c r="E32" s="405"/>
      <c r="F32" s="410"/>
      <c r="G32" s="411"/>
      <c r="H32" s="413"/>
      <c r="I32" s="405"/>
      <c r="J32" s="407"/>
      <c r="K32" s="408"/>
      <c r="L32" s="413"/>
      <c r="M32" s="405"/>
      <c r="N32" s="407"/>
      <c r="O32" s="814"/>
      <c r="P32" s="413"/>
      <c r="Q32" s="405"/>
      <c r="R32" s="407"/>
      <c r="S32" s="408"/>
      <c r="T32" s="412"/>
      <c r="V32" s="407"/>
      <c r="W32" s="408"/>
      <c r="X32" s="413">
        <f>(H32+L32+P32)/3</f>
        <v>0</v>
      </c>
    </row>
    <row r="33" spans="2:24">
      <c r="B33" s="414"/>
      <c r="C33" s="815"/>
      <c r="D33" s="420"/>
      <c r="E33" s="417"/>
      <c r="F33" s="418"/>
      <c r="G33" s="419"/>
      <c r="H33" s="420"/>
      <c r="I33" s="417"/>
      <c r="J33" s="414"/>
      <c r="K33" s="815"/>
      <c r="L33" s="420"/>
      <c r="M33" s="417"/>
      <c r="N33" s="414"/>
      <c r="O33" s="415"/>
      <c r="P33" s="811"/>
      <c r="Q33" s="417"/>
      <c r="R33" s="414"/>
      <c r="S33" s="415"/>
      <c r="T33" s="416"/>
      <c r="V33" s="414"/>
      <c r="W33" s="415"/>
      <c r="X33" s="420"/>
    </row>
    <row r="34" spans="2:24" s="359" customFormat="1" ht="11.25">
      <c r="B34" s="383" t="s">
        <v>680</v>
      </c>
      <c r="C34" s="421">
        <f>SUMPRODUCT(C31:C32,D31:D32)</f>
        <v>210680.63999999998</v>
      </c>
      <c r="D34" s="424"/>
      <c r="E34" s="386"/>
      <c r="F34" s="423" t="s">
        <v>680</v>
      </c>
      <c r="G34" s="421">
        <f>SUMPRODUCT(G31:G32,H31:H32)</f>
        <v>34104</v>
      </c>
      <c r="H34" s="424"/>
      <c r="I34" s="386"/>
      <c r="J34" s="383" t="s">
        <v>680</v>
      </c>
      <c r="K34" s="421">
        <f>SUMPRODUCT(K31:K32,L31:L32)</f>
        <v>36656</v>
      </c>
      <c r="L34" s="424"/>
      <c r="M34" s="386"/>
      <c r="N34" s="383" t="s">
        <v>680</v>
      </c>
      <c r="O34" s="421">
        <f>SUMPRODUCT(O31:O32,P31:P32)</f>
        <v>40832</v>
      </c>
      <c r="P34" s="424"/>
      <c r="Q34" s="386"/>
      <c r="R34" s="383" t="s">
        <v>680</v>
      </c>
      <c r="S34" s="421">
        <f>SUMPRODUCT(S31:S32,T31:T32)</f>
        <v>0</v>
      </c>
      <c r="T34" s="422"/>
      <c r="V34" s="383" t="s">
        <v>680</v>
      </c>
      <c r="W34" s="421">
        <f>SUMPRODUCT(W31:W32,X31:X32)</f>
        <v>44544</v>
      </c>
      <c r="X34" s="424"/>
    </row>
    <row r="35" spans="2:24">
      <c r="B35" s="359"/>
      <c r="C35" s="425"/>
      <c r="D35" s="426"/>
      <c r="E35" s="316"/>
      <c r="F35" s="359"/>
      <c r="G35" s="425"/>
      <c r="H35" s="426"/>
      <c r="I35" s="316"/>
      <c r="J35" s="359"/>
      <c r="K35" s="425"/>
      <c r="L35" s="426"/>
      <c r="M35" s="316"/>
      <c r="N35" s="359"/>
      <c r="O35" s="425"/>
      <c r="P35" s="426"/>
      <c r="Q35" s="316"/>
      <c r="R35" s="359"/>
      <c r="S35" s="425"/>
      <c r="T35" s="359"/>
      <c r="V35" s="359"/>
      <c r="W35" s="425"/>
      <c r="X35" s="426"/>
    </row>
    <row r="36" spans="2:24">
      <c r="B36" s="359"/>
      <c r="C36" s="425"/>
      <c r="D36" s="426"/>
      <c r="E36" s="316"/>
      <c r="F36" s="359"/>
      <c r="G36" s="425"/>
      <c r="H36" s="426"/>
      <c r="I36" s="316"/>
      <c r="J36" s="359"/>
      <c r="K36" s="425"/>
      <c r="L36" s="426"/>
      <c r="M36" s="316"/>
      <c r="N36" s="359"/>
      <c r="O36" s="425"/>
      <c r="P36" s="426"/>
      <c r="Q36" s="316"/>
      <c r="R36" s="359"/>
      <c r="S36" s="425"/>
      <c r="T36" s="359"/>
      <c r="V36" s="359"/>
      <c r="W36" s="425"/>
      <c r="X36" s="426"/>
    </row>
    <row r="37" spans="2:24">
      <c r="B37" s="427"/>
      <c r="C37" s="428"/>
      <c r="D37" s="540"/>
      <c r="E37" s="430"/>
      <c r="F37" s="429"/>
      <c r="G37" s="425"/>
      <c r="H37" s="426"/>
      <c r="I37" s="316"/>
      <c r="J37" s="359"/>
      <c r="K37" s="425"/>
      <c r="L37" s="426"/>
      <c r="M37" s="316"/>
      <c r="N37" s="359"/>
      <c r="O37" s="425"/>
      <c r="P37" s="426"/>
      <c r="Q37" s="316"/>
      <c r="R37" s="316"/>
      <c r="S37" s="536"/>
      <c r="T37" s="316"/>
      <c r="V37" s="359"/>
      <c r="W37" s="425"/>
      <c r="X37" s="426"/>
    </row>
    <row r="38" spans="2:24">
      <c r="B38" s="431" t="s">
        <v>686</v>
      </c>
      <c r="C38" s="432"/>
      <c r="D38" s="541"/>
      <c r="E38" s="434"/>
      <c r="F38" s="435" t="s">
        <v>686</v>
      </c>
      <c r="G38" s="432"/>
      <c r="H38" s="541"/>
      <c r="I38" s="434"/>
      <c r="J38" s="431" t="s">
        <v>686</v>
      </c>
      <c r="K38" s="432"/>
      <c r="L38" s="437"/>
      <c r="M38" s="434"/>
      <c r="N38" s="431" t="s">
        <v>686</v>
      </c>
      <c r="O38" s="432"/>
      <c r="P38" s="437"/>
      <c r="Q38" s="434"/>
      <c r="R38" s="542"/>
      <c r="S38" s="500"/>
      <c r="T38" s="434"/>
      <c r="V38" s="431" t="s">
        <v>686</v>
      </c>
      <c r="W38" s="432"/>
      <c r="X38" s="437"/>
    </row>
    <row r="39" spans="2:24" s="359" customFormat="1" ht="11.25">
      <c r="B39" s="441" t="s">
        <v>1403</v>
      </c>
      <c r="C39" s="286">
        <f>C25</f>
        <v>1.92</v>
      </c>
      <c r="D39" s="250">
        <f>D25</f>
        <v>84946</v>
      </c>
      <c r="E39" s="440"/>
      <c r="F39" s="441" t="s">
        <v>1403</v>
      </c>
      <c r="G39" s="581">
        <f>G25</f>
        <v>1.92</v>
      </c>
      <c r="H39" s="250">
        <f>H25</f>
        <v>84946</v>
      </c>
      <c r="I39" s="440"/>
      <c r="J39" s="441" t="s">
        <v>1403</v>
      </c>
      <c r="K39" s="286">
        <f>K23</f>
        <v>2.1</v>
      </c>
      <c r="L39" s="250">
        <f>L23</f>
        <v>87552.999999999985</v>
      </c>
      <c r="M39" s="440"/>
      <c r="N39" s="441" t="s">
        <v>1403</v>
      </c>
      <c r="O39" s="286">
        <f>O23</f>
        <v>2.34</v>
      </c>
      <c r="P39" s="250">
        <f>P23</f>
        <v>87171.333333333358</v>
      </c>
      <c r="Q39" s="440"/>
      <c r="R39" s="271"/>
      <c r="S39" s="280"/>
      <c r="T39" s="440"/>
      <c r="V39" s="441" t="s">
        <v>1403</v>
      </c>
      <c r="W39" s="286">
        <f>W23</f>
        <v>2.5499999999999998</v>
      </c>
      <c r="X39" s="250">
        <f>X23</f>
        <v>86556.777777777796</v>
      </c>
    </row>
    <row r="40" spans="2:24" s="359" customFormat="1" ht="11.25">
      <c r="B40" s="441" t="s">
        <v>1405</v>
      </c>
      <c r="C40" s="287">
        <f>SUMPRODUCT(C23:C24,D23:D24)/SUM(D23:D24)</f>
        <v>18.809999999999999</v>
      </c>
      <c r="D40" s="253">
        <f>SUM(D23:D24)</f>
        <v>194449.583499812</v>
      </c>
      <c r="E40" s="443"/>
      <c r="F40" s="441" t="s">
        <v>1405</v>
      </c>
      <c r="G40" s="582">
        <f>SUMPRODUCT(G24,H24)/SUM(H24)</f>
        <v>19.2</v>
      </c>
      <c r="H40" s="253">
        <f>SUM(H24)</f>
        <v>196039.08333333337</v>
      </c>
      <c r="I40" s="443"/>
      <c r="J40" s="441" t="s">
        <v>1405</v>
      </c>
      <c r="K40" s="287">
        <f>SUMPRODUCT(K22,L22)/SUM(L22)</f>
        <v>20.64</v>
      </c>
      <c r="L40" s="681">
        <f>SUM(L22)</f>
        <v>196921.25000000003</v>
      </c>
      <c r="M40" s="443"/>
      <c r="N40" s="441" t="s">
        <v>1405</v>
      </c>
      <c r="O40" s="287">
        <f>SUMPRODUCT(O22,P22)/SUM(P22)</f>
        <v>23.04</v>
      </c>
      <c r="P40" s="681">
        <f>SUM(P22)</f>
        <v>198196.83333333331</v>
      </c>
      <c r="Q40" s="443"/>
      <c r="R40" s="271"/>
      <c r="S40" s="623"/>
      <c r="T40" s="443"/>
      <c r="V40" s="441" t="s">
        <v>1405</v>
      </c>
      <c r="W40" s="287">
        <f>IF(X40&lt;&gt;0,SUMPRODUCT(W22,X22)/SUM(X22),0)</f>
        <v>24.96</v>
      </c>
      <c r="X40" s="681">
        <f>SUM(X22)</f>
        <v>197052.38888888891</v>
      </c>
    </row>
    <row r="41" spans="2:24" s="359" customFormat="1" ht="11.25">
      <c r="B41" s="1113" t="s">
        <v>1407</v>
      </c>
      <c r="C41" s="288">
        <f>SUMPRODUCT(C20:C22,D20:D22)/SUM(D20:D22)</f>
        <v>30.93</v>
      </c>
      <c r="D41" s="255">
        <f>SUM(D20:D22)</f>
        <v>8433.4998335217369</v>
      </c>
      <c r="E41" s="443"/>
      <c r="F41" s="1113" t="s">
        <v>1407</v>
      </c>
      <c r="G41" s="583">
        <f>SUMPRODUCT(G19:G23,H19:H23)/SUM(H19:H23)</f>
        <v>31.560000000000002</v>
      </c>
      <c r="H41" s="255">
        <f>SUM(H19:H23)</f>
        <v>8094</v>
      </c>
      <c r="I41" s="443"/>
      <c r="J41" s="1113" t="s">
        <v>1407</v>
      </c>
      <c r="K41" s="288">
        <f>SUMPRODUCT(K20:K21,L20:L21)/SUM(L20:L21)</f>
        <v>33.965194215127482</v>
      </c>
      <c r="L41" s="682">
        <f>SUM(L20:L21)</f>
        <v>8216.8333333333339</v>
      </c>
      <c r="M41" s="443"/>
      <c r="N41" s="1113" t="s">
        <v>1407</v>
      </c>
      <c r="O41" s="288">
        <f>SUMPRODUCT(O20:O21,P20:P21)/SUM(P20:P21)</f>
        <v>37.815482841499545</v>
      </c>
      <c r="P41" s="682">
        <f>SUM(P20:P21)</f>
        <v>8355.9166666666661</v>
      </c>
      <c r="Q41" s="443"/>
      <c r="R41" s="271"/>
      <c r="S41" s="280"/>
      <c r="T41" s="443"/>
      <c r="V41" s="1113" t="s">
        <v>1407</v>
      </c>
      <c r="W41" s="288">
        <f>SUMPRODUCT(W20:W21,X20:X21)/SUM(X20:X21)</f>
        <v>41.050452126850928</v>
      </c>
      <c r="X41" s="682">
        <f>SUM(X20:X21)</f>
        <v>8222.25</v>
      </c>
    </row>
    <row r="42" spans="2:24" s="359" customFormat="1" ht="11.25">
      <c r="B42" s="1113" t="s">
        <v>1409</v>
      </c>
      <c r="C42" s="289">
        <f>SUMPRODUCT(C19,D19)/SUM(D19)</f>
        <v>129.44999999999999</v>
      </c>
      <c r="D42" s="257">
        <f>SUM(D19)</f>
        <v>1444.9166666666665</v>
      </c>
      <c r="E42" s="443"/>
      <c r="F42" s="1113" t="s">
        <v>1409</v>
      </c>
      <c r="G42" s="584">
        <f>SUMPRODUCT(G18,H18)/SUM(H18)</f>
        <v>132.47999999999999</v>
      </c>
      <c r="H42" s="257">
        <f>SUM(H18)</f>
        <v>1493.4166666666667</v>
      </c>
      <c r="I42" s="443"/>
      <c r="J42" s="1113" t="s">
        <v>1409</v>
      </c>
      <c r="K42" s="289">
        <f>SUMPRODUCT(K19,L19)/SUM(L19)</f>
        <v>143.03</v>
      </c>
      <c r="L42" s="683">
        <f>SUM(L19)</f>
        <v>1532.7500000000002</v>
      </c>
      <c r="M42" s="443"/>
      <c r="N42" s="1113" t="s">
        <v>1409</v>
      </c>
      <c r="O42" s="289">
        <f>SUMPRODUCT(O19,P19)/SUM(P19)</f>
        <v>159.23999999999998</v>
      </c>
      <c r="P42" s="683">
        <f>SUM(P19)</f>
        <v>1572.0833333333333</v>
      </c>
      <c r="Q42" s="443"/>
      <c r="R42" s="271"/>
      <c r="S42" s="280"/>
      <c r="T42" s="443"/>
      <c r="V42" s="1113" t="s">
        <v>1409</v>
      </c>
      <c r="W42" s="289">
        <f>SUMPRODUCT(W19,X19)/SUM(X19)</f>
        <v>172.92000000000002</v>
      </c>
      <c r="X42" s="683">
        <f>SUM(X19)</f>
        <v>1532.75</v>
      </c>
    </row>
    <row r="43" spans="2:24" s="359" customFormat="1" ht="11.25">
      <c r="B43" s="616" t="s">
        <v>1411</v>
      </c>
      <c r="C43" s="684">
        <f>SUMPRODUCT(C18,D18)/SUM(D18)</f>
        <v>894.2700000000001</v>
      </c>
      <c r="D43" s="259">
        <f>SUM(D18)</f>
        <v>400.75000000000006</v>
      </c>
      <c r="E43" s="440"/>
      <c r="F43" s="616" t="s">
        <v>1411</v>
      </c>
      <c r="G43" s="585">
        <f>SUMPRODUCT(G17,H17)/SUM(H17)</f>
        <v>915.3599999999999</v>
      </c>
      <c r="H43" s="259">
        <f>SUM(H17)</f>
        <v>412.25000000000006</v>
      </c>
      <c r="I43" s="440"/>
      <c r="J43" s="616" t="s">
        <v>1411</v>
      </c>
      <c r="K43" s="684">
        <f>SUMPRODUCT(K18,L18)/SUM(L18)</f>
        <v>988.8</v>
      </c>
      <c r="L43" s="259">
        <f>SUM(L18)</f>
        <v>410.91666666666669</v>
      </c>
      <c r="M43" s="440"/>
      <c r="N43" s="616" t="s">
        <v>1411</v>
      </c>
      <c r="O43" s="684">
        <f>SUMPRODUCT(O18,P18)/SUM(P18)</f>
        <v>1100.0400000000002</v>
      </c>
      <c r="P43" s="259">
        <f>SUM(P18)</f>
        <v>410.91666666666663</v>
      </c>
      <c r="Q43" s="440"/>
      <c r="R43" s="271"/>
      <c r="S43" s="280"/>
      <c r="T43" s="440"/>
      <c r="V43" s="616" t="s">
        <v>1411</v>
      </c>
      <c r="W43" s="684">
        <f>IF(X43&lt;&gt;0,SUMPRODUCT(W18,X18)/SUM(X18),0)</f>
        <v>1194.24</v>
      </c>
      <c r="X43" s="259">
        <f>SUM(X18)</f>
        <v>411.36111111111114</v>
      </c>
    </row>
    <row r="44" spans="2:24" s="359" customFormat="1" ht="11.25">
      <c r="B44" s="449" t="s">
        <v>1415</v>
      </c>
      <c r="C44" s="686">
        <f>SUMPRODUCT(C16,D16)/SUM(D16)</f>
        <v>5958.84</v>
      </c>
      <c r="D44" s="262">
        <f>SUM(D16)</f>
        <v>10</v>
      </c>
      <c r="E44" s="440"/>
      <c r="F44" s="449" t="s">
        <v>1415</v>
      </c>
      <c r="G44" s="685">
        <f>SUM(G16)</f>
        <v>6097.2</v>
      </c>
      <c r="H44" s="262">
        <f>SUM(H16)</f>
        <v>10</v>
      </c>
      <c r="I44" s="440"/>
      <c r="J44" s="449" t="s">
        <v>1415</v>
      </c>
      <c r="K44" s="686">
        <f>SUM(K16)</f>
        <v>6586.8</v>
      </c>
      <c r="L44" s="262">
        <f>SUM(L16)</f>
        <v>10</v>
      </c>
      <c r="M44" s="440"/>
      <c r="N44" s="449" t="s">
        <v>1415</v>
      </c>
      <c r="O44" s="686">
        <f>SUM(O16)</f>
        <v>7328.64</v>
      </c>
      <c r="P44" s="262">
        <f>SUM(P16)</f>
        <v>10</v>
      </c>
      <c r="Q44" s="440"/>
      <c r="R44" s="271"/>
      <c r="S44" s="280"/>
      <c r="T44" s="440"/>
      <c r="V44" s="449" t="s">
        <v>1415</v>
      </c>
      <c r="W44" s="686">
        <f>SUM(W16)</f>
        <v>7955.76</v>
      </c>
      <c r="X44" s="262">
        <f>SUM(X16)</f>
        <v>10</v>
      </c>
    </row>
    <row r="45" spans="2:24">
      <c r="B45" s="450" t="s">
        <v>680</v>
      </c>
      <c r="C45" s="451">
        <f>SUMPRODUCT(C39:C44,D39:D44)</f>
        <v>4686552.7004822902</v>
      </c>
      <c r="D45" s="454"/>
      <c r="E45" s="443"/>
      <c r="F45" s="453" t="s">
        <v>680</v>
      </c>
      <c r="G45" s="451">
        <f>SUMPRODUCT(G39:G44,H39:H44)</f>
        <v>4818670.3600000013</v>
      </c>
      <c r="H45" s="454"/>
      <c r="I45" s="443"/>
      <c r="J45" s="450" t="s">
        <v>680</v>
      </c>
      <c r="K45" s="451">
        <f>SUMPRODUCT(K39:K44,L39:L44)</f>
        <v>5218813.8725000005</v>
      </c>
      <c r="L45" s="454"/>
      <c r="M45" s="443"/>
      <c r="N45" s="450" t="s">
        <v>680</v>
      </c>
      <c r="O45" s="451">
        <f>SUMPRODUCT(O39:O44,P39:P44)</f>
        <v>5862068.7033333331</v>
      </c>
      <c r="P45" s="454"/>
      <c r="Q45" s="443"/>
      <c r="R45" s="543"/>
      <c r="S45" s="443"/>
      <c r="T45" s="443"/>
      <c r="V45" s="450" t="s">
        <v>680</v>
      </c>
      <c r="W45" s="451">
        <f>SUMPRODUCT(W39:W44,X39:X44)</f>
        <v>6312539.1133333333</v>
      </c>
      <c r="X45" s="454"/>
    </row>
    <row r="46" spans="2:24">
      <c r="B46" s="390"/>
      <c r="C46" s="455"/>
      <c r="D46" s="391"/>
      <c r="E46" s="386"/>
      <c r="F46" s="390"/>
      <c r="G46" s="455"/>
      <c r="H46" s="391"/>
      <c r="I46" s="386"/>
      <c r="J46" s="390"/>
      <c r="K46" s="455"/>
      <c r="L46" s="391"/>
      <c r="M46" s="386"/>
      <c r="N46" s="390"/>
      <c r="O46" s="455"/>
      <c r="P46" s="391"/>
      <c r="Q46" s="386"/>
      <c r="R46" s="390"/>
      <c r="S46" s="500"/>
      <c r="T46" s="386"/>
      <c r="V46" s="390"/>
      <c r="W46" s="455"/>
      <c r="X46" s="391"/>
    </row>
    <row r="47" spans="2:24">
      <c r="B47" s="392" t="s">
        <v>681</v>
      </c>
      <c r="C47" s="456"/>
      <c r="D47" s="397"/>
      <c r="E47" s="395"/>
      <c r="F47" s="392" t="s">
        <v>681</v>
      </c>
      <c r="G47" s="456"/>
      <c r="H47" s="397"/>
      <c r="I47" s="395"/>
      <c r="J47" s="392" t="s">
        <v>681</v>
      </c>
      <c r="K47" s="456"/>
      <c r="L47" s="397"/>
      <c r="M47" s="395"/>
      <c r="N47" s="392" t="s">
        <v>681</v>
      </c>
      <c r="O47" s="456"/>
      <c r="P47" s="397"/>
      <c r="Q47" s="395"/>
      <c r="R47" s="395"/>
      <c r="S47" s="544"/>
      <c r="T47" s="395"/>
      <c r="V47" s="392" t="s">
        <v>681</v>
      </c>
      <c r="W47" s="456"/>
      <c r="X47" s="397"/>
    </row>
    <row r="48" spans="2:24">
      <c r="B48" s="398" t="s">
        <v>684</v>
      </c>
      <c r="C48" s="399">
        <f>SUMPRODUCT(C31:C32,D31:D32)/SUM(D31:D32)</f>
        <v>1.44</v>
      </c>
      <c r="D48" s="400">
        <f>SUM(D31:D32)</f>
        <v>146306</v>
      </c>
      <c r="E48" s="405"/>
      <c r="F48" s="398" t="s">
        <v>684</v>
      </c>
      <c r="G48" s="399">
        <f>SUMPRODUCT(G31:G32,H31:H32)/SUM(H31:H32)</f>
        <v>1.47</v>
      </c>
      <c r="H48" s="400">
        <f>SUM(H31:H32)</f>
        <v>23200</v>
      </c>
      <c r="I48" s="405"/>
      <c r="J48" s="398" t="s">
        <v>684</v>
      </c>
      <c r="K48" s="399">
        <f>SUMPRODUCT(K31:K32,L31:L32)/SUM(L31:L32)</f>
        <v>1.58</v>
      </c>
      <c r="L48" s="400">
        <f>SUM(L31:L32)</f>
        <v>23200</v>
      </c>
      <c r="M48" s="405"/>
      <c r="N48" s="398" t="s">
        <v>684</v>
      </c>
      <c r="O48" s="399">
        <f>SUMPRODUCT(O31:O32,P31:P32)/SUM(P31:P32)</f>
        <v>1.76</v>
      </c>
      <c r="P48" s="400">
        <f>SUM(P31:P32)</f>
        <v>23200</v>
      </c>
      <c r="Q48" s="405"/>
      <c r="R48" s="529"/>
      <c r="S48" s="624"/>
      <c r="T48" s="405"/>
      <c r="V48" s="398" t="s">
        <v>684</v>
      </c>
      <c r="W48" s="399">
        <f>SUMPRODUCT(W31:W32,X31:X32)/SUM(X31:X32)</f>
        <v>1.92</v>
      </c>
      <c r="X48" s="400">
        <f>SUM(X31:X32)</f>
        <v>23200</v>
      </c>
    </row>
    <row r="49" spans="2:25">
      <c r="B49" s="414"/>
      <c r="C49" s="415"/>
      <c r="D49" s="420"/>
      <c r="E49" s="417"/>
      <c r="F49" s="414"/>
      <c r="G49" s="415"/>
      <c r="H49" s="420"/>
      <c r="I49" s="417"/>
      <c r="J49" s="414"/>
      <c r="K49" s="415"/>
      <c r="L49" s="420"/>
      <c r="M49" s="417"/>
      <c r="N49" s="414"/>
      <c r="O49" s="415"/>
      <c r="P49" s="420"/>
      <c r="Q49" s="417"/>
      <c r="R49" s="529"/>
      <c r="S49" s="545"/>
      <c r="T49" s="417"/>
      <c r="V49" s="414"/>
      <c r="W49" s="415"/>
      <c r="X49" s="420"/>
    </row>
    <row r="50" spans="2:25">
      <c r="B50" s="383" t="s">
        <v>680</v>
      </c>
      <c r="C50" s="432"/>
      <c r="D50" s="424"/>
      <c r="E50" s="386"/>
      <c r="F50" s="383" t="s">
        <v>680</v>
      </c>
      <c r="G50" s="432"/>
      <c r="H50" s="424"/>
      <c r="I50" s="386"/>
      <c r="J50" s="383" t="s">
        <v>680</v>
      </c>
      <c r="K50" s="432"/>
      <c r="L50" s="424"/>
      <c r="M50" s="386"/>
      <c r="N50" s="383" t="s">
        <v>680</v>
      </c>
      <c r="O50" s="432"/>
      <c r="P50" s="424"/>
      <c r="Q50" s="386"/>
      <c r="R50" s="390"/>
      <c r="S50" s="500"/>
      <c r="T50" s="386"/>
      <c r="V50" s="383" t="s">
        <v>680</v>
      </c>
      <c r="W50" s="432"/>
      <c r="X50" s="424"/>
    </row>
    <row r="51" spans="2:25">
      <c r="B51" s="390"/>
      <c r="C51" s="458"/>
      <c r="D51" s="386"/>
      <c r="E51" s="386"/>
      <c r="F51" s="390"/>
      <c r="G51" s="458"/>
      <c r="H51" s="391"/>
      <c r="I51" s="386"/>
      <c r="J51" s="390"/>
      <c r="K51" s="458"/>
      <c r="L51" s="391"/>
      <c r="M51" s="386"/>
      <c r="N51" s="390"/>
      <c r="O51" s="458"/>
      <c r="P51" s="391"/>
      <c r="Q51" s="386"/>
      <c r="R51" s="390"/>
      <c r="S51" s="430"/>
      <c r="T51" s="386"/>
    </row>
    <row r="52" spans="2:25">
      <c r="B52" s="390"/>
      <c r="C52" s="458"/>
      <c r="D52" s="386"/>
      <c r="E52" s="386"/>
      <c r="F52" s="390"/>
      <c r="G52" s="458"/>
      <c r="H52" s="386"/>
      <c r="I52" s="386"/>
      <c r="J52" s="390"/>
      <c r="K52" s="458"/>
      <c r="L52" s="386"/>
      <c r="M52" s="386"/>
      <c r="N52" s="390"/>
      <c r="O52" s="458"/>
      <c r="P52" s="391"/>
      <c r="Q52" s="386"/>
      <c r="R52" s="390"/>
      <c r="S52" s="458"/>
      <c r="T52" s="386"/>
    </row>
    <row r="53" spans="2:25">
      <c r="B53" s="390"/>
      <c r="C53" s="458"/>
      <c r="D53" s="386"/>
      <c r="E53" s="386"/>
      <c r="F53" s="390"/>
      <c r="G53" s="458"/>
      <c r="H53" s="386"/>
      <c r="I53" s="386"/>
      <c r="J53" s="390"/>
      <c r="K53" s="458"/>
      <c r="L53" s="386"/>
      <c r="M53" s="386"/>
      <c r="N53" s="390"/>
      <c r="O53" s="458"/>
      <c r="P53" s="391"/>
      <c r="Q53" s="386"/>
      <c r="R53" s="390"/>
      <c r="S53" s="458"/>
      <c r="T53" s="386"/>
    </row>
    <row r="54" spans="2:25" ht="15.75">
      <c r="B54" s="240" t="str">
        <f>B1</f>
        <v>NE6R DNWB</v>
      </c>
      <c r="C54" s="240" t="s">
        <v>722</v>
      </c>
      <c r="D54" s="546"/>
      <c r="E54" s="293"/>
      <c r="F54" s="293"/>
      <c r="G54" s="291"/>
      <c r="H54" s="292"/>
      <c r="I54" s="293"/>
      <c r="J54" s="293"/>
      <c r="K54" s="291"/>
      <c r="L54" s="292"/>
      <c r="M54" s="293"/>
      <c r="N54" s="293"/>
      <c r="O54" s="293"/>
      <c r="P54" s="816"/>
      <c r="Q54" s="293"/>
      <c r="R54" s="293"/>
      <c r="S54" s="293"/>
      <c r="T54" s="293"/>
      <c r="V54" s="294" t="s">
        <v>651</v>
      </c>
      <c r="W54" s="295"/>
      <c r="X54" s="295"/>
    </row>
    <row r="55" spans="2:25">
      <c r="B55" s="390"/>
      <c r="C55" s="458"/>
      <c r="D55" s="386"/>
      <c r="E55" s="386"/>
      <c r="F55" s="390"/>
      <c r="G55" s="458"/>
      <c r="H55" s="386"/>
      <c r="I55" s="386"/>
      <c r="J55" s="390"/>
      <c r="K55" s="458"/>
      <c r="L55" s="386"/>
      <c r="M55" s="386"/>
      <c r="N55" s="390"/>
      <c r="O55" s="458"/>
      <c r="P55" s="391"/>
      <c r="Q55" s="386"/>
      <c r="R55" s="390"/>
      <c r="S55" s="458"/>
      <c r="T55" s="386"/>
    </row>
    <row r="56" spans="2:25">
      <c r="B56" s="296" t="s">
        <v>251</v>
      </c>
      <c r="C56" s="297" t="s">
        <v>652</v>
      </c>
      <c r="D56" s="297"/>
      <c r="E56" s="298"/>
      <c r="F56" s="297"/>
      <c r="G56" s="298"/>
      <c r="H56" s="386"/>
      <c r="I56" s="386"/>
      <c r="J56" s="390"/>
      <c r="K56" s="458"/>
      <c r="L56" s="386"/>
      <c r="M56" s="386"/>
      <c r="N56" s="390"/>
      <c r="O56" s="458"/>
      <c r="P56" s="391"/>
      <c r="Q56" s="386"/>
      <c r="R56" s="390"/>
      <c r="S56" s="458"/>
      <c r="T56" s="386"/>
    </row>
    <row r="57" spans="2:25">
      <c r="B57" s="299" t="s">
        <v>252</v>
      </c>
      <c r="C57" s="300" t="s">
        <v>652</v>
      </c>
      <c r="D57" s="300"/>
      <c r="E57" s="301"/>
      <c r="F57" s="300"/>
      <c r="G57" s="301"/>
      <c r="H57" s="386"/>
      <c r="I57" s="386"/>
      <c r="J57" s="390"/>
      <c r="K57" s="458"/>
      <c r="L57" s="386"/>
      <c r="M57" s="386"/>
      <c r="N57" s="390"/>
      <c r="O57" s="458"/>
      <c r="P57" s="391"/>
      <c r="Q57" s="386"/>
      <c r="R57" s="390"/>
      <c r="S57" s="458"/>
      <c r="T57" s="386"/>
    </row>
    <row r="58" spans="2:25">
      <c r="B58" s="302" t="s">
        <v>253</v>
      </c>
      <c r="C58" s="303" t="s">
        <v>653</v>
      </c>
      <c r="D58" s="303"/>
      <c r="E58" s="304"/>
      <c r="F58" s="303"/>
      <c r="G58" s="304"/>
      <c r="H58" s="386"/>
      <c r="I58" s="386"/>
      <c r="J58" s="390"/>
      <c r="K58" s="458"/>
      <c r="L58" s="386"/>
      <c r="M58" s="386"/>
      <c r="N58" s="390"/>
      <c r="O58" s="458"/>
      <c r="P58" s="391"/>
      <c r="Q58" s="386"/>
      <c r="R58" s="390"/>
      <c r="S58" s="458"/>
      <c r="T58" s="386"/>
    </row>
    <row r="59" spans="2:25">
      <c r="B59" s="305" t="s">
        <v>654</v>
      </c>
      <c r="C59" s="306" t="s">
        <v>653</v>
      </c>
      <c r="D59" s="306"/>
      <c r="E59" s="307"/>
      <c r="F59" s="306"/>
      <c r="G59" s="307"/>
      <c r="H59" s="386"/>
      <c r="I59" s="386"/>
      <c r="J59" s="390"/>
      <c r="K59" s="458"/>
      <c r="L59" s="386"/>
      <c r="M59" s="386"/>
      <c r="N59" s="390"/>
      <c r="O59" s="458"/>
      <c r="P59" s="391"/>
      <c r="Q59" s="386"/>
      <c r="R59" s="390"/>
      <c r="S59" s="458"/>
      <c r="T59" s="386"/>
    </row>
    <row r="60" spans="2:25">
      <c r="B60" s="460" t="s">
        <v>254</v>
      </c>
      <c r="C60" s="461" t="s">
        <v>688</v>
      </c>
      <c r="D60" s="461"/>
      <c r="E60" s="462"/>
      <c r="F60" s="461"/>
      <c r="G60" s="462"/>
      <c r="H60" s="386"/>
      <c r="I60" s="386"/>
      <c r="J60" s="390"/>
      <c r="K60" s="458"/>
      <c r="L60" s="386"/>
      <c r="M60" s="386"/>
      <c r="N60" s="390"/>
      <c r="O60" s="458"/>
      <c r="P60" s="391"/>
      <c r="Q60" s="386"/>
      <c r="R60" s="390"/>
      <c r="S60" s="458"/>
      <c r="T60" s="386"/>
    </row>
    <row r="61" spans="2:25">
      <c r="B61" s="390"/>
      <c r="C61" s="458"/>
      <c r="D61" s="386"/>
      <c r="E61" s="386"/>
      <c r="F61" s="390"/>
      <c r="G61" s="458"/>
      <c r="H61" s="386"/>
      <c r="I61" s="386"/>
      <c r="J61" s="390"/>
      <c r="K61" s="458"/>
      <c r="L61" s="386"/>
      <c r="M61" s="386"/>
      <c r="N61" s="390"/>
      <c r="O61" s="458"/>
      <c r="P61" s="386"/>
      <c r="Q61" s="386"/>
      <c r="R61" s="390"/>
      <c r="S61" s="458"/>
      <c r="T61" s="386"/>
    </row>
    <row r="62" spans="2:25">
      <c r="B62" s="359"/>
      <c r="C62" s="359"/>
      <c r="D62" s="359"/>
      <c r="E62" s="316"/>
      <c r="F62" s="359"/>
      <c r="G62" s="359"/>
      <c r="H62" s="359"/>
      <c r="I62" s="316"/>
      <c r="J62" s="359"/>
      <c r="K62" s="359"/>
      <c r="L62" s="359"/>
      <c r="M62" s="316"/>
      <c r="N62" s="359"/>
      <c r="O62" s="359"/>
      <c r="P62" s="359"/>
      <c r="Q62" s="316"/>
      <c r="R62" s="359"/>
      <c r="S62" s="359"/>
      <c r="T62" s="359"/>
    </row>
    <row r="63" spans="2:25">
      <c r="B63" s="359"/>
      <c r="C63" s="359"/>
      <c r="D63" s="359"/>
      <c r="E63" s="316"/>
      <c r="F63" s="359"/>
      <c r="G63" s="359"/>
      <c r="H63" s="359"/>
      <c r="I63" s="316"/>
      <c r="J63" s="359"/>
      <c r="K63" s="359"/>
      <c r="L63" s="359"/>
      <c r="M63" s="316"/>
      <c r="N63" s="359"/>
      <c r="O63" s="359"/>
      <c r="P63" s="359"/>
      <c r="Q63" s="316"/>
      <c r="R63" s="359"/>
      <c r="S63" s="359"/>
      <c r="T63" s="359"/>
    </row>
    <row r="64" spans="2:25" ht="15.75">
      <c r="B64" s="463" t="s">
        <v>886</v>
      </c>
      <c r="C64" s="464"/>
      <c r="D64" s="465"/>
      <c r="E64" s="359"/>
      <c r="F64" s="359"/>
      <c r="G64" s="359"/>
      <c r="H64" s="359"/>
      <c r="I64" s="359"/>
      <c r="J64" s="359"/>
      <c r="K64" s="359"/>
      <c r="L64" s="359"/>
      <c r="M64" s="359"/>
      <c r="N64" s="359"/>
      <c r="O64" s="359"/>
      <c r="P64" s="359"/>
      <c r="Q64" s="359"/>
      <c r="R64" s="359"/>
      <c r="S64" s="359"/>
      <c r="T64" s="359"/>
      <c r="U64" s="359"/>
      <c r="V64" s="359"/>
      <c r="W64" s="359"/>
      <c r="X64" s="359"/>
      <c r="Y64" s="359"/>
    </row>
    <row r="65" spans="2:24">
      <c r="B65" s="317"/>
      <c r="C65" s="1190">
        <v>2009</v>
      </c>
      <c r="D65" s="1194"/>
      <c r="E65" s="321"/>
      <c r="F65" s="319"/>
      <c r="G65" s="1190">
        <v>2010</v>
      </c>
      <c r="H65" s="1194"/>
      <c r="I65" s="321"/>
      <c r="J65" s="320"/>
      <c r="K65" s="1190">
        <v>2011</v>
      </c>
      <c r="L65" s="1194"/>
      <c r="M65" s="321"/>
      <c r="N65" s="320"/>
      <c r="O65" s="1190">
        <v>2012</v>
      </c>
      <c r="P65" s="1194"/>
      <c r="Q65" s="321"/>
      <c r="R65" s="319"/>
      <c r="S65" s="1190">
        <v>2013</v>
      </c>
      <c r="T65" s="1194"/>
      <c r="V65" s="319" t="s">
        <v>656</v>
      </c>
      <c r="W65" s="1190" t="s">
        <v>657</v>
      </c>
      <c r="X65" s="1194"/>
    </row>
    <row r="66" spans="2:24">
      <c r="B66" s="325" t="s">
        <v>690</v>
      </c>
      <c r="C66" s="470" t="s">
        <v>632</v>
      </c>
      <c r="D66" s="470" t="s">
        <v>633</v>
      </c>
      <c r="E66" s="324"/>
      <c r="F66" s="323" t="s">
        <v>690</v>
      </c>
      <c r="G66" s="470" t="s">
        <v>632</v>
      </c>
      <c r="H66" s="470" t="s">
        <v>633</v>
      </c>
      <c r="I66" s="324"/>
      <c r="J66" s="323" t="s">
        <v>690</v>
      </c>
      <c r="K66" s="470" t="s">
        <v>632</v>
      </c>
      <c r="L66" s="471" t="s">
        <v>633</v>
      </c>
      <c r="M66" s="324"/>
      <c r="N66" s="323" t="s">
        <v>690</v>
      </c>
      <c r="O66" s="325" t="s">
        <v>632</v>
      </c>
      <c r="P66" s="470" t="s">
        <v>633</v>
      </c>
      <c r="Q66" s="324"/>
      <c r="R66" s="325" t="s">
        <v>690</v>
      </c>
      <c r="S66" s="547" t="s">
        <v>710</v>
      </c>
      <c r="T66" s="516" t="s">
        <v>633</v>
      </c>
      <c r="V66" s="325" t="s">
        <v>690</v>
      </c>
      <c r="W66" s="547" t="s">
        <v>710</v>
      </c>
      <c r="X66" s="516" t="s">
        <v>633</v>
      </c>
    </row>
    <row r="67" spans="2:24">
      <c r="B67" s="504" t="s">
        <v>887</v>
      </c>
      <c r="C67" s="552">
        <v>299.97000000000003</v>
      </c>
      <c r="D67" s="817">
        <v>1360</v>
      </c>
      <c r="E67" s="571"/>
      <c r="F67" s="472" t="s">
        <v>887</v>
      </c>
      <c r="G67" s="549">
        <v>284.07</v>
      </c>
      <c r="H67" s="550">
        <v>1237</v>
      </c>
      <c r="I67" s="571"/>
      <c r="J67" s="472" t="s">
        <v>887</v>
      </c>
      <c r="K67" s="549">
        <v>307.22000000000003</v>
      </c>
      <c r="L67" s="550">
        <v>1248</v>
      </c>
      <c r="M67" s="571"/>
      <c r="N67" s="611" t="s">
        <v>887</v>
      </c>
      <c r="O67" s="549">
        <v>341.82</v>
      </c>
      <c r="P67" s="550">
        <v>1385</v>
      </c>
      <c r="Q67" s="571"/>
      <c r="R67" s="472" t="s">
        <v>887</v>
      </c>
      <c r="S67" s="549">
        <v>371.46999999999997</v>
      </c>
      <c r="T67" s="333"/>
      <c r="V67" s="472" t="s">
        <v>887</v>
      </c>
      <c r="W67" s="549">
        <f>S67</f>
        <v>371.46999999999997</v>
      </c>
      <c r="X67" s="550">
        <f t="shared" ref="X67:X77" si="1">(H67+L67+P67)/3</f>
        <v>1290</v>
      </c>
    </row>
    <row r="68" spans="2:24">
      <c r="B68" s="472" t="s">
        <v>888</v>
      </c>
      <c r="C68" s="556">
        <v>569.5</v>
      </c>
      <c r="D68" s="818">
        <v>1868</v>
      </c>
      <c r="E68" s="571"/>
      <c r="F68" s="472" t="s">
        <v>888</v>
      </c>
      <c r="G68" s="554">
        <v>539.30999999999995</v>
      </c>
      <c r="H68" s="555">
        <v>1568</v>
      </c>
      <c r="I68" s="571"/>
      <c r="J68" s="472" t="s">
        <v>888</v>
      </c>
      <c r="K68" s="554">
        <v>583.26</v>
      </c>
      <c r="L68" s="555">
        <v>1725</v>
      </c>
      <c r="M68" s="571"/>
      <c r="N68" s="611" t="s">
        <v>888</v>
      </c>
      <c r="O68" s="554">
        <v>648.94000000000005</v>
      </c>
      <c r="P68" s="555">
        <v>1959</v>
      </c>
      <c r="Q68" s="571"/>
      <c r="R68" s="472" t="s">
        <v>888</v>
      </c>
      <c r="S68" s="554">
        <v>704.87</v>
      </c>
      <c r="T68" s="344"/>
      <c r="V68" s="472" t="s">
        <v>888</v>
      </c>
      <c r="W68" s="554">
        <f t="shared" ref="W68:W77" si="2">S68</f>
        <v>704.87</v>
      </c>
      <c r="X68" s="555">
        <f t="shared" si="1"/>
        <v>1750.6666666666667</v>
      </c>
    </row>
    <row r="69" spans="2:24">
      <c r="B69" s="472" t="s">
        <v>677</v>
      </c>
      <c r="C69" s="560">
        <v>803.21</v>
      </c>
      <c r="D69" s="819">
        <v>82</v>
      </c>
      <c r="E69" s="571"/>
      <c r="F69" s="472" t="s">
        <v>677</v>
      </c>
      <c r="G69" s="558">
        <v>760.63</v>
      </c>
      <c r="H69" s="559">
        <v>109</v>
      </c>
      <c r="I69" s="571"/>
      <c r="J69" s="472" t="s">
        <v>677</v>
      </c>
      <c r="K69" s="558">
        <v>822.62</v>
      </c>
      <c r="L69" s="559">
        <v>241</v>
      </c>
      <c r="M69" s="571"/>
      <c r="N69" s="611" t="s">
        <v>677</v>
      </c>
      <c r="O69" s="558">
        <v>915.25</v>
      </c>
      <c r="P69" s="559">
        <v>114</v>
      </c>
      <c r="Q69" s="571"/>
      <c r="R69" s="472" t="s">
        <v>677</v>
      </c>
      <c r="S69" s="558">
        <v>993.97</v>
      </c>
      <c r="T69" s="344"/>
      <c r="V69" s="472" t="s">
        <v>677</v>
      </c>
      <c r="W69" s="558">
        <f t="shared" si="2"/>
        <v>993.97</v>
      </c>
      <c r="X69" s="559">
        <f t="shared" si="1"/>
        <v>154.66666666666666</v>
      </c>
    </row>
    <row r="70" spans="2:24">
      <c r="B70" s="472" t="s">
        <v>676</v>
      </c>
      <c r="C70" s="560">
        <v>884.7</v>
      </c>
      <c r="D70" s="819">
        <v>43</v>
      </c>
      <c r="E70" s="571"/>
      <c r="F70" s="472" t="s">
        <v>676</v>
      </c>
      <c r="G70" s="558">
        <v>837.81</v>
      </c>
      <c r="H70" s="559">
        <v>56</v>
      </c>
      <c r="I70" s="571"/>
      <c r="J70" s="472" t="s">
        <v>676</v>
      </c>
      <c r="K70" s="558">
        <v>906.09</v>
      </c>
      <c r="L70" s="559">
        <v>75</v>
      </c>
      <c r="M70" s="571"/>
      <c r="N70" s="611" t="s">
        <v>676</v>
      </c>
      <c r="O70" s="558">
        <v>1008.12</v>
      </c>
      <c r="P70" s="559">
        <v>34</v>
      </c>
      <c r="Q70" s="571"/>
      <c r="R70" s="472" t="s">
        <v>676</v>
      </c>
      <c r="S70" s="558">
        <v>1094.7800000000002</v>
      </c>
      <c r="T70" s="344"/>
      <c r="V70" s="472" t="s">
        <v>676</v>
      </c>
      <c r="W70" s="558">
        <f t="shared" si="2"/>
        <v>1094.7800000000002</v>
      </c>
      <c r="X70" s="559">
        <f t="shared" si="1"/>
        <v>55</v>
      </c>
    </row>
    <row r="71" spans="2:24">
      <c r="B71" s="472" t="s">
        <v>695</v>
      </c>
      <c r="C71" s="560">
        <v>995.73</v>
      </c>
      <c r="D71" s="819">
        <v>24</v>
      </c>
      <c r="E71" s="571"/>
      <c r="F71" s="472" t="s">
        <v>695</v>
      </c>
      <c r="G71" s="558">
        <v>942.95</v>
      </c>
      <c r="H71" s="559">
        <v>36</v>
      </c>
      <c r="I71" s="571"/>
      <c r="J71" s="472" t="s">
        <v>695</v>
      </c>
      <c r="K71" s="558">
        <v>1019.8</v>
      </c>
      <c r="L71" s="559">
        <v>99</v>
      </c>
      <c r="M71" s="571"/>
      <c r="N71" s="611" t="s">
        <v>695</v>
      </c>
      <c r="O71" s="558">
        <v>1134.6400000000001</v>
      </c>
      <c r="P71" s="559">
        <v>29</v>
      </c>
      <c r="Q71" s="571"/>
      <c r="R71" s="472" t="s">
        <v>695</v>
      </c>
      <c r="S71" s="558">
        <v>1232.1300000000001</v>
      </c>
      <c r="T71" s="344"/>
      <c r="V71" s="472" t="s">
        <v>695</v>
      </c>
      <c r="W71" s="558">
        <f t="shared" si="2"/>
        <v>1232.1300000000001</v>
      </c>
      <c r="X71" s="559">
        <f t="shared" si="1"/>
        <v>54.666666666666664</v>
      </c>
    </row>
    <row r="72" spans="2:24">
      <c r="B72" s="472" t="s">
        <v>697</v>
      </c>
      <c r="C72" s="560">
        <v>1057.52</v>
      </c>
      <c r="D72" s="819">
        <v>55</v>
      </c>
      <c r="E72" s="571"/>
      <c r="F72" s="472" t="s">
        <v>697</v>
      </c>
      <c r="G72" s="558">
        <v>1001.47</v>
      </c>
      <c r="H72" s="559">
        <v>43</v>
      </c>
      <c r="I72" s="571"/>
      <c r="J72" s="472" t="s">
        <v>697</v>
      </c>
      <c r="K72" s="558">
        <v>1083.08</v>
      </c>
      <c r="L72" s="559">
        <v>83</v>
      </c>
      <c r="M72" s="571"/>
      <c r="N72" s="611" t="s">
        <v>697</v>
      </c>
      <c r="O72" s="558">
        <v>1205.05</v>
      </c>
      <c r="P72" s="559">
        <v>33</v>
      </c>
      <c r="Q72" s="571"/>
      <c r="R72" s="472" t="s">
        <v>697</v>
      </c>
      <c r="S72" s="558">
        <v>1308.5600000000002</v>
      </c>
      <c r="T72" s="344"/>
      <c r="V72" s="472" t="s">
        <v>697</v>
      </c>
      <c r="W72" s="558">
        <f t="shared" si="2"/>
        <v>1308.5600000000002</v>
      </c>
      <c r="X72" s="559">
        <f t="shared" si="1"/>
        <v>53</v>
      </c>
    </row>
    <row r="73" spans="2:24">
      <c r="B73" s="472" t="s">
        <v>889</v>
      </c>
      <c r="C73" s="563">
        <v>3860.26</v>
      </c>
      <c r="D73" s="820">
        <v>39</v>
      </c>
      <c r="E73" s="571"/>
      <c r="F73" s="472" t="s">
        <v>889</v>
      </c>
      <c r="G73" s="561">
        <v>3655.66</v>
      </c>
      <c r="H73" s="562">
        <v>40.200000000000003</v>
      </c>
      <c r="I73" s="571"/>
      <c r="J73" s="472" t="s">
        <v>889</v>
      </c>
      <c r="K73" s="561">
        <v>3953.59</v>
      </c>
      <c r="L73" s="562">
        <v>74</v>
      </c>
      <c r="M73" s="571"/>
      <c r="N73" s="611" t="s">
        <v>889</v>
      </c>
      <c r="O73" s="561">
        <v>4398.82</v>
      </c>
      <c r="P73" s="562">
        <v>60</v>
      </c>
      <c r="Q73" s="571"/>
      <c r="R73" s="472" t="s">
        <v>889</v>
      </c>
      <c r="S73" s="561">
        <v>4775.6399999999994</v>
      </c>
      <c r="T73" s="344"/>
      <c r="V73" s="472" t="s">
        <v>889</v>
      </c>
      <c r="W73" s="561">
        <f t="shared" si="2"/>
        <v>4775.6399999999994</v>
      </c>
      <c r="X73" s="562">
        <f t="shared" si="1"/>
        <v>58.066666666666663</v>
      </c>
    </row>
    <row r="74" spans="2:24">
      <c r="B74" s="472" t="s">
        <v>890</v>
      </c>
      <c r="C74" s="563">
        <v>13206.02</v>
      </c>
      <c r="D74" s="820">
        <v>10</v>
      </c>
      <c r="E74" s="571"/>
      <c r="F74" s="472" t="s">
        <v>890</v>
      </c>
      <c r="G74" s="561">
        <v>12506.1</v>
      </c>
      <c r="H74" s="562">
        <v>11</v>
      </c>
      <c r="I74" s="571"/>
      <c r="J74" s="472" t="s">
        <v>890</v>
      </c>
      <c r="K74" s="561">
        <v>13525.34</v>
      </c>
      <c r="L74" s="562">
        <v>11</v>
      </c>
      <c r="M74" s="571"/>
      <c r="N74" s="611" t="s">
        <v>890</v>
      </c>
      <c r="O74" s="561">
        <v>15048.48</v>
      </c>
      <c r="P74" s="562">
        <v>8</v>
      </c>
      <c r="Q74" s="571"/>
      <c r="R74" s="472" t="s">
        <v>890</v>
      </c>
      <c r="S74" s="561">
        <v>16336.619999999999</v>
      </c>
      <c r="T74" s="344"/>
      <c r="V74" s="472" t="s">
        <v>890</v>
      </c>
      <c r="W74" s="561">
        <f t="shared" si="2"/>
        <v>16336.619999999999</v>
      </c>
      <c r="X74" s="562">
        <f t="shared" si="1"/>
        <v>10</v>
      </c>
    </row>
    <row r="75" spans="2:24">
      <c r="B75" s="472" t="s">
        <v>891</v>
      </c>
      <c r="C75" s="566">
        <v>50487.87</v>
      </c>
      <c r="D75" s="821">
        <v>9</v>
      </c>
      <c r="E75" s="571"/>
      <c r="F75" s="472" t="s">
        <v>891</v>
      </c>
      <c r="G75" s="564">
        <v>47812.01</v>
      </c>
      <c r="H75" s="565">
        <v>0</v>
      </c>
      <c r="I75" s="571"/>
      <c r="J75" s="472" t="s">
        <v>891</v>
      </c>
      <c r="K75" s="564">
        <v>51708.68</v>
      </c>
      <c r="L75" s="565">
        <v>1</v>
      </c>
      <c r="M75" s="571"/>
      <c r="N75" s="611" t="s">
        <v>891</v>
      </c>
      <c r="O75" s="564">
        <v>57531.82</v>
      </c>
      <c r="P75" s="565">
        <v>2</v>
      </c>
      <c r="Q75" s="571"/>
      <c r="R75" s="472" t="s">
        <v>891</v>
      </c>
      <c r="S75" s="564">
        <v>62455.39</v>
      </c>
      <c r="T75" s="344"/>
      <c r="V75" s="472" t="s">
        <v>891</v>
      </c>
      <c r="W75" s="564">
        <f t="shared" si="2"/>
        <v>62455.39</v>
      </c>
      <c r="X75" s="565">
        <f t="shared" si="1"/>
        <v>1</v>
      </c>
    </row>
    <row r="76" spans="2:24">
      <c r="B76" s="472" t="s">
        <v>892</v>
      </c>
      <c r="C76" s="566">
        <v>0</v>
      </c>
      <c r="D76" s="822">
        <v>0</v>
      </c>
      <c r="E76" s="571"/>
      <c r="F76" s="472" t="s">
        <v>892</v>
      </c>
      <c r="G76" s="564">
        <v>181433.46</v>
      </c>
      <c r="H76" s="565">
        <v>1</v>
      </c>
      <c r="I76" s="571"/>
      <c r="J76" s="472" t="s">
        <v>892</v>
      </c>
      <c r="K76" s="564">
        <v>196220.28</v>
      </c>
      <c r="L76" s="565">
        <v>0</v>
      </c>
      <c r="M76" s="571"/>
      <c r="N76" s="611" t="s">
        <v>892</v>
      </c>
      <c r="O76" s="564">
        <v>218317.53</v>
      </c>
      <c r="P76" s="565">
        <v>0</v>
      </c>
      <c r="Q76" s="571"/>
      <c r="R76" s="472" t="s">
        <v>892</v>
      </c>
      <c r="S76" s="564">
        <v>237000.03</v>
      </c>
      <c r="T76" s="344"/>
      <c r="V76" s="472" t="s">
        <v>892</v>
      </c>
      <c r="W76" s="564">
        <f t="shared" si="2"/>
        <v>237000.03</v>
      </c>
      <c r="X76" s="565">
        <f t="shared" si="1"/>
        <v>0.33333333333333331</v>
      </c>
    </row>
    <row r="77" spans="2:24">
      <c r="B77" s="483" t="s">
        <v>893</v>
      </c>
      <c r="C77" s="567">
        <v>209060.43</v>
      </c>
      <c r="D77" s="823">
        <v>2</v>
      </c>
      <c r="E77" s="571"/>
      <c r="F77" s="483" t="s">
        <v>893</v>
      </c>
      <c r="G77" s="594">
        <v>197980.22</v>
      </c>
      <c r="H77" s="568">
        <v>2</v>
      </c>
      <c r="I77" s="571"/>
      <c r="J77" s="483" t="s">
        <v>893</v>
      </c>
      <c r="K77" s="567">
        <v>214115.6</v>
      </c>
      <c r="L77" s="568">
        <v>0</v>
      </c>
      <c r="M77" s="571"/>
      <c r="N77" s="824" t="s">
        <v>893</v>
      </c>
      <c r="O77" s="567">
        <v>238226.9</v>
      </c>
      <c r="P77" s="565">
        <v>0</v>
      </c>
      <c r="Q77" s="571"/>
      <c r="R77" s="472" t="s">
        <v>893</v>
      </c>
      <c r="S77" s="567">
        <v>258613.1</v>
      </c>
      <c r="T77" s="344"/>
      <c r="V77" s="472" t="s">
        <v>893</v>
      </c>
      <c r="W77" s="567">
        <f t="shared" si="2"/>
        <v>258613.1</v>
      </c>
      <c r="X77" s="568">
        <f t="shared" si="1"/>
        <v>0.66666666666666663</v>
      </c>
    </row>
    <row r="78" spans="2:24">
      <c r="B78" s="526"/>
      <c r="C78" s="280"/>
      <c r="D78" s="570"/>
      <c r="E78" s="570"/>
      <c r="F78" s="526"/>
      <c r="G78" s="280"/>
      <c r="H78" s="570"/>
      <c r="I78" s="570"/>
      <c r="J78" s="526"/>
      <c r="K78" s="280"/>
      <c r="L78" s="281"/>
      <c r="M78" s="570"/>
      <c r="N78" s="571"/>
      <c r="O78" s="280"/>
      <c r="P78" s="825"/>
      <c r="Q78" s="570"/>
      <c r="R78" s="790"/>
      <c r="S78" s="536"/>
      <c r="T78" s="826"/>
      <c r="U78" s="209"/>
      <c r="V78" s="790"/>
      <c r="W78" s="536"/>
      <c r="X78" s="791"/>
    </row>
    <row r="79" spans="2:24">
      <c r="B79" s="526"/>
      <c r="C79" s="280"/>
      <c r="D79" s="570"/>
      <c r="E79" s="570"/>
      <c r="F79" s="526"/>
      <c r="G79" s="280"/>
      <c r="H79" s="570"/>
      <c r="I79" s="570"/>
      <c r="J79" s="526"/>
      <c r="K79" s="280"/>
      <c r="L79" s="281"/>
      <c r="M79" s="570"/>
      <c r="N79" s="571"/>
      <c r="O79" s="280"/>
      <c r="P79" s="281"/>
      <c r="Q79" s="570"/>
      <c r="R79" s="571"/>
      <c r="S79" s="536"/>
      <c r="T79" s="572"/>
      <c r="U79" s="209"/>
      <c r="V79" s="571"/>
      <c r="W79" s="536"/>
      <c r="X79" s="401"/>
    </row>
    <row r="80" spans="2:24">
      <c r="B80" s="526"/>
      <c r="C80" s="280"/>
      <c r="D80" s="570"/>
      <c r="E80" s="570"/>
      <c r="F80" s="526"/>
      <c r="G80" s="280"/>
      <c r="H80" s="570"/>
      <c r="I80" s="570"/>
      <c r="J80" s="526"/>
      <c r="K80" s="280"/>
      <c r="L80" s="281"/>
      <c r="M80" s="570"/>
      <c r="N80" s="571"/>
      <c r="O80" s="280"/>
      <c r="P80" s="281"/>
      <c r="Q80" s="570"/>
      <c r="R80" s="571"/>
      <c r="S80" s="536"/>
      <c r="T80" s="572"/>
      <c r="U80" s="209"/>
      <c r="V80" s="571"/>
      <c r="W80" s="536"/>
      <c r="X80" s="401"/>
    </row>
    <row r="81" spans="2:24">
      <c r="B81" s="526"/>
      <c r="C81" s="280"/>
      <c r="D81" s="570"/>
      <c r="E81" s="570"/>
      <c r="F81" s="526"/>
      <c r="G81" s="280"/>
      <c r="H81" s="570"/>
      <c r="I81" s="570"/>
      <c r="J81" s="526"/>
      <c r="K81" s="280"/>
      <c r="L81" s="281"/>
      <c r="M81" s="570"/>
      <c r="N81" s="571"/>
      <c r="O81" s="280"/>
      <c r="P81" s="281"/>
      <c r="Q81" s="570"/>
      <c r="R81" s="571"/>
      <c r="S81" s="536"/>
      <c r="T81" s="572"/>
      <c r="U81" s="209"/>
      <c r="V81" s="571"/>
      <c r="W81" s="536"/>
      <c r="X81" s="401"/>
    </row>
    <row r="82" spans="2:24">
      <c r="B82" s="526"/>
      <c r="C82" s="280"/>
      <c r="D82" s="570"/>
      <c r="E82" s="570"/>
      <c r="F82" s="526"/>
      <c r="G82" s="280"/>
      <c r="H82" s="570"/>
      <c r="I82" s="570"/>
      <c r="J82" s="526"/>
      <c r="K82" s="280"/>
      <c r="L82" s="281"/>
      <c r="M82" s="570"/>
      <c r="N82" s="571"/>
      <c r="O82" s="280"/>
      <c r="P82" s="281"/>
      <c r="Q82" s="570"/>
      <c r="R82" s="571"/>
      <c r="S82" s="536"/>
      <c r="T82" s="572"/>
      <c r="U82" s="209"/>
      <c r="V82" s="571"/>
      <c r="W82" s="536"/>
      <c r="X82" s="401"/>
    </row>
    <row r="83" spans="2:24">
      <c r="B83" s="390"/>
      <c r="C83" s="488"/>
      <c r="D83" s="390"/>
      <c r="E83" s="390"/>
      <c r="F83" s="489"/>
      <c r="G83" s="488"/>
      <c r="H83" s="390"/>
      <c r="I83" s="390"/>
      <c r="J83" s="390"/>
      <c r="K83" s="488"/>
      <c r="L83" s="490"/>
      <c r="M83" s="390"/>
      <c r="N83" s="573"/>
      <c r="O83" s="280"/>
      <c r="P83" s="281"/>
      <c r="Q83" s="570"/>
      <c r="R83" s="574"/>
      <c r="S83" s="536"/>
      <c r="T83" s="574"/>
      <c r="U83" s="209"/>
      <c r="V83" s="574"/>
      <c r="W83" s="536"/>
      <c r="X83" s="401"/>
    </row>
    <row r="84" spans="2:24">
      <c r="B84" s="390"/>
      <c r="C84" s="488"/>
      <c r="D84" s="390"/>
      <c r="E84" s="390"/>
      <c r="F84" s="489"/>
      <c r="G84" s="488"/>
      <c r="H84" s="390"/>
      <c r="I84" s="390"/>
      <c r="J84" s="390"/>
      <c r="K84" s="488"/>
      <c r="L84" s="490"/>
      <c r="M84" s="390"/>
      <c r="N84" s="390"/>
      <c r="O84" s="488"/>
      <c r="P84" s="490"/>
      <c r="Q84" s="390"/>
      <c r="R84" s="390"/>
      <c r="S84" s="488"/>
      <c r="T84" s="390"/>
      <c r="V84" s="390"/>
      <c r="W84" s="488"/>
      <c r="X84" s="490"/>
    </row>
    <row r="85" spans="2:24" s="359" customFormat="1" ht="11.25">
      <c r="B85" s="383" t="s">
        <v>680</v>
      </c>
      <c r="C85" s="491">
        <f>SUMPRODUCT(C67:C77,D67:D77)</f>
        <v>2812873.67</v>
      </c>
      <c r="D85" s="422"/>
      <c r="E85" s="386"/>
      <c r="F85" s="492" t="s">
        <v>680</v>
      </c>
      <c r="G85" s="491">
        <f>SUMPRODUCT(G67:G77,H67:H77)</f>
        <v>2265786.642</v>
      </c>
      <c r="H85" s="422"/>
      <c r="I85" s="386"/>
      <c r="J85" s="383" t="s">
        <v>680</v>
      </c>
      <c r="K85" s="491">
        <f>SUMPRODUCT(K67:K77,L67:L77)</f>
        <v>2339651.15</v>
      </c>
      <c r="L85" s="424"/>
      <c r="M85" s="386"/>
      <c r="N85" s="383" t="s">
        <v>680</v>
      </c>
      <c r="O85" s="491">
        <f>SUMPRODUCT(O67:O77,P67:P77)</f>
        <v>2455360.6300000004</v>
      </c>
      <c r="P85" s="424"/>
      <c r="Q85" s="386"/>
      <c r="R85" s="383" t="s">
        <v>680</v>
      </c>
      <c r="S85" s="491">
        <f>SUMPRODUCT(S67:S77,T67:T77)</f>
        <v>0</v>
      </c>
      <c r="T85" s="422"/>
      <c r="V85" s="383" t="s">
        <v>680</v>
      </c>
      <c r="W85" s="491">
        <f>SUMPRODUCT(W67:W77,X67:X77)</f>
        <v>2818381.5893333331</v>
      </c>
      <c r="X85" s="424"/>
    </row>
    <row r="86" spans="2:24">
      <c r="B86" s="390"/>
      <c r="C86" s="269"/>
      <c r="D86" s="386"/>
      <c r="E86" s="386"/>
      <c r="F86" s="489"/>
      <c r="G86" s="493"/>
      <c r="H86" s="386"/>
      <c r="I86" s="386"/>
      <c r="J86" s="390"/>
      <c r="K86" s="269"/>
      <c r="L86" s="386"/>
      <c r="M86" s="386"/>
      <c r="N86" s="390"/>
      <c r="O86" s="269"/>
      <c r="P86" s="391"/>
      <c r="Q86" s="386"/>
      <c r="R86" s="359"/>
      <c r="S86" s="359"/>
      <c r="T86" s="359"/>
      <c r="V86" s="390"/>
      <c r="W86" s="269"/>
      <c r="X86" s="391"/>
    </row>
    <row r="87" spans="2:24" ht="22.5">
      <c r="B87" s="494" t="s">
        <v>704</v>
      </c>
      <c r="C87" s="495" t="s">
        <v>682</v>
      </c>
      <c r="D87" s="433" t="s">
        <v>683</v>
      </c>
      <c r="E87" s="434"/>
      <c r="F87" s="494" t="s">
        <v>705</v>
      </c>
      <c r="G87" s="393" t="s">
        <v>682</v>
      </c>
      <c r="H87" s="496" t="s">
        <v>683</v>
      </c>
      <c r="I87" s="434"/>
      <c r="J87" s="494" t="s">
        <v>705</v>
      </c>
      <c r="K87" s="393" t="s">
        <v>682</v>
      </c>
      <c r="L87" s="496" t="s">
        <v>683</v>
      </c>
      <c r="M87" s="434"/>
      <c r="N87" s="494" t="s">
        <v>705</v>
      </c>
      <c r="O87" s="393" t="s">
        <v>682</v>
      </c>
      <c r="P87" s="497" t="s">
        <v>683</v>
      </c>
      <c r="Q87" s="434"/>
      <c r="R87" s="359"/>
      <c r="S87" s="359"/>
      <c r="T87" s="359"/>
      <c r="V87" s="579" t="s">
        <v>705</v>
      </c>
      <c r="W87" s="393" t="s">
        <v>682</v>
      </c>
      <c r="X87" s="497" t="s">
        <v>683</v>
      </c>
    </row>
    <row r="88" spans="2:24" s="359" customFormat="1" ht="11.25">
      <c r="B88" s="438" t="s">
        <v>251</v>
      </c>
      <c r="C88" s="249">
        <f>C67</f>
        <v>299.97000000000003</v>
      </c>
      <c r="D88" s="250">
        <f>D67</f>
        <v>1360</v>
      </c>
      <c r="E88" s="443"/>
      <c r="F88" s="438" t="s">
        <v>251</v>
      </c>
      <c r="G88" s="249">
        <f>G67</f>
        <v>284.07</v>
      </c>
      <c r="H88" s="498">
        <f>H67</f>
        <v>1237</v>
      </c>
      <c r="I88" s="443"/>
      <c r="J88" s="438" t="s">
        <v>251</v>
      </c>
      <c r="K88" s="249">
        <f>K67</f>
        <v>307.22000000000003</v>
      </c>
      <c r="L88" s="250">
        <f>L67</f>
        <v>1248</v>
      </c>
      <c r="M88" s="443"/>
      <c r="N88" s="438" t="s">
        <v>251</v>
      </c>
      <c r="O88" s="249">
        <f>O67</f>
        <v>341.82</v>
      </c>
      <c r="P88" s="250">
        <f>P67</f>
        <v>1385</v>
      </c>
      <c r="Q88" s="443"/>
      <c r="V88" s="580" t="s">
        <v>251</v>
      </c>
      <c r="W88" s="249">
        <f>W67</f>
        <v>371.46999999999997</v>
      </c>
      <c r="X88" s="250">
        <f>X67</f>
        <v>1290</v>
      </c>
    </row>
    <row r="89" spans="2:24" s="359" customFormat="1" ht="11.25">
      <c r="B89" s="438" t="s">
        <v>252</v>
      </c>
      <c r="C89" s="252">
        <f>SUMPRODUCT(C68,D68)/SUM(D68)</f>
        <v>569.5</v>
      </c>
      <c r="D89" s="253">
        <f>SUM(D68)</f>
        <v>1868</v>
      </c>
      <c r="E89" s="443"/>
      <c r="F89" s="438" t="s">
        <v>252</v>
      </c>
      <c r="G89" s="252">
        <f>SUMPRODUCT(G68,H68)/SUM(H68)</f>
        <v>539.30999999999995</v>
      </c>
      <c r="H89" s="442">
        <f>SUM(H68)</f>
        <v>1568</v>
      </c>
      <c r="I89" s="443"/>
      <c r="J89" s="438" t="s">
        <v>252</v>
      </c>
      <c r="K89" s="252">
        <f>SUMPRODUCT(K68,L68)/SUM(L68)</f>
        <v>583.26</v>
      </c>
      <c r="L89" s="253">
        <f>SUM(L68)</f>
        <v>1725</v>
      </c>
      <c r="M89" s="443"/>
      <c r="N89" s="438" t="s">
        <v>252</v>
      </c>
      <c r="O89" s="252">
        <f>SUMPRODUCT(O68,P68)/SUM(P68)</f>
        <v>648.94000000000005</v>
      </c>
      <c r="P89" s="253">
        <f>SUM(P68)</f>
        <v>1959</v>
      </c>
      <c r="Q89" s="443"/>
      <c r="V89" s="441" t="s">
        <v>252</v>
      </c>
      <c r="W89" s="252">
        <f>IF(X89&lt;&gt;0,SUMPRODUCT(W68,X68)/SUM(X68),0)</f>
        <v>704.87</v>
      </c>
      <c r="X89" s="253">
        <f>SUM(X68)</f>
        <v>1750.6666666666667</v>
      </c>
    </row>
    <row r="90" spans="2:24" s="359" customFormat="1" ht="11.25">
      <c r="B90" s="438" t="s">
        <v>253</v>
      </c>
      <c r="C90" s="254">
        <f>SUMPRODUCT(C69:C72,D69:D72)/SUM(D69:D72)</f>
        <v>911.6001960784314</v>
      </c>
      <c r="D90" s="255">
        <f>SUM(D69:D72)</f>
        <v>204</v>
      </c>
      <c r="E90" s="443"/>
      <c r="F90" s="438" t="s">
        <v>253</v>
      </c>
      <c r="G90" s="254">
        <f>SUMPRODUCT(G69:G72,H69:H72)/SUM(H69:H72)</f>
        <v>847.68622950819667</v>
      </c>
      <c r="H90" s="444">
        <f>SUM(H69:H72)</f>
        <v>244</v>
      </c>
      <c r="I90" s="443"/>
      <c r="J90" s="438" t="s">
        <v>253</v>
      </c>
      <c r="K90" s="254">
        <f>SUMPRODUCT(K69:K72,L69:L72)/SUM(L69:L72)</f>
        <v>917.79921686747002</v>
      </c>
      <c r="L90" s="255">
        <f>SUM(L69:L72)</f>
        <v>498</v>
      </c>
      <c r="M90" s="443"/>
      <c r="N90" s="438" t="s">
        <v>253</v>
      </c>
      <c r="O90" s="254">
        <f>SUMPRODUCT(O69:O72,P69:P72)/SUM(P69:P72)</f>
        <v>1006.1228095238096</v>
      </c>
      <c r="P90" s="255">
        <f>SUM(P69:P72)</f>
        <v>210</v>
      </c>
      <c r="Q90" s="443"/>
      <c r="V90" s="441" t="s">
        <v>253</v>
      </c>
      <c r="W90" s="254">
        <f>IF(X90&lt;&gt;0,SUMPRODUCT(W69:W72,X69:X72)/SUM(X69:X72),0)</f>
        <v>1105.0117016806723</v>
      </c>
      <c r="X90" s="255">
        <f>SUM(X69:X72)</f>
        <v>317.33333333333331</v>
      </c>
    </row>
    <row r="91" spans="2:24" s="359" customFormat="1" ht="11.25">
      <c r="B91" s="438" t="s">
        <v>255</v>
      </c>
      <c r="C91" s="256">
        <f>SUMPRODUCT(C73:C74,D73:D74)/SUM(D73:D74)</f>
        <v>5767.557959183674</v>
      </c>
      <c r="D91" s="257">
        <f>SUM(D73:D74)</f>
        <v>49</v>
      </c>
      <c r="E91" s="443"/>
      <c r="F91" s="438" t="s">
        <v>255</v>
      </c>
      <c r="G91" s="256">
        <f>SUMPRODUCT(G73:G74,H73:H74)/SUM(H73:H74)</f>
        <v>5557.1217187499997</v>
      </c>
      <c r="H91" s="445">
        <f>SUM(H73:H74)</f>
        <v>51.2</v>
      </c>
      <c r="I91" s="443"/>
      <c r="J91" s="438" t="s">
        <v>255</v>
      </c>
      <c r="K91" s="256">
        <f>SUMPRODUCT(K73:K74,L73:L74)/SUM(L73:L74)</f>
        <v>5192.2870588235301</v>
      </c>
      <c r="L91" s="257">
        <f>SUM(L73:L74)</f>
        <v>85</v>
      </c>
      <c r="M91" s="443"/>
      <c r="N91" s="438" t="s">
        <v>255</v>
      </c>
      <c r="O91" s="256">
        <f>SUMPRODUCT(O73:O74,P73:P74)/SUM(P73:P74)</f>
        <v>5651.7211764705871</v>
      </c>
      <c r="P91" s="257">
        <f>SUM(P73:P74)</f>
        <v>68</v>
      </c>
      <c r="Q91" s="443"/>
      <c r="V91" s="441" t="s">
        <v>255</v>
      </c>
      <c r="W91" s="256">
        <f>IF(X91&lt;&gt;0,SUMPRODUCT(W73:W74,X73:X74)/SUM(X73:X74),0)</f>
        <v>6474.1189422135149</v>
      </c>
      <c r="X91" s="257">
        <f>SUM(X73:X74)</f>
        <v>68.066666666666663</v>
      </c>
    </row>
    <row r="92" spans="2:24" s="359" customFormat="1" ht="11.25">
      <c r="B92" s="438" t="s">
        <v>254</v>
      </c>
      <c r="C92" s="258">
        <f>SUMPRODUCT(C75:C77,D75:D77)/SUM(D75:D77)</f>
        <v>79319.244545454538</v>
      </c>
      <c r="D92" s="268">
        <f>SUM(D75:D77)</f>
        <v>11</v>
      </c>
      <c r="E92" s="443"/>
      <c r="F92" s="447" t="s">
        <v>254</v>
      </c>
      <c r="G92" s="258">
        <f>SUMPRODUCT(G75:G77,H75:H77)/SUM(H75:H77)</f>
        <v>192464.63333333333</v>
      </c>
      <c r="H92" s="499">
        <f>SUM(H75:H77)</f>
        <v>3</v>
      </c>
      <c r="I92" s="443"/>
      <c r="J92" s="438" t="s">
        <v>254</v>
      </c>
      <c r="K92" s="258">
        <f>SUMPRODUCT(K75:K77,L75:L77)/SUM(L75:L77)</f>
        <v>51708.68</v>
      </c>
      <c r="L92" s="268">
        <f>SUM(L75:L77)</f>
        <v>1</v>
      </c>
      <c r="M92" s="443"/>
      <c r="N92" s="438" t="s">
        <v>254</v>
      </c>
      <c r="O92" s="258">
        <f>SUMPRODUCT(O75:O77,P75:P77)/SUM(P75:P77)</f>
        <v>57531.82</v>
      </c>
      <c r="P92" s="268">
        <f>SUM(P75:P77)</f>
        <v>2</v>
      </c>
      <c r="Q92" s="443"/>
      <c r="V92" s="449" t="s">
        <v>254</v>
      </c>
      <c r="W92" s="258">
        <f>IF(X91&lt;&gt;0,SUMPRODUCT(W75:W77,X75:X77)/SUM(X75:X77),0)</f>
        <v>156932.06666666665</v>
      </c>
      <c r="X92" s="268">
        <f>SUM(X75:X77)</f>
        <v>2</v>
      </c>
    </row>
    <row r="93" spans="2:24">
      <c r="B93" s="450" t="s">
        <v>680</v>
      </c>
      <c r="C93" s="451">
        <f>SUMPRODUCT(C88:C92,D88:D92)</f>
        <v>2812873.67</v>
      </c>
      <c r="D93" s="454"/>
      <c r="E93" s="443"/>
      <c r="F93" s="450" t="s">
        <v>680</v>
      </c>
      <c r="G93" s="451">
        <f>SUMPRODUCT(G88:G92,H88:H92)</f>
        <v>2265786.642</v>
      </c>
      <c r="H93" s="452"/>
      <c r="I93" s="443"/>
      <c r="J93" s="450" t="s">
        <v>680</v>
      </c>
      <c r="K93" s="451">
        <f>SUMPRODUCT(K88:K92,L88:L92)</f>
        <v>2339651.1500000004</v>
      </c>
      <c r="L93" s="454"/>
      <c r="M93" s="443"/>
      <c r="N93" s="450" t="s">
        <v>680</v>
      </c>
      <c r="O93" s="451">
        <f>SUMPRODUCT(O88:O92,P88:P92)</f>
        <v>2455360.6300000004</v>
      </c>
      <c r="P93" s="454"/>
      <c r="Q93" s="443"/>
      <c r="R93" s="359"/>
      <c r="S93" s="359"/>
      <c r="T93" s="359"/>
      <c r="V93" s="586" t="s">
        <v>680</v>
      </c>
      <c r="W93" s="451">
        <f>SUMPRODUCT(W88:W92,X88:X92)</f>
        <v>2818381.5893333331</v>
      </c>
      <c r="X93" s="454"/>
    </row>
    <row r="94" spans="2:24">
      <c r="B94" s="390"/>
      <c r="C94" s="500"/>
      <c r="D94" s="391"/>
      <c r="E94" s="386"/>
      <c r="F94" s="489"/>
      <c r="G94" s="455"/>
      <c r="H94" s="386"/>
      <c r="I94" s="386"/>
      <c r="J94" s="390"/>
      <c r="K94" s="455"/>
      <c r="L94" s="391"/>
      <c r="M94" s="386"/>
      <c r="N94" s="390"/>
      <c r="O94" s="455"/>
      <c r="P94" s="391"/>
      <c r="Q94" s="386"/>
      <c r="R94" s="359"/>
      <c r="S94" s="359"/>
      <c r="T94" s="359"/>
      <c r="V94" s="390"/>
      <c r="W94" s="455"/>
      <c r="X94" s="391"/>
    </row>
    <row r="95" spans="2:24">
      <c r="B95" s="501" t="s">
        <v>706</v>
      </c>
      <c r="C95" s="393" t="s">
        <v>682</v>
      </c>
      <c r="D95" s="397" t="s">
        <v>683</v>
      </c>
      <c r="E95" s="503"/>
      <c r="F95" s="501" t="s">
        <v>706</v>
      </c>
      <c r="G95" s="393" t="s">
        <v>682</v>
      </c>
      <c r="H95" s="496" t="s">
        <v>683</v>
      </c>
      <c r="I95" s="503"/>
      <c r="J95" s="501" t="s">
        <v>706</v>
      </c>
      <c r="K95" s="393" t="s">
        <v>682</v>
      </c>
      <c r="L95" s="497" t="s">
        <v>683</v>
      </c>
      <c r="M95" s="503"/>
      <c r="N95" s="501" t="s">
        <v>706</v>
      </c>
      <c r="O95" s="393" t="s">
        <v>682</v>
      </c>
      <c r="P95" s="397" t="s">
        <v>683</v>
      </c>
      <c r="Q95" s="503"/>
      <c r="R95" s="587" t="s">
        <v>706</v>
      </c>
      <c r="S95" s="393" t="s">
        <v>682</v>
      </c>
      <c r="T95" s="502" t="s">
        <v>683</v>
      </c>
      <c r="V95" s="587" t="s">
        <v>706</v>
      </c>
      <c r="W95" s="393" t="s">
        <v>682</v>
      </c>
      <c r="X95" s="397" t="s">
        <v>683</v>
      </c>
    </row>
    <row r="96" spans="2:24">
      <c r="B96" s="504" t="s">
        <v>887</v>
      </c>
      <c r="C96" s="552">
        <v>14.86</v>
      </c>
      <c r="D96" s="550">
        <v>680</v>
      </c>
      <c r="E96" s="571"/>
      <c r="F96" s="472" t="s">
        <v>887</v>
      </c>
      <c r="G96" s="549">
        <v>14.07</v>
      </c>
      <c r="H96" s="550">
        <v>2141</v>
      </c>
      <c r="I96" s="571"/>
      <c r="J96" s="472" t="s">
        <v>887</v>
      </c>
      <c r="K96" s="549">
        <v>15.21</v>
      </c>
      <c r="L96" s="550">
        <v>1930</v>
      </c>
      <c r="M96" s="571"/>
      <c r="N96" s="827" t="s">
        <v>887</v>
      </c>
      <c r="O96" s="549">
        <v>16.930000000000003</v>
      </c>
      <c r="P96" s="550">
        <v>1592</v>
      </c>
      <c r="Q96" s="571"/>
      <c r="R96" s="333" t="s">
        <v>887</v>
      </c>
      <c r="S96" s="589">
        <v>18.440000000000001</v>
      </c>
      <c r="T96" s="333"/>
      <c r="V96" s="333" t="s">
        <v>887</v>
      </c>
      <c r="W96" s="589">
        <f t="shared" ref="W96:W106" si="3">S96</f>
        <v>18.440000000000001</v>
      </c>
      <c r="X96" s="550">
        <f t="shared" ref="X96:X106" si="4">(H96+L96+P96)/3</f>
        <v>1887.6666666666667</v>
      </c>
    </row>
    <row r="97" spans="2:24">
      <c r="B97" s="472" t="s">
        <v>888</v>
      </c>
      <c r="C97" s="556">
        <v>24.18</v>
      </c>
      <c r="D97" s="555">
        <v>7147</v>
      </c>
      <c r="E97" s="571"/>
      <c r="F97" s="472" t="s">
        <v>888</v>
      </c>
      <c r="G97" s="554">
        <v>22.89</v>
      </c>
      <c r="H97" s="555">
        <v>5119</v>
      </c>
      <c r="I97" s="571"/>
      <c r="J97" s="472" t="s">
        <v>888</v>
      </c>
      <c r="K97" s="554">
        <v>24.75</v>
      </c>
      <c r="L97" s="555">
        <v>4386</v>
      </c>
      <c r="M97" s="571"/>
      <c r="N97" s="611" t="s">
        <v>888</v>
      </c>
      <c r="O97" s="554">
        <v>27.55</v>
      </c>
      <c r="P97" s="555">
        <v>3747</v>
      </c>
      <c r="Q97" s="571"/>
      <c r="R97" s="344" t="s">
        <v>888</v>
      </c>
      <c r="S97" s="590">
        <v>30.02</v>
      </c>
      <c r="T97" s="344"/>
      <c r="V97" s="344" t="s">
        <v>888</v>
      </c>
      <c r="W97" s="590">
        <f t="shared" si="3"/>
        <v>30.02</v>
      </c>
      <c r="X97" s="555">
        <f t="shared" si="4"/>
        <v>4417.333333333333</v>
      </c>
    </row>
    <row r="98" spans="2:24">
      <c r="B98" s="472" t="s">
        <v>677</v>
      </c>
      <c r="C98" s="560">
        <v>29.54</v>
      </c>
      <c r="D98" s="559">
        <v>798</v>
      </c>
      <c r="E98" s="571"/>
      <c r="F98" s="472" t="s">
        <v>677</v>
      </c>
      <c r="G98" s="558">
        <v>27.97</v>
      </c>
      <c r="H98" s="559">
        <v>897</v>
      </c>
      <c r="I98" s="571"/>
      <c r="J98" s="472" t="s">
        <v>677</v>
      </c>
      <c r="K98" s="558">
        <v>30.24</v>
      </c>
      <c r="L98" s="559">
        <v>569</v>
      </c>
      <c r="M98" s="571"/>
      <c r="N98" s="611" t="s">
        <v>677</v>
      </c>
      <c r="O98" s="558">
        <v>33.67</v>
      </c>
      <c r="P98" s="559">
        <v>925</v>
      </c>
      <c r="Q98" s="571"/>
      <c r="R98" s="344" t="s">
        <v>677</v>
      </c>
      <c r="S98" s="591">
        <v>36.65</v>
      </c>
      <c r="T98" s="344"/>
      <c r="V98" s="344" t="s">
        <v>677</v>
      </c>
      <c r="W98" s="591">
        <f t="shared" si="3"/>
        <v>36.65</v>
      </c>
      <c r="X98" s="559">
        <f t="shared" si="4"/>
        <v>797</v>
      </c>
    </row>
    <row r="99" spans="2:24">
      <c r="B99" s="472" t="s">
        <v>676</v>
      </c>
      <c r="C99" s="560">
        <v>31.33</v>
      </c>
      <c r="D99" s="559">
        <v>901</v>
      </c>
      <c r="E99" s="571"/>
      <c r="F99" s="472" t="s">
        <v>676</v>
      </c>
      <c r="G99" s="558">
        <v>29.66</v>
      </c>
      <c r="H99" s="559">
        <v>1040</v>
      </c>
      <c r="I99" s="571"/>
      <c r="J99" s="472" t="s">
        <v>676</v>
      </c>
      <c r="K99" s="558">
        <v>32.07</v>
      </c>
      <c r="L99" s="559">
        <v>642</v>
      </c>
      <c r="M99" s="571"/>
      <c r="N99" s="611" t="s">
        <v>676</v>
      </c>
      <c r="O99" s="558">
        <v>35.69</v>
      </c>
      <c r="P99" s="559">
        <v>426</v>
      </c>
      <c r="Q99" s="571"/>
      <c r="R99" s="344" t="s">
        <v>676</v>
      </c>
      <c r="S99" s="591">
        <v>38.85</v>
      </c>
      <c r="T99" s="344"/>
      <c r="V99" s="344" t="s">
        <v>676</v>
      </c>
      <c r="W99" s="591">
        <f t="shared" si="3"/>
        <v>38.85</v>
      </c>
      <c r="X99" s="559">
        <f t="shared" si="4"/>
        <v>702.66666666666663</v>
      </c>
    </row>
    <row r="100" spans="2:24">
      <c r="B100" s="472" t="s">
        <v>695</v>
      </c>
      <c r="C100" s="560">
        <v>31.33</v>
      </c>
      <c r="D100" s="559">
        <v>143</v>
      </c>
      <c r="E100" s="571"/>
      <c r="F100" s="472" t="s">
        <v>695</v>
      </c>
      <c r="G100" s="558">
        <v>29.66</v>
      </c>
      <c r="H100" s="559">
        <v>182</v>
      </c>
      <c r="I100" s="571"/>
      <c r="J100" s="472" t="s">
        <v>695</v>
      </c>
      <c r="K100" s="558">
        <v>32.07</v>
      </c>
      <c r="L100" s="559">
        <v>810</v>
      </c>
      <c r="M100" s="571"/>
      <c r="N100" s="611" t="s">
        <v>695</v>
      </c>
      <c r="O100" s="558">
        <v>35.69</v>
      </c>
      <c r="P100" s="559">
        <v>105</v>
      </c>
      <c r="Q100" s="571"/>
      <c r="R100" s="344" t="s">
        <v>695</v>
      </c>
      <c r="S100" s="591">
        <v>38.85</v>
      </c>
      <c r="T100" s="344"/>
      <c r="V100" s="344" t="s">
        <v>695</v>
      </c>
      <c r="W100" s="591">
        <f t="shared" si="3"/>
        <v>38.85</v>
      </c>
      <c r="X100" s="559">
        <f t="shared" si="4"/>
        <v>365.66666666666669</v>
      </c>
    </row>
    <row r="101" spans="2:24">
      <c r="B101" s="472" t="s">
        <v>697</v>
      </c>
      <c r="C101" s="560">
        <v>31.33</v>
      </c>
      <c r="D101" s="559">
        <v>1623</v>
      </c>
      <c r="E101" s="571"/>
      <c r="F101" s="472" t="s">
        <v>697</v>
      </c>
      <c r="G101" s="558">
        <v>29.66</v>
      </c>
      <c r="H101" s="559">
        <v>1015</v>
      </c>
      <c r="I101" s="571"/>
      <c r="J101" s="472" t="s">
        <v>697</v>
      </c>
      <c r="K101" s="558">
        <v>32.07</v>
      </c>
      <c r="L101" s="559">
        <v>685</v>
      </c>
      <c r="M101" s="571"/>
      <c r="N101" s="611" t="s">
        <v>697</v>
      </c>
      <c r="O101" s="558">
        <v>35.69</v>
      </c>
      <c r="P101" s="559">
        <v>664</v>
      </c>
      <c r="Q101" s="571"/>
      <c r="R101" s="344" t="s">
        <v>697</v>
      </c>
      <c r="S101" s="591">
        <v>38.85</v>
      </c>
      <c r="T101" s="344"/>
      <c r="V101" s="344" t="s">
        <v>697</v>
      </c>
      <c r="W101" s="591">
        <f t="shared" si="3"/>
        <v>38.85</v>
      </c>
      <c r="X101" s="559">
        <f t="shared" si="4"/>
        <v>788</v>
      </c>
    </row>
    <row r="102" spans="2:24">
      <c r="B102" s="472" t="s">
        <v>889</v>
      </c>
      <c r="C102" s="563">
        <v>46.56</v>
      </c>
      <c r="D102" s="562">
        <v>6788</v>
      </c>
      <c r="E102" s="571"/>
      <c r="F102" s="472" t="s">
        <v>889</v>
      </c>
      <c r="G102" s="561">
        <v>44.09</v>
      </c>
      <c r="H102" s="562">
        <v>6581.4100000000008</v>
      </c>
      <c r="I102" s="571"/>
      <c r="J102" s="472" t="s">
        <v>889</v>
      </c>
      <c r="K102" s="561">
        <v>47.68</v>
      </c>
      <c r="L102" s="562">
        <v>9774</v>
      </c>
      <c r="M102" s="571"/>
      <c r="N102" s="611" t="s">
        <v>889</v>
      </c>
      <c r="O102" s="561">
        <v>53.07</v>
      </c>
      <c r="P102" s="562">
        <v>7379</v>
      </c>
      <c r="Q102" s="571"/>
      <c r="R102" s="344" t="s">
        <v>889</v>
      </c>
      <c r="S102" s="592">
        <v>57.75</v>
      </c>
      <c r="T102" s="344"/>
      <c r="V102" s="344" t="s">
        <v>889</v>
      </c>
      <c r="W102" s="592">
        <f t="shared" si="3"/>
        <v>57.75</v>
      </c>
      <c r="X102" s="562">
        <f t="shared" si="4"/>
        <v>7911.47</v>
      </c>
    </row>
    <row r="103" spans="2:24">
      <c r="B103" s="472" t="s">
        <v>890</v>
      </c>
      <c r="C103" s="563">
        <v>89.54</v>
      </c>
      <c r="D103" s="562">
        <v>825</v>
      </c>
      <c r="E103" s="571"/>
      <c r="F103" s="472" t="s">
        <v>890</v>
      </c>
      <c r="G103" s="561">
        <v>84.79</v>
      </c>
      <c r="H103" s="562">
        <v>1120</v>
      </c>
      <c r="I103" s="571"/>
      <c r="J103" s="472" t="s">
        <v>890</v>
      </c>
      <c r="K103" s="561">
        <v>91.7</v>
      </c>
      <c r="L103" s="562">
        <v>470</v>
      </c>
      <c r="M103" s="571"/>
      <c r="N103" s="611" t="s">
        <v>890</v>
      </c>
      <c r="O103" s="561">
        <v>102.06</v>
      </c>
      <c r="P103" s="562">
        <v>435</v>
      </c>
      <c r="Q103" s="571"/>
      <c r="R103" s="344" t="s">
        <v>890</v>
      </c>
      <c r="S103" s="592">
        <v>110.9</v>
      </c>
      <c r="T103" s="344"/>
      <c r="V103" s="344" t="s">
        <v>890</v>
      </c>
      <c r="W103" s="592">
        <f t="shared" si="3"/>
        <v>110.9</v>
      </c>
      <c r="X103" s="562">
        <f t="shared" si="4"/>
        <v>675</v>
      </c>
    </row>
    <row r="104" spans="2:24">
      <c r="B104" s="472" t="s">
        <v>891</v>
      </c>
      <c r="C104" s="566">
        <v>89.54</v>
      </c>
      <c r="D104" s="565">
        <v>6805</v>
      </c>
      <c r="E104" s="571"/>
      <c r="F104" s="472" t="s">
        <v>891</v>
      </c>
      <c r="G104" s="564">
        <v>84.79</v>
      </c>
      <c r="H104" s="565">
        <v>0</v>
      </c>
      <c r="I104" s="571"/>
      <c r="J104" s="472" t="s">
        <v>891</v>
      </c>
      <c r="K104" s="564">
        <v>91.7</v>
      </c>
      <c r="L104" s="565">
        <v>15</v>
      </c>
      <c r="M104" s="571"/>
      <c r="N104" s="611" t="s">
        <v>891</v>
      </c>
      <c r="O104" s="564">
        <v>102.06</v>
      </c>
      <c r="P104" s="565">
        <v>60</v>
      </c>
      <c r="Q104" s="571"/>
      <c r="R104" s="344" t="s">
        <v>891</v>
      </c>
      <c r="S104" s="593">
        <v>110.9</v>
      </c>
      <c r="T104" s="344"/>
      <c r="V104" s="344" t="s">
        <v>891</v>
      </c>
      <c r="W104" s="593">
        <f t="shared" si="3"/>
        <v>110.9</v>
      </c>
      <c r="X104" s="565">
        <f t="shared" si="4"/>
        <v>25</v>
      </c>
    </row>
    <row r="105" spans="2:24">
      <c r="B105" s="472" t="s">
        <v>892</v>
      </c>
      <c r="C105" s="566">
        <v>0</v>
      </c>
      <c r="D105" s="565">
        <v>0</v>
      </c>
      <c r="E105" s="571"/>
      <c r="F105" s="472" t="s">
        <v>892</v>
      </c>
      <c r="G105" s="564">
        <v>84.79</v>
      </c>
      <c r="H105" s="565">
        <v>15</v>
      </c>
      <c r="I105" s="571"/>
      <c r="J105" s="472" t="s">
        <v>892</v>
      </c>
      <c r="K105" s="564">
        <v>91.7</v>
      </c>
      <c r="L105" s="565">
        <v>0</v>
      </c>
      <c r="M105" s="571"/>
      <c r="N105" s="611" t="s">
        <v>892</v>
      </c>
      <c r="O105" s="564">
        <v>102.06</v>
      </c>
      <c r="P105" s="565">
        <v>0</v>
      </c>
      <c r="Q105" s="571"/>
      <c r="R105" s="344" t="s">
        <v>892</v>
      </c>
      <c r="S105" s="593">
        <v>110.9</v>
      </c>
      <c r="T105" s="344"/>
      <c r="V105" s="344" t="s">
        <v>892</v>
      </c>
      <c r="W105" s="593">
        <f t="shared" si="3"/>
        <v>110.9</v>
      </c>
      <c r="X105" s="565">
        <f t="shared" si="4"/>
        <v>5</v>
      </c>
    </row>
    <row r="106" spans="2:24">
      <c r="B106" s="483" t="s">
        <v>893</v>
      </c>
      <c r="C106" s="567">
        <v>141.47999999999999</v>
      </c>
      <c r="D106" s="568">
        <v>9850</v>
      </c>
      <c r="E106" s="571"/>
      <c r="F106" s="483" t="s">
        <v>893</v>
      </c>
      <c r="G106" s="594">
        <v>133.97999999999999</v>
      </c>
      <c r="H106" s="568">
        <v>925</v>
      </c>
      <c r="I106" s="571"/>
      <c r="J106" s="483" t="s">
        <v>893</v>
      </c>
      <c r="K106" s="594">
        <v>144.88999999999999</v>
      </c>
      <c r="L106" s="568">
        <v>0</v>
      </c>
      <c r="M106" s="571"/>
      <c r="N106" s="617" t="s">
        <v>893</v>
      </c>
      <c r="O106" s="594">
        <v>161.26</v>
      </c>
      <c r="P106" s="568">
        <v>0</v>
      </c>
      <c r="Q106" s="571"/>
      <c r="R106" s="486" t="s">
        <v>893</v>
      </c>
      <c r="S106" s="595">
        <v>175.35000000000002</v>
      </c>
      <c r="T106" s="486"/>
      <c r="V106" s="486" t="s">
        <v>893</v>
      </c>
      <c r="W106" s="595">
        <f t="shared" si="3"/>
        <v>175.35000000000002</v>
      </c>
      <c r="X106" s="568">
        <f t="shared" si="4"/>
        <v>308.33333333333331</v>
      </c>
    </row>
    <row r="107" spans="2:24">
      <c r="B107" s="571"/>
      <c r="C107" s="280"/>
      <c r="D107" s="570"/>
      <c r="E107" s="570"/>
      <c r="F107" s="571"/>
      <c r="G107" s="280"/>
      <c r="H107" s="570"/>
      <c r="I107" s="570"/>
      <c r="J107" s="571"/>
      <c r="K107" s="280"/>
      <c r="L107" s="570"/>
      <c r="M107" s="570"/>
      <c r="N107" s="571"/>
      <c r="O107" s="280"/>
      <c r="P107" s="281"/>
      <c r="Q107" s="570"/>
      <c r="R107" s="571"/>
      <c r="S107" s="536"/>
      <c r="T107" s="572"/>
      <c r="U107" s="209"/>
      <c r="V107" s="571"/>
      <c r="W107" s="536"/>
      <c r="X107" s="401"/>
    </row>
    <row r="108" spans="2:24">
      <c r="B108" s="571"/>
      <c r="C108" s="280"/>
      <c r="D108" s="570"/>
      <c r="E108" s="570"/>
      <c r="F108" s="571"/>
      <c r="G108" s="280"/>
      <c r="H108" s="570"/>
      <c r="I108" s="570"/>
      <c r="J108" s="571"/>
      <c r="K108" s="280"/>
      <c r="L108" s="570"/>
      <c r="M108" s="570"/>
      <c r="N108" s="571"/>
      <c r="O108" s="280"/>
      <c r="P108" s="281"/>
      <c r="Q108" s="570"/>
      <c r="R108" s="571"/>
      <c r="S108" s="536"/>
      <c r="T108" s="572"/>
      <c r="U108" s="209"/>
      <c r="V108" s="571"/>
      <c r="W108" s="536"/>
      <c r="X108" s="572"/>
    </row>
    <row r="109" spans="2:24">
      <c r="B109" s="571"/>
      <c r="C109" s="280"/>
      <c r="D109" s="570"/>
      <c r="E109" s="570"/>
      <c r="F109" s="571"/>
      <c r="G109" s="280"/>
      <c r="H109" s="570"/>
      <c r="I109" s="570"/>
      <c r="J109" s="571"/>
      <c r="K109" s="280"/>
      <c r="L109" s="570"/>
      <c r="M109" s="570"/>
      <c r="N109" s="571"/>
      <c r="O109" s="280"/>
      <c r="P109" s="570"/>
      <c r="Q109" s="570"/>
      <c r="R109" s="571"/>
      <c r="S109" s="536"/>
      <c r="T109" s="572"/>
      <c r="U109" s="209"/>
      <c r="V109" s="571"/>
      <c r="W109" s="536"/>
      <c r="X109" s="572"/>
    </row>
    <row r="110" spans="2:24">
      <c r="B110" s="571"/>
      <c r="C110" s="280"/>
      <c r="D110" s="570"/>
      <c r="E110" s="570"/>
      <c r="F110" s="571"/>
      <c r="G110" s="280"/>
      <c r="H110" s="570"/>
      <c r="I110" s="570"/>
      <c r="J110" s="571"/>
      <c r="K110" s="280"/>
      <c r="L110" s="570"/>
      <c r="M110" s="570"/>
      <c r="N110" s="571"/>
      <c r="O110" s="280"/>
      <c r="P110" s="570"/>
      <c r="Q110" s="570"/>
      <c r="R110" s="571"/>
      <c r="S110" s="536"/>
      <c r="T110" s="572"/>
      <c r="U110" s="209"/>
      <c r="V110" s="571"/>
      <c r="W110" s="536"/>
      <c r="X110" s="572"/>
    </row>
    <row r="111" spans="2:24">
      <c r="B111" s="571"/>
      <c r="C111" s="280"/>
      <c r="D111" s="570"/>
      <c r="E111" s="570"/>
      <c r="F111" s="571"/>
      <c r="G111" s="280"/>
      <c r="H111" s="570"/>
      <c r="I111" s="570"/>
      <c r="J111" s="571"/>
      <c r="K111" s="280"/>
      <c r="L111" s="570"/>
      <c r="M111" s="570"/>
      <c r="N111" s="571"/>
      <c r="O111" s="280"/>
      <c r="P111" s="570"/>
      <c r="Q111" s="570"/>
      <c r="R111" s="571"/>
      <c r="S111" s="536"/>
      <c r="T111" s="572"/>
      <c r="U111" s="209"/>
      <c r="V111" s="571"/>
      <c r="W111" s="536"/>
      <c r="X111" s="572"/>
    </row>
    <row r="112" spans="2:24">
      <c r="B112" s="596"/>
      <c r="C112" s="536"/>
      <c r="D112" s="316"/>
      <c r="E112" s="316"/>
      <c r="F112" s="596"/>
      <c r="G112" s="536"/>
      <c r="H112" s="316"/>
      <c r="I112" s="316"/>
      <c r="J112" s="596"/>
      <c r="K112" s="536"/>
      <c r="L112" s="316"/>
      <c r="M112" s="316"/>
      <c r="N112" s="573"/>
      <c r="O112" s="536"/>
      <c r="P112" s="597"/>
      <c r="Q112" s="597"/>
      <c r="R112" s="573"/>
      <c r="S112" s="536"/>
      <c r="T112" s="574"/>
      <c r="U112" s="209"/>
      <c r="V112" s="573"/>
      <c r="W112" s="536"/>
      <c r="X112" s="574"/>
    </row>
    <row r="113" spans="2:25">
      <c r="B113" s="359"/>
      <c r="C113" s="507"/>
      <c r="D113" s="508"/>
      <c r="E113" s="316"/>
      <c r="F113" s="359"/>
      <c r="G113" s="425"/>
      <c r="H113" s="359"/>
      <c r="I113" s="316"/>
      <c r="J113" s="359"/>
      <c r="K113" s="425"/>
      <c r="L113" s="359"/>
      <c r="M113" s="316"/>
      <c r="N113" s="359"/>
      <c r="O113" s="425"/>
      <c r="P113" s="359"/>
      <c r="Q113" s="316"/>
      <c r="R113" s="359"/>
      <c r="S113" s="359"/>
      <c r="T113" s="359"/>
      <c r="V113" s="359"/>
      <c r="W113" s="425"/>
      <c r="X113" s="359"/>
    </row>
    <row r="114" spans="2:25" ht="25.5">
      <c r="B114" s="598" t="s">
        <v>707</v>
      </c>
      <c r="C114" s="509" t="s">
        <v>682</v>
      </c>
      <c r="D114" s="510" t="s">
        <v>683</v>
      </c>
      <c r="E114" s="434"/>
      <c r="F114" s="598" t="s">
        <v>707</v>
      </c>
      <c r="G114" s="393" t="s">
        <v>682</v>
      </c>
      <c r="H114" s="496" t="s">
        <v>683</v>
      </c>
      <c r="I114" s="434"/>
      <c r="J114" s="598" t="s">
        <v>707</v>
      </c>
      <c r="K114" s="393" t="s">
        <v>682</v>
      </c>
      <c r="L114" s="496" t="s">
        <v>683</v>
      </c>
      <c r="M114" s="434"/>
      <c r="N114" s="598" t="s">
        <v>707</v>
      </c>
      <c r="O114" s="393" t="s">
        <v>682</v>
      </c>
      <c r="P114" s="496" t="s">
        <v>683</v>
      </c>
      <c r="Q114" s="434"/>
      <c r="R114" s="359"/>
      <c r="S114" s="359"/>
      <c r="T114" s="359"/>
      <c r="V114" s="600" t="s">
        <v>707</v>
      </c>
      <c r="W114" s="393" t="s">
        <v>682</v>
      </c>
      <c r="X114" s="496" t="s">
        <v>683</v>
      </c>
      <c r="Y114" s="209"/>
    </row>
    <row r="115" spans="2:25" s="359" customFormat="1" ht="11.25">
      <c r="B115" s="438" t="s">
        <v>251</v>
      </c>
      <c r="C115" s="249">
        <f>C96</f>
        <v>14.86</v>
      </c>
      <c r="D115" s="498">
        <f>D96</f>
        <v>680</v>
      </c>
      <c r="E115" s="443"/>
      <c r="F115" s="438" t="s">
        <v>251</v>
      </c>
      <c r="G115" s="249">
        <f>G96</f>
        <v>14.07</v>
      </c>
      <c r="H115" s="498">
        <f>H96</f>
        <v>2141</v>
      </c>
      <c r="I115" s="443"/>
      <c r="J115" s="438" t="s">
        <v>251</v>
      </c>
      <c r="K115" s="249">
        <f>K96</f>
        <v>15.21</v>
      </c>
      <c r="L115" s="498">
        <f>L96</f>
        <v>1930</v>
      </c>
      <c r="M115" s="443"/>
      <c r="N115" s="438" t="s">
        <v>251</v>
      </c>
      <c r="O115" s="249">
        <f>O96</f>
        <v>16.930000000000003</v>
      </c>
      <c r="P115" s="498">
        <f>P96</f>
        <v>1592</v>
      </c>
      <c r="Q115" s="443"/>
      <c r="V115" s="441" t="s">
        <v>251</v>
      </c>
      <c r="W115" s="249">
        <f>W96</f>
        <v>18.440000000000001</v>
      </c>
      <c r="X115" s="498">
        <f>X96</f>
        <v>1887.6666666666667</v>
      </c>
    </row>
    <row r="116" spans="2:25" s="359" customFormat="1" ht="11.25">
      <c r="B116" s="438" t="s">
        <v>252</v>
      </c>
      <c r="C116" s="252">
        <f>SUMPRODUCT(C97,D97)/SUM(D97)</f>
        <v>24.18</v>
      </c>
      <c r="D116" s="442">
        <f>SUM(D97)</f>
        <v>7147</v>
      </c>
      <c r="E116" s="443"/>
      <c r="F116" s="438" t="s">
        <v>252</v>
      </c>
      <c r="G116" s="252">
        <f>SUMPRODUCT(G97,H97)/SUM(H97)</f>
        <v>22.89</v>
      </c>
      <c r="H116" s="442">
        <f>SUM(H97)</f>
        <v>5119</v>
      </c>
      <c r="I116" s="443"/>
      <c r="J116" s="438" t="s">
        <v>252</v>
      </c>
      <c r="K116" s="252">
        <f>SUMPRODUCT(K97,L97)/SUM(L97)</f>
        <v>24.75</v>
      </c>
      <c r="L116" s="442">
        <f>SUM(L97)</f>
        <v>4386</v>
      </c>
      <c r="M116" s="443"/>
      <c r="N116" s="438" t="s">
        <v>252</v>
      </c>
      <c r="O116" s="252">
        <f>IF(P116&lt;&gt;0,SUMPRODUCT(O97,P97)/SUM(P97),0)</f>
        <v>27.55</v>
      </c>
      <c r="P116" s="442">
        <f>SUM(P97)</f>
        <v>3747</v>
      </c>
      <c r="Q116" s="443"/>
      <c r="V116" s="441" t="s">
        <v>252</v>
      </c>
      <c r="W116" s="252">
        <f>IF(X116&lt;&gt;0,SUMPRODUCT(W97,X97)/SUM(X97),0)</f>
        <v>30.02</v>
      </c>
      <c r="X116" s="442">
        <f>SUM(X97)</f>
        <v>4417.333333333333</v>
      </c>
    </row>
    <row r="117" spans="2:25" s="359" customFormat="1" ht="11.25">
      <c r="B117" s="438" t="s">
        <v>253</v>
      </c>
      <c r="C117" s="254">
        <f>SUMPRODUCT(C98:C101,D98:D101)/SUM(D98:D101)</f>
        <v>30.917757575757577</v>
      </c>
      <c r="D117" s="444">
        <f>SUM(D98:D101)</f>
        <v>3465</v>
      </c>
      <c r="E117" s="443"/>
      <c r="F117" s="438" t="s">
        <v>253</v>
      </c>
      <c r="G117" s="254">
        <f>SUMPRODUCT(G98:G101,H98:H101)/SUM(H98:H101)</f>
        <v>29.176295469049141</v>
      </c>
      <c r="H117" s="444">
        <f>SUM(H98:H101)</f>
        <v>3134</v>
      </c>
      <c r="I117" s="443"/>
      <c r="J117" s="438" t="s">
        <v>253</v>
      </c>
      <c r="K117" s="254">
        <f>SUMPRODUCT(K98:K101,L98:L101)/SUM(L98:L101)</f>
        <v>31.685199556541018</v>
      </c>
      <c r="L117" s="444">
        <f>SUM(L98:L101)</f>
        <v>2706</v>
      </c>
      <c r="M117" s="443"/>
      <c r="N117" s="438" t="s">
        <v>253</v>
      </c>
      <c r="O117" s="254">
        <f>IF(P117&lt;&gt;0,SUMPRODUCT(O98:O101,P98:P101)/SUM(P98:P101),0)</f>
        <v>34.808632075471699</v>
      </c>
      <c r="P117" s="444">
        <f>SUM(P98:P101)</f>
        <v>2120</v>
      </c>
      <c r="Q117" s="443"/>
      <c r="V117" s="441" t="s">
        <v>253</v>
      </c>
      <c r="W117" s="254">
        <f>IF(X117&lt;&gt;0,SUMPRODUCT(W98:W101,X98:X101)/SUM(X98:X101),0)</f>
        <v>38.18917085427136</v>
      </c>
      <c r="X117" s="444">
        <f>SUM(X98:X101)</f>
        <v>2653.333333333333</v>
      </c>
    </row>
    <row r="118" spans="2:25" s="359" customFormat="1" ht="11.25">
      <c r="B118" s="438" t="s">
        <v>255</v>
      </c>
      <c r="C118" s="256">
        <f>SUMPRODUCT(C102:C103,D102:D103)/SUM(D102:D103)</f>
        <v>51.217625114934982</v>
      </c>
      <c r="D118" s="445">
        <f>SUM(D102:D103)</f>
        <v>7613</v>
      </c>
      <c r="E118" s="443"/>
      <c r="F118" s="438" t="s">
        <v>255</v>
      </c>
      <c r="G118" s="256">
        <f>SUMPRODUCT(G102:G103,H102:H103)/SUM(H102:H103)</f>
        <v>50.008916146523823</v>
      </c>
      <c r="H118" s="445">
        <f>SUM(H102:H103)</f>
        <v>7701.4100000000008</v>
      </c>
      <c r="I118" s="443"/>
      <c r="J118" s="438" t="s">
        <v>255</v>
      </c>
      <c r="K118" s="256">
        <f>SUMPRODUCT(K102:K103,L102:L103)/SUM(L102:L103)</f>
        <v>49.69966028894963</v>
      </c>
      <c r="L118" s="445">
        <f>SUM(L102:L103)</f>
        <v>10244</v>
      </c>
      <c r="M118" s="443"/>
      <c r="N118" s="438" t="s">
        <v>255</v>
      </c>
      <c r="O118" s="256">
        <f>IF(P118&lt;&gt;0,SUMPRODUCT(O102:O103,P102:P103)/SUM(P102:P103),0)</f>
        <v>55.79723957000256</v>
      </c>
      <c r="P118" s="445">
        <f>SUM(P102:P103)</f>
        <v>7814</v>
      </c>
      <c r="Q118" s="443"/>
      <c r="V118" s="441" t="s">
        <v>255</v>
      </c>
      <c r="W118" s="256">
        <f>IF(X118&lt;&gt;0,SUMPRODUCT(W102:W103,X102:X103)/SUM(X102:X103),0)</f>
        <v>61.928230402016197</v>
      </c>
      <c r="X118" s="445">
        <f>SUM(X102:X103)</f>
        <v>8586.4700000000012</v>
      </c>
    </row>
    <row r="119" spans="2:25" s="359" customFormat="1" ht="11.25">
      <c r="B119" s="438" t="s">
        <v>254</v>
      </c>
      <c r="C119" s="258">
        <f>SUMPRODUCT(C104:C106,D104:D106)/SUM(D104:D106)</f>
        <v>120.2580426298409</v>
      </c>
      <c r="D119" s="499">
        <f>SUM(D104:D106)</f>
        <v>16655</v>
      </c>
      <c r="E119" s="443"/>
      <c r="F119" s="438" t="s">
        <v>254</v>
      </c>
      <c r="G119" s="258">
        <f>SUMPRODUCT(G104:G106,H104:H106)/SUM(H104:H106)</f>
        <v>133.19505319148936</v>
      </c>
      <c r="H119" s="499">
        <f>SUM(H104:H106)</f>
        <v>940</v>
      </c>
      <c r="I119" s="443"/>
      <c r="J119" s="438" t="s">
        <v>254</v>
      </c>
      <c r="K119" s="258">
        <f>SUMPRODUCT(K104:K106,L104:L106)/SUM(L104:L106)</f>
        <v>91.7</v>
      </c>
      <c r="L119" s="499">
        <f>SUM(L104:L106)</f>
        <v>15</v>
      </c>
      <c r="M119" s="443"/>
      <c r="N119" s="438" t="s">
        <v>254</v>
      </c>
      <c r="O119" s="258">
        <f>IF(P118&lt;&gt;0,SUMPRODUCT(O104:O106,P104:P106)/SUM(P104:P106),0)</f>
        <v>102.06</v>
      </c>
      <c r="P119" s="499">
        <f>SUM(P104:P106)</f>
        <v>60</v>
      </c>
      <c r="Q119" s="443"/>
      <c r="V119" s="441" t="s">
        <v>254</v>
      </c>
      <c r="W119" s="258">
        <f>IF(X118&lt;&gt;0,SUMPRODUCT(W104:W106,X104:X106)/SUM(X104:X106),0)</f>
        <v>169.63522167487687</v>
      </c>
      <c r="X119" s="499">
        <f>SUM(X104:X106)</f>
        <v>338.33333333333331</v>
      </c>
    </row>
    <row r="120" spans="2:25">
      <c r="B120" s="450" t="s">
        <v>680</v>
      </c>
      <c r="C120" s="451">
        <f>SUMPRODUCT(C115:C119,D115:D119)</f>
        <v>2682866.7700000005</v>
      </c>
      <c r="D120" s="511"/>
      <c r="E120" s="443"/>
      <c r="F120" s="450" t="s">
        <v>680</v>
      </c>
      <c r="G120" s="451">
        <f>SUMPRODUCT(G115:G119,H115:H119)</f>
        <v>749078.80690000008</v>
      </c>
      <c r="H120" s="511"/>
      <c r="I120" s="443"/>
      <c r="J120" s="450" t="s">
        <v>680</v>
      </c>
      <c r="K120" s="451">
        <f>SUMPRODUCT(K115:K119,L115:L119)</f>
        <v>734147.77</v>
      </c>
      <c r="L120" s="511"/>
      <c r="M120" s="443"/>
      <c r="N120" s="450" t="s">
        <v>680</v>
      </c>
      <c r="O120" s="451">
        <f>SUMPRODUCT(O115:O119,P115:P119)</f>
        <v>646099.94000000006</v>
      </c>
      <c r="P120" s="511"/>
      <c r="Q120" s="443"/>
      <c r="R120" s="359"/>
      <c r="S120" s="359"/>
      <c r="T120" s="359"/>
      <c r="V120" s="603" t="s">
        <v>680</v>
      </c>
      <c r="W120" s="451">
        <f>SUMPRODUCT(W115:W119,X115:X119)</f>
        <v>857883.66250000009</v>
      </c>
      <c r="X120" s="511"/>
    </row>
    <row r="121" spans="2:25">
      <c r="R121" s="359"/>
      <c r="S121" s="359"/>
      <c r="T121" s="359"/>
    </row>
    <row r="122" spans="2:25">
      <c r="Q122" s="210"/>
    </row>
    <row r="123" spans="2:25">
      <c r="Q123" s="210"/>
    </row>
    <row r="124" spans="2:25">
      <c r="Q124" s="210"/>
    </row>
    <row r="125" spans="2:25">
      <c r="Q125" s="210"/>
    </row>
    <row r="126" spans="2:25">
      <c r="Q126" s="210"/>
    </row>
    <row r="127" spans="2:25">
      <c r="Q127" s="210"/>
    </row>
    <row r="128" spans="2:25">
      <c r="Q128" s="210"/>
    </row>
    <row r="129" spans="17:17">
      <c r="Q129" s="210"/>
    </row>
    <row r="130" spans="17:17">
      <c r="Q130" s="210"/>
    </row>
    <row r="131" spans="17:17">
      <c r="Q131" s="210"/>
    </row>
    <row r="132" spans="17:17">
      <c r="Q132" s="210"/>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BE91F"/>
  </sheetPr>
  <dimension ref="A2:AQ322"/>
  <sheetViews>
    <sheetView showGridLines="0" zoomScale="85" zoomScaleNormal="85" workbookViewId="0"/>
  </sheetViews>
  <sheetFormatPr defaultRowHeight="12.75"/>
  <cols>
    <col min="1" max="1" width="3.85546875" style="1010" customWidth="1"/>
    <col min="2" max="2" width="62.42578125" style="1010" customWidth="1"/>
    <col min="3" max="3" width="10.7109375" style="1010" customWidth="1"/>
    <col min="4" max="4" width="43.5703125" style="1010" customWidth="1"/>
    <col min="5" max="5" width="23.28515625" style="1010" customWidth="1"/>
    <col min="6" max="6" width="9.140625" style="1010" customWidth="1"/>
    <col min="7" max="7" width="16.7109375" style="1010" customWidth="1"/>
    <col min="8" max="8" width="8.140625" style="1010" customWidth="1"/>
    <col min="9" max="9" width="23.85546875" style="1010" customWidth="1"/>
    <col min="10" max="10" width="9.85546875" style="1010" customWidth="1"/>
    <col min="11" max="12" width="10.7109375" style="1010" customWidth="1"/>
    <col min="13" max="13" width="9.140625" style="1010"/>
    <col min="14" max="14" width="15.5703125" style="1010" customWidth="1"/>
    <col min="15" max="16" width="9.140625" style="1010"/>
    <col min="17" max="17" width="11.7109375" style="1010" customWidth="1"/>
    <col min="18" max="16384" width="9.140625" style="1010"/>
  </cols>
  <sheetData>
    <row r="2" spans="1:43" s="1057" customFormat="1" ht="32.25" customHeight="1">
      <c r="B2" s="1027" t="s">
        <v>1305</v>
      </c>
    </row>
    <row r="3" spans="1:43" s="429" customFormat="1">
      <c r="A3" s="1011"/>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c r="AJ3" s="1011"/>
      <c r="AK3" s="1011"/>
      <c r="AL3" s="1011"/>
      <c r="AM3" s="1011"/>
      <c r="AN3" s="1011"/>
      <c r="AO3" s="1011"/>
      <c r="AP3" s="1011"/>
    </row>
    <row r="4" spans="1:43" s="1058" customFormat="1">
      <c r="B4" s="1028" t="s">
        <v>1228</v>
      </c>
    </row>
    <row r="5" spans="1:43" s="1059" customFormat="1">
      <c r="B5" s="1017" t="s">
        <v>1538</v>
      </c>
    </row>
    <row r="6" spans="1:43" s="1058" customFormat="1">
      <c r="B6" s="1183" t="s">
        <v>1539</v>
      </c>
    </row>
    <row r="7" spans="1:43" s="1058" customFormat="1">
      <c r="B7" s="1010" t="s">
        <v>1224</v>
      </c>
    </row>
    <row r="8" spans="1:43" s="1058" customFormat="1">
      <c r="B8" s="1010"/>
    </row>
    <row r="9" spans="1:43" customFormat="1">
      <c r="A9" s="1011"/>
      <c r="B9" s="1011" t="s">
        <v>1225</v>
      </c>
      <c r="C9" s="1011"/>
      <c r="D9" s="1011"/>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row>
    <row r="10" spans="1:43" customFormat="1">
      <c r="A10" s="1011"/>
      <c r="B10" s="1017" t="s">
        <v>1540</v>
      </c>
      <c r="C10" s="1017"/>
      <c r="D10" s="1017"/>
      <c r="E10" s="1017"/>
      <c r="F10" s="1017"/>
      <c r="G10" s="1017"/>
      <c r="H10" s="1017"/>
      <c r="I10" s="1017"/>
      <c r="J10" s="1017"/>
      <c r="K10" s="1017"/>
      <c r="L10" s="1011"/>
      <c r="M10" s="1011"/>
      <c r="N10" s="1011"/>
      <c r="O10" s="1011"/>
      <c r="P10" s="1011"/>
      <c r="Q10" s="1011"/>
      <c r="R10" s="1011"/>
      <c r="S10" s="1011"/>
      <c r="T10" s="1011"/>
      <c r="U10" s="1011"/>
      <c r="V10" s="1011"/>
      <c r="W10" s="1011"/>
      <c r="X10" s="1011"/>
      <c r="Y10" s="1011"/>
      <c r="Z10" s="1011"/>
      <c r="AA10" s="1011"/>
      <c r="AB10" s="1011"/>
      <c r="AC10" s="1011"/>
      <c r="AD10" s="1011"/>
      <c r="AE10" s="1011"/>
      <c r="AF10" s="1011"/>
      <c r="AG10" s="1011"/>
      <c r="AH10" s="1011"/>
      <c r="AI10" s="1011"/>
      <c r="AJ10" s="1011"/>
      <c r="AK10" s="1011"/>
      <c r="AL10" s="1011"/>
      <c r="AM10" s="1011"/>
      <c r="AN10" s="1011"/>
      <c r="AO10" s="1011"/>
      <c r="AP10" s="1011"/>
    </row>
    <row r="11" spans="1:43" customFormat="1">
      <c r="A11" s="1011"/>
      <c r="B11" s="1017" t="s">
        <v>1226</v>
      </c>
      <c r="C11" s="1011"/>
      <c r="D11" s="1011"/>
      <c r="E11" s="1011"/>
      <c r="F11" s="1011"/>
      <c r="G11" s="1011"/>
      <c r="H11" s="1011"/>
      <c r="I11" s="1011"/>
      <c r="J11" s="1011"/>
      <c r="K11" s="1011"/>
      <c r="L11" s="1011"/>
      <c r="M11" s="1011"/>
      <c r="N11" s="1011"/>
      <c r="O11" s="1011"/>
      <c r="P11" s="1011"/>
      <c r="Q11" s="1011"/>
      <c r="R11" s="1011"/>
      <c r="S11" s="1011"/>
      <c r="T11" s="1011"/>
      <c r="U11" s="1011"/>
      <c r="V11" s="1011"/>
      <c r="W11" s="1011"/>
      <c r="X11" s="1011"/>
      <c r="Y11" s="1011"/>
      <c r="Z11" s="1011"/>
      <c r="AA11" s="1011"/>
      <c r="AB11" s="1011"/>
      <c r="AC11" s="1011"/>
      <c r="AD11" s="1011"/>
      <c r="AE11" s="1011"/>
      <c r="AF11" s="1011"/>
      <c r="AG11" s="1011"/>
      <c r="AH11" s="1011"/>
      <c r="AI11" s="1011"/>
      <c r="AJ11" s="1011"/>
      <c r="AK11" s="1011"/>
      <c r="AL11" s="1011"/>
      <c r="AM11" s="1011"/>
      <c r="AN11" s="1011"/>
      <c r="AO11" s="1011"/>
      <c r="AP11" s="1011"/>
    </row>
    <row r="12" spans="1:43" customFormat="1">
      <c r="A12" s="1011"/>
      <c r="B12" s="1017" t="s">
        <v>1266</v>
      </c>
      <c r="C12" s="1011"/>
      <c r="D12" s="1011"/>
      <c r="E12" s="1011"/>
      <c r="F12" s="1011"/>
      <c r="G12" s="1011"/>
      <c r="H12" s="1011"/>
      <c r="I12" s="1011"/>
      <c r="J12" s="1011"/>
      <c r="K12" s="1011"/>
      <c r="L12" s="1011"/>
      <c r="M12" s="1011"/>
      <c r="N12" s="1011"/>
      <c r="O12" s="1011"/>
      <c r="P12" s="1011"/>
      <c r="Q12" s="1011"/>
      <c r="R12" s="1011"/>
      <c r="S12" s="1011"/>
      <c r="T12" s="1011"/>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row>
    <row r="13" spans="1:43" customFormat="1">
      <c r="A13" s="1011"/>
      <c r="B13" s="1011"/>
      <c r="C13" s="1011"/>
      <c r="D13" s="1011"/>
      <c r="E13" s="1011"/>
      <c r="F13" s="1011"/>
      <c r="G13" s="1011"/>
      <c r="H13" s="1011"/>
      <c r="I13" s="1011"/>
      <c r="J13" s="1011"/>
      <c r="K13" s="1011"/>
      <c r="L13" s="1011"/>
      <c r="M13" s="1011"/>
      <c r="N13" s="1011"/>
      <c r="O13" s="1011"/>
      <c r="P13" s="1011"/>
      <c r="Q13" s="1011"/>
      <c r="R13" s="1011"/>
      <c r="S13" s="1011"/>
      <c r="T13" s="1011"/>
      <c r="U13" s="1011"/>
      <c r="V13" s="1011"/>
      <c r="W13" s="1011"/>
      <c r="X13" s="1011"/>
      <c r="Y13" s="1011"/>
      <c r="Z13" s="1011"/>
      <c r="AA13" s="1011"/>
      <c r="AB13" s="1011"/>
      <c r="AC13" s="1011"/>
      <c r="AD13" s="1011"/>
      <c r="AE13" s="1011"/>
      <c r="AF13" s="1011"/>
      <c r="AG13" s="1011"/>
      <c r="AH13" s="1011"/>
      <c r="AI13" s="1011"/>
      <c r="AJ13" s="1011"/>
      <c r="AK13" s="1011"/>
      <c r="AL13" s="1011"/>
      <c r="AM13" s="1011"/>
      <c r="AN13" s="1011"/>
      <c r="AO13" s="1011"/>
      <c r="AP13" s="1011"/>
    </row>
    <row r="14" spans="1:43" customFormat="1">
      <c r="A14" s="1011"/>
      <c r="B14" s="1011" t="s">
        <v>1238</v>
      </c>
      <c r="C14" s="1011"/>
      <c r="D14" s="1011"/>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1"/>
      <c r="AA14" s="1011"/>
      <c r="AB14" s="1011"/>
      <c r="AC14" s="1011"/>
      <c r="AD14" s="1011"/>
      <c r="AE14" s="1011"/>
      <c r="AF14" s="1011"/>
      <c r="AG14" s="1011"/>
      <c r="AH14" s="1011"/>
      <c r="AI14" s="1011"/>
      <c r="AJ14" s="1011"/>
      <c r="AK14" s="1011"/>
      <c r="AL14" s="1011"/>
      <c r="AM14" s="1011"/>
      <c r="AN14" s="1011"/>
      <c r="AO14" s="1011"/>
      <c r="AP14" s="1011"/>
    </row>
    <row r="15" spans="1:43" customFormat="1">
      <c r="A15" s="1011"/>
      <c r="B15" s="1011"/>
      <c r="C15" s="1011"/>
      <c r="D15" s="1011"/>
      <c r="E15" s="1011"/>
      <c r="F15" s="1011"/>
      <c r="G15" s="1011"/>
      <c r="H15" s="1011"/>
      <c r="I15" s="1011"/>
      <c r="J15" s="1011"/>
      <c r="K15" s="1011"/>
      <c r="L15" s="1011"/>
      <c r="M15" s="1011"/>
      <c r="N15" s="1011"/>
      <c r="O15" s="1011"/>
      <c r="P15" s="1011"/>
      <c r="Q15" s="1011"/>
      <c r="R15" s="1011"/>
      <c r="S15" s="1011"/>
      <c r="T15" s="1011"/>
      <c r="U15" s="1011"/>
      <c r="V15" s="1011"/>
      <c r="W15" s="1011"/>
      <c r="X15" s="1011"/>
      <c r="Y15" s="1011"/>
      <c r="Z15" s="1011"/>
      <c r="AA15" s="1011"/>
      <c r="AB15" s="1011"/>
      <c r="AC15" s="1011"/>
      <c r="AD15" s="1011"/>
      <c r="AE15" s="1011"/>
      <c r="AF15" s="1011"/>
      <c r="AG15" s="1011"/>
      <c r="AH15" s="1011"/>
      <c r="AI15" s="1011"/>
      <c r="AJ15" s="1011"/>
      <c r="AK15" s="1011"/>
      <c r="AL15" s="1011"/>
      <c r="AM15" s="1011"/>
      <c r="AN15" s="1011"/>
      <c r="AO15" s="1011"/>
      <c r="AP15" s="1011"/>
      <c r="AQ15" s="1011"/>
    </row>
    <row r="16" spans="1:43" s="1058" customFormat="1">
      <c r="B16" s="1020"/>
      <c r="C16" s="1060"/>
    </row>
    <row r="17" spans="1:42" s="1015" customFormat="1">
      <c r="A17" s="1012"/>
      <c r="B17" s="1013" t="s">
        <v>1306</v>
      </c>
      <c r="C17" s="1012"/>
      <c r="D17" s="1012"/>
      <c r="E17" s="1012"/>
      <c r="F17" s="1012"/>
      <c r="G17" s="1012"/>
      <c r="H17" s="1012"/>
      <c r="I17" s="1012"/>
      <c r="J17" s="1012"/>
      <c r="K17" s="1012"/>
      <c r="L17" s="1012"/>
      <c r="M17" s="1012"/>
      <c r="N17" s="1012"/>
      <c r="O17" s="1012"/>
      <c r="P17" s="1012"/>
      <c r="Q17" s="1012"/>
      <c r="R17" s="1012"/>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row>
    <row r="18" spans="1:42" s="1038" customFormat="1">
      <c r="A18" s="1062"/>
      <c r="B18" s="1063"/>
      <c r="C18" s="1062"/>
      <c r="D18" s="1062"/>
      <c r="E18" s="1062"/>
      <c r="F18" s="1062"/>
      <c r="G18" s="1062"/>
      <c r="H18" s="1062"/>
      <c r="I18" s="1062"/>
      <c r="J18" s="1062"/>
      <c r="K18" s="1062"/>
      <c r="L18" s="1062"/>
      <c r="M18" s="1062"/>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c r="AL18" s="1062"/>
      <c r="AM18" s="1062"/>
      <c r="AN18" s="1062"/>
      <c r="AO18" s="1062"/>
      <c r="AP18" s="1062"/>
    </row>
    <row r="19" spans="1:42">
      <c r="B19" s="1011" t="s">
        <v>1141</v>
      </c>
      <c r="C19" s="1136"/>
      <c r="D19" s="1011"/>
      <c r="E19" s="1011" t="s">
        <v>170</v>
      </c>
    </row>
    <row r="20" spans="1:42">
      <c r="B20" s="1011" t="s">
        <v>1142</v>
      </c>
      <c r="C20" s="1136"/>
      <c r="D20" s="1011"/>
      <c r="E20" s="1133" t="s">
        <v>1478</v>
      </c>
    </row>
    <row r="21" spans="1:42">
      <c r="B21" s="1011"/>
      <c r="C21" s="1136"/>
      <c r="D21" s="1011"/>
      <c r="E21" s="1033"/>
    </row>
    <row r="22" spans="1:42">
      <c r="B22" s="427" t="s">
        <v>1143</v>
      </c>
      <c r="C22" s="1137" t="s">
        <v>0</v>
      </c>
      <c r="D22" s="1020" t="s">
        <v>1314</v>
      </c>
      <c r="E22" s="427" t="s">
        <v>1144</v>
      </c>
      <c r="F22" s="427"/>
      <c r="G22" s="427" t="s">
        <v>1146</v>
      </c>
      <c r="H22" s="429"/>
      <c r="I22" s="427" t="s">
        <v>1145</v>
      </c>
    </row>
    <row r="23" spans="1:42">
      <c r="B23" s="1010" t="s">
        <v>1308</v>
      </c>
      <c r="C23" s="1067">
        <v>2009</v>
      </c>
      <c r="D23" s="429" t="s">
        <v>1309</v>
      </c>
      <c r="E23" s="1016">
        <v>151191.14728262799</v>
      </c>
      <c r="G23" s="1016">
        <f>-162000</f>
        <v>-162000</v>
      </c>
      <c r="I23" s="1061">
        <f>E23+G23</f>
        <v>-10808.852717372007</v>
      </c>
      <c r="J23" s="427"/>
      <c r="K23" s="427"/>
      <c r="L23" s="427"/>
    </row>
    <row r="24" spans="1:42">
      <c r="B24" s="1010" t="s">
        <v>1308</v>
      </c>
      <c r="C24" s="1067">
        <v>2010</v>
      </c>
      <c r="D24" s="429" t="s">
        <v>1310</v>
      </c>
      <c r="E24" s="1016">
        <v>256522.687281722</v>
      </c>
      <c r="G24" s="1016">
        <f t="shared" ref="G24" si="0">-162000</f>
        <v>-162000</v>
      </c>
      <c r="I24" s="1061">
        <f>E24+G24</f>
        <v>94522.687281721999</v>
      </c>
      <c r="J24" s="427"/>
      <c r="K24" s="427"/>
      <c r="L24" s="427"/>
    </row>
    <row r="25" spans="1:42">
      <c r="B25" s="1010" t="s">
        <v>1308</v>
      </c>
      <c r="C25" s="1067">
        <v>2011</v>
      </c>
      <c r="D25" s="429" t="s">
        <v>1311</v>
      </c>
      <c r="E25" s="1016">
        <v>200287.51079878901</v>
      </c>
      <c r="G25" s="1016">
        <f>-172000</f>
        <v>-172000</v>
      </c>
      <c r="I25" s="1061">
        <f>E25+G25</f>
        <v>28287.510798789008</v>
      </c>
      <c r="J25" s="427"/>
      <c r="K25" s="427"/>
      <c r="L25" s="427"/>
    </row>
    <row r="26" spans="1:42">
      <c r="B26" s="1010" t="s">
        <v>1308</v>
      </c>
      <c r="C26" s="1067">
        <v>2012</v>
      </c>
      <c r="D26" s="429" t="s">
        <v>1312</v>
      </c>
      <c r="E26" s="1016">
        <v>297798.95740935003</v>
      </c>
      <c r="G26" s="1016">
        <f>-151000</f>
        <v>-151000</v>
      </c>
      <c r="I26" s="1061">
        <f>E26+G26</f>
        <v>146798.95740935003</v>
      </c>
      <c r="J26" s="427"/>
      <c r="K26" s="427"/>
      <c r="L26" s="427"/>
    </row>
    <row r="27" spans="1:42">
      <c r="C27" s="1067"/>
      <c r="D27" s="429"/>
      <c r="E27" s="427"/>
      <c r="F27" s="427"/>
    </row>
    <row r="28" spans="1:42">
      <c r="C28" s="1067"/>
      <c r="D28" s="429"/>
      <c r="E28" s="427"/>
      <c r="F28" s="427"/>
    </row>
    <row r="29" spans="1:42" s="1015" customFormat="1">
      <c r="A29" s="1012"/>
      <c r="B29" s="1013" t="s">
        <v>1517</v>
      </c>
      <c r="C29" s="1138"/>
      <c r="D29" s="1012"/>
      <c r="E29" s="1012"/>
      <c r="F29" s="1012"/>
      <c r="G29" s="1012"/>
      <c r="H29" s="1012"/>
      <c r="I29" s="1012"/>
      <c r="J29" s="1012"/>
      <c r="K29" s="1012"/>
      <c r="L29" s="1012"/>
      <c r="M29" s="1012"/>
      <c r="N29" s="1012"/>
      <c r="O29" s="1012"/>
      <c r="P29" s="1012"/>
      <c r="Q29" s="1012"/>
      <c r="R29" s="1012"/>
      <c r="S29" s="1012"/>
      <c r="T29" s="1012"/>
      <c r="U29" s="1012"/>
      <c r="V29" s="1012"/>
      <c r="W29" s="1012"/>
      <c r="X29" s="1012"/>
      <c r="Y29" s="1012"/>
      <c r="Z29" s="1012"/>
      <c r="AA29" s="1012"/>
      <c r="AB29" s="1012"/>
      <c r="AC29" s="1012"/>
      <c r="AD29" s="1012"/>
      <c r="AE29" s="1012"/>
      <c r="AF29" s="1012"/>
      <c r="AG29" s="1012"/>
      <c r="AH29" s="1012"/>
      <c r="AI29" s="1012"/>
      <c r="AJ29" s="1012"/>
      <c r="AK29" s="1012"/>
      <c r="AL29" s="1012"/>
      <c r="AM29" s="1012"/>
      <c r="AN29" s="1012"/>
      <c r="AO29" s="1012"/>
      <c r="AP29" s="1012"/>
    </row>
    <row r="30" spans="1:42" s="1038" customFormat="1">
      <c r="A30" s="1062"/>
      <c r="B30" s="1063"/>
      <c r="C30" s="1139"/>
      <c r="D30" s="1062"/>
      <c r="E30" s="1062"/>
      <c r="F30" s="1062"/>
      <c r="G30" s="1062"/>
      <c r="H30" s="1062"/>
      <c r="I30" s="1062"/>
      <c r="J30" s="1062"/>
      <c r="K30" s="1062"/>
      <c r="L30" s="1062"/>
      <c r="M30" s="1062"/>
      <c r="N30" s="1062"/>
      <c r="O30" s="1062"/>
      <c r="P30" s="1062"/>
      <c r="Q30" s="1062"/>
      <c r="R30" s="1062"/>
      <c r="S30" s="1062"/>
      <c r="T30" s="1062"/>
      <c r="U30" s="1062"/>
      <c r="V30" s="1062"/>
      <c r="W30" s="1062"/>
      <c r="X30" s="1062"/>
      <c r="Y30" s="1062"/>
      <c r="Z30" s="1062"/>
      <c r="AA30" s="1062"/>
      <c r="AB30" s="1062"/>
      <c r="AC30" s="1062"/>
      <c r="AD30" s="1062"/>
      <c r="AE30" s="1062"/>
      <c r="AF30" s="1062"/>
      <c r="AG30" s="1062"/>
      <c r="AH30" s="1062"/>
      <c r="AI30" s="1062"/>
      <c r="AJ30" s="1062"/>
      <c r="AK30" s="1062"/>
      <c r="AL30" s="1062"/>
      <c r="AM30" s="1062"/>
      <c r="AN30" s="1062"/>
      <c r="AO30" s="1062"/>
      <c r="AP30" s="1062"/>
    </row>
    <row r="31" spans="1:42">
      <c r="B31" s="1011" t="s">
        <v>1141</v>
      </c>
      <c r="C31" s="1136"/>
      <c r="D31" s="1011"/>
      <c r="E31" s="1011" t="s">
        <v>175</v>
      </c>
    </row>
    <row r="32" spans="1:42">
      <c r="A32"/>
      <c r="B32" s="1011" t="s">
        <v>1142</v>
      </c>
      <c r="C32" s="1136"/>
      <c r="D32" s="1011"/>
      <c r="E32" s="1033" t="s">
        <v>1476</v>
      </c>
    </row>
    <row r="33" spans="1:42">
      <c r="A33"/>
      <c r="B33" s="1011"/>
      <c r="C33" s="1136"/>
      <c r="D33" s="1011"/>
      <c r="E33" s="1033"/>
    </row>
    <row r="34" spans="1:42">
      <c r="A34"/>
      <c r="B34" s="427" t="s">
        <v>1143</v>
      </c>
      <c r="C34" s="1137" t="s">
        <v>0</v>
      </c>
      <c r="D34" s="1020" t="s">
        <v>1314</v>
      </c>
      <c r="E34" s="427" t="s">
        <v>1144</v>
      </c>
      <c r="F34" s="427"/>
      <c r="G34" s="427" t="s">
        <v>1146</v>
      </c>
      <c r="H34" s="429"/>
      <c r="I34" s="427" t="s">
        <v>1145</v>
      </c>
    </row>
    <row r="35" spans="1:42">
      <c r="A35"/>
      <c r="B35" s="1010" t="s">
        <v>1479</v>
      </c>
      <c r="C35" s="1067">
        <v>2012</v>
      </c>
      <c r="D35" s="429" t="s">
        <v>1477</v>
      </c>
      <c r="E35" s="1016">
        <v>0</v>
      </c>
      <c r="G35" s="1016">
        <v>15723</v>
      </c>
      <c r="I35" s="1061">
        <f>E35+G35</f>
        <v>15723</v>
      </c>
      <c r="J35" s="427"/>
      <c r="K35" s="427"/>
      <c r="L35" s="427"/>
    </row>
    <row r="36" spans="1:42">
      <c r="B36" s="429"/>
      <c r="C36" s="1056"/>
      <c r="D36" s="1056"/>
      <c r="E36" s="1056"/>
      <c r="F36" s="1056"/>
      <c r="G36" s="1056"/>
      <c r="H36" s="1056"/>
      <c r="I36" s="1056"/>
      <c r="J36" s="427"/>
      <c r="K36" s="427"/>
      <c r="L36" s="427"/>
    </row>
    <row r="37" spans="1:42">
      <c r="B37" s="429"/>
      <c r="C37" s="1056"/>
      <c r="D37" s="1056"/>
      <c r="E37" s="1056"/>
      <c r="F37" s="1056"/>
      <c r="G37" s="1056"/>
      <c r="H37" s="1056"/>
      <c r="I37" s="1056"/>
      <c r="J37" s="427"/>
      <c r="K37" s="427"/>
      <c r="L37" s="427"/>
    </row>
    <row r="38" spans="1:42" s="1015" customFormat="1">
      <c r="A38" s="1012"/>
      <c r="B38" s="1013" t="s">
        <v>1492</v>
      </c>
      <c r="C38" s="1138"/>
      <c r="D38" s="1012"/>
      <c r="E38" s="1012"/>
      <c r="F38" s="1012"/>
      <c r="G38" s="1012"/>
      <c r="H38" s="1012"/>
      <c r="I38" s="1012"/>
      <c r="J38" s="1012"/>
      <c r="K38" s="1012"/>
      <c r="L38" s="1012"/>
      <c r="M38" s="1012"/>
      <c r="N38" s="1012"/>
      <c r="O38" s="1012"/>
      <c r="P38" s="1012"/>
      <c r="Q38" s="1012"/>
      <c r="R38" s="1012"/>
      <c r="S38" s="1012"/>
      <c r="T38" s="1012"/>
      <c r="U38" s="1012"/>
      <c r="V38" s="1012"/>
      <c r="W38" s="1012"/>
      <c r="X38" s="1012"/>
      <c r="Y38" s="1012"/>
      <c r="Z38" s="1012"/>
      <c r="AA38" s="1012"/>
      <c r="AB38" s="1012"/>
      <c r="AC38" s="1012"/>
      <c r="AD38" s="1012"/>
      <c r="AE38" s="1012"/>
      <c r="AF38" s="1012"/>
      <c r="AG38" s="1012"/>
      <c r="AH38" s="1012"/>
      <c r="AI38" s="1012"/>
      <c r="AJ38" s="1012"/>
      <c r="AK38" s="1012"/>
      <c r="AL38" s="1012"/>
      <c r="AM38" s="1012"/>
      <c r="AN38" s="1012"/>
      <c r="AO38" s="1012"/>
      <c r="AP38" s="1012"/>
    </row>
    <row r="39" spans="1:42" s="1038" customFormat="1">
      <c r="A39" s="1062"/>
      <c r="B39" s="1063"/>
      <c r="C39" s="1139"/>
      <c r="D39" s="1062"/>
      <c r="E39" s="1062"/>
      <c r="F39" s="1062"/>
      <c r="G39" s="1062"/>
      <c r="H39" s="1062"/>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62"/>
      <c r="AM39" s="1062"/>
      <c r="AN39" s="1062"/>
      <c r="AO39" s="1062"/>
      <c r="AP39" s="1062"/>
    </row>
    <row r="40" spans="1:42">
      <c r="B40" s="1011" t="s">
        <v>1141</v>
      </c>
      <c r="C40" s="1136"/>
      <c r="D40" s="1011"/>
      <c r="E40" s="1011" t="s">
        <v>1493</v>
      </c>
    </row>
    <row r="41" spans="1:42">
      <c r="B41" s="1011" t="s">
        <v>1494</v>
      </c>
      <c r="C41" s="1136"/>
      <c r="D41" s="1011"/>
      <c r="E41" s="1033" t="s">
        <v>1495</v>
      </c>
    </row>
    <row r="42" spans="1:42">
      <c r="B42" s="1011"/>
      <c r="C42" s="1136"/>
      <c r="D42" s="1011"/>
      <c r="E42" s="1033" t="s">
        <v>1496</v>
      </c>
    </row>
    <row r="43" spans="1:42">
      <c r="B43" s="1011"/>
      <c r="C43" s="1136"/>
      <c r="D43" s="1011"/>
      <c r="E43" s="1033"/>
    </row>
    <row r="44" spans="1:42">
      <c r="B44" s="427" t="s">
        <v>1143</v>
      </c>
      <c r="C44" s="1137" t="s">
        <v>0</v>
      </c>
      <c r="D44" s="1020" t="s">
        <v>1314</v>
      </c>
      <c r="E44" s="427" t="s">
        <v>1144</v>
      </c>
      <c r="F44" s="427"/>
      <c r="H44" s="429"/>
      <c r="I44" s="427" t="s">
        <v>1320</v>
      </c>
    </row>
    <row r="45" spans="1:42" ht="57.75" customHeight="1">
      <c r="B45" s="1100" t="s">
        <v>1497</v>
      </c>
      <c r="C45" s="1141" t="s">
        <v>1498</v>
      </c>
      <c r="D45" s="1142" t="s">
        <v>1499</v>
      </c>
      <c r="E45" s="1186" t="s">
        <v>1500</v>
      </c>
      <c r="F45" s="1186"/>
      <c r="G45" s="1186"/>
      <c r="H45" s="1100"/>
      <c r="I45" s="1142" t="s">
        <v>1501</v>
      </c>
      <c r="J45" s="427"/>
      <c r="K45" s="427"/>
      <c r="L45" s="427"/>
    </row>
    <row r="46" spans="1:42">
      <c r="B46" s="429"/>
      <c r="C46" s="1056"/>
      <c r="D46" s="1056"/>
      <c r="E46" s="1056"/>
      <c r="F46" s="1056"/>
      <c r="G46" s="1056"/>
      <c r="H46" s="1056"/>
      <c r="I46" s="1056"/>
      <c r="J46" s="427"/>
      <c r="K46" s="427"/>
      <c r="L46" s="427"/>
    </row>
    <row r="47" spans="1:42">
      <c r="B47" s="429"/>
      <c r="C47" s="1056"/>
      <c r="D47" s="1056"/>
      <c r="E47" s="1056"/>
      <c r="F47" s="1056"/>
      <c r="G47" s="1056"/>
      <c r="H47" s="1056"/>
      <c r="I47" s="1056"/>
      <c r="J47" s="427"/>
      <c r="K47" s="427"/>
      <c r="L47" s="427"/>
    </row>
    <row r="48" spans="1:42" s="1015" customFormat="1">
      <c r="A48" s="1012"/>
      <c r="B48" s="1013" t="s">
        <v>1313</v>
      </c>
      <c r="C48" s="1138"/>
      <c r="D48" s="1012"/>
      <c r="E48" s="1012"/>
      <c r="F48" s="1012"/>
      <c r="G48" s="1012"/>
      <c r="H48" s="1012"/>
      <c r="I48" s="1012"/>
      <c r="J48" s="1012"/>
      <c r="K48" s="1012"/>
      <c r="L48" s="1012"/>
      <c r="M48" s="1012"/>
      <c r="N48" s="1012"/>
      <c r="O48" s="1012"/>
      <c r="P48" s="1012"/>
      <c r="Q48" s="1012"/>
      <c r="R48" s="1012"/>
      <c r="S48" s="1012"/>
      <c r="T48" s="1012"/>
      <c r="U48" s="1012"/>
      <c r="V48" s="1012"/>
      <c r="W48" s="1012"/>
      <c r="X48" s="1012"/>
      <c r="Y48" s="1012"/>
      <c r="Z48" s="1012"/>
      <c r="AA48" s="1012"/>
      <c r="AB48" s="1012"/>
      <c r="AC48" s="1012"/>
      <c r="AD48" s="1012"/>
      <c r="AE48" s="1012"/>
      <c r="AF48" s="1012"/>
      <c r="AG48" s="1012"/>
      <c r="AH48" s="1012"/>
      <c r="AI48" s="1012"/>
      <c r="AJ48" s="1012"/>
      <c r="AK48" s="1012"/>
      <c r="AL48" s="1012"/>
      <c r="AM48" s="1012"/>
      <c r="AN48" s="1012"/>
      <c r="AO48" s="1012"/>
      <c r="AP48" s="1012"/>
    </row>
    <row r="49" spans="1:42" s="1038" customFormat="1">
      <c r="A49" s="1062"/>
      <c r="B49" s="1063"/>
      <c r="C49" s="1139"/>
      <c r="D49" s="1062"/>
      <c r="E49" s="1062"/>
      <c r="F49" s="1062"/>
      <c r="G49" s="1062"/>
      <c r="H49" s="1062"/>
      <c r="I49" s="1062"/>
      <c r="J49" s="1062"/>
      <c r="K49" s="1062"/>
      <c r="L49" s="1062"/>
      <c r="M49" s="1062"/>
      <c r="N49" s="1062"/>
      <c r="O49" s="1062"/>
      <c r="P49" s="1062"/>
      <c r="Q49" s="1062"/>
      <c r="R49" s="1062"/>
      <c r="S49" s="1062"/>
      <c r="T49" s="1062"/>
      <c r="U49" s="1062"/>
      <c r="V49" s="1062"/>
      <c r="W49" s="1062"/>
      <c r="X49" s="1062"/>
      <c r="Y49" s="1062"/>
      <c r="Z49" s="1062"/>
      <c r="AA49" s="1062"/>
      <c r="AB49" s="1062"/>
      <c r="AC49" s="1062"/>
      <c r="AD49" s="1062"/>
      <c r="AE49" s="1062"/>
      <c r="AF49" s="1062"/>
      <c r="AG49" s="1062"/>
      <c r="AH49" s="1062"/>
      <c r="AI49" s="1062"/>
      <c r="AJ49" s="1062"/>
      <c r="AK49" s="1062"/>
      <c r="AL49" s="1062"/>
      <c r="AM49" s="1062"/>
      <c r="AN49" s="1062"/>
      <c r="AO49" s="1062"/>
      <c r="AP49" s="1062"/>
    </row>
    <row r="50" spans="1:42">
      <c r="B50" s="1011" t="s">
        <v>1141</v>
      </c>
      <c r="C50" s="1136"/>
      <c r="D50" s="1011"/>
      <c r="E50" s="1011" t="s">
        <v>174</v>
      </c>
    </row>
    <row r="51" spans="1:42">
      <c r="B51" s="1011" t="s">
        <v>1142</v>
      </c>
      <c r="C51" s="1136"/>
      <c r="D51" s="1011"/>
      <c r="E51" s="1033" t="s">
        <v>1445</v>
      </c>
    </row>
    <row r="52" spans="1:42">
      <c r="B52" s="1011"/>
      <c r="C52" s="1136"/>
      <c r="D52" s="1011"/>
      <c r="E52" s="1033" t="s">
        <v>1321</v>
      </c>
    </row>
    <row r="53" spans="1:42">
      <c r="B53" s="1011"/>
      <c r="C53" s="1136"/>
      <c r="D53" s="1011"/>
      <c r="E53" s="1033"/>
    </row>
    <row r="54" spans="1:42">
      <c r="B54" s="427" t="s">
        <v>1143</v>
      </c>
      <c r="C54" s="1137" t="s">
        <v>0</v>
      </c>
      <c r="D54" s="1020" t="s">
        <v>1314</v>
      </c>
      <c r="E54" s="427" t="s">
        <v>1144</v>
      </c>
      <c r="F54" s="427"/>
      <c r="H54" s="429"/>
      <c r="I54" s="427" t="s">
        <v>1320</v>
      </c>
    </row>
    <row r="55" spans="1:42">
      <c r="B55" s="1010" t="s">
        <v>287</v>
      </c>
      <c r="C55" s="1067">
        <v>2011</v>
      </c>
      <c r="D55" s="429" t="s">
        <v>1315</v>
      </c>
      <c r="E55" s="1016">
        <v>191200208.63522267</v>
      </c>
      <c r="I55" s="1143" t="s">
        <v>1502</v>
      </c>
      <c r="J55" s="427"/>
      <c r="K55" s="427"/>
      <c r="L55" s="427"/>
    </row>
    <row r="56" spans="1:42">
      <c r="B56" s="1010" t="s">
        <v>277</v>
      </c>
      <c r="C56" s="1067">
        <v>2011</v>
      </c>
      <c r="D56" s="429" t="s">
        <v>1316</v>
      </c>
      <c r="E56" s="1016">
        <v>27612188.870049622</v>
      </c>
      <c r="I56" s="1143" t="s">
        <v>1503</v>
      </c>
      <c r="J56" s="427"/>
      <c r="K56" s="1118"/>
      <c r="L56" s="1118"/>
    </row>
    <row r="57" spans="1:42">
      <c r="B57" s="1010" t="s">
        <v>288</v>
      </c>
      <c r="C57" s="1067">
        <v>2011</v>
      </c>
      <c r="D57" s="429" t="s">
        <v>1317</v>
      </c>
      <c r="E57" s="1016">
        <v>1067440696.2127159</v>
      </c>
      <c r="I57" s="1143" t="s">
        <v>1504</v>
      </c>
      <c r="J57" s="427"/>
      <c r="K57" s="1118"/>
      <c r="L57" s="1118"/>
    </row>
    <row r="58" spans="1:42">
      <c r="B58" s="1010" t="s">
        <v>277</v>
      </c>
      <c r="C58" s="1067">
        <v>2012</v>
      </c>
      <c r="D58" s="429" t="s">
        <v>1318</v>
      </c>
      <c r="E58" s="1016">
        <v>33771679.391945891</v>
      </c>
      <c r="I58" s="1143" t="s">
        <v>1505</v>
      </c>
      <c r="J58" s="427"/>
      <c r="K58" s="427"/>
      <c r="L58" s="427"/>
    </row>
    <row r="59" spans="1:42">
      <c r="B59" s="1010" t="s">
        <v>288</v>
      </c>
      <c r="C59" s="1067">
        <v>2012</v>
      </c>
      <c r="D59" s="429" t="s">
        <v>1319</v>
      </c>
      <c r="E59" s="1016">
        <v>1253585456.5832806</v>
      </c>
      <c r="F59" s="427"/>
      <c r="I59" s="1143" t="s">
        <v>1506</v>
      </c>
    </row>
    <row r="60" spans="1:42">
      <c r="B60" s="429"/>
      <c r="C60" s="1056"/>
      <c r="D60" s="1056"/>
      <c r="E60" s="1056"/>
      <c r="F60" s="1056"/>
      <c r="G60" s="1056"/>
      <c r="H60" s="1056"/>
      <c r="I60" s="1056"/>
      <c r="J60" s="427"/>
      <c r="K60" s="427"/>
      <c r="L60" s="427"/>
    </row>
    <row r="61" spans="1:42">
      <c r="B61" s="429"/>
      <c r="C61" s="1056"/>
      <c r="D61" s="1056"/>
      <c r="E61" s="1056"/>
      <c r="F61" s="1056"/>
      <c r="G61" s="1056"/>
      <c r="H61" s="1056"/>
      <c r="I61" s="1056"/>
      <c r="J61" s="427"/>
      <c r="K61" s="427"/>
      <c r="L61" s="427"/>
    </row>
    <row r="62" spans="1:42" s="1015" customFormat="1">
      <c r="A62" s="1012"/>
      <c r="B62" s="1013" t="s">
        <v>1541</v>
      </c>
      <c r="C62" s="1138"/>
      <c r="D62" s="1012"/>
      <c r="E62" s="1012"/>
      <c r="F62" s="1012"/>
      <c r="G62" s="1012"/>
      <c r="H62" s="1012"/>
      <c r="I62" s="1012"/>
      <c r="J62" s="1012"/>
      <c r="K62" s="1012"/>
      <c r="L62" s="1012"/>
      <c r="M62" s="1012"/>
      <c r="N62" s="1012"/>
      <c r="O62" s="1012"/>
      <c r="P62" s="1012"/>
      <c r="Q62" s="1012"/>
      <c r="R62" s="1012"/>
      <c r="S62" s="1012"/>
      <c r="T62" s="1012"/>
      <c r="U62" s="1012"/>
      <c r="V62" s="1012"/>
      <c r="W62" s="1012"/>
      <c r="X62" s="1012"/>
      <c r="Y62" s="1012"/>
      <c r="Z62" s="1012"/>
      <c r="AA62" s="1012"/>
      <c r="AB62" s="1012"/>
      <c r="AC62" s="1012"/>
      <c r="AD62" s="1012"/>
      <c r="AE62" s="1012"/>
      <c r="AF62" s="1012"/>
      <c r="AG62" s="1012"/>
      <c r="AH62" s="1012"/>
      <c r="AI62" s="1012"/>
      <c r="AJ62" s="1012"/>
      <c r="AK62" s="1012"/>
      <c r="AL62" s="1012"/>
      <c r="AM62" s="1012"/>
      <c r="AN62" s="1012"/>
      <c r="AO62" s="1012"/>
      <c r="AP62" s="1012"/>
    </row>
    <row r="63" spans="1:42" s="1038" customFormat="1">
      <c r="A63" s="1062"/>
      <c r="B63" s="1063"/>
      <c r="C63" s="1139"/>
      <c r="D63" s="1062"/>
      <c r="E63" s="1062"/>
      <c r="F63" s="1062"/>
      <c r="G63" s="1062"/>
      <c r="H63" s="1062"/>
      <c r="I63" s="1062"/>
      <c r="J63" s="1062"/>
      <c r="K63" s="1062"/>
      <c r="L63" s="1062"/>
      <c r="M63" s="1062"/>
      <c r="N63" s="1062"/>
      <c r="O63" s="1062"/>
      <c r="P63" s="1062"/>
      <c r="Q63" s="1062"/>
      <c r="R63" s="1062"/>
      <c r="S63" s="1062"/>
      <c r="T63" s="1062"/>
      <c r="U63" s="1062"/>
      <c r="V63" s="1062"/>
      <c r="W63" s="1062"/>
      <c r="X63" s="1062"/>
      <c r="Y63" s="1062"/>
      <c r="Z63" s="1062"/>
      <c r="AA63" s="1062"/>
      <c r="AB63" s="1062"/>
      <c r="AC63" s="1062"/>
      <c r="AD63" s="1062"/>
      <c r="AE63" s="1062"/>
      <c r="AF63" s="1062"/>
      <c r="AG63" s="1062"/>
      <c r="AH63" s="1062"/>
      <c r="AI63" s="1062"/>
      <c r="AJ63" s="1062"/>
      <c r="AK63" s="1062"/>
      <c r="AL63" s="1062"/>
      <c r="AM63" s="1062"/>
      <c r="AN63" s="1062"/>
      <c r="AO63" s="1062"/>
      <c r="AP63" s="1062"/>
    </row>
    <row r="64" spans="1:42">
      <c r="B64" s="1011" t="s">
        <v>1141</v>
      </c>
      <c r="C64" s="1136"/>
      <c r="D64" s="1011"/>
      <c r="E64" s="1011" t="s">
        <v>1475</v>
      </c>
    </row>
    <row r="65" spans="2:12">
      <c r="B65" s="1011" t="s">
        <v>1142</v>
      </c>
      <c r="C65" s="1136"/>
      <c r="D65" s="1011"/>
      <c r="E65" s="1033" t="s">
        <v>1542</v>
      </c>
    </row>
    <row r="66" spans="2:12">
      <c r="B66" s="1011"/>
      <c r="C66" s="1136"/>
      <c r="D66" s="1011"/>
      <c r="E66" s="1033" t="s">
        <v>1399</v>
      </c>
    </row>
    <row r="67" spans="2:12">
      <c r="B67" s="1011"/>
      <c r="C67" s="1136"/>
      <c r="D67" s="1011"/>
      <c r="E67" s="1033"/>
    </row>
    <row r="68" spans="2:12">
      <c r="B68" s="1068" t="s">
        <v>1420</v>
      </c>
      <c r="C68" s="1137"/>
      <c r="F68" s="427"/>
      <c r="H68" s="429"/>
    </row>
    <row r="69" spans="2:12">
      <c r="B69" s="427"/>
      <c r="C69" s="1137"/>
      <c r="F69" s="427"/>
      <c r="G69" s="427"/>
      <c r="H69" s="427"/>
      <c r="J69" s="427"/>
      <c r="K69" s="427"/>
      <c r="L69" s="427"/>
    </row>
    <row r="70" spans="2:12">
      <c r="B70" s="1085" t="s">
        <v>1423</v>
      </c>
      <c r="C70" s="1137"/>
      <c r="D70" s="427" t="s">
        <v>1425</v>
      </c>
      <c r="E70" s="427" t="s">
        <v>1418</v>
      </c>
      <c r="F70" s="427"/>
      <c r="G70" s="427" t="s">
        <v>1146</v>
      </c>
      <c r="H70" s="427"/>
      <c r="I70" s="427" t="s">
        <v>1417</v>
      </c>
      <c r="J70" s="427"/>
      <c r="K70" s="427"/>
      <c r="L70" s="427"/>
    </row>
    <row r="71" spans="2:12">
      <c r="B71" s="1085"/>
      <c r="C71" s="1137"/>
      <c r="D71" s="427"/>
      <c r="E71" s="1010" t="s">
        <v>1419</v>
      </c>
      <c r="F71" s="427"/>
      <c r="G71" s="427"/>
      <c r="H71" s="427"/>
      <c r="I71" s="1010" t="s">
        <v>1419</v>
      </c>
      <c r="J71" s="427"/>
      <c r="K71" s="427"/>
      <c r="L71" s="427"/>
    </row>
    <row r="72" spans="2:12">
      <c r="B72" s="1086" t="s">
        <v>1404</v>
      </c>
      <c r="C72" s="1137"/>
      <c r="D72" s="430" t="s">
        <v>1424</v>
      </c>
      <c r="E72" s="1093" t="s">
        <v>251</v>
      </c>
      <c r="F72" s="427"/>
      <c r="G72" s="1010" t="s">
        <v>1426</v>
      </c>
      <c r="H72" s="427"/>
      <c r="I72" s="1087" t="s">
        <v>1403</v>
      </c>
      <c r="J72" s="427"/>
      <c r="K72" s="427"/>
      <c r="L72" s="427"/>
    </row>
    <row r="73" spans="2:12">
      <c r="B73" s="1086" t="s">
        <v>1406</v>
      </c>
      <c r="C73" s="1137"/>
      <c r="D73" s="430" t="s">
        <v>1424</v>
      </c>
      <c r="E73" s="300" t="s">
        <v>252</v>
      </c>
      <c r="F73" s="427"/>
      <c r="G73" s="1010" t="s">
        <v>1426</v>
      </c>
      <c r="H73" s="427"/>
      <c r="I73" s="1088" t="s">
        <v>1405</v>
      </c>
      <c r="J73" s="427"/>
      <c r="K73" s="427"/>
      <c r="L73" s="427"/>
    </row>
    <row r="74" spans="2:12">
      <c r="B74" s="1086" t="s">
        <v>1408</v>
      </c>
      <c r="C74" s="1137"/>
      <c r="D74" s="430" t="s">
        <v>653</v>
      </c>
      <c r="E74" s="303" t="s">
        <v>253</v>
      </c>
      <c r="F74" s="427"/>
      <c r="G74" s="1010" t="s">
        <v>1426</v>
      </c>
      <c r="H74" s="427"/>
      <c r="I74" s="1089" t="s">
        <v>1407</v>
      </c>
      <c r="J74" s="427"/>
      <c r="K74" s="427"/>
      <c r="L74" s="427"/>
    </row>
    <row r="75" spans="2:12">
      <c r="B75" s="1086" t="s">
        <v>1410</v>
      </c>
      <c r="C75" s="1137"/>
      <c r="D75" s="1103" t="s">
        <v>653</v>
      </c>
      <c r="E75" s="1094" t="s">
        <v>654</v>
      </c>
      <c r="F75" s="427"/>
      <c r="G75" s="1010" t="s">
        <v>1427</v>
      </c>
      <c r="H75" s="427"/>
      <c r="I75" s="1090" t="s">
        <v>1409</v>
      </c>
      <c r="J75" s="427"/>
      <c r="K75" s="427"/>
      <c r="L75" s="427"/>
    </row>
    <row r="76" spans="2:12">
      <c r="B76" s="1086" t="s">
        <v>1412</v>
      </c>
      <c r="C76" s="1137"/>
      <c r="D76" s="1185" t="s">
        <v>1422</v>
      </c>
      <c r="E76" s="1095" t="s">
        <v>261</v>
      </c>
      <c r="F76" s="427"/>
      <c r="G76" s="1010" t="s">
        <v>1427</v>
      </c>
      <c r="H76" s="427"/>
      <c r="I76" s="1091" t="s">
        <v>1411</v>
      </c>
      <c r="J76" s="427"/>
      <c r="K76" s="427"/>
      <c r="L76" s="427"/>
    </row>
    <row r="77" spans="2:12">
      <c r="B77" s="1086" t="s">
        <v>1413</v>
      </c>
      <c r="C77" s="1137"/>
      <c r="D77" s="1185"/>
      <c r="E77" s="1095" t="s">
        <v>261</v>
      </c>
      <c r="F77" s="427"/>
      <c r="G77" s="1010" t="s">
        <v>1427</v>
      </c>
      <c r="H77" s="427"/>
      <c r="I77" s="1091" t="s">
        <v>1411</v>
      </c>
      <c r="J77" s="427"/>
      <c r="K77" s="427"/>
      <c r="L77" s="427"/>
    </row>
    <row r="78" spans="2:12">
      <c r="B78" s="1086" t="s">
        <v>1414</v>
      </c>
      <c r="C78" s="1137"/>
      <c r="D78" s="1185"/>
      <c r="E78" s="1095" t="s">
        <v>261</v>
      </c>
      <c r="F78" s="427"/>
      <c r="G78" s="1010" t="s">
        <v>1427</v>
      </c>
      <c r="H78" s="427"/>
      <c r="I78" s="1091" t="s">
        <v>1411</v>
      </c>
      <c r="J78" s="427"/>
      <c r="K78" s="427"/>
      <c r="L78" s="427"/>
    </row>
    <row r="79" spans="2:12" ht="38.25">
      <c r="B79" s="1097" t="s">
        <v>1416</v>
      </c>
      <c r="C79" s="1140"/>
      <c r="D79" s="1104" t="s">
        <v>1421</v>
      </c>
      <c r="E79" s="1099" t="s">
        <v>262</v>
      </c>
      <c r="F79" s="1098"/>
      <c r="G79" s="1100" t="s">
        <v>1427</v>
      </c>
      <c r="H79" s="1098"/>
      <c r="I79" s="1096" t="s">
        <v>1415</v>
      </c>
      <c r="J79" s="427"/>
      <c r="K79" s="427"/>
      <c r="L79" s="427"/>
    </row>
    <row r="80" spans="2:12">
      <c r="B80" s="1084" t="s">
        <v>1096</v>
      </c>
      <c r="C80" s="1137"/>
      <c r="D80" s="81"/>
      <c r="E80" s="25" t="s">
        <v>1428</v>
      </c>
      <c r="F80" s="81"/>
      <c r="G80" s="1010" t="s">
        <v>1426</v>
      </c>
      <c r="H80" s="81"/>
      <c r="I80" s="1092" t="s">
        <v>1096</v>
      </c>
      <c r="J80" s="427"/>
      <c r="K80" s="427"/>
      <c r="L80" s="427"/>
    </row>
    <row r="81" spans="2:9">
      <c r="C81" s="1067"/>
    </row>
    <row r="82" spans="2:9">
      <c r="C82" s="1067"/>
    </row>
    <row r="83" spans="2:9">
      <c r="B83" s="1068" t="s">
        <v>1430</v>
      </c>
      <c r="C83" s="1067"/>
    </row>
    <row r="84" spans="2:9">
      <c r="C84" s="1067"/>
    </row>
    <row r="85" spans="2:9">
      <c r="B85" s="427" t="s">
        <v>1429</v>
      </c>
      <c r="C85" s="1137" t="s">
        <v>0</v>
      </c>
      <c r="D85" s="427" t="s">
        <v>1431</v>
      </c>
      <c r="E85" s="427" t="s">
        <v>1418</v>
      </c>
      <c r="I85" s="427" t="s">
        <v>1417</v>
      </c>
    </row>
    <row r="86" spans="2:9">
      <c r="B86" s="1010" t="s">
        <v>897</v>
      </c>
      <c r="C86" s="1067">
        <v>2009</v>
      </c>
      <c r="D86" s="1010" t="s">
        <v>1432</v>
      </c>
      <c r="E86" s="1094" t="s">
        <v>654</v>
      </c>
      <c r="I86" s="1091" t="s">
        <v>1411</v>
      </c>
    </row>
    <row r="87" spans="2:9">
      <c r="B87" s="1010" t="s">
        <v>897</v>
      </c>
      <c r="C87" s="1067">
        <v>2010</v>
      </c>
      <c r="D87" s="1010" t="s">
        <v>1433</v>
      </c>
      <c r="E87" s="1094" t="s">
        <v>654</v>
      </c>
      <c r="I87" s="1091" t="s">
        <v>1411</v>
      </c>
    </row>
    <row r="88" spans="2:9">
      <c r="B88" s="1010" t="s">
        <v>897</v>
      </c>
      <c r="C88" s="1067">
        <v>2011</v>
      </c>
      <c r="D88" s="1010" t="s">
        <v>1434</v>
      </c>
      <c r="E88" s="1094" t="s">
        <v>654</v>
      </c>
      <c r="I88" s="1091" t="s">
        <v>1411</v>
      </c>
    </row>
    <row r="89" spans="2:9">
      <c r="B89" s="1010" t="s">
        <v>897</v>
      </c>
      <c r="C89" s="1067">
        <v>2012</v>
      </c>
      <c r="D89" s="1010" t="s">
        <v>1435</v>
      </c>
      <c r="E89" s="1094" t="s">
        <v>654</v>
      </c>
      <c r="I89" s="1091" t="s">
        <v>1411</v>
      </c>
    </row>
    <row r="90" spans="2:9">
      <c r="B90" s="1010" t="s">
        <v>897</v>
      </c>
      <c r="C90" s="1067">
        <v>2013</v>
      </c>
      <c r="D90" s="1010" t="s">
        <v>1436</v>
      </c>
      <c r="E90" s="1094" t="s">
        <v>654</v>
      </c>
      <c r="I90" s="1091" t="s">
        <v>1411</v>
      </c>
    </row>
    <row r="91" spans="2:9">
      <c r="B91" s="1010" t="s">
        <v>897</v>
      </c>
      <c r="C91" s="1067" t="s">
        <v>657</v>
      </c>
      <c r="D91" s="1010" t="s">
        <v>1437</v>
      </c>
      <c r="E91" s="1094" t="s">
        <v>654</v>
      </c>
      <c r="I91" s="1091" t="s">
        <v>1411</v>
      </c>
    </row>
    <row r="92" spans="2:9">
      <c r="C92" s="1067"/>
    </row>
    <row r="93" spans="2:9">
      <c r="B93" s="1068" t="s">
        <v>1439</v>
      </c>
      <c r="C93" s="1067"/>
    </row>
    <row r="94" spans="2:9">
      <c r="C94" s="1067"/>
    </row>
    <row r="95" spans="2:9">
      <c r="B95" s="427" t="s">
        <v>1429</v>
      </c>
      <c r="C95" s="1137" t="s">
        <v>0</v>
      </c>
      <c r="D95" s="427" t="s">
        <v>1431</v>
      </c>
      <c r="E95" s="427" t="s">
        <v>1418</v>
      </c>
      <c r="I95" s="427" t="s">
        <v>1417</v>
      </c>
    </row>
    <row r="96" spans="2:9">
      <c r="B96" s="1010" t="s">
        <v>872</v>
      </c>
      <c r="C96" s="1067">
        <v>2009</v>
      </c>
      <c r="D96" s="1010" t="s">
        <v>1440</v>
      </c>
      <c r="E96" s="1094" t="s">
        <v>654</v>
      </c>
      <c r="I96" s="1089" t="s">
        <v>1407</v>
      </c>
    </row>
    <row r="97" spans="2:9">
      <c r="B97" s="1010" t="s">
        <v>850</v>
      </c>
      <c r="C97" s="1067">
        <v>2010</v>
      </c>
      <c r="D97" s="1010" t="s">
        <v>1446</v>
      </c>
      <c r="E97" s="1094" t="s">
        <v>654</v>
      </c>
      <c r="I97" s="1089" t="s">
        <v>1407</v>
      </c>
    </row>
    <row r="98" spans="2:9">
      <c r="B98" s="1010" t="s">
        <v>872</v>
      </c>
      <c r="C98" s="1067">
        <v>2011</v>
      </c>
      <c r="D98" s="1010" t="s">
        <v>1441</v>
      </c>
      <c r="E98" s="1094" t="s">
        <v>654</v>
      </c>
      <c r="I98" s="1089" t="s">
        <v>1407</v>
      </c>
    </row>
    <row r="99" spans="2:9">
      <c r="B99" s="1010" t="s">
        <v>872</v>
      </c>
      <c r="C99" s="1067">
        <v>2012</v>
      </c>
      <c r="D99" s="1010" t="s">
        <v>1442</v>
      </c>
      <c r="E99" s="1094" t="s">
        <v>654</v>
      </c>
      <c r="I99" s="1089" t="s">
        <v>1407</v>
      </c>
    </row>
    <row r="100" spans="2:9">
      <c r="B100" s="1010" t="s">
        <v>872</v>
      </c>
      <c r="C100" s="1067">
        <v>2013</v>
      </c>
      <c r="D100" s="1010" t="s">
        <v>1443</v>
      </c>
      <c r="E100" s="1094" t="s">
        <v>654</v>
      </c>
      <c r="I100" s="1089" t="s">
        <v>1407</v>
      </c>
    </row>
    <row r="101" spans="2:9">
      <c r="B101" s="1010" t="s">
        <v>872</v>
      </c>
      <c r="C101" s="1067" t="s">
        <v>657</v>
      </c>
      <c r="D101" s="1010" t="s">
        <v>1444</v>
      </c>
      <c r="E101" s="1094" t="s">
        <v>654</v>
      </c>
      <c r="I101" s="1089" t="s">
        <v>1407</v>
      </c>
    </row>
    <row r="102" spans="2:9">
      <c r="C102" s="1067"/>
    </row>
    <row r="103" spans="2:9">
      <c r="B103" s="1068" t="s">
        <v>1447</v>
      </c>
      <c r="C103" s="1067"/>
    </row>
    <row r="104" spans="2:9">
      <c r="C104" s="1067"/>
    </row>
    <row r="105" spans="2:9">
      <c r="B105" s="427" t="s">
        <v>1429</v>
      </c>
      <c r="C105" s="1137" t="s">
        <v>0</v>
      </c>
      <c r="D105" s="427" t="s">
        <v>1431</v>
      </c>
      <c r="E105" s="427" t="s">
        <v>1418</v>
      </c>
      <c r="I105" s="427" t="s">
        <v>1417</v>
      </c>
    </row>
    <row r="106" spans="2:9">
      <c r="B106" s="1010" t="s">
        <v>776</v>
      </c>
      <c r="C106" s="1067">
        <v>2009</v>
      </c>
      <c r="D106" s="1010" t="s">
        <v>1459</v>
      </c>
      <c r="E106" s="1094" t="s">
        <v>654</v>
      </c>
      <c r="I106" s="1091" t="s">
        <v>1411</v>
      </c>
    </row>
    <row r="107" spans="2:9">
      <c r="B107" s="1010" t="s">
        <v>776</v>
      </c>
      <c r="C107" s="1067">
        <v>2010</v>
      </c>
      <c r="D107" s="1010" t="s">
        <v>1450</v>
      </c>
      <c r="E107" s="1094" t="s">
        <v>654</v>
      </c>
      <c r="I107" s="1091" t="s">
        <v>1411</v>
      </c>
    </row>
    <row r="108" spans="2:9">
      <c r="B108" s="1010" t="s">
        <v>776</v>
      </c>
      <c r="C108" s="1067">
        <v>2011</v>
      </c>
      <c r="D108" s="1010" t="s">
        <v>1451</v>
      </c>
      <c r="E108" s="1094" t="s">
        <v>654</v>
      </c>
      <c r="I108" s="1091" t="s">
        <v>1411</v>
      </c>
    </row>
    <row r="109" spans="2:9">
      <c r="B109" s="1010" t="s">
        <v>776</v>
      </c>
      <c r="C109" s="1067">
        <v>2012</v>
      </c>
      <c r="D109" s="1010" t="s">
        <v>1452</v>
      </c>
      <c r="E109" s="1094" t="s">
        <v>654</v>
      </c>
      <c r="I109" s="1091" t="s">
        <v>1411</v>
      </c>
    </row>
    <row r="110" spans="2:9">
      <c r="B110" s="1010" t="s">
        <v>776</v>
      </c>
      <c r="C110" s="1067">
        <v>2013</v>
      </c>
      <c r="D110" s="1010" t="s">
        <v>1448</v>
      </c>
      <c r="E110" s="1094" t="s">
        <v>654</v>
      </c>
      <c r="I110" s="1091" t="s">
        <v>1411</v>
      </c>
    </row>
    <row r="111" spans="2:9">
      <c r="B111" s="1010" t="s">
        <v>776</v>
      </c>
      <c r="C111" s="1067" t="s">
        <v>657</v>
      </c>
      <c r="D111" s="1010" t="s">
        <v>1449</v>
      </c>
      <c r="E111" s="1094" t="s">
        <v>654</v>
      </c>
      <c r="I111" s="1091" t="s">
        <v>1411</v>
      </c>
    </row>
    <row r="112" spans="2:9">
      <c r="C112" s="1067"/>
    </row>
    <row r="113" spans="2:9">
      <c r="B113" s="1068" t="s">
        <v>1454</v>
      </c>
      <c r="C113" s="1067"/>
    </row>
    <row r="114" spans="2:9">
      <c r="C114" s="1067"/>
    </row>
    <row r="115" spans="2:9">
      <c r="B115" s="427" t="s">
        <v>1429</v>
      </c>
      <c r="C115" s="1137" t="s">
        <v>0</v>
      </c>
      <c r="D115" s="427" t="s">
        <v>1431</v>
      </c>
      <c r="E115" s="427" t="s">
        <v>1418</v>
      </c>
      <c r="I115" s="427" t="s">
        <v>1417</v>
      </c>
    </row>
    <row r="116" spans="2:9">
      <c r="B116" s="1010" t="s">
        <v>741</v>
      </c>
      <c r="C116" s="1067">
        <v>2009</v>
      </c>
      <c r="D116" s="1010" t="s">
        <v>1458</v>
      </c>
      <c r="E116" s="1094" t="s">
        <v>654</v>
      </c>
      <c r="I116" s="1091" t="s">
        <v>1411</v>
      </c>
    </row>
    <row r="117" spans="2:9">
      <c r="B117" s="1010" t="s">
        <v>741</v>
      </c>
      <c r="C117" s="1067">
        <v>2010</v>
      </c>
      <c r="D117" s="1010" t="s">
        <v>1457</v>
      </c>
      <c r="E117" s="1094" t="s">
        <v>654</v>
      </c>
      <c r="I117" s="1091" t="s">
        <v>1411</v>
      </c>
    </row>
    <row r="118" spans="2:9">
      <c r="B118" s="1010" t="s">
        <v>741</v>
      </c>
      <c r="C118" s="1067">
        <v>2011</v>
      </c>
      <c r="D118" s="1010" t="s">
        <v>1460</v>
      </c>
      <c r="E118" s="1094" t="s">
        <v>654</v>
      </c>
      <c r="I118" s="1091" t="s">
        <v>1411</v>
      </c>
    </row>
    <row r="119" spans="2:9">
      <c r="B119" s="1010" t="s">
        <v>741</v>
      </c>
      <c r="C119" s="1067">
        <v>2012</v>
      </c>
      <c r="D119" s="1010" t="s">
        <v>1461</v>
      </c>
      <c r="E119" s="1094" t="s">
        <v>654</v>
      </c>
      <c r="I119" s="1091" t="s">
        <v>1411</v>
      </c>
    </row>
    <row r="120" spans="2:9">
      <c r="B120" s="1010" t="s">
        <v>741</v>
      </c>
      <c r="C120" s="1067">
        <v>2013</v>
      </c>
      <c r="D120" s="1010" t="s">
        <v>1455</v>
      </c>
      <c r="E120" s="1094" t="s">
        <v>654</v>
      </c>
      <c r="I120" s="1091" t="s">
        <v>1411</v>
      </c>
    </row>
    <row r="121" spans="2:9">
      <c r="B121" s="1010" t="s">
        <v>741</v>
      </c>
      <c r="C121" s="1067" t="s">
        <v>657</v>
      </c>
      <c r="D121" s="1010" t="s">
        <v>1456</v>
      </c>
      <c r="E121" s="1094" t="s">
        <v>654</v>
      </c>
      <c r="I121" s="1091" t="s">
        <v>1411</v>
      </c>
    </row>
    <row r="122" spans="2:9">
      <c r="B122" s="1010" t="s">
        <v>738</v>
      </c>
      <c r="C122" s="1067">
        <v>2009</v>
      </c>
      <c r="D122" s="1010" t="s">
        <v>1462</v>
      </c>
      <c r="E122" s="1095" t="s">
        <v>261</v>
      </c>
      <c r="I122" s="1096" t="s">
        <v>1415</v>
      </c>
    </row>
    <row r="123" spans="2:9">
      <c r="B123" s="1010" t="s">
        <v>738</v>
      </c>
      <c r="C123" s="1067">
        <v>2010</v>
      </c>
      <c r="D123" s="1010" t="s">
        <v>1463</v>
      </c>
      <c r="E123" s="1095" t="s">
        <v>261</v>
      </c>
      <c r="I123" s="1096" t="s">
        <v>1415</v>
      </c>
    </row>
    <row r="124" spans="2:9">
      <c r="B124" s="1010" t="s">
        <v>738</v>
      </c>
      <c r="C124" s="1067">
        <v>2011</v>
      </c>
      <c r="D124" s="1010" t="s">
        <v>1464</v>
      </c>
      <c r="E124" s="1095" t="s">
        <v>261</v>
      </c>
      <c r="I124" s="1096" t="s">
        <v>1415</v>
      </c>
    </row>
    <row r="125" spans="2:9">
      <c r="B125" s="1010" t="s">
        <v>738</v>
      </c>
      <c r="C125" s="1067">
        <v>2012</v>
      </c>
      <c r="D125" s="1010" t="s">
        <v>1465</v>
      </c>
      <c r="E125" s="1095" t="s">
        <v>261</v>
      </c>
      <c r="I125" s="1096" t="s">
        <v>1415</v>
      </c>
    </row>
    <row r="126" spans="2:9">
      <c r="B126" s="1010" t="s">
        <v>738</v>
      </c>
      <c r="C126" s="1067">
        <v>2013</v>
      </c>
      <c r="D126" s="1010" t="s">
        <v>1466</v>
      </c>
      <c r="E126" s="1095" t="s">
        <v>261</v>
      </c>
      <c r="I126" s="1096" t="s">
        <v>1415</v>
      </c>
    </row>
    <row r="127" spans="2:9">
      <c r="B127" s="1010" t="s">
        <v>738</v>
      </c>
      <c r="C127" s="1067" t="s">
        <v>657</v>
      </c>
      <c r="D127" s="1010" t="s">
        <v>1467</v>
      </c>
      <c r="E127" s="1095" t="s">
        <v>261</v>
      </c>
      <c r="I127" s="1096" t="s">
        <v>1415</v>
      </c>
    </row>
    <row r="128" spans="2:9">
      <c r="C128" s="1067"/>
    </row>
    <row r="129" spans="1:42">
      <c r="B129" s="1068" t="s">
        <v>1468</v>
      </c>
      <c r="C129" s="1067"/>
    </row>
    <row r="130" spans="1:42">
      <c r="C130" s="1067"/>
    </row>
    <row r="131" spans="1:42">
      <c r="B131" s="427" t="s">
        <v>1429</v>
      </c>
      <c r="C131" s="1137" t="s">
        <v>0</v>
      </c>
      <c r="D131" s="427" t="s">
        <v>1431</v>
      </c>
      <c r="E131" s="427" t="s">
        <v>1418</v>
      </c>
      <c r="I131" s="427" t="s">
        <v>1417</v>
      </c>
    </row>
    <row r="132" spans="1:42">
      <c r="B132" s="1010" t="s">
        <v>719</v>
      </c>
      <c r="C132" s="1067">
        <v>2009</v>
      </c>
      <c r="D132" s="1010" t="s">
        <v>1469</v>
      </c>
      <c r="E132" s="1095" t="s">
        <v>261</v>
      </c>
      <c r="I132" s="1096" t="s">
        <v>1415</v>
      </c>
    </row>
    <row r="133" spans="1:42">
      <c r="B133" s="1010" t="s">
        <v>719</v>
      </c>
      <c r="C133" s="1067">
        <v>2010</v>
      </c>
      <c r="D133" s="1010" t="s">
        <v>1470</v>
      </c>
      <c r="E133" s="1095" t="s">
        <v>261</v>
      </c>
      <c r="I133" s="1096" t="s">
        <v>1415</v>
      </c>
    </row>
    <row r="134" spans="1:42">
      <c r="B134" s="1010" t="s">
        <v>719</v>
      </c>
      <c r="C134" s="1067">
        <v>2011</v>
      </c>
      <c r="D134" s="1010" t="s">
        <v>1474</v>
      </c>
      <c r="E134" s="1095" t="s">
        <v>261</v>
      </c>
      <c r="I134" s="1096" t="s">
        <v>1415</v>
      </c>
    </row>
    <row r="135" spans="1:42">
      <c r="B135" s="1010" t="s">
        <v>719</v>
      </c>
      <c r="C135" s="1067">
        <v>2012</v>
      </c>
      <c r="D135" s="1010" t="s">
        <v>1471</v>
      </c>
      <c r="E135" s="1095" t="s">
        <v>261</v>
      </c>
      <c r="I135" s="1096" t="s">
        <v>1415</v>
      </c>
    </row>
    <row r="136" spans="1:42">
      <c r="B136" s="1010" t="s">
        <v>719</v>
      </c>
      <c r="C136" s="1067">
        <v>2013</v>
      </c>
      <c r="D136" s="1010" t="s">
        <v>1472</v>
      </c>
      <c r="E136" s="1095" t="s">
        <v>261</v>
      </c>
      <c r="I136" s="1096" t="s">
        <v>1415</v>
      </c>
    </row>
    <row r="137" spans="1:42">
      <c r="B137" s="1010" t="s">
        <v>719</v>
      </c>
      <c r="C137" s="1067" t="s">
        <v>657</v>
      </c>
      <c r="D137" s="1010" t="s">
        <v>1473</v>
      </c>
      <c r="E137" s="1095" t="s">
        <v>261</v>
      </c>
      <c r="I137" s="1096" t="s">
        <v>1415</v>
      </c>
    </row>
    <row r="138" spans="1:42">
      <c r="C138" s="1067"/>
    </row>
    <row r="139" spans="1:42">
      <c r="B139" s="1068" t="s">
        <v>1453</v>
      </c>
      <c r="C139" s="1056"/>
      <c r="D139" s="1056"/>
      <c r="E139" s="1056"/>
      <c r="F139" s="1056"/>
      <c r="G139" s="1056"/>
      <c r="H139" s="1056"/>
      <c r="I139" s="1056"/>
      <c r="J139" s="427"/>
      <c r="K139" s="427"/>
      <c r="L139" s="427"/>
    </row>
    <row r="140" spans="1:42">
      <c r="B140" s="429"/>
      <c r="C140" s="1056"/>
      <c r="D140" s="1056"/>
      <c r="E140" s="1056"/>
      <c r="F140" s="1056"/>
      <c r="G140" s="1056"/>
      <c r="H140" s="1056"/>
      <c r="I140" s="1056"/>
      <c r="J140" s="427"/>
      <c r="K140" s="427"/>
      <c r="L140" s="427"/>
    </row>
    <row r="141" spans="1:42">
      <c r="B141" s="429"/>
      <c r="C141" s="1056"/>
      <c r="D141" s="1056"/>
      <c r="E141" s="1056"/>
      <c r="F141" s="1056"/>
      <c r="G141" s="1056"/>
      <c r="H141" s="1056"/>
      <c r="I141" s="1056"/>
      <c r="J141" s="427"/>
      <c r="K141" s="427"/>
      <c r="L141" s="427"/>
    </row>
    <row r="142" spans="1:42" s="1015" customFormat="1">
      <c r="A142" s="1012"/>
      <c r="B142" s="1013" t="s">
        <v>1322</v>
      </c>
      <c r="C142" s="1138"/>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1012"/>
      <c r="AE142" s="1012"/>
      <c r="AF142" s="1012"/>
      <c r="AG142" s="1012"/>
      <c r="AH142" s="1012"/>
      <c r="AI142" s="1012"/>
      <c r="AJ142" s="1012"/>
      <c r="AK142" s="1012"/>
      <c r="AL142" s="1012"/>
      <c r="AM142" s="1012"/>
      <c r="AN142" s="1012"/>
      <c r="AO142" s="1012"/>
      <c r="AP142" s="1012"/>
    </row>
    <row r="143" spans="1:42" s="1038" customFormat="1">
      <c r="A143" s="1062"/>
      <c r="B143" s="1063"/>
      <c r="C143" s="1139"/>
      <c r="D143" s="1062"/>
      <c r="E143" s="1062"/>
      <c r="F143" s="1062"/>
      <c r="G143" s="1062"/>
      <c r="H143" s="1062"/>
      <c r="I143" s="1062"/>
      <c r="J143" s="1062"/>
      <c r="K143" s="1062"/>
      <c r="L143" s="1062"/>
      <c r="M143" s="1062"/>
      <c r="N143" s="1062"/>
      <c r="O143" s="1062"/>
      <c r="P143" s="1062"/>
      <c r="Q143" s="1062"/>
      <c r="R143" s="1062"/>
      <c r="S143" s="1062"/>
      <c r="T143" s="1062"/>
      <c r="U143" s="1062"/>
      <c r="V143" s="1062"/>
      <c r="W143" s="1062"/>
      <c r="X143" s="1062"/>
      <c r="Y143" s="1062"/>
      <c r="Z143" s="1062"/>
      <c r="AA143" s="1062"/>
      <c r="AB143" s="1062"/>
      <c r="AC143" s="1062"/>
      <c r="AD143" s="1062"/>
      <c r="AE143" s="1062"/>
      <c r="AF143" s="1062"/>
      <c r="AG143" s="1062"/>
      <c r="AH143" s="1062"/>
      <c r="AI143" s="1062"/>
      <c r="AJ143" s="1062"/>
      <c r="AK143" s="1062"/>
      <c r="AL143" s="1062"/>
      <c r="AM143" s="1062"/>
      <c r="AN143" s="1062"/>
      <c r="AO143" s="1062"/>
      <c r="AP143" s="1062"/>
    </row>
    <row r="144" spans="1:42">
      <c r="B144" s="1011" t="s">
        <v>1141</v>
      </c>
      <c r="C144" s="1136"/>
      <c r="D144" s="1011"/>
      <c r="E144" s="1011" t="s">
        <v>168</v>
      </c>
    </row>
    <row r="145" spans="2:11">
      <c r="B145" s="1011" t="s">
        <v>1142</v>
      </c>
      <c r="C145" s="1136"/>
      <c r="D145" s="1011"/>
      <c r="E145" s="1033" t="s">
        <v>1323</v>
      </c>
    </row>
    <row r="146" spans="2:11">
      <c r="B146" s="1011"/>
      <c r="C146" s="1136"/>
      <c r="D146" s="1011"/>
      <c r="E146" s="1070"/>
      <c r="G146" s="1071"/>
    </row>
    <row r="147" spans="2:11">
      <c r="B147" s="1011"/>
      <c r="C147" s="1136"/>
      <c r="D147" s="1011"/>
      <c r="E147" s="1033"/>
    </row>
    <row r="148" spans="2:11">
      <c r="B148" s="427" t="s">
        <v>1143</v>
      </c>
      <c r="C148" s="1137" t="s">
        <v>0</v>
      </c>
      <c r="D148" s="1020" t="s">
        <v>1314</v>
      </c>
      <c r="E148" s="427" t="s">
        <v>1144</v>
      </c>
      <c r="F148" s="427"/>
      <c r="G148" s="427" t="s">
        <v>1146</v>
      </c>
      <c r="H148" s="429"/>
      <c r="I148" s="427" t="s">
        <v>1145</v>
      </c>
    </row>
    <row r="149" spans="2:11">
      <c r="B149" s="1068" t="s">
        <v>1324</v>
      </c>
      <c r="C149" s="1067"/>
      <c r="D149" s="429"/>
      <c r="E149" s="429"/>
      <c r="F149" s="429"/>
      <c r="G149" s="429"/>
      <c r="H149" s="429"/>
      <c r="I149" s="429"/>
      <c r="J149" s="429"/>
      <c r="K149" s="427"/>
    </row>
    <row r="150" spans="2:11">
      <c r="B150" s="1010" t="s">
        <v>908</v>
      </c>
      <c r="C150" s="1067">
        <v>2011</v>
      </c>
      <c r="D150" s="429" t="s">
        <v>1326</v>
      </c>
      <c r="E150" s="1016">
        <v>0</v>
      </c>
      <c r="G150" s="1083">
        <f>I150-E150</f>
        <v>286</v>
      </c>
      <c r="I150" s="1061">
        <v>286</v>
      </c>
      <c r="J150" s="427"/>
      <c r="K150" s="427"/>
    </row>
    <row r="151" spans="2:11">
      <c r="B151" s="1010" t="s">
        <v>909</v>
      </c>
      <c r="C151" s="1067">
        <v>2011</v>
      </c>
      <c r="D151" s="429" t="s">
        <v>1327</v>
      </c>
      <c r="E151" s="1016">
        <v>196.510949155449</v>
      </c>
      <c r="G151" s="1083">
        <f t="shared" ref="G151:G165" si="1">I151-E151</f>
        <v>126.489050844551</v>
      </c>
      <c r="I151" s="1061">
        <v>323</v>
      </c>
      <c r="J151" s="427"/>
      <c r="K151" s="427"/>
    </row>
    <row r="152" spans="2:11">
      <c r="B152" s="1010" t="s">
        <v>677</v>
      </c>
      <c r="C152" s="1067">
        <v>2011</v>
      </c>
      <c r="D152" s="429" t="s">
        <v>1328</v>
      </c>
      <c r="E152" s="1016">
        <v>8.8914413279084012</v>
      </c>
      <c r="G152" s="1083">
        <f t="shared" si="1"/>
        <v>-0.89144132790840125</v>
      </c>
      <c r="I152" s="1061">
        <v>8</v>
      </c>
      <c r="J152" s="427"/>
      <c r="K152" s="427"/>
    </row>
    <row r="153" spans="2:11">
      <c r="B153" s="1010" t="s">
        <v>676</v>
      </c>
      <c r="C153" s="1067">
        <v>2011</v>
      </c>
      <c r="D153" s="429" t="s">
        <v>1329</v>
      </c>
      <c r="E153" s="1016">
        <v>4.3783290726004873</v>
      </c>
      <c r="F153" s="427"/>
      <c r="G153" s="1083">
        <f t="shared" si="1"/>
        <v>-2.3783290726004873</v>
      </c>
      <c r="I153" s="1061">
        <v>2</v>
      </c>
    </row>
    <row r="154" spans="2:11">
      <c r="B154" s="1010" t="s">
        <v>695</v>
      </c>
      <c r="C154" s="1067">
        <v>2011</v>
      </c>
      <c r="D154" s="429" t="s">
        <v>1330</v>
      </c>
      <c r="E154" s="1016">
        <v>4.7949906970087302</v>
      </c>
      <c r="F154" s="427"/>
      <c r="G154" s="1083">
        <f t="shared" si="1"/>
        <v>1.2050093029912698</v>
      </c>
      <c r="I154" s="1061">
        <v>6</v>
      </c>
    </row>
    <row r="155" spans="2:11">
      <c r="B155" s="1010" t="s">
        <v>697</v>
      </c>
      <c r="C155" s="1067">
        <v>2011</v>
      </c>
      <c r="D155" s="429" t="s">
        <v>1331</v>
      </c>
      <c r="E155" s="1016">
        <v>2.9652974571823871</v>
      </c>
      <c r="F155" s="427"/>
      <c r="G155" s="1083">
        <f t="shared" si="1"/>
        <v>3.0347025428176129</v>
      </c>
      <c r="I155" s="1061">
        <v>6</v>
      </c>
    </row>
    <row r="156" spans="2:11">
      <c r="B156" s="1010" t="s">
        <v>910</v>
      </c>
      <c r="C156" s="1067">
        <v>2011</v>
      </c>
      <c r="D156" s="429" t="s">
        <v>1332</v>
      </c>
      <c r="E156" s="1016">
        <v>0</v>
      </c>
      <c r="F156" s="427"/>
      <c r="G156" s="1083">
        <f t="shared" si="1"/>
        <v>0</v>
      </c>
      <c r="I156" s="1061">
        <v>0</v>
      </c>
    </row>
    <row r="157" spans="2:11">
      <c r="B157" s="1010" t="s">
        <v>911</v>
      </c>
      <c r="C157" s="1067">
        <v>2011</v>
      </c>
      <c r="D157" s="429" t="s">
        <v>1333</v>
      </c>
      <c r="E157" s="1016">
        <v>0</v>
      </c>
      <c r="F157" s="427"/>
      <c r="G157" s="1083">
        <f t="shared" si="1"/>
        <v>3</v>
      </c>
      <c r="I157" s="1061">
        <v>3</v>
      </c>
    </row>
    <row r="158" spans="2:11">
      <c r="B158" s="1010" t="s">
        <v>912</v>
      </c>
      <c r="C158" s="1067">
        <v>2011</v>
      </c>
      <c r="D158" s="429" t="s">
        <v>1334</v>
      </c>
      <c r="E158" s="1016">
        <v>0</v>
      </c>
      <c r="F158" s="427"/>
      <c r="G158" s="1083">
        <f t="shared" si="1"/>
        <v>0</v>
      </c>
      <c r="I158" s="1061">
        <v>0</v>
      </c>
    </row>
    <row r="159" spans="2:11">
      <c r="B159" s="1010" t="s">
        <v>913</v>
      </c>
      <c r="C159" s="1067">
        <v>2011</v>
      </c>
      <c r="D159" s="429" t="s">
        <v>1335</v>
      </c>
      <c r="E159" s="1016">
        <v>0</v>
      </c>
      <c r="F159" s="427"/>
      <c r="G159" s="1083">
        <f t="shared" si="1"/>
        <v>0</v>
      </c>
      <c r="I159" s="1061">
        <v>0</v>
      </c>
    </row>
    <row r="160" spans="2:11">
      <c r="B160" s="1010" t="s">
        <v>914</v>
      </c>
      <c r="C160" s="1067">
        <v>2011</v>
      </c>
      <c r="D160" s="429" t="s">
        <v>1336</v>
      </c>
      <c r="E160" s="1016">
        <v>3.0588669444733299</v>
      </c>
      <c r="F160" s="427"/>
      <c r="G160" s="1083">
        <f t="shared" si="1"/>
        <v>1.9411330555266701</v>
      </c>
      <c r="I160" s="1061">
        <v>5</v>
      </c>
    </row>
    <row r="161" spans="2:10">
      <c r="B161" s="1010" t="s">
        <v>915</v>
      </c>
      <c r="C161" s="1067">
        <v>2011</v>
      </c>
      <c r="D161" s="429" t="s">
        <v>1337</v>
      </c>
      <c r="E161" s="1016">
        <v>4.1468649818205385</v>
      </c>
      <c r="F161" s="427"/>
      <c r="G161" s="1083">
        <f t="shared" si="1"/>
        <v>4.8531350181794615</v>
      </c>
      <c r="I161" s="1061">
        <v>9</v>
      </c>
    </row>
    <row r="162" spans="2:10">
      <c r="B162" s="1010" t="s">
        <v>916</v>
      </c>
      <c r="C162" s="1067">
        <v>2011</v>
      </c>
      <c r="D162" s="429" t="s">
        <v>1338</v>
      </c>
      <c r="E162" s="1016">
        <v>0</v>
      </c>
      <c r="F162" s="427"/>
      <c r="G162" s="1083">
        <f t="shared" si="1"/>
        <v>0</v>
      </c>
      <c r="I162" s="1061">
        <v>0</v>
      </c>
    </row>
    <row r="163" spans="2:10">
      <c r="B163" s="1010" t="s">
        <v>917</v>
      </c>
      <c r="C163" s="1067">
        <v>2011</v>
      </c>
      <c r="D163" s="429" t="s">
        <v>1339</v>
      </c>
      <c r="E163" s="1016">
        <v>0</v>
      </c>
      <c r="F163" s="427"/>
      <c r="G163" s="1083">
        <f t="shared" si="1"/>
        <v>0</v>
      </c>
      <c r="I163" s="1061">
        <v>0</v>
      </c>
    </row>
    <row r="164" spans="2:10">
      <c r="B164" s="1010" t="s">
        <v>918</v>
      </c>
      <c r="C164" s="1067">
        <v>2011</v>
      </c>
      <c r="D164" s="429" t="s">
        <v>1340</v>
      </c>
      <c r="E164" s="1016">
        <v>0</v>
      </c>
      <c r="F164" s="427"/>
      <c r="G164" s="1083">
        <f t="shared" si="1"/>
        <v>0</v>
      </c>
      <c r="I164" s="1061">
        <v>0</v>
      </c>
    </row>
    <row r="165" spans="2:10">
      <c r="B165" s="1010" t="s">
        <v>919</v>
      </c>
      <c r="C165" s="1067">
        <v>2011</v>
      </c>
      <c r="D165" s="429" t="s">
        <v>1341</v>
      </c>
      <c r="E165" s="1016">
        <v>0</v>
      </c>
      <c r="F165" s="427"/>
      <c r="G165" s="1083">
        <f t="shared" si="1"/>
        <v>0</v>
      </c>
      <c r="I165" s="1061">
        <v>0</v>
      </c>
    </row>
    <row r="166" spans="2:10">
      <c r="B166" s="1010" t="s">
        <v>1392</v>
      </c>
      <c r="C166" s="1067">
        <v>2011</v>
      </c>
      <c r="D166" s="429" t="s">
        <v>1393</v>
      </c>
      <c r="E166" s="1069" t="s">
        <v>1393</v>
      </c>
      <c r="F166" s="427"/>
      <c r="G166" s="1083">
        <f>I166-0</f>
        <v>1</v>
      </c>
      <c r="I166" s="1061">
        <v>1</v>
      </c>
    </row>
    <row r="167" spans="2:10">
      <c r="B167" s="1068" t="s">
        <v>1325</v>
      </c>
      <c r="C167" s="1067"/>
      <c r="D167" s="429"/>
      <c r="E167" s="429"/>
      <c r="F167" s="429"/>
      <c r="G167" s="429"/>
      <c r="H167" s="429"/>
      <c r="I167" s="540"/>
      <c r="J167" s="429"/>
    </row>
    <row r="168" spans="2:10">
      <c r="B168" s="1010" t="s">
        <v>908</v>
      </c>
      <c r="C168" s="1067">
        <v>2011</v>
      </c>
      <c r="D168" s="429" t="s">
        <v>1342</v>
      </c>
      <c r="E168" s="1016">
        <v>0</v>
      </c>
      <c r="F168" s="427"/>
      <c r="G168" s="1083">
        <f>I168-E168</f>
        <v>126</v>
      </c>
      <c r="I168" s="1061">
        <v>126</v>
      </c>
    </row>
    <row r="169" spans="2:10">
      <c r="B169" s="1010" t="s">
        <v>909</v>
      </c>
      <c r="C169" s="1067">
        <v>2011</v>
      </c>
      <c r="D169" s="429" t="s">
        <v>1343</v>
      </c>
      <c r="E169" s="1016">
        <v>244.30917327293318</v>
      </c>
      <c r="F169" s="427"/>
      <c r="G169" s="1083">
        <f t="shared" ref="G169:G183" si="2">I169-E169</f>
        <v>-27.30917327293318</v>
      </c>
      <c r="I169" s="1061">
        <v>217</v>
      </c>
    </row>
    <row r="170" spans="2:10">
      <c r="B170" s="1010" t="s">
        <v>677</v>
      </c>
      <c r="C170" s="1067">
        <v>2011</v>
      </c>
      <c r="D170" s="429" t="s">
        <v>1344</v>
      </c>
      <c r="E170" s="1016">
        <v>40</v>
      </c>
      <c r="F170" s="427"/>
      <c r="G170" s="1083">
        <f t="shared" si="2"/>
        <v>-40</v>
      </c>
      <c r="I170" s="1061">
        <v>0</v>
      </c>
    </row>
    <row r="171" spans="2:10">
      <c r="B171" s="1010" t="s">
        <v>676</v>
      </c>
      <c r="C171" s="1067">
        <v>2011</v>
      </c>
      <c r="D171" s="429" t="s">
        <v>1345</v>
      </c>
      <c r="E171" s="1016">
        <v>8</v>
      </c>
      <c r="F171" s="427"/>
      <c r="G171" s="1083">
        <f t="shared" si="2"/>
        <v>0</v>
      </c>
      <c r="I171" s="1061">
        <v>8</v>
      </c>
    </row>
    <row r="172" spans="2:10">
      <c r="B172" s="1010" t="s">
        <v>695</v>
      </c>
      <c r="C172" s="1067">
        <v>2011</v>
      </c>
      <c r="D172" s="429" t="s">
        <v>1346</v>
      </c>
      <c r="E172" s="1016">
        <v>34.215932066316221</v>
      </c>
      <c r="F172" s="427"/>
      <c r="G172" s="1083">
        <f t="shared" si="2"/>
        <v>-6.2159320663162205</v>
      </c>
      <c r="I172" s="1061">
        <v>28</v>
      </c>
    </row>
    <row r="173" spans="2:10">
      <c r="B173" s="1010" t="s">
        <v>697</v>
      </c>
      <c r="C173" s="1067">
        <v>2011</v>
      </c>
      <c r="D173" s="429" t="s">
        <v>1347</v>
      </c>
      <c r="E173" s="1016">
        <v>129.22968054993936</v>
      </c>
      <c r="F173" s="427"/>
      <c r="G173" s="1083">
        <f t="shared" si="2"/>
        <v>-129.22968054993936</v>
      </c>
      <c r="I173" s="1061">
        <v>0</v>
      </c>
    </row>
    <row r="174" spans="2:10">
      <c r="B174" s="1010" t="s">
        <v>910</v>
      </c>
      <c r="C174" s="1067">
        <v>2011</v>
      </c>
      <c r="D174" s="429" t="s">
        <v>1348</v>
      </c>
      <c r="E174" s="1016">
        <v>0</v>
      </c>
      <c r="F174" s="427"/>
      <c r="G174" s="1083">
        <f t="shared" si="2"/>
        <v>0</v>
      </c>
      <c r="I174" s="1061">
        <v>0</v>
      </c>
    </row>
    <row r="175" spans="2:10">
      <c r="B175" s="1010" t="s">
        <v>911</v>
      </c>
      <c r="C175" s="1067">
        <v>2011</v>
      </c>
      <c r="D175" s="429" t="s">
        <v>1349</v>
      </c>
      <c r="E175" s="1016">
        <v>0</v>
      </c>
      <c r="F175" s="427"/>
      <c r="G175" s="1083">
        <f t="shared" si="2"/>
        <v>342</v>
      </c>
      <c r="I175" s="1061">
        <v>342</v>
      </c>
    </row>
    <row r="176" spans="2:10">
      <c r="B176" s="1010" t="s">
        <v>912</v>
      </c>
      <c r="C176" s="1067">
        <v>2011</v>
      </c>
      <c r="D176" s="429" t="s">
        <v>1350</v>
      </c>
      <c r="E176" s="1016">
        <v>0</v>
      </c>
      <c r="F176" s="427"/>
      <c r="G176" s="1083">
        <f t="shared" si="2"/>
        <v>0</v>
      </c>
      <c r="I176" s="1061">
        <v>0</v>
      </c>
    </row>
    <row r="177" spans="2:10">
      <c r="B177" s="1010" t="s">
        <v>913</v>
      </c>
      <c r="C177" s="1067">
        <v>2011</v>
      </c>
      <c r="D177" s="429" t="s">
        <v>1351</v>
      </c>
      <c r="E177" s="1016">
        <v>0</v>
      </c>
      <c r="F177" s="427"/>
      <c r="G177" s="1083">
        <f t="shared" si="2"/>
        <v>0</v>
      </c>
      <c r="I177" s="1061">
        <v>0</v>
      </c>
    </row>
    <row r="178" spans="2:10">
      <c r="B178" s="1010" t="s">
        <v>914</v>
      </c>
      <c r="C178" s="1067">
        <v>2011</v>
      </c>
      <c r="D178" s="429" t="s">
        <v>1352</v>
      </c>
      <c r="E178" s="1016">
        <v>415.61497326203215</v>
      </c>
      <c r="F178" s="427"/>
      <c r="G178" s="1083">
        <f t="shared" si="2"/>
        <v>162.38502673796785</v>
      </c>
      <c r="I178" s="1061">
        <v>578</v>
      </c>
    </row>
    <row r="179" spans="2:10">
      <c r="B179" s="1010" t="s">
        <v>915</v>
      </c>
      <c r="C179" s="1067">
        <v>2011</v>
      </c>
      <c r="D179" s="429" t="s">
        <v>1353</v>
      </c>
      <c r="E179" s="1016">
        <v>15.640384615384615</v>
      </c>
      <c r="F179" s="427"/>
      <c r="G179" s="1083">
        <f t="shared" si="2"/>
        <v>204.35961538461538</v>
      </c>
      <c r="I179" s="1061">
        <v>220</v>
      </c>
    </row>
    <row r="180" spans="2:10">
      <c r="B180" s="1010" t="s">
        <v>916</v>
      </c>
      <c r="C180" s="1067">
        <v>2011</v>
      </c>
      <c r="D180" s="429" t="s">
        <v>1354</v>
      </c>
      <c r="E180" s="1016">
        <v>0</v>
      </c>
      <c r="F180" s="427"/>
      <c r="G180" s="1083">
        <f t="shared" si="2"/>
        <v>0</v>
      </c>
      <c r="I180" s="1061">
        <v>0</v>
      </c>
    </row>
    <row r="181" spans="2:10">
      <c r="B181" s="1010" t="s">
        <v>917</v>
      </c>
      <c r="C181" s="1067">
        <v>2011</v>
      </c>
      <c r="D181" s="429" t="s">
        <v>1355</v>
      </c>
      <c r="E181" s="1016">
        <v>0</v>
      </c>
      <c r="F181" s="427"/>
      <c r="G181" s="1083">
        <f t="shared" si="2"/>
        <v>0</v>
      </c>
      <c r="I181" s="1061">
        <v>0</v>
      </c>
    </row>
    <row r="182" spans="2:10">
      <c r="B182" s="1010" t="s">
        <v>918</v>
      </c>
      <c r="C182" s="1067">
        <v>2011</v>
      </c>
      <c r="D182" s="429" t="s">
        <v>1356</v>
      </c>
      <c r="E182" s="1016">
        <v>0</v>
      </c>
      <c r="F182" s="427"/>
      <c r="G182" s="1083">
        <f t="shared" si="2"/>
        <v>0</v>
      </c>
      <c r="I182" s="1061">
        <v>0</v>
      </c>
    </row>
    <row r="183" spans="2:10">
      <c r="B183" s="1010" t="s">
        <v>919</v>
      </c>
      <c r="C183" s="1067">
        <v>2011</v>
      </c>
      <c r="D183" s="429" t="s">
        <v>1357</v>
      </c>
      <c r="E183" s="1016">
        <v>0</v>
      </c>
      <c r="F183" s="427"/>
      <c r="G183" s="1083">
        <f t="shared" si="2"/>
        <v>0</v>
      </c>
      <c r="I183" s="1061">
        <v>0</v>
      </c>
    </row>
    <row r="184" spans="2:10">
      <c r="B184" s="1010" t="s">
        <v>1392</v>
      </c>
      <c r="C184" s="1067">
        <v>2011</v>
      </c>
      <c r="D184" s="429" t="s">
        <v>1393</v>
      </c>
      <c r="E184" s="1069" t="s">
        <v>1393</v>
      </c>
      <c r="F184" s="427"/>
      <c r="G184" s="1083">
        <f>I184-0</f>
        <v>150</v>
      </c>
      <c r="I184" s="1061">
        <v>150</v>
      </c>
    </row>
    <row r="185" spans="2:10">
      <c r="B185" s="1068" t="s">
        <v>1324</v>
      </c>
      <c r="C185" s="1067"/>
      <c r="D185" s="429"/>
      <c r="E185" s="429"/>
      <c r="F185" s="429"/>
      <c r="G185" s="429"/>
      <c r="H185" s="429"/>
      <c r="I185" s="540"/>
      <c r="J185" s="429"/>
    </row>
    <row r="186" spans="2:10">
      <c r="B186" s="1010" t="s">
        <v>908</v>
      </c>
      <c r="C186" s="1067">
        <v>2012</v>
      </c>
      <c r="D186" s="429" t="s">
        <v>1358</v>
      </c>
      <c r="E186" s="1016">
        <v>1</v>
      </c>
      <c r="F186" s="427"/>
      <c r="G186" s="1083">
        <f>I186-E186</f>
        <v>290</v>
      </c>
      <c r="I186" s="1061">
        <v>291</v>
      </c>
    </row>
    <row r="187" spans="2:10">
      <c r="B187" s="1010" t="s">
        <v>909</v>
      </c>
      <c r="C187" s="1067">
        <v>2012</v>
      </c>
      <c r="D187" s="429" t="s">
        <v>1359</v>
      </c>
      <c r="E187" s="1016">
        <v>147</v>
      </c>
      <c r="F187" s="427"/>
      <c r="G187" s="1083">
        <f t="shared" ref="G187:G202" si="3">I187-E187</f>
        <v>-15</v>
      </c>
      <c r="I187" s="1061">
        <v>132</v>
      </c>
    </row>
    <row r="188" spans="2:10">
      <c r="B188" s="1010" t="s">
        <v>677</v>
      </c>
      <c r="C188" s="1067">
        <v>2012</v>
      </c>
      <c r="D188" s="429" t="s">
        <v>1360</v>
      </c>
      <c r="E188" s="1016">
        <v>6</v>
      </c>
      <c r="F188" s="427"/>
      <c r="G188" s="1083">
        <f t="shared" si="3"/>
        <v>3</v>
      </c>
      <c r="I188" s="1061">
        <v>9</v>
      </c>
    </row>
    <row r="189" spans="2:10">
      <c r="B189" s="1010" t="s">
        <v>676</v>
      </c>
      <c r="C189" s="1067">
        <v>2012</v>
      </c>
      <c r="D189" s="429" t="s">
        <v>1361</v>
      </c>
      <c r="E189" s="1016">
        <v>6</v>
      </c>
      <c r="F189" s="427"/>
      <c r="G189" s="1083">
        <f t="shared" si="3"/>
        <v>-3</v>
      </c>
      <c r="I189" s="1061">
        <v>3</v>
      </c>
    </row>
    <row r="190" spans="2:10">
      <c r="B190" s="1010" t="s">
        <v>695</v>
      </c>
      <c r="C190" s="1067">
        <v>2012</v>
      </c>
      <c r="D190" s="429" t="s">
        <v>1362</v>
      </c>
      <c r="E190" s="1016">
        <v>2</v>
      </c>
      <c r="F190" s="427"/>
      <c r="G190" s="1083">
        <f t="shared" si="3"/>
        <v>3</v>
      </c>
      <c r="I190" s="1061">
        <v>5</v>
      </c>
    </row>
    <row r="191" spans="2:10">
      <c r="B191" s="1010" t="s">
        <v>697</v>
      </c>
      <c r="C191" s="1067">
        <v>2012</v>
      </c>
      <c r="D191" s="429" t="s">
        <v>1363</v>
      </c>
      <c r="E191" s="1016">
        <v>4</v>
      </c>
      <c r="F191" s="427"/>
      <c r="G191" s="1083">
        <f t="shared" si="3"/>
        <v>0</v>
      </c>
      <c r="I191" s="1061">
        <v>4</v>
      </c>
    </row>
    <row r="192" spans="2:10">
      <c r="B192" s="1010" t="s">
        <v>910</v>
      </c>
      <c r="C192" s="1067">
        <v>2012</v>
      </c>
      <c r="D192" s="429" t="s">
        <v>1364</v>
      </c>
      <c r="E192" s="1016">
        <v>0</v>
      </c>
      <c r="F192" s="427"/>
      <c r="G192" s="1083">
        <f t="shared" si="3"/>
        <v>0</v>
      </c>
      <c r="I192" s="1061">
        <v>0</v>
      </c>
    </row>
    <row r="193" spans="2:10">
      <c r="B193" s="1010" t="s">
        <v>911</v>
      </c>
      <c r="C193" s="1067">
        <v>2012</v>
      </c>
      <c r="D193" s="429" t="s">
        <v>1365</v>
      </c>
      <c r="E193" s="1016">
        <v>0</v>
      </c>
      <c r="F193" s="427"/>
      <c r="G193" s="1083">
        <f t="shared" si="3"/>
        <v>1</v>
      </c>
      <c r="I193" s="1061">
        <v>1</v>
      </c>
    </row>
    <row r="194" spans="2:10">
      <c r="B194" s="1010" t="s">
        <v>912</v>
      </c>
      <c r="C194" s="1067">
        <v>2012</v>
      </c>
      <c r="D194" s="429" t="s">
        <v>1366</v>
      </c>
      <c r="E194" s="1016">
        <v>0</v>
      </c>
      <c r="F194" s="427"/>
      <c r="G194" s="1083">
        <f t="shared" si="3"/>
        <v>3</v>
      </c>
      <c r="I194" s="1061">
        <v>3</v>
      </c>
    </row>
    <row r="195" spans="2:10">
      <c r="B195" s="1010" t="s">
        <v>913</v>
      </c>
      <c r="C195" s="1067">
        <v>2012</v>
      </c>
      <c r="D195" s="429" t="s">
        <v>1367</v>
      </c>
      <c r="E195" s="1016">
        <v>0</v>
      </c>
      <c r="F195" s="427"/>
      <c r="G195" s="1083">
        <f t="shared" si="3"/>
        <v>0</v>
      </c>
      <c r="I195" s="1061">
        <v>0</v>
      </c>
    </row>
    <row r="196" spans="2:10">
      <c r="B196" s="1010" t="s">
        <v>914</v>
      </c>
      <c r="C196" s="1067">
        <v>2012</v>
      </c>
      <c r="D196" s="429" t="s">
        <v>1368</v>
      </c>
      <c r="E196" s="1016">
        <v>0</v>
      </c>
      <c r="F196" s="427"/>
      <c r="G196" s="1083">
        <f t="shared" si="3"/>
        <v>4</v>
      </c>
      <c r="I196" s="1061">
        <v>4</v>
      </c>
    </row>
    <row r="197" spans="2:10">
      <c r="B197" s="1010" t="s">
        <v>915</v>
      </c>
      <c r="C197" s="1067">
        <v>2012</v>
      </c>
      <c r="D197" s="429" t="s">
        <v>1369</v>
      </c>
      <c r="E197" s="1016">
        <v>0</v>
      </c>
      <c r="F197" s="427"/>
      <c r="G197" s="1083">
        <f t="shared" si="3"/>
        <v>3</v>
      </c>
      <c r="I197" s="1061">
        <v>3</v>
      </c>
    </row>
    <row r="198" spans="2:10">
      <c r="B198" s="1010" t="s">
        <v>916</v>
      </c>
      <c r="C198" s="1067">
        <v>2012</v>
      </c>
      <c r="D198" s="429" t="s">
        <v>1370</v>
      </c>
      <c r="E198" s="1016">
        <v>0</v>
      </c>
      <c r="F198" s="427"/>
      <c r="G198" s="1083">
        <f t="shared" si="3"/>
        <v>0</v>
      </c>
      <c r="I198" s="1061">
        <v>0</v>
      </c>
    </row>
    <row r="199" spans="2:10">
      <c r="B199" s="1010" t="s">
        <v>917</v>
      </c>
      <c r="C199" s="1067">
        <v>2012</v>
      </c>
      <c r="D199" s="429" t="s">
        <v>1371</v>
      </c>
      <c r="E199" s="1016">
        <v>0</v>
      </c>
      <c r="F199" s="427"/>
      <c r="G199" s="1083">
        <f t="shared" si="3"/>
        <v>0</v>
      </c>
      <c r="I199" s="1061">
        <v>0</v>
      </c>
    </row>
    <row r="200" spans="2:10">
      <c r="B200" s="1010" t="s">
        <v>918</v>
      </c>
      <c r="C200" s="1067">
        <v>2012</v>
      </c>
      <c r="D200" s="429" t="s">
        <v>1372</v>
      </c>
      <c r="E200" s="1016">
        <v>0</v>
      </c>
      <c r="F200" s="427"/>
      <c r="G200" s="1083">
        <f t="shared" si="3"/>
        <v>0</v>
      </c>
      <c r="I200" s="1061">
        <v>0</v>
      </c>
    </row>
    <row r="201" spans="2:10">
      <c r="B201" s="1010" t="s">
        <v>919</v>
      </c>
      <c r="C201" s="1067">
        <v>2012</v>
      </c>
      <c r="D201" s="429" t="s">
        <v>1373</v>
      </c>
      <c r="E201" s="1016">
        <v>0</v>
      </c>
      <c r="F201" s="427"/>
      <c r="G201" s="1083">
        <f t="shared" si="3"/>
        <v>0</v>
      </c>
      <c r="I201" s="1061">
        <v>0</v>
      </c>
    </row>
    <row r="202" spans="2:10">
      <c r="B202" s="1010" t="s">
        <v>920</v>
      </c>
      <c r="C202" s="1067">
        <v>2012</v>
      </c>
      <c r="D202" s="429" t="s">
        <v>1374</v>
      </c>
      <c r="E202" s="1016">
        <v>0</v>
      </c>
      <c r="F202" s="427"/>
      <c r="G202" s="1083">
        <f t="shared" si="3"/>
        <v>0</v>
      </c>
      <c r="I202" s="1061"/>
    </row>
    <row r="203" spans="2:10">
      <c r="B203" s="1068" t="s">
        <v>1325</v>
      </c>
      <c r="C203" s="1067"/>
      <c r="E203" s="429"/>
      <c r="F203" s="429"/>
      <c r="G203" s="429"/>
      <c r="H203" s="429"/>
      <c r="I203" s="429"/>
      <c r="J203" s="429"/>
    </row>
    <row r="204" spans="2:10">
      <c r="B204" s="1010" t="s">
        <v>908</v>
      </c>
      <c r="C204" s="1067">
        <v>2012</v>
      </c>
      <c r="D204" s="429" t="s">
        <v>1375</v>
      </c>
      <c r="E204" s="1016">
        <v>25</v>
      </c>
      <c r="F204" s="427"/>
      <c r="G204" s="1083">
        <f>I204-E204</f>
        <v>-25</v>
      </c>
      <c r="I204" s="1061">
        <v>0</v>
      </c>
    </row>
    <row r="205" spans="2:10">
      <c r="B205" s="1010" t="s">
        <v>909</v>
      </c>
      <c r="C205" s="1067">
        <v>2012</v>
      </c>
      <c r="D205" s="429" t="s">
        <v>1376</v>
      </c>
      <c r="E205" s="1016">
        <v>92</v>
      </c>
      <c r="F205" s="427"/>
      <c r="G205" s="1083">
        <f t="shared" ref="G205:G220" si="4">I205-E205</f>
        <v>229</v>
      </c>
      <c r="I205" s="1061">
        <v>321</v>
      </c>
    </row>
    <row r="206" spans="2:10">
      <c r="B206" s="1010" t="s">
        <v>677</v>
      </c>
      <c r="C206" s="1067">
        <v>2012</v>
      </c>
      <c r="D206" s="429" t="s">
        <v>1377</v>
      </c>
      <c r="E206" s="1016">
        <v>128</v>
      </c>
      <c r="F206" s="427"/>
      <c r="G206" s="1083">
        <f t="shared" si="4"/>
        <v>-43</v>
      </c>
      <c r="I206" s="1061">
        <v>85</v>
      </c>
    </row>
    <row r="207" spans="2:10">
      <c r="B207" s="1010" t="s">
        <v>676</v>
      </c>
      <c r="C207" s="1067">
        <v>2012</v>
      </c>
      <c r="D207" s="429" t="s">
        <v>1378</v>
      </c>
      <c r="E207" s="1016">
        <v>162</v>
      </c>
      <c r="F207" s="427"/>
      <c r="G207" s="1083">
        <f t="shared" si="4"/>
        <v>-162</v>
      </c>
      <c r="I207" s="1061">
        <v>0</v>
      </c>
    </row>
    <row r="208" spans="2:10">
      <c r="B208" s="1010" t="s">
        <v>695</v>
      </c>
      <c r="C208" s="1067">
        <v>2012</v>
      </c>
      <c r="D208" s="429" t="s">
        <v>1379</v>
      </c>
      <c r="E208" s="1016">
        <v>0</v>
      </c>
      <c r="F208" s="427"/>
      <c r="G208" s="1083">
        <f t="shared" si="4"/>
        <v>9</v>
      </c>
      <c r="I208" s="1061">
        <v>9</v>
      </c>
    </row>
    <row r="209" spans="2:12">
      <c r="B209" s="1010" t="s">
        <v>697</v>
      </c>
      <c r="C209" s="1067">
        <v>2012</v>
      </c>
      <c r="D209" s="429" t="s">
        <v>1380</v>
      </c>
      <c r="E209" s="1016">
        <v>130</v>
      </c>
      <c r="F209" s="427"/>
      <c r="G209" s="1083">
        <f t="shared" si="4"/>
        <v>-2</v>
      </c>
      <c r="I209" s="1061">
        <v>128</v>
      </c>
    </row>
    <row r="210" spans="2:12">
      <c r="B210" s="1010" t="s">
        <v>910</v>
      </c>
      <c r="C210" s="1067">
        <v>2012</v>
      </c>
      <c r="D210" s="429" t="s">
        <v>1381</v>
      </c>
      <c r="E210" s="1016">
        <v>0</v>
      </c>
      <c r="F210" s="427"/>
      <c r="G210" s="1083">
        <f t="shared" si="4"/>
        <v>0</v>
      </c>
      <c r="I210" s="1061">
        <v>0</v>
      </c>
    </row>
    <row r="211" spans="2:12">
      <c r="B211" s="1010" t="s">
        <v>911</v>
      </c>
      <c r="C211" s="1067">
        <v>2012</v>
      </c>
      <c r="D211" s="429" t="s">
        <v>1382</v>
      </c>
      <c r="E211" s="1016">
        <v>0</v>
      </c>
      <c r="F211" s="427"/>
      <c r="G211" s="1083">
        <f t="shared" si="4"/>
        <v>282</v>
      </c>
      <c r="I211" s="1061">
        <v>282</v>
      </c>
    </row>
    <row r="212" spans="2:12">
      <c r="B212" s="1010" t="s">
        <v>912</v>
      </c>
      <c r="C212" s="1067">
        <v>2012</v>
      </c>
      <c r="D212" s="429" t="s">
        <v>1383</v>
      </c>
      <c r="E212" s="1016">
        <v>0</v>
      </c>
      <c r="F212" s="427"/>
      <c r="G212" s="1083">
        <f t="shared" si="4"/>
        <v>308</v>
      </c>
      <c r="I212" s="1061">
        <v>308</v>
      </c>
    </row>
    <row r="213" spans="2:12">
      <c r="B213" s="1010" t="s">
        <v>913</v>
      </c>
      <c r="C213" s="1067">
        <v>2012</v>
      </c>
      <c r="D213" s="429" t="s">
        <v>1384</v>
      </c>
      <c r="E213" s="1016">
        <v>0</v>
      </c>
      <c r="F213" s="427"/>
      <c r="G213" s="1083">
        <f t="shared" si="4"/>
        <v>0</v>
      </c>
      <c r="I213" s="1061">
        <v>0</v>
      </c>
    </row>
    <row r="214" spans="2:12">
      <c r="B214" s="1010" t="s">
        <v>914</v>
      </c>
      <c r="C214" s="1067">
        <v>2012</v>
      </c>
      <c r="D214" s="429" t="s">
        <v>1385</v>
      </c>
      <c r="E214" s="1016">
        <v>0</v>
      </c>
      <c r="F214" s="427"/>
      <c r="G214" s="1083">
        <f t="shared" si="4"/>
        <v>281</v>
      </c>
      <c r="I214" s="1061">
        <v>281</v>
      </c>
    </row>
    <row r="215" spans="2:12">
      <c r="B215" s="1010" t="s">
        <v>915</v>
      </c>
      <c r="C215" s="1067">
        <v>2012</v>
      </c>
      <c r="D215" s="429" t="s">
        <v>1386</v>
      </c>
      <c r="E215" s="1016">
        <v>0</v>
      </c>
      <c r="F215" s="427"/>
      <c r="G215" s="1083">
        <f t="shared" si="4"/>
        <v>177</v>
      </c>
      <c r="I215" s="1061">
        <v>177</v>
      </c>
    </row>
    <row r="216" spans="2:12">
      <c r="B216" s="1010" t="s">
        <v>916</v>
      </c>
      <c r="C216" s="1067">
        <v>2012</v>
      </c>
      <c r="D216" s="429" t="s">
        <v>1387</v>
      </c>
      <c r="E216" s="1016">
        <v>0</v>
      </c>
      <c r="F216" s="427"/>
      <c r="G216" s="1083">
        <f t="shared" si="4"/>
        <v>0</v>
      </c>
      <c r="I216" s="1061">
        <v>0</v>
      </c>
    </row>
    <row r="217" spans="2:12">
      <c r="B217" s="1010" t="s">
        <v>917</v>
      </c>
      <c r="C217" s="1067">
        <v>2012</v>
      </c>
      <c r="D217" s="429" t="s">
        <v>1388</v>
      </c>
      <c r="E217" s="1016">
        <v>0</v>
      </c>
      <c r="F217" s="427"/>
      <c r="G217" s="1083">
        <f t="shared" si="4"/>
        <v>0</v>
      </c>
      <c r="I217" s="1061">
        <v>0</v>
      </c>
    </row>
    <row r="218" spans="2:12">
      <c r="B218" s="1010" t="s">
        <v>918</v>
      </c>
      <c r="C218" s="1067">
        <v>2012</v>
      </c>
      <c r="D218" s="429" t="s">
        <v>1389</v>
      </c>
      <c r="E218" s="1016">
        <v>0</v>
      </c>
      <c r="F218" s="427"/>
      <c r="G218" s="1083">
        <f t="shared" si="4"/>
        <v>0</v>
      </c>
      <c r="I218" s="1061">
        <v>0</v>
      </c>
    </row>
    <row r="219" spans="2:12">
      <c r="B219" s="1010" t="s">
        <v>919</v>
      </c>
      <c r="C219" s="1067">
        <v>2012</v>
      </c>
      <c r="D219" s="429" t="s">
        <v>1390</v>
      </c>
      <c r="E219" s="1016">
        <v>0</v>
      </c>
      <c r="F219" s="427"/>
      <c r="G219" s="1083">
        <f t="shared" si="4"/>
        <v>0</v>
      </c>
      <c r="I219" s="1061">
        <v>0</v>
      </c>
    </row>
    <row r="220" spans="2:12">
      <c r="B220" s="1010" t="s">
        <v>920</v>
      </c>
      <c r="C220" s="1067">
        <v>2012</v>
      </c>
      <c r="D220" s="429" t="s">
        <v>1391</v>
      </c>
      <c r="E220" s="1016">
        <v>0</v>
      </c>
      <c r="F220" s="427"/>
      <c r="G220" s="1083">
        <f t="shared" si="4"/>
        <v>0</v>
      </c>
      <c r="I220" s="1061"/>
    </row>
    <row r="221" spans="2:12">
      <c r="B221" s="429"/>
      <c r="C221" s="1056"/>
      <c r="D221" s="1056"/>
      <c r="E221" s="1056"/>
      <c r="F221" s="1056"/>
      <c r="G221" s="1056"/>
      <c r="H221" s="1056"/>
      <c r="I221" s="1056"/>
      <c r="J221" s="427"/>
      <c r="K221" s="427"/>
      <c r="L221" s="427"/>
    </row>
    <row r="222" spans="2:12">
      <c r="B222" s="1075" t="s">
        <v>1398</v>
      </c>
      <c r="C222" s="1056"/>
      <c r="D222" s="1056"/>
      <c r="E222" s="1056"/>
      <c r="F222" s="1056"/>
      <c r="G222" s="1056"/>
      <c r="H222" s="1056"/>
      <c r="I222" s="1056"/>
      <c r="J222" s="427"/>
      <c r="K222" s="427"/>
      <c r="L222" s="427"/>
    </row>
    <row r="223" spans="2:12">
      <c r="B223" s="1068" t="s">
        <v>1394</v>
      </c>
      <c r="C223" s="1056"/>
      <c r="D223" s="1056"/>
      <c r="E223" s="1056"/>
      <c r="F223" s="1056"/>
      <c r="G223" s="1056"/>
      <c r="H223" s="1056"/>
      <c r="I223" s="1056"/>
      <c r="J223" s="427"/>
      <c r="K223" s="427"/>
      <c r="L223" s="427"/>
    </row>
    <row r="224" spans="2:12">
      <c r="B224" s="1010" t="s">
        <v>1392</v>
      </c>
      <c r="C224" s="1056">
        <v>2011</v>
      </c>
      <c r="D224" s="429" t="s">
        <v>1396</v>
      </c>
      <c r="E224" s="1069" t="s">
        <v>1393</v>
      </c>
      <c r="F224" s="1056"/>
      <c r="G224" s="1056"/>
      <c r="H224" s="1056"/>
      <c r="I224" s="1076">
        <v>174413</v>
      </c>
      <c r="J224" s="427"/>
      <c r="K224" s="427"/>
      <c r="L224" s="427"/>
    </row>
    <row r="225" spans="2:12">
      <c r="B225" s="1068" t="s">
        <v>1395</v>
      </c>
      <c r="C225" s="1056"/>
      <c r="D225" s="1056"/>
      <c r="E225" s="1056"/>
      <c r="F225" s="1056"/>
      <c r="G225" s="1056"/>
      <c r="H225" s="1056"/>
      <c r="I225" s="1056"/>
      <c r="J225" s="427"/>
      <c r="K225" s="427"/>
      <c r="L225" s="427"/>
    </row>
    <row r="226" spans="2:12">
      <c r="B226" s="1010" t="s">
        <v>1392</v>
      </c>
      <c r="C226" s="1056">
        <v>2011</v>
      </c>
      <c r="D226" s="429" t="s">
        <v>1397</v>
      </c>
      <c r="E226" s="1069" t="s">
        <v>1393</v>
      </c>
      <c r="F226" s="1056"/>
      <c r="G226" s="1056"/>
      <c r="H226" s="1056"/>
      <c r="I226" s="1076">
        <v>150.75</v>
      </c>
      <c r="J226" s="427"/>
      <c r="K226" s="427"/>
      <c r="L226" s="427"/>
    </row>
    <row r="227" spans="2:12">
      <c r="B227" s="429"/>
      <c r="C227" s="429"/>
      <c r="D227" s="1056"/>
      <c r="E227" s="1056"/>
      <c r="F227" s="1056"/>
      <c r="G227" s="1056"/>
      <c r="H227" s="1056"/>
      <c r="I227" s="1056"/>
      <c r="J227" s="427"/>
      <c r="K227" s="427"/>
      <c r="L227" s="427"/>
    </row>
    <row r="228" spans="2:12">
      <c r="B228" s="429"/>
      <c r="C228" s="429"/>
      <c r="D228" s="1056"/>
      <c r="E228" s="1056"/>
      <c r="F228" s="1056"/>
      <c r="G228" s="1056"/>
      <c r="H228" s="1056"/>
      <c r="I228" s="1056"/>
      <c r="J228" s="427"/>
      <c r="K228" s="427"/>
      <c r="L228" s="427"/>
    </row>
    <row r="229" spans="2:12" s="1012" customFormat="1">
      <c r="B229" s="1013" t="s">
        <v>1307</v>
      </c>
    </row>
    <row r="231" spans="2:12">
      <c r="B231" s="1010" t="s">
        <v>1170</v>
      </c>
      <c r="E231" s="1010" t="s">
        <v>1491</v>
      </c>
    </row>
    <row r="233" spans="2:12">
      <c r="B233" s="427" t="s">
        <v>1143</v>
      </c>
      <c r="C233" s="427"/>
      <c r="D233" s="1020" t="s">
        <v>1151</v>
      </c>
      <c r="E233" s="427" t="s">
        <v>1144</v>
      </c>
      <c r="F233" s="427"/>
      <c r="H233" s="429"/>
      <c r="I233" s="427" t="s">
        <v>1145</v>
      </c>
    </row>
    <row r="234" spans="2:12">
      <c r="B234" s="50" t="s">
        <v>483</v>
      </c>
      <c r="D234" s="1010" t="s">
        <v>1400</v>
      </c>
      <c r="E234" s="1175">
        <v>-9.8403939713011847E-3</v>
      </c>
      <c r="F234" s="1176"/>
      <c r="G234" s="1176"/>
      <c r="H234" s="1176"/>
      <c r="I234" s="1177">
        <v>-5.3188850905792244E-3</v>
      </c>
    </row>
    <row r="235" spans="2:12">
      <c r="B235" s="50" t="s">
        <v>484</v>
      </c>
      <c r="D235" s="1010" t="s">
        <v>1401</v>
      </c>
      <c r="E235" s="1175">
        <v>-1.2008105072161218E-2</v>
      </c>
      <c r="F235" s="1176"/>
      <c r="G235" s="1176"/>
      <c r="H235" s="1176"/>
      <c r="I235" s="1177">
        <v>-2.0735154963991833E-2</v>
      </c>
    </row>
    <row r="236" spans="2:12">
      <c r="B236" s="50" t="s">
        <v>485</v>
      </c>
      <c r="D236" s="1010" t="s">
        <v>1402</v>
      </c>
      <c r="E236" s="1175">
        <v>-4.4706429533366836E-2</v>
      </c>
      <c r="F236" s="1176"/>
      <c r="G236" s="1176"/>
      <c r="H236" s="1176"/>
      <c r="I236" s="1177">
        <v>-3.5343875767043995E-2</v>
      </c>
    </row>
    <row r="239" spans="2:12" s="1012" customFormat="1">
      <c r="B239" s="1013" t="s">
        <v>1480</v>
      </c>
    </row>
    <row r="241" spans="2:9">
      <c r="B241" s="1010" t="s">
        <v>1170</v>
      </c>
      <c r="E241" s="1010" t="s">
        <v>1481</v>
      </c>
    </row>
    <row r="243" spans="2:9">
      <c r="B243" s="427" t="s">
        <v>1143</v>
      </c>
      <c r="C243" s="427"/>
      <c r="D243" s="1020" t="s">
        <v>1151</v>
      </c>
      <c r="E243" s="427" t="s">
        <v>1144</v>
      </c>
      <c r="F243" s="427"/>
      <c r="H243" s="429"/>
      <c r="I243" s="427" t="s">
        <v>1145</v>
      </c>
    </row>
    <row r="244" spans="2:9">
      <c r="B244" s="50" t="s">
        <v>1482</v>
      </c>
      <c r="D244" s="1010" t="s">
        <v>1490</v>
      </c>
      <c r="E244" s="1135">
        <v>2.09</v>
      </c>
      <c r="I244" s="1076">
        <v>2.0499999999999998</v>
      </c>
    </row>
    <row r="245" spans="2:9">
      <c r="B245" s="50" t="s">
        <v>1483</v>
      </c>
      <c r="D245" s="1010" t="s">
        <v>1490</v>
      </c>
      <c r="E245" s="1135">
        <v>0.02</v>
      </c>
      <c r="I245" s="1076">
        <v>0.02</v>
      </c>
    </row>
    <row r="246" spans="2:9">
      <c r="B246" s="50" t="s">
        <v>1484</v>
      </c>
      <c r="D246" s="1010" t="s">
        <v>1490</v>
      </c>
      <c r="E246" s="1135">
        <v>0.98</v>
      </c>
      <c r="I246" s="1076">
        <v>0.99</v>
      </c>
    </row>
    <row r="247" spans="2:9">
      <c r="B247" s="50" t="s">
        <v>1485</v>
      </c>
      <c r="D247" s="1010" t="s">
        <v>1490</v>
      </c>
      <c r="E247" s="1135">
        <v>0.04</v>
      </c>
      <c r="I247" s="1076">
        <v>0.04</v>
      </c>
    </row>
    <row r="248" spans="2:9">
      <c r="B248" s="50" t="s">
        <v>1486</v>
      </c>
      <c r="D248" s="1010" t="s">
        <v>1490</v>
      </c>
      <c r="E248" s="1135">
        <v>-0.18</v>
      </c>
      <c r="I248" s="1076">
        <v>-0.18</v>
      </c>
    </row>
    <row r="249" spans="2:9">
      <c r="B249" s="50" t="s">
        <v>1487</v>
      </c>
      <c r="D249" s="1010" t="s">
        <v>1490</v>
      </c>
      <c r="E249" s="1135">
        <v>1.25</v>
      </c>
      <c r="I249" s="1076">
        <v>1.25</v>
      </c>
    </row>
    <row r="250" spans="2:9">
      <c r="B250" s="50" t="s">
        <v>1488</v>
      </c>
      <c r="D250" s="1010" t="s">
        <v>1490</v>
      </c>
      <c r="E250" s="1135">
        <v>9.9999999999999992E-2</v>
      </c>
      <c r="I250" s="1076">
        <v>9.9999999999999992E-2</v>
      </c>
    </row>
    <row r="251" spans="2:9">
      <c r="B251" s="50" t="s">
        <v>1489</v>
      </c>
      <c r="D251" s="1010" t="s">
        <v>1490</v>
      </c>
      <c r="E251" s="1135">
        <v>0.02</v>
      </c>
      <c r="I251" s="1076">
        <v>0.02</v>
      </c>
    </row>
    <row r="292" spans="1:25" s="1015" customFormat="1">
      <c r="A292" s="1012"/>
      <c r="B292" s="1012"/>
      <c r="C292" s="1012"/>
      <c r="D292" s="1012"/>
      <c r="E292" s="1012"/>
      <c r="F292" s="1012"/>
      <c r="G292" s="1012"/>
      <c r="H292" s="1012"/>
      <c r="I292" s="1012"/>
      <c r="J292" s="1012"/>
      <c r="K292" s="1012"/>
      <c r="L292" s="1012"/>
      <c r="M292" s="1012"/>
      <c r="N292" s="1012"/>
      <c r="O292" s="1012"/>
      <c r="P292" s="1012"/>
      <c r="Q292" s="1012"/>
      <c r="R292" s="1012"/>
      <c r="S292" s="1012"/>
      <c r="T292" s="1012"/>
      <c r="U292" s="1012"/>
      <c r="V292" s="1012"/>
      <c r="W292" s="1012"/>
      <c r="X292" s="1012"/>
      <c r="Y292" s="1012"/>
    </row>
    <row r="300" spans="1:25" s="1015" customFormat="1">
      <c r="A300" s="1012"/>
      <c r="B300" s="1012"/>
      <c r="C300" s="1012"/>
      <c r="D300" s="1012"/>
      <c r="E300" s="1012"/>
      <c r="F300" s="1012"/>
      <c r="G300" s="1012"/>
      <c r="H300" s="1012"/>
      <c r="I300" s="1012"/>
      <c r="J300" s="1012"/>
      <c r="K300" s="1012"/>
      <c r="L300" s="1012"/>
      <c r="M300" s="1012"/>
      <c r="N300" s="1012"/>
      <c r="O300" s="1012"/>
      <c r="P300" s="1012"/>
      <c r="Q300" s="1012"/>
      <c r="R300" s="1012"/>
      <c r="S300" s="1012"/>
      <c r="T300" s="1012"/>
      <c r="U300" s="1012"/>
      <c r="V300" s="1012"/>
      <c r="W300" s="1012"/>
      <c r="X300" s="1012"/>
      <c r="Y300" s="1012"/>
    </row>
    <row r="322" spans="1:25" s="1015" customFormat="1">
      <c r="A322" s="1012"/>
      <c r="B322" s="1012"/>
      <c r="C322" s="1012"/>
      <c r="D322" s="1012"/>
      <c r="E322" s="1012"/>
      <c r="F322" s="1012"/>
      <c r="G322" s="1012"/>
      <c r="H322" s="1012"/>
      <c r="I322" s="1012"/>
      <c r="J322" s="1012"/>
      <c r="K322" s="1012"/>
      <c r="L322" s="1012"/>
      <c r="M322" s="1012"/>
      <c r="N322" s="1012"/>
      <c r="O322" s="1012"/>
      <c r="P322" s="1012"/>
      <c r="Q322" s="1012"/>
      <c r="R322" s="1012"/>
      <c r="S322" s="1012"/>
      <c r="T322" s="1012"/>
      <c r="U322" s="1012"/>
      <c r="V322" s="1012"/>
      <c r="W322" s="1012"/>
      <c r="X322" s="1012"/>
      <c r="Y322" s="1012"/>
    </row>
  </sheetData>
  <mergeCells count="2">
    <mergeCell ref="D76:D78"/>
    <mergeCell ref="E45:G45"/>
  </mergeCells>
  <pageMargins left="0.74803149606299213" right="0.74803149606299213" top="0.98425196850393704" bottom="0.98425196850393704" header="0.51181102362204722" footer="0.51181102362204722"/>
  <pageSetup paperSize="8" scale="50"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rgb="FFCCFFCC"/>
  </sheetPr>
  <dimension ref="B1:AC121"/>
  <sheetViews>
    <sheetView showGridLines="0" zoomScale="85" zoomScaleNormal="85" workbookViewId="0"/>
  </sheetViews>
  <sheetFormatPr defaultRowHeight="12.75"/>
  <cols>
    <col min="1" max="1" width="9.140625" style="210"/>
    <col min="2" max="2" width="47.7109375" style="210" bestFit="1" customWidth="1"/>
    <col min="3" max="3" width="11.140625" style="210" bestFit="1" customWidth="1"/>
    <col min="4" max="4" width="9" style="210" bestFit="1" customWidth="1"/>
    <col min="5" max="5" width="8.140625" style="238" customWidth="1"/>
    <col min="6" max="6" width="44.85546875" style="210" bestFit="1" customWidth="1"/>
    <col min="7" max="7" width="11.140625" style="210" bestFit="1" customWidth="1"/>
    <col min="8" max="8" width="9" style="210" bestFit="1" customWidth="1"/>
    <col min="9" max="9" width="8.7109375" style="238" customWidth="1"/>
    <col min="10" max="10" width="44.85546875" style="210" bestFit="1" customWidth="1"/>
    <col min="11" max="11" width="11.140625" style="210" bestFit="1" customWidth="1"/>
    <col min="12" max="12" width="9.85546875" style="210" bestFit="1" customWidth="1"/>
    <col min="13" max="13" width="8.140625" style="238" customWidth="1"/>
    <col min="14" max="14" width="47.5703125" style="210" bestFit="1" customWidth="1"/>
    <col min="15" max="15" width="11.140625" style="210" bestFit="1" customWidth="1"/>
    <col min="16" max="16" width="9.85546875" style="210" bestFit="1" customWidth="1"/>
    <col min="17" max="17" width="8.140625" style="238" customWidth="1"/>
    <col min="18" max="18" width="47.5703125" style="210" bestFit="1" customWidth="1"/>
    <col min="19" max="19" width="9.85546875" style="210" bestFit="1" customWidth="1"/>
    <col min="20" max="20" width="8.140625" style="210" bestFit="1" customWidth="1"/>
    <col min="21" max="21" width="9.140625" style="210"/>
    <col min="22" max="22" width="39.42578125" style="210" bestFit="1" customWidth="1"/>
    <col min="23" max="23" width="11.140625" style="210" bestFit="1" customWidth="1"/>
    <col min="24" max="24" width="9.85546875" style="210" bestFit="1" customWidth="1"/>
    <col min="25" max="16384" width="9.140625" style="210"/>
  </cols>
  <sheetData>
    <row r="1" spans="2:24">
      <c r="B1" s="513" t="s">
        <v>842</v>
      </c>
      <c r="C1" s="513" t="s">
        <v>650</v>
      </c>
      <c r="D1" s="513" t="s">
        <v>325</v>
      </c>
    </row>
    <row r="2" spans="2:24" ht="15.75">
      <c r="B2" s="240" t="str">
        <f>B1</f>
        <v>NE6R Endinet</v>
      </c>
      <c r="C2" s="240" t="str">
        <f>C1</f>
        <v>Standaardisatie</v>
      </c>
      <c r="D2" s="240"/>
      <c r="E2" s="240"/>
      <c r="F2" s="240" t="str">
        <f>D1</f>
        <v>PAV</v>
      </c>
      <c r="G2" s="291"/>
      <c r="H2" s="292"/>
      <c r="I2" s="293"/>
      <c r="J2" s="293"/>
      <c r="K2" s="291"/>
      <c r="L2" s="292"/>
      <c r="M2" s="293"/>
      <c r="N2" s="293"/>
      <c r="O2" s="293"/>
      <c r="P2" s="293"/>
      <c r="Q2" s="293"/>
      <c r="R2" s="293"/>
      <c r="S2" s="293"/>
      <c r="T2" s="293"/>
      <c r="V2" s="294" t="s">
        <v>651</v>
      </c>
      <c r="W2" s="295"/>
      <c r="X2" s="295"/>
    </row>
    <row r="3" spans="2:24">
      <c r="B3" s="359"/>
      <c r="C3" s="359"/>
      <c r="D3" s="359"/>
      <c r="E3" s="316"/>
      <c r="F3" s="359"/>
      <c r="G3" s="359"/>
      <c r="H3" s="359"/>
      <c r="I3" s="316"/>
      <c r="J3" s="359"/>
      <c r="K3" s="359"/>
      <c r="L3" s="359"/>
      <c r="M3" s="316"/>
      <c r="N3" s="359"/>
      <c r="O3" s="359"/>
      <c r="P3" s="359"/>
      <c r="Q3" s="316"/>
      <c r="R3" s="359"/>
      <c r="S3" s="359"/>
      <c r="T3" s="359"/>
    </row>
    <row r="4" spans="2:24" ht="15" customHeight="1">
      <c r="B4" s="296" t="s">
        <v>1403</v>
      </c>
      <c r="C4" s="297" t="s">
        <v>1404</v>
      </c>
      <c r="D4" s="297"/>
      <c r="E4" s="297"/>
      <c r="F4" s="297"/>
      <c r="G4" s="297"/>
      <c r="H4" s="297"/>
      <c r="I4" s="297"/>
      <c r="J4" s="298"/>
      <c r="K4" s="359"/>
      <c r="L4" s="359"/>
      <c r="M4" s="316"/>
      <c r="N4" s="359"/>
      <c r="O4" s="359"/>
      <c r="P4" s="359"/>
      <c r="Q4" s="316"/>
      <c r="R4" s="359"/>
      <c r="S4" s="359"/>
      <c r="T4" s="359"/>
    </row>
    <row r="5" spans="2:24" ht="15" customHeight="1">
      <c r="B5" s="299" t="s">
        <v>1405</v>
      </c>
      <c r="C5" s="300" t="s">
        <v>1406</v>
      </c>
      <c r="D5" s="300"/>
      <c r="E5" s="300"/>
      <c r="F5" s="300"/>
      <c r="G5" s="300"/>
      <c r="H5" s="300"/>
      <c r="I5" s="300"/>
      <c r="J5" s="301"/>
      <c r="K5" s="359"/>
      <c r="L5" s="359"/>
      <c r="M5" s="316"/>
      <c r="N5" s="359"/>
      <c r="O5" s="359"/>
      <c r="P5" s="359"/>
      <c r="Q5" s="316"/>
      <c r="R5" s="359"/>
      <c r="S5" s="359"/>
      <c r="T5" s="359"/>
    </row>
    <row r="6" spans="2:24" ht="15" customHeight="1">
      <c r="B6" s="302" t="s">
        <v>1407</v>
      </c>
      <c r="C6" s="303" t="s">
        <v>1408</v>
      </c>
      <c r="D6" s="303"/>
      <c r="E6" s="303"/>
      <c r="F6" s="303"/>
      <c r="G6" s="303"/>
      <c r="H6" s="303"/>
      <c r="I6" s="303"/>
      <c r="J6" s="304"/>
      <c r="K6" s="359"/>
      <c r="L6" s="359"/>
      <c r="M6" s="316"/>
      <c r="N6" s="359"/>
      <c r="O6" s="359"/>
      <c r="P6" s="359"/>
      <c r="Q6" s="316"/>
      <c r="R6" s="359"/>
      <c r="S6" s="359"/>
      <c r="T6" s="359"/>
    </row>
    <row r="7" spans="2:24" ht="15" customHeight="1">
      <c r="B7" s="305" t="s">
        <v>1409</v>
      </c>
      <c r="C7" s="306" t="s">
        <v>1410</v>
      </c>
      <c r="D7" s="306"/>
      <c r="E7" s="306"/>
      <c r="F7" s="306"/>
      <c r="G7" s="306"/>
      <c r="H7" s="306"/>
      <c r="I7" s="306"/>
      <c r="J7" s="307"/>
      <c r="K7" s="359"/>
      <c r="L7" s="359"/>
      <c r="M7" s="316"/>
      <c r="N7" s="359"/>
      <c r="O7" s="359"/>
      <c r="P7" s="359"/>
      <c r="Q7" s="316"/>
      <c r="R7" s="359"/>
      <c r="S7" s="359"/>
      <c r="T7" s="359"/>
    </row>
    <row r="8" spans="2:24">
      <c r="B8" s="1105" t="s">
        <v>1411</v>
      </c>
      <c r="C8" s="308" t="s">
        <v>1438</v>
      </c>
      <c r="D8" s="308"/>
      <c r="E8" s="308"/>
      <c r="F8" s="308"/>
      <c r="G8" s="308"/>
      <c r="H8" s="308"/>
      <c r="I8" s="308"/>
      <c r="J8" s="309"/>
      <c r="K8" s="359"/>
      <c r="L8" s="359"/>
      <c r="M8" s="316"/>
      <c r="N8" s="359"/>
      <c r="O8" s="359"/>
      <c r="P8" s="359"/>
      <c r="Q8" s="316"/>
      <c r="R8" s="359"/>
      <c r="S8" s="359"/>
      <c r="T8" s="359"/>
    </row>
    <row r="9" spans="2:24">
      <c r="B9" s="310" t="s">
        <v>1415</v>
      </c>
      <c r="C9" s="311" t="s">
        <v>1416</v>
      </c>
      <c r="D9" s="311"/>
      <c r="E9" s="311"/>
      <c r="F9" s="311"/>
      <c r="G9" s="311"/>
      <c r="H9" s="311"/>
      <c r="I9" s="311"/>
      <c r="J9" s="312"/>
      <c r="K9" s="359"/>
      <c r="L9" s="359"/>
      <c r="M9" s="316"/>
      <c r="N9" s="359"/>
      <c r="O9" s="359"/>
      <c r="P9" s="359"/>
      <c r="Q9" s="316"/>
      <c r="R9" s="359"/>
      <c r="S9" s="359"/>
      <c r="T9" s="359"/>
    </row>
    <row r="12" spans="2:24" ht="15.75">
      <c r="B12" s="463" t="s">
        <v>843</v>
      </c>
      <c r="C12" s="464"/>
      <c r="D12" s="465"/>
      <c r="E12" s="359"/>
      <c r="F12" s="359"/>
      <c r="G12" s="359"/>
      <c r="H12" s="359"/>
      <c r="I12" s="359"/>
      <c r="J12" s="359"/>
      <c r="K12" s="359"/>
      <c r="L12" s="359"/>
      <c r="M12" s="359"/>
      <c r="N12" s="359"/>
      <c r="O12" s="359"/>
      <c r="P12" s="359"/>
      <c r="Q12" s="359"/>
      <c r="R12" s="359"/>
      <c r="S12" s="359"/>
      <c r="T12" s="359"/>
      <c r="U12" s="359"/>
      <c r="V12" s="359"/>
    </row>
    <row r="13" spans="2:24">
      <c r="B13" s="317"/>
      <c r="C13" s="1190">
        <v>2009</v>
      </c>
      <c r="D13" s="1189"/>
      <c r="E13" s="321"/>
      <c r="F13" s="320"/>
      <c r="G13" s="1192">
        <v>2010</v>
      </c>
      <c r="H13" s="1189"/>
      <c r="I13" s="321"/>
      <c r="J13" s="514"/>
      <c r="K13" s="1188">
        <v>2011</v>
      </c>
      <c r="L13" s="1189"/>
      <c r="M13" s="321"/>
      <c r="N13" s="514"/>
      <c r="O13" s="1188">
        <v>2012</v>
      </c>
      <c r="P13" s="1189"/>
      <c r="Q13" s="321"/>
      <c r="R13" s="514"/>
      <c r="S13" s="1188">
        <v>2013</v>
      </c>
      <c r="T13" s="1189"/>
      <c r="V13" s="514" t="s">
        <v>656</v>
      </c>
      <c r="W13" s="1188" t="s">
        <v>657</v>
      </c>
      <c r="X13" s="1189"/>
    </row>
    <row r="14" spans="2:24">
      <c r="B14" s="322" t="s">
        <v>658</v>
      </c>
      <c r="C14" s="322" t="s">
        <v>632</v>
      </c>
      <c r="D14" s="323" t="s">
        <v>633</v>
      </c>
      <c r="E14" s="324"/>
      <c r="F14" s="323" t="s">
        <v>658</v>
      </c>
      <c r="G14" s="606" t="s">
        <v>632</v>
      </c>
      <c r="H14" s="323" t="s">
        <v>633</v>
      </c>
      <c r="I14" s="324"/>
      <c r="J14" s="322" t="s">
        <v>658</v>
      </c>
      <c r="K14" s="470" t="s">
        <v>632</v>
      </c>
      <c r="L14" s="471" t="s">
        <v>633</v>
      </c>
      <c r="M14" s="324"/>
      <c r="N14" s="322" t="s">
        <v>658</v>
      </c>
      <c r="O14" s="325" t="s">
        <v>632</v>
      </c>
      <c r="P14" s="470" t="s">
        <v>633</v>
      </c>
      <c r="Q14" s="324"/>
      <c r="R14" s="322" t="s">
        <v>658</v>
      </c>
      <c r="S14" s="516" t="s">
        <v>710</v>
      </c>
      <c r="T14" s="517" t="s">
        <v>633</v>
      </c>
      <c r="V14" s="322" t="s">
        <v>658</v>
      </c>
      <c r="W14" s="516" t="s">
        <v>710</v>
      </c>
      <c r="X14" s="517" t="s">
        <v>633</v>
      </c>
    </row>
    <row r="15" spans="2:24" s="359" customFormat="1" ht="11.25">
      <c r="B15" s="326" t="s">
        <v>739</v>
      </c>
      <c r="C15" s="727"/>
      <c r="D15" s="610"/>
      <c r="E15" s="329"/>
      <c r="F15" s="342" t="s">
        <v>739</v>
      </c>
      <c r="G15" s="776"/>
      <c r="H15" s="777"/>
      <c r="I15" s="329"/>
      <c r="J15" s="326" t="s">
        <v>739</v>
      </c>
      <c r="K15" s="609"/>
      <c r="L15" s="610"/>
      <c r="M15" s="329"/>
      <c r="N15" s="326" t="s">
        <v>739</v>
      </c>
      <c r="O15" s="727"/>
      <c r="P15" s="610"/>
      <c r="Q15" s="329"/>
      <c r="R15" s="326" t="s">
        <v>739</v>
      </c>
      <c r="S15" s="609"/>
      <c r="T15" s="778"/>
      <c r="V15" s="326" t="s">
        <v>739</v>
      </c>
      <c r="W15" s="609"/>
      <c r="X15" s="610"/>
    </row>
    <row r="16" spans="2:24" s="359" customFormat="1" ht="11.25">
      <c r="B16" s="326" t="s">
        <v>218</v>
      </c>
      <c r="C16" s="779"/>
      <c r="D16" s="777"/>
      <c r="E16" s="329"/>
      <c r="F16" s="342" t="s">
        <v>218</v>
      </c>
      <c r="G16" s="776"/>
      <c r="H16" s="777"/>
      <c r="I16" s="329"/>
      <c r="J16" s="326" t="s">
        <v>218</v>
      </c>
      <c r="K16" s="612"/>
      <c r="L16" s="777"/>
      <c r="M16" s="329"/>
      <c r="N16" s="326" t="s">
        <v>218</v>
      </c>
      <c r="O16" s="779"/>
      <c r="P16" s="777"/>
      <c r="Q16" s="329"/>
      <c r="R16" s="326" t="s">
        <v>218</v>
      </c>
      <c r="S16" s="612"/>
      <c r="T16" s="665"/>
      <c r="V16" s="326" t="s">
        <v>218</v>
      </c>
      <c r="W16" s="612"/>
      <c r="X16" s="777"/>
    </row>
    <row r="17" spans="2:24" s="359" customFormat="1" ht="11.25">
      <c r="B17" s="326" t="s">
        <v>742</v>
      </c>
      <c r="C17" s="656">
        <v>5424</v>
      </c>
      <c r="D17" s="653">
        <v>0.99775302699848556</v>
      </c>
      <c r="E17" s="329"/>
      <c r="F17" s="342" t="s">
        <v>742</v>
      </c>
      <c r="G17" s="652">
        <v>5167.12</v>
      </c>
      <c r="H17" s="653">
        <v>1</v>
      </c>
      <c r="I17" s="329"/>
      <c r="J17" s="326" t="s">
        <v>742</v>
      </c>
      <c r="K17" s="654">
        <v>5435</v>
      </c>
      <c r="L17" s="653">
        <v>1</v>
      </c>
      <c r="M17" s="329"/>
      <c r="N17" s="326" t="s">
        <v>742</v>
      </c>
      <c r="O17" s="656">
        <v>6085.2000000000007</v>
      </c>
      <c r="P17" s="653">
        <v>1</v>
      </c>
      <c r="Q17" s="329"/>
      <c r="R17" s="326" t="s">
        <v>742</v>
      </c>
      <c r="S17" s="656">
        <v>6893.47</v>
      </c>
      <c r="T17" s="347"/>
      <c r="V17" s="326" t="s">
        <v>742</v>
      </c>
      <c r="W17" s="656">
        <f>S17</f>
        <v>6893.47</v>
      </c>
      <c r="X17" s="653">
        <f>(H17+L17+P17)/3</f>
        <v>1</v>
      </c>
    </row>
    <row r="18" spans="2:24" s="359" customFormat="1" ht="11.25">
      <c r="B18" s="326" t="s">
        <v>844</v>
      </c>
      <c r="C18" s="656">
        <v>1877.57</v>
      </c>
      <c r="D18" s="653">
        <v>3.9909491567771394</v>
      </c>
      <c r="E18" s="329"/>
      <c r="F18" s="342" t="s">
        <v>844</v>
      </c>
      <c r="G18" s="652">
        <v>1788.65</v>
      </c>
      <c r="H18" s="653">
        <v>4</v>
      </c>
      <c r="I18" s="329"/>
      <c r="J18" s="326" t="s">
        <v>844</v>
      </c>
      <c r="K18" s="654">
        <v>1882</v>
      </c>
      <c r="L18" s="653">
        <v>4</v>
      </c>
      <c r="M18" s="329"/>
      <c r="N18" s="326" t="s">
        <v>844</v>
      </c>
      <c r="O18" s="656">
        <v>2107.1999999999998</v>
      </c>
      <c r="P18" s="653">
        <v>4</v>
      </c>
      <c r="Q18" s="329"/>
      <c r="R18" s="326" t="s">
        <v>844</v>
      </c>
      <c r="S18" s="656">
        <v>2387.0700000000002</v>
      </c>
      <c r="T18" s="347"/>
      <c r="V18" s="326" t="s">
        <v>844</v>
      </c>
      <c r="W18" s="656">
        <f t="shared" ref="W18:W24" si="0">S18</f>
        <v>2387.0700000000002</v>
      </c>
      <c r="X18" s="653">
        <f>(H18+L18+P18)/3</f>
        <v>4</v>
      </c>
    </row>
    <row r="19" spans="2:24" s="359" customFormat="1" ht="11.25">
      <c r="B19" s="326" t="s">
        <v>845</v>
      </c>
      <c r="C19" s="651">
        <v>610.76</v>
      </c>
      <c r="D19" s="348">
        <v>583.941782793161</v>
      </c>
      <c r="E19" s="329"/>
      <c r="F19" s="342" t="s">
        <v>846</v>
      </c>
      <c r="G19" s="649">
        <v>581.83000000000004</v>
      </c>
      <c r="H19" s="348">
        <v>586</v>
      </c>
      <c r="I19" s="329"/>
      <c r="J19" s="326" t="s">
        <v>845</v>
      </c>
      <c r="K19" s="480">
        <v>612</v>
      </c>
      <c r="L19" s="348">
        <v>581</v>
      </c>
      <c r="M19" s="329"/>
      <c r="N19" s="326" t="s">
        <v>845</v>
      </c>
      <c r="O19" s="651">
        <v>685.2</v>
      </c>
      <c r="P19" s="348">
        <v>546</v>
      </c>
      <c r="Q19" s="329"/>
      <c r="R19" s="326" t="s">
        <v>845</v>
      </c>
      <c r="S19" s="651">
        <v>776.21</v>
      </c>
      <c r="T19" s="347"/>
      <c r="V19" s="326" t="s">
        <v>845</v>
      </c>
      <c r="W19" s="651">
        <f t="shared" si="0"/>
        <v>776.21</v>
      </c>
      <c r="X19" s="348">
        <f>(H19+L19+P19)/3</f>
        <v>571</v>
      </c>
    </row>
    <row r="20" spans="2:24" s="359" customFormat="1" ht="11.25">
      <c r="B20" s="326" t="s">
        <v>847</v>
      </c>
      <c r="C20" s="351">
        <v>212.43</v>
      </c>
      <c r="D20" s="358">
        <v>657.62311298566942</v>
      </c>
      <c r="E20" s="329"/>
      <c r="F20" s="342" t="s">
        <v>848</v>
      </c>
      <c r="G20" s="353">
        <v>202.37</v>
      </c>
      <c r="H20" s="358">
        <v>688</v>
      </c>
      <c r="I20" s="329"/>
      <c r="J20" s="326" t="s">
        <v>849</v>
      </c>
      <c r="K20" s="357">
        <v>212.9</v>
      </c>
      <c r="L20" s="358">
        <v>711</v>
      </c>
      <c r="M20" s="329"/>
      <c r="N20" s="326" t="s">
        <v>849</v>
      </c>
      <c r="O20" s="351">
        <v>238.32</v>
      </c>
      <c r="P20" s="358">
        <v>677</v>
      </c>
      <c r="Q20" s="329"/>
      <c r="R20" s="326" t="s">
        <v>849</v>
      </c>
      <c r="S20" s="351">
        <v>269.95999999999998</v>
      </c>
      <c r="T20" s="347"/>
      <c r="V20" s="326" t="s">
        <v>849</v>
      </c>
      <c r="W20" s="351">
        <f t="shared" si="0"/>
        <v>269.95999999999998</v>
      </c>
      <c r="X20" s="358">
        <f>(H20+L20+P20)/3</f>
        <v>692</v>
      </c>
    </row>
    <row r="21" spans="2:24" s="359" customFormat="1" ht="11.25">
      <c r="B21" s="326" t="s">
        <v>850</v>
      </c>
      <c r="C21" s="780"/>
      <c r="D21" s="781"/>
      <c r="E21" s="329"/>
      <c r="F21" s="342" t="s">
        <v>850</v>
      </c>
      <c r="G21" s="782"/>
      <c r="H21" s="781"/>
      <c r="I21" s="329"/>
      <c r="J21" s="326" t="s">
        <v>850</v>
      </c>
      <c r="K21" s="783"/>
      <c r="L21" s="781"/>
      <c r="M21" s="329"/>
      <c r="N21" s="326" t="s">
        <v>850</v>
      </c>
      <c r="O21" s="780"/>
      <c r="P21" s="781"/>
      <c r="Q21" s="329"/>
      <c r="R21" s="326" t="s">
        <v>850</v>
      </c>
      <c r="S21" s="780"/>
      <c r="T21" s="347"/>
      <c r="V21" s="326" t="s">
        <v>850</v>
      </c>
      <c r="W21" s="780"/>
      <c r="X21" s="781"/>
    </row>
    <row r="22" spans="2:24" s="359" customFormat="1" ht="11.25">
      <c r="B22" s="505" t="s">
        <v>233</v>
      </c>
      <c r="C22" s="360">
        <v>13.83</v>
      </c>
      <c r="D22" s="365">
        <v>108.95290574759812</v>
      </c>
      <c r="E22" s="329"/>
      <c r="F22" s="342" t="s">
        <v>233</v>
      </c>
      <c r="G22" s="362">
        <v>13.47</v>
      </c>
      <c r="H22" s="365">
        <v>106</v>
      </c>
      <c r="I22" s="329"/>
      <c r="J22" s="326" t="s">
        <v>851</v>
      </c>
      <c r="K22" s="364">
        <v>14.17</v>
      </c>
      <c r="L22" s="365">
        <v>3441</v>
      </c>
      <c r="M22" s="329"/>
      <c r="N22" s="326" t="s">
        <v>851</v>
      </c>
      <c r="O22" s="360">
        <v>15.84</v>
      </c>
      <c r="P22" s="365">
        <v>3553</v>
      </c>
      <c r="Q22" s="329"/>
      <c r="R22" s="326" t="s">
        <v>851</v>
      </c>
      <c r="S22" s="360">
        <v>17.930000000000003</v>
      </c>
      <c r="T22" s="347"/>
      <c r="V22" s="326" t="s">
        <v>851</v>
      </c>
      <c r="W22" s="360">
        <f t="shared" si="0"/>
        <v>17.930000000000003</v>
      </c>
      <c r="X22" s="365">
        <f>(SUM(H22:H25)+L22+P22)/3</f>
        <v>3462.6666666666665</v>
      </c>
    </row>
    <row r="23" spans="2:24" s="359" customFormat="1" ht="11.25">
      <c r="B23" s="505" t="s">
        <v>234</v>
      </c>
      <c r="C23" s="360">
        <v>13.83</v>
      </c>
      <c r="D23" s="365">
        <v>1287.6223502142543</v>
      </c>
      <c r="E23" s="329"/>
      <c r="F23" s="342" t="s">
        <v>234</v>
      </c>
      <c r="G23" s="362">
        <v>13.47</v>
      </c>
      <c r="H23" s="365">
        <v>1266</v>
      </c>
      <c r="I23" s="329"/>
      <c r="J23" s="326" t="s">
        <v>852</v>
      </c>
      <c r="K23" s="372">
        <v>14.17</v>
      </c>
      <c r="L23" s="373">
        <v>101199</v>
      </c>
      <c r="M23" s="329"/>
      <c r="N23" s="326" t="s">
        <v>852</v>
      </c>
      <c r="O23" s="368">
        <v>15.84</v>
      </c>
      <c r="P23" s="373">
        <v>102012</v>
      </c>
      <c r="Q23" s="329"/>
      <c r="R23" s="326" t="s">
        <v>852</v>
      </c>
      <c r="S23" s="368">
        <v>17.930000000000003</v>
      </c>
      <c r="T23" s="347"/>
      <c r="V23" s="326" t="s">
        <v>852</v>
      </c>
      <c r="W23" s="368">
        <f t="shared" si="0"/>
        <v>17.930000000000003</v>
      </c>
      <c r="X23" s="373">
        <f>(H26+L23+P23)/3</f>
        <v>101046.66666666667</v>
      </c>
    </row>
    <row r="24" spans="2:24" s="359" customFormat="1" ht="11.25">
      <c r="B24" s="505" t="s">
        <v>235</v>
      </c>
      <c r="C24" s="360">
        <v>13.83</v>
      </c>
      <c r="D24" s="365">
        <v>689.14553052225028</v>
      </c>
      <c r="E24" s="329"/>
      <c r="F24" s="342" t="s">
        <v>235</v>
      </c>
      <c r="G24" s="362">
        <v>13.47</v>
      </c>
      <c r="H24" s="365">
        <v>705</v>
      </c>
      <c r="I24" s="329"/>
      <c r="J24" s="523" t="s">
        <v>853</v>
      </c>
      <c r="K24" s="380">
        <v>6.55</v>
      </c>
      <c r="L24" s="382">
        <v>44951</v>
      </c>
      <c r="M24" s="329"/>
      <c r="N24" s="523" t="s">
        <v>853</v>
      </c>
      <c r="O24" s="661">
        <v>7.32</v>
      </c>
      <c r="P24" s="382">
        <v>44951</v>
      </c>
      <c r="Q24" s="329"/>
      <c r="R24" s="523" t="s">
        <v>853</v>
      </c>
      <c r="S24" s="661">
        <v>8.2899999999999991</v>
      </c>
      <c r="T24" s="381"/>
      <c r="V24" s="523" t="s">
        <v>853</v>
      </c>
      <c r="W24" s="661">
        <f t="shared" si="0"/>
        <v>8.2899999999999991</v>
      </c>
      <c r="X24" s="382">
        <f>(H27+L24+P24)/3</f>
        <v>44664.666666666664</v>
      </c>
    </row>
    <row r="25" spans="2:24" s="359" customFormat="1" ht="11.25">
      <c r="B25" s="505" t="s">
        <v>236</v>
      </c>
      <c r="C25" s="360">
        <v>13.83</v>
      </c>
      <c r="D25" s="365">
        <v>1302.2873211564295</v>
      </c>
      <c r="E25" s="329"/>
      <c r="F25" s="342" t="s">
        <v>236</v>
      </c>
      <c r="G25" s="362">
        <v>13.47</v>
      </c>
      <c r="H25" s="365">
        <v>1317</v>
      </c>
      <c r="I25" s="329"/>
      <c r="J25" s="526"/>
      <c r="K25" s="527"/>
      <c r="L25" s="528"/>
      <c r="M25" s="329"/>
      <c r="N25" s="526"/>
      <c r="O25" s="527"/>
      <c r="P25" s="528"/>
      <c r="Q25" s="329"/>
      <c r="R25" s="529"/>
      <c r="S25" s="527"/>
      <c r="T25" s="329"/>
      <c r="U25" s="596"/>
      <c r="V25" s="529"/>
      <c r="W25" s="527"/>
      <c r="X25" s="528"/>
    </row>
    <row r="26" spans="2:24" s="359" customFormat="1" ht="11.25">
      <c r="B26" s="505" t="s">
        <v>46</v>
      </c>
      <c r="C26" s="368">
        <v>13.83</v>
      </c>
      <c r="D26" s="373">
        <v>99259.075222358428</v>
      </c>
      <c r="E26" s="329"/>
      <c r="F26" s="342" t="s">
        <v>46</v>
      </c>
      <c r="G26" s="370">
        <v>13.47</v>
      </c>
      <c r="H26" s="373">
        <v>99929</v>
      </c>
      <c r="I26" s="329"/>
      <c r="J26" s="526"/>
      <c r="K26" s="527"/>
      <c r="L26" s="528"/>
      <c r="M26" s="329"/>
      <c r="N26" s="526"/>
      <c r="O26" s="527"/>
      <c r="P26" s="528"/>
      <c r="Q26" s="329"/>
      <c r="R26" s="529"/>
      <c r="S26" s="527"/>
      <c r="T26" s="329"/>
      <c r="U26" s="596"/>
      <c r="V26" s="529"/>
      <c r="W26" s="527"/>
      <c r="X26" s="528"/>
    </row>
    <row r="27" spans="2:24" s="359" customFormat="1" ht="11.25">
      <c r="B27" s="505" t="s">
        <v>238</v>
      </c>
      <c r="C27" s="661">
        <v>6.54</v>
      </c>
      <c r="D27" s="382">
        <v>44297.611249095964</v>
      </c>
      <c r="E27" s="417"/>
      <c r="F27" s="376" t="s">
        <v>238</v>
      </c>
      <c r="G27" s="377">
        <v>6.23</v>
      </c>
      <c r="H27" s="658">
        <v>44092</v>
      </c>
      <c r="I27" s="329"/>
      <c r="J27" s="508"/>
      <c r="K27" s="534"/>
      <c r="L27" s="535"/>
      <c r="M27" s="316"/>
      <c r="N27" s="596"/>
      <c r="O27" s="614"/>
      <c r="P27" s="615"/>
      <c r="Q27" s="316"/>
      <c r="R27" s="508"/>
      <c r="S27" s="507"/>
      <c r="T27" s="466"/>
      <c r="U27" s="596"/>
      <c r="V27" s="508"/>
      <c r="W27" s="507"/>
      <c r="X27" s="622"/>
    </row>
    <row r="28" spans="2:24">
      <c r="B28" s="383" t="s">
        <v>680</v>
      </c>
      <c r="C28" s="384">
        <f>SUMPRODUCT(C15:C27,D15:D27)</f>
        <v>2218567.8000000003</v>
      </c>
      <c r="D28" s="424"/>
      <c r="E28" s="386"/>
      <c r="F28" s="423" t="s">
        <v>680</v>
      </c>
      <c r="G28" s="384">
        <f>SUMPRODUCT(G15:G27,H15:H27)</f>
        <v>2158958.6300000004</v>
      </c>
      <c r="H28" s="422"/>
      <c r="I28" s="386"/>
      <c r="J28" s="388" t="s">
        <v>680</v>
      </c>
      <c r="K28" s="629">
        <f>SUMPRODUCT(K15:K24,L15:L24)</f>
        <v>2297084.75</v>
      </c>
      <c r="L28" s="389"/>
      <c r="M28" s="386"/>
      <c r="N28" s="383" t="s">
        <v>680</v>
      </c>
      <c r="O28" s="491">
        <f>SUMPRODUCT(O15:O24,P15:P24)</f>
        <v>2551166.7599999998</v>
      </c>
      <c r="P28" s="424"/>
      <c r="Q28" s="386"/>
      <c r="R28" s="388" t="s">
        <v>680</v>
      </c>
      <c r="S28" s="629">
        <f>SUMPRODUCT(S15:S24,T15:T24)</f>
        <v>0</v>
      </c>
      <c r="T28" s="385"/>
      <c r="V28" s="388" t="s">
        <v>680</v>
      </c>
      <c r="W28" s="629">
        <f>SUMPRODUCT(W15:W24,X15:X24)</f>
        <v>2890592.4133333336</v>
      </c>
      <c r="X28" s="389"/>
    </row>
    <row r="29" spans="2:24">
      <c r="B29" s="390"/>
      <c r="C29" s="455"/>
      <c r="D29" s="391"/>
      <c r="E29" s="386"/>
      <c r="F29" s="390"/>
      <c r="G29" s="455"/>
      <c r="H29" s="386"/>
      <c r="I29" s="386"/>
      <c r="J29" s="390"/>
      <c r="K29" s="455"/>
      <c r="L29" s="391"/>
      <c r="M29" s="386"/>
      <c r="N29" s="390"/>
      <c r="O29" s="455"/>
      <c r="P29" s="391"/>
      <c r="Q29" s="386"/>
      <c r="R29" s="390"/>
      <c r="S29" s="455"/>
      <c r="T29" s="386"/>
      <c r="V29" s="390"/>
      <c r="W29" s="455"/>
      <c r="X29" s="391"/>
    </row>
    <row r="30" spans="2:24">
      <c r="B30" s="392" t="s">
        <v>681</v>
      </c>
      <c r="C30" s="393" t="s">
        <v>682</v>
      </c>
      <c r="D30" s="397" t="s">
        <v>683</v>
      </c>
      <c r="E30" s="395"/>
      <c r="F30" s="394" t="s">
        <v>681</v>
      </c>
      <c r="G30" s="396" t="s">
        <v>682</v>
      </c>
      <c r="H30" s="394" t="s">
        <v>683</v>
      </c>
      <c r="I30" s="395"/>
      <c r="J30" s="392" t="s">
        <v>681</v>
      </c>
      <c r="K30" s="393" t="s">
        <v>682</v>
      </c>
      <c r="L30" s="397" t="s">
        <v>683</v>
      </c>
      <c r="M30" s="395"/>
      <c r="N30" s="392" t="s">
        <v>681</v>
      </c>
      <c r="O30" s="393" t="s">
        <v>682</v>
      </c>
      <c r="P30" s="397" t="s">
        <v>683</v>
      </c>
      <c r="Q30" s="395"/>
      <c r="R30" s="392" t="s">
        <v>681</v>
      </c>
      <c r="S30" s="393" t="s">
        <v>682</v>
      </c>
      <c r="T30" s="394" t="s">
        <v>683</v>
      </c>
      <c r="V30" s="392" t="s">
        <v>681</v>
      </c>
      <c r="W30" s="393" t="s">
        <v>682</v>
      </c>
      <c r="X30" s="397" t="s">
        <v>683</v>
      </c>
    </row>
    <row r="31" spans="2:24">
      <c r="B31" s="398" t="s">
        <v>742</v>
      </c>
      <c r="C31" s="399">
        <v>3</v>
      </c>
      <c r="D31" s="400">
        <v>2834.9933333333333</v>
      </c>
      <c r="E31" s="401"/>
      <c r="F31" s="402" t="s">
        <v>742</v>
      </c>
      <c r="G31" s="403">
        <v>2.86</v>
      </c>
      <c r="H31" s="400">
        <v>2835</v>
      </c>
      <c r="I31" s="401"/>
      <c r="J31" s="398" t="s">
        <v>742</v>
      </c>
      <c r="K31" s="399">
        <v>3.01</v>
      </c>
      <c r="L31" s="400">
        <v>2835</v>
      </c>
      <c r="M31" s="401"/>
      <c r="N31" s="398" t="s">
        <v>684</v>
      </c>
      <c r="O31" s="399">
        <v>3.36</v>
      </c>
      <c r="P31" s="400">
        <v>2835</v>
      </c>
      <c r="Q31" s="405"/>
      <c r="R31" s="398" t="s">
        <v>684</v>
      </c>
      <c r="S31" s="399">
        <v>3.8</v>
      </c>
      <c r="T31" s="406"/>
      <c r="V31" s="398" t="s">
        <v>684</v>
      </c>
      <c r="W31" s="399">
        <f>S31</f>
        <v>3.8</v>
      </c>
      <c r="X31" s="400">
        <f>(H31+L31+P31)/3</f>
        <v>2835</v>
      </c>
    </row>
    <row r="32" spans="2:24">
      <c r="B32" s="407"/>
      <c r="C32" s="408"/>
      <c r="D32" s="413"/>
      <c r="E32" s="405"/>
      <c r="F32" s="410"/>
      <c r="G32" s="411"/>
      <c r="H32" s="413"/>
      <c r="I32" s="405"/>
      <c r="J32" s="407"/>
      <c r="K32" s="408"/>
      <c r="L32" s="413"/>
      <c r="M32" s="405"/>
      <c r="N32" s="407"/>
      <c r="O32" s="408"/>
      <c r="P32" s="413"/>
      <c r="Q32" s="405"/>
      <c r="R32" s="407"/>
      <c r="S32" s="408"/>
      <c r="T32" s="412"/>
      <c r="V32" s="407"/>
      <c r="W32" s="408"/>
      <c r="X32" s="413"/>
    </row>
    <row r="33" spans="2:24">
      <c r="B33" s="414"/>
      <c r="C33" s="415"/>
      <c r="D33" s="420"/>
      <c r="E33" s="417"/>
      <c r="F33" s="418"/>
      <c r="G33" s="419"/>
      <c r="H33" s="420"/>
      <c r="I33" s="417"/>
      <c r="J33" s="414"/>
      <c r="K33" s="415"/>
      <c r="L33" s="420"/>
      <c r="M33" s="417"/>
      <c r="N33" s="414"/>
      <c r="O33" s="415"/>
      <c r="P33" s="420"/>
      <c r="Q33" s="417"/>
      <c r="R33" s="414"/>
      <c r="S33" s="415"/>
      <c r="T33" s="416"/>
      <c r="V33" s="414"/>
      <c r="W33" s="415"/>
      <c r="X33" s="420"/>
    </row>
    <row r="34" spans="2:24" s="359" customFormat="1" ht="11.25">
      <c r="B34" s="383" t="s">
        <v>680</v>
      </c>
      <c r="C34" s="421">
        <f>SUMPRODUCT(C31:C32,D31:D32)</f>
        <v>8504.98</v>
      </c>
      <c r="D34" s="424"/>
      <c r="E34" s="386"/>
      <c r="F34" s="423" t="s">
        <v>680</v>
      </c>
      <c r="G34" s="421">
        <f>SUMPRODUCT(G31:G32,H31:H32)</f>
        <v>8108.0999999999995</v>
      </c>
      <c r="H34" s="424"/>
      <c r="I34" s="386"/>
      <c r="J34" s="383" t="s">
        <v>680</v>
      </c>
      <c r="K34" s="421">
        <f>SUMPRODUCT(K31:K32,L31:L32)</f>
        <v>8533.3499999999985</v>
      </c>
      <c r="L34" s="424"/>
      <c r="M34" s="386"/>
      <c r="N34" s="383" t="s">
        <v>680</v>
      </c>
      <c r="O34" s="421">
        <f>SUMPRODUCT(O31:O32,P31:P32)</f>
        <v>9525.6</v>
      </c>
      <c r="P34" s="424"/>
      <c r="Q34" s="386"/>
      <c r="R34" s="383" t="s">
        <v>680</v>
      </c>
      <c r="S34" s="421">
        <f>SUMPRODUCT(S31:S32,T31:T32)</f>
        <v>0</v>
      </c>
      <c r="T34" s="422"/>
      <c r="V34" s="383" t="s">
        <v>680</v>
      </c>
      <c r="W34" s="421">
        <f>SUMPRODUCT(W31:W32,X31:X32)</f>
        <v>10773</v>
      </c>
      <c r="X34" s="424"/>
    </row>
    <row r="35" spans="2:24">
      <c r="B35" s="359"/>
      <c r="C35" s="425"/>
      <c r="D35" s="426"/>
      <c r="E35" s="316"/>
      <c r="F35" s="359"/>
      <c r="G35" s="425"/>
      <c r="H35" s="426"/>
      <c r="I35" s="316"/>
      <c r="J35" s="359"/>
      <c r="K35" s="425"/>
      <c r="L35" s="426"/>
      <c r="M35" s="316"/>
      <c r="N35" s="359"/>
      <c r="O35" s="425"/>
      <c r="P35" s="426"/>
      <c r="Q35" s="316"/>
      <c r="R35" s="359"/>
      <c r="S35" s="425"/>
      <c r="T35" s="359"/>
      <c r="V35" s="359"/>
      <c r="W35" s="425"/>
      <c r="X35" s="426"/>
    </row>
    <row r="36" spans="2:24">
      <c r="B36" s="359"/>
      <c r="C36" s="425"/>
      <c r="D36" s="426"/>
      <c r="E36" s="316"/>
      <c r="F36" s="359"/>
      <c r="G36" s="425"/>
      <c r="H36" s="426"/>
      <c r="I36" s="316"/>
      <c r="J36" s="359"/>
      <c r="K36" s="425"/>
      <c r="L36" s="426"/>
      <c r="M36" s="316"/>
      <c r="N36" s="359"/>
      <c r="O36" s="425"/>
      <c r="P36" s="426"/>
      <c r="Q36" s="316"/>
      <c r="R36" s="359"/>
      <c r="S36" s="425"/>
      <c r="T36" s="359"/>
      <c r="V36" s="359"/>
      <c r="W36" s="425"/>
      <c r="X36" s="426"/>
    </row>
    <row r="37" spans="2:24">
      <c r="B37" s="427"/>
      <c r="C37" s="428"/>
      <c r="D37" s="540"/>
      <c r="E37" s="430"/>
      <c r="F37" s="429"/>
      <c r="G37" s="425"/>
      <c r="H37" s="426"/>
      <c r="I37" s="316"/>
      <c r="J37" s="359"/>
      <c r="K37" s="425"/>
      <c r="L37" s="426"/>
      <c r="M37" s="316"/>
      <c r="N37" s="359"/>
      <c r="O37" s="425"/>
      <c r="P37" s="426"/>
      <c r="Q37" s="316"/>
      <c r="R37" s="316"/>
      <c r="S37" s="536"/>
      <c r="T37" s="316"/>
      <c r="V37" s="359"/>
      <c r="W37" s="425"/>
      <c r="X37" s="426"/>
    </row>
    <row r="38" spans="2:24">
      <c r="B38" s="431" t="s">
        <v>686</v>
      </c>
      <c r="C38" s="432"/>
      <c r="D38" s="541"/>
      <c r="E38" s="434"/>
      <c r="F38" s="435" t="s">
        <v>686</v>
      </c>
      <c r="G38" s="432"/>
      <c r="H38" s="541"/>
      <c r="I38" s="434"/>
      <c r="J38" s="431" t="s">
        <v>686</v>
      </c>
      <c r="K38" s="432"/>
      <c r="L38" s="437"/>
      <c r="M38" s="434"/>
      <c r="N38" s="431" t="s">
        <v>686</v>
      </c>
      <c r="O38" s="432"/>
      <c r="P38" s="437"/>
      <c r="Q38" s="434"/>
      <c r="R38" s="542"/>
      <c r="S38" s="500"/>
      <c r="T38" s="434"/>
      <c r="V38" s="431" t="s">
        <v>686</v>
      </c>
      <c r="W38" s="432"/>
      <c r="X38" s="437"/>
    </row>
    <row r="39" spans="2:24" s="359" customFormat="1" ht="11.25">
      <c r="B39" s="441" t="s">
        <v>1403</v>
      </c>
      <c r="C39" s="249">
        <f>SUMPRODUCT(C27,D27)/SUM(D27)</f>
        <v>6.54</v>
      </c>
      <c r="D39" s="250">
        <f>SUM(D27)</f>
        <v>44297.611249095964</v>
      </c>
      <c r="E39" s="440"/>
      <c r="F39" s="441" t="s">
        <v>1403</v>
      </c>
      <c r="G39" s="581">
        <f>SUMPRODUCT(G27,H27)/SUM(H27)</f>
        <v>6.23</v>
      </c>
      <c r="H39" s="250">
        <f>SUM(H27)</f>
        <v>44092</v>
      </c>
      <c r="I39" s="440"/>
      <c r="J39" s="441" t="s">
        <v>1403</v>
      </c>
      <c r="K39" s="286">
        <f>SUMPRODUCT(K24,L24)/SUM(L24)</f>
        <v>6.55</v>
      </c>
      <c r="L39" s="250">
        <f>SUM(L24)</f>
        <v>44951</v>
      </c>
      <c r="M39" s="440"/>
      <c r="N39" s="441" t="s">
        <v>1403</v>
      </c>
      <c r="O39" s="286">
        <f>SUMPRODUCT(O24,P24)/SUM(P24)</f>
        <v>7.32</v>
      </c>
      <c r="P39" s="250">
        <f>SUM(P24)</f>
        <v>44951</v>
      </c>
      <c r="Q39" s="440"/>
      <c r="R39" s="271"/>
      <c r="S39" s="280"/>
      <c r="T39" s="440"/>
      <c r="V39" s="441" t="s">
        <v>1403</v>
      </c>
      <c r="W39" s="286">
        <f>SUMPRODUCT(W24,X24)/SUM(X24)</f>
        <v>8.2899999999999991</v>
      </c>
      <c r="X39" s="250">
        <f>SUM(X24)</f>
        <v>44664.666666666664</v>
      </c>
    </row>
    <row r="40" spans="2:24" s="359" customFormat="1" ht="11.25">
      <c r="B40" s="441" t="s">
        <v>1405</v>
      </c>
      <c r="C40" s="252">
        <f>SUMPRODUCT(C26,D26)/SUM(D26)</f>
        <v>13.830000000000002</v>
      </c>
      <c r="D40" s="253">
        <f>SUM(D26)</f>
        <v>99259.075222358428</v>
      </c>
      <c r="E40" s="443"/>
      <c r="F40" s="441" t="s">
        <v>1405</v>
      </c>
      <c r="G40" s="582">
        <f>SUMPRODUCT(G26,H26)/SUM(H26)</f>
        <v>13.47</v>
      </c>
      <c r="H40" s="253">
        <f>SUM(H26)</f>
        <v>99929</v>
      </c>
      <c r="I40" s="443"/>
      <c r="J40" s="441" t="s">
        <v>1405</v>
      </c>
      <c r="K40" s="287">
        <f>SUMPRODUCT(K23,L23)/SUM(L23)</f>
        <v>14.17</v>
      </c>
      <c r="L40" s="681">
        <f>SUM(L23)</f>
        <v>101199</v>
      </c>
      <c r="M40" s="443"/>
      <c r="N40" s="441" t="s">
        <v>1405</v>
      </c>
      <c r="O40" s="287">
        <f>SUMPRODUCT(O23,P23)/SUM(P23)</f>
        <v>15.84</v>
      </c>
      <c r="P40" s="681">
        <f>SUM(P23)</f>
        <v>102012</v>
      </c>
      <c r="Q40" s="443"/>
      <c r="R40" s="271"/>
      <c r="S40" s="623"/>
      <c r="T40" s="443"/>
      <c r="V40" s="441" t="s">
        <v>1405</v>
      </c>
      <c r="W40" s="287">
        <f>SUMPRODUCT(W23,X23)/SUM(X23)</f>
        <v>17.930000000000003</v>
      </c>
      <c r="X40" s="681">
        <f>SUM(X23)</f>
        <v>101046.66666666667</v>
      </c>
    </row>
    <row r="41" spans="2:24" s="359" customFormat="1" ht="11.25">
      <c r="B41" s="441" t="s">
        <v>1407</v>
      </c>
      <c r="C41" s="254">
        <f>SUMPRODUCT(C22:C25,D22:D25)/SUM(D22:D25)</f>
        <v>13.83</v>
      </c>
      <c r="D41" s="255">
        <f>SUM(D22:D25)</f>
        <v>3388.0081076405322</v>
      </c>
      <c r="E41" s="443"/>
      <c r="F41" s="441" t="s">
        <v>1407</v>
      </c>
      <c r="G41" s="583">
        <f>SUMPRODUCT(G22:G25,H22:H25)/SUM(H22:H25)</f>
        <v>13.470000000000002</v>
      </c>
      <c r="H41" s="255">
        <f>SUM(H22:H25)</f>
        <v>3394</v>
      </c>
      <c r="I41" s="443"/>
      <c r="J41" s="441" t="s">
        <v>1407</v>
      </c>
      <c r="K41" s="288">
        <f>SUMPRODUCT(K22,L22)/SUM(L22)</f>
        <v>14.17</v>
      </c>
      <c r="L41" s="682">
        <f>SUM(L22)</f>
        <v>3441</v>
      </c>
      <c r="M41" s="443"/>
      <c r="N41" s="441" t="s">
        <v>1407</v>
      </c>
      <c r="O41" s="288">
        <f>SUMPRODUCT(O22,P22)/SUM(P22)</f>
        <v>15.84</v>
      </c>
      <c r="P41" s="682">
        <f>SUM(P22)</f>
        <v>3553</v>
      </c>
      <c r="Q41" s="443"/>
      <c r="R41" s="271"/>
      <c r="S41" s="280"/>
      <c r="T41" s="443"/>
      <c r="V41" s="441" t="s">
        <v>1407</v>
      </c>
      <c r="W41" s="288">
        <f>SUMPRODUCT(W22,X22)/SUM(X22)</f>
        <v>17.930000000000003</v>
      </c>
      <c r="X41" s="682">
        <f>SUM(X22)</f>
        <v>3462.6666666666665</v>
      </c>
    </row>
    <row r="42" spans="2:24" s="359" customFormat="1" ht="11.25">
      <c r="B42" s="616" t="s">
        <v>1409</v>
      </c>
      <c r="C42" s="256">
        <f>SUMPRODUCT(C20:C21,D20:D21)/SUM(D20:D21)</f>
        <v>212.43</v>
      </c>
      <c r="D42" s="257">
        <f>SUM(D20:D21)</f>
        <v>657.62311298566942</v>
      </c>
      <c r="E42" s="443"/>
      <c r="F42" s="616" t="s">
        <v>1409</v>
      </c>
      <c r="G42" s="256">
        <f>SUMPRODUCT(G20:G21,H20:H21)/SUM(H20:H21)</f>
        <v>202.37</v>
      </c>
      <c r="H42" s="257">
        <f>SUM(H20:H21)</f>
        <v>688</v>
      </c>
      <c r="I42" s="443"/>
      <c r="J42" s="616" t="s">
        <v>1409</v>
      </c>
      <c r="K42" s="256">
        <f>SUMPRODUCT(K20:K21,L20:L21)/SUM(L20:L21)</f>
        <v>212.9</v>
      </c>
      <c r="L42" s="257">
        <f>SUM(L20:L21)</f>
        <v>711</v>
      </c>
      <c r="M42" s="443"/>
      <c r="N42" s="616" t="s">
        <v>1409</v>
      </c>
      <c r="O42" s="256">
        <f>SUMPRODUCT(O20:O21,P20:P21)/SUM(P20:P21)</f>
        <v>238.31999999999996</v>
      </c>
      <c r="P42" s="257">
        <f>SUM(P20:P21)</f>
        <v>677</v>
      </c>
      <c r="Q42" s="443"/>
      <c r="R42" s="271"/>
      <c r="S42" s="280"/>
      <c r="T42" s="443"/>
      <c r="V42" s="616" t="s">
        <v>1409</v>
      </c>
      <c r="W42" s="256">
        <f>SUMPRODUCT(W20:W21,X20:X21)/SUM(X20:X21)</f>
        <v>269.95999999999998</v>
      </c>
      <c r="X42" s="257">
        <f>SUM(X20:X21)</f>
        <v>692</v>
      </c>
    </row>
    <row r="43" spans="2:24" s="359" customFormat="1" ht="11.25">
      <c r="B43" s="616" t="s">
        <v>1411</v>
      </c>
      <c r="C43" s="258">
        <f>SUMPRODUCT(C19,D19)/SUM(D19)</f>
        <v>610.76</v>
      </c>
      <c r="D43" s="259">
        <f>SUM(D19)</f>
        <v>583.941782793161</v>
      </c>
      <c r="E43" s="440"/>
      <c r="F43" s="616" t="s">
        <v>1411</v>
      </c>
      <c r="G43" s="258">
        <f>SUMPRODUCT(G19,H19)/SUM(H19)</f>
        <v>581.83000000000004</v>
      </c>
      <c r="H43" s="259">
        <f>SUM(H19)</f>
        <v>586</v>
      </c>
      <c r="I43" s="440"/>
      <c r="J43" s="616" t="s">
        <v>1411</v>
      </c>
      <c r="K43" s="258">
        <f>SUMPRODUCT(K19,L19)/SUM(L19)</f>
        <v>612</v>
      </c>
      <c r="L43" s="259">
        <f>SUM(L19)</f>
        <v>581</v>
      </c>
      <c r="M43" s="440"/>
      <c r="N43" s="616" t="s">
        <v>1411</v>
      </c>
      <c r="O43" s="258">
        <f>SUMPRODUCT(O19,P19)/SUM(P19)</f>
        <v>685.2</v>
      </c>
      <c r="P43" s="259">
        <f>SUM(P19)</f>
        <v>546</v>
      </c>
      <c r="Q43" s="440"/>
      <c r="R43" s="271"/>
      <c r="S43" s="280"/>
      <c r="T43" s="440"/>
      <c r="V43" s="616" t="s">
        <v>1411</v>
      </c>
      <c r="W43" s="258">
        <f>SUMPRODUCT(W19,X19)/SUM(X19)</f>
        <v>776.21</v>
      </c>
      <c r="X43" s="259">
        <f>SUM(X19)</f>
        <v>571</v>
      </c>
    </row>
    <row r="44" spans="2:24" s="359" customFormat="1" ht="11.25">
      <c r="B44" s="449" t="s">
        <v>1415</v>
      </c>
      <c r="C44" s="261">
        <f>SUMPRODUCT(C17:C18,D17:D18)/SUM(D17:D18)</f>
        <v>2586.864950307137</v>
      </c>
      <c r="D44" s="262">
        <f>SUM(D17:D18)</f>
        <v>4.9887021837756249</v>
      </c>
      <c r="E44" s="440"/>
      <c r="F44" s="449" t="s">
        <v>1415</v>
      </c>
      <c r="G44" s="261">
        <f>SUMPRODUCT(G17:G18,H17:H18)/SUM(H17:H18)</f>
        <v>2464.3440000000001</v>
      </c>
      <c r="H44" s="262">
        <f>SUM(H17:H18)</f>
        <v>5</v>
      </c>
      <c r="I44" s="440"/>
      <c r="J44" s="449" t="s">
        <v>1415</v>
      </c>
      <c r="K44" s="261">
        <f>SUMPRODUCT(K17:K18,L17:L18)/SUM(L17:L18)</f>
        <v>2592.6</v>
      </c>
      <c r="L44" s="262">
        <f>SUM(L17:L18)</f>
        <v>5</v>
      </c>
      <c r="M44" s="440"/>
      <c r="N44" s="449" t="s">
        <v>1415</v>
      </c>
      <c r="O44" s="261">
        <f>SUMPRODUCT(O17:O18,P17:P18)/SUM(P17:P18)</f>
        <v>2902.8</v>
      </c>
      <c r="P44" s="262">
        <f>SUM(P17:P18)</f>
        <v>5</v>
      </c>
      <c r="Q44" s="440"/>
      <c r="R44" s="271"/>
      <c r="S44" s="280"/>
      <c r="T44" s="440"/>
      <c r="V44" s="449" t="s">
        <v>1415</v>
      </c>
      <c r="W44" s="261">
        <f>SUMPRODUCT(W17:W18,X17:X18)/SUM(X17:X18)</f>
        <v>3288.35</v>
      </c>
      <c r="X44" s="262">
        <f>SUM(X17:X18)</f>
        <v>5</v>
      </c>
    </row>
    <row r="45" spans="2:24">
      <c r="B45" s="450" t="s">
        <v>680</v>
      </c>
      <c r="C45" s="451">
        <f>SUMPRODUCT(C39:C44,D39:D44)</f>
        <v>2218567.7999999998</v>
      </c>
      <c r="D45" s="454"/>
      <c r="E45" s="443"/>
      <c r="F45" s="453" t="s">
        <v>680</v>
      </c>
      <c r="G45" s="451">
        <f>SUMPRODUCT(G39:G44,H39:H44)</f>
        <v>2158958.6300000004</v>
      </c>
      <c r="H45" s="454"/>
      <c r="I45" s="443"/>
      <c r="J45" s="450" t="s">
        <v>680</v>
      </c>
      <c r="K45" s="451">
        <f>SUMPRODUCT(K39:K44,L39:L44)</f>
        <v>2297084.75</v>
      </c>
      <c r="L45" s="454"/>
      <c r="M45" s="443"/>
      <c r="N45" s="450" t="s">
        <v>680</v>
      </c>
      <c r="O45" s="451">
        <f>SUMPRODUCT(O39:O44,P39:P44)</f>
        <v>2551166.7600000002</v>
      </c>
      <c r="P45" s="454"/>
      <c r="Q45" s="443"/>
      <c r="R45" s="543"/>
      <c r="S45" s="443"/>
      <c r="T45" s="443"/>
      <c r="V45" s="450" t="s">
        <v>680</v>
      </c>
      <c r="W45" s="451">
        <f>SUMPRODUCT(W39:W44,X39:X44)</f>
        <v>2890592.4133333336</v>
      </c>
      <c r="X45" s="454"/>
    </row>
    <row r="46" spans="2:24">
      <c r="B46" s="390"/>
      <c r="C46" s="455"/>
      <c r="D46" s="391"/>
      <c r="E46" s="386"/>
      <c r="F46" s="390"/>
      <c r="G46" s="455"/>
      <c r="H46" s="391"/>
      <c r="I46" s="386"/>
      <c r="J46" s="390"/>
      <c r="K46" s="455"/>
      <c r="L46" s="391"/>
      <c r="M46" s="386"/>
      <c r="N46" s="390"/>
      <c r="O46" s="455"/>
      <c r="P46" s="391"/>
      <c r="Q46" s="386"/>
      <c r="R46" s="390"/>
      <c r="S46" s="500"/>
      <c r="T46" s="386"/>
      <c r="V46" s="390"/>
      <c r="W46" s="455"/>
      <c r="X46" s="391"/>
    </row>
    <row r="47" spans="2:24">
      <c r="B47" s="392" t="s">
        <v>681</v>
      </c>
      <c r="C47" s="456"/>
      <c r="D47" s="397"/>
      <c r="E47" s="395"/>
      <c r="F47" s="392" t="s">
        <v>681</v>
      </c>
      <c r="G47" s="456"/>
      <c r="H47" s="397"/>
      <c r="I47" s="395"/>
      <c r="J47" s="392" t="s">
        <v>681</v>
      </c>
      <c r="K47" s="456"/>
      <c r="L47" s="397"/>
      <c r="M47" s="395"/>
      <c r="N47" s="392" t="s">
        <v>681</v>
      </c>
      <c r="O47" s="456"/>
      <c r="P47" s="397"/>
      <c r="Q47" s="395"/>
      <c r="R47" s="395"/>
      <c r="S47" s="544"/>
      <c r="T47" s="395"/>
      <c r="V47" s="392" t="s">
        <v>681</v>
      </c>
      <c r="W47" s="456"/>
      <c r="X47" s="397"/>
    </row>
    <row r="48" spans="2:24">
      <c r="B48" s="398"/>
      <c r="C48" s="399">
        <f>SUMPRODUCT(C31:C32,D31:D32)/SUM(D31:D32)</f>
        <v>3</v>
      </c>
      <c r="D48" s="400">
        <f>SUM(D31:D32)</f>
        <v>2834.9933333333333</v>
      </c>
      <c r="E48" s="405"/>
      <c r="F48" s="398"/>
      <c r="G48" s="399">
        <f>SUMPRODUCT(G31:G32,H31:H32)/SUM(H31:H32)</f>
        <v>2.86</v>
      </c>
      <c r="H48" s="400">
        <f>SUM(H31:H32)</f>
        <v>2835</v>
      </c>
      <c r="I48" s="405"/>
      <c r="J48" s="398"/>
      <c r="K48" s="399">
        <f>SUMPRODUCT(K31:K32,L31:L32)/SUM(L31:L32)</f>
        <v>3.0099999999999993</v>
      </c>
      <c r="L48" s="400">
        <f>SUM(L31:L32)</f>
        <v>2835</v>
      </c>
      <c r="M48" s="405"/>
      <c r="N48" s="398"/>
      <c r="O48" s="399">
        <f>SUMPRODUCT(O31:O32,P31:P32)/SUM(P31:P32)</f>
        <v>3.3600000000000003</v>
      </c>
      <c r="P48" s="400">
        <f>SUM(P31:P32)</f>
        <v>2835</v>
      </c>
      <c r="Q48" s="405"/>
      <c r="R48" s="529"/>
      <c r="S48" s="624"/>
      <c r="T48" s="405"/>
      <c r="V48" s="398"/>
      <c r="W48" s="399">
        <f>SUMPRODUCT(W31:W32,X31:X32)/SUM(X31:X32)</f>
        <v>3.8</v>
      </c>
      <c r="X48" s="400">
        <f>SUM(X31:X32)</f>
        <v>2835</v>
      </c>
    </row>
    <row r="49" spans="2:29">
      <c r="B49" s="414"/>
      <c r="C49" s="415"/>
      <c r="D49" s="416"/>
      <c r="E49" s="417"/>
      <c r="F49" s="414"/>
      <c r="G49" s="415"/>
      <c r="H49" s="416"/>
      <c r="I49" s="417"/>
      <c r="J49" s="414"/>
      <c r="K49" s="415"/>
      <c r="L49" s="416"/>
      <c r="M49" s="417"/>
      <c r="N49" s="414"/>
      <c r="O49" s="415"/>
      <c r="P49" s="416"/>
      <c r="Q49" s="417"/>
      <c r="R49" s="529"/>
      <c r="S49" s="545"/>
      <c r="T49" s="417"/>
      <c r="V49" s="414"/>
      <c r="W49" s="415"/>
      <c r="X49" s="416"/>
    </row>
    <row r="50" spans="2:29">
      <c r="B50" s="383" t="s">
        <v>680</v>
      </c>
      <c r="C50" s="432"/>
      <c r="D50" s="422"/>
      <c r="E50" s="386"/>
      <c r="F50" s="383" t="s">
        <v>680</v>
      </c>
      <c r="G50" s="432"/>
      <c r="H50" s="422"/>
      <c r="I50" s="386"/>
      <c r="J50" s="383" t="s">
        <v>680</v>
      </c>
      <c r="K50" s="432"/>
      <c r="L50" s="422"/>
      <c r="M50" s="386"/>
      <c r="N50" s="383" t="s">
        <v>680</v>
      </c>
      <c r="O50" s="432"/>
      <c r="P50" s="422"/>
      <c r="Q50" s="386"/>
      <c r="R50" s="390"/>
      <c r="S50" s="500"/>
      <c r="T50" s="386"/>
      <c r="V50" s="383" t="s">
        <v>680</v>
      </c>
      <c r="W50" s="432"/>
      <c r="X50" s="422"/>
    </row>
    <row r="51" spans="2:29">
      <c r="B51" s="390"/>
      <c r="C51" s="458"/>
      <c r="D51" s="386"/>
      <c r="E51" s="386"/>
      <c r="F51" s="390"/>
      <c r="G51" s="458"/>
      <c r="H51" s="386"/>
      <c r="I51" s="386"/>
      <c r="J51" s="390"/>
      <c r="K51" s="458"/>
      <c r="L51" s="386"/>
      <c r="M51" s="386"/>
      <c r="N51" s="390"/>
      <c r="O51" s="458"/>
      <c r="P51" s="386"/>
      <c r="Q51" s="386"/>
      <c r="R51" s="390"/>
      <c r="S51" s="430"/>
      <c r="T51" s="386"/>
    </row>
    <row r="52" spans="2:29">
      <c r="B52" s="390"/>
      <c r="C52" s="458"/>
      <c r="D52" s="386"/>
      <c r="E52" s="386"/>
      <c r="F52" s="390"/>
      <c r="G52" s="458"/>
      <c r="H52" s="386"/>
      <c r="I52" s="386"/>
      <c r="J52" s="390"/>
      <c r="K52" s="458"/>
      <c r="L52" s="386"/>
      <c r="M52" s="386"/>
      <c r="N52" s="390"/>
      <c r="O52" s="458"/>
      <c r="P52" s="386"/>
      <c r="Q52" s="386"/>
      <c r="R52" s="390"/>
      <c r="S52" s="458"/>
      <c r="T52" s="386"/>
    </row>
    <row r="53" spans="2:29">
      <c r="B53" s="390"/>
      <c r="C53" s="458"/>
      <c r="D53" s="386"/>
      <c r="E53" s="386"/>
      <c r="F53" s="390"/>
      <c r="G53" s="458"/>
      <c r="H53" s="386"/>
      <c r="I53" s="386"/>
      <c r="J53" s="390"/>
      <c r="K53" s="458"/>
      <c r="L53" s="386"/>
      <c r="M53" s="386"/>
      <c r="N53" s="390"/>
      <c r="O53" s="458"/>
      <c r="P53" s="386"/>
      <c r="Q53" s="386"/>
      <c r="R53" s="390"/>
      <c r="S53" s="458"/>
      <c r="T53" s="386"/>
    </row>
    <row r="54" spans="2:29" ht="15.75">
      <c r="B54" s="240" t="str">
        <f>B1</f>
        <v>NE6R Endinet</v>
      </c>
      <c r="C54" s="240" t="s">
        <v>722</v>
      </c>
      <c r="D54" s="546"/>
      <c r="E54" s="293"/>
      <c r="F54" s="293"/>
      <c r="G54" s="291"/>
      <c r="H54" s="292"/>
      <c r="I54" s="293"/>
      <c r="J54" s="293"/>
      <c r="K54" s="291"/>
      <c r="L54" s="292"/>
      <c r="M54" s="293"/>
      <c r="N54" s="293"/>
      <c r="O54" s="293"/>
      <c r="P54" s="293"/>
      <c r="Q54" s="293"/>
      <c r="R54" s="293"/>
      <c r="S54" s="293"/>
      <c r="T54" s="293"/>
      <c r="V54" s="294" t="s">
        <v>651</v>
      </c>
      <c r="W54" s="295"/>
      <c r="X54" s="295"/>
    </row>
    <row r="55" spans="2:29">
      <c r="B55" s="390"/>
      <c r="C55" s="458"/>
      <c r="D55" s="386"/>
      <c r="E55" s="386"/>
      <c r="F55" s="390"/>
      <c r="G55" s="458"/>
      <c r="H55" s="386"/>
      <c r="I55" s="386"/>
      <c r="J55" s="390"/>
      <c r="K55" s="458"/>
      <c r="L55" s="386"/>
      <c r="M55" s="386"/>
      <c r="N55" s="390"/>
      <c r="O55" s="458"/>
      <c r="P55" s="386"/>
      <c r="Q55" s="386"/>
      <c r="R55" s="390"/>
      <c r="S55" s="458"/>
      <c r="T55" s="386"/>
    </row>
    <row r="56" spans="2:29">
      <c r="B56" s="296" t="s">
        <v>251</v>
      </c>
      <c r="C56" s="297" t="s">
        <v>652</v>
      </c>
      <c r="D56" s="297"/>
      <c r="E56" s="298"/>
      <c r="F56" s="297"/>
      <c r="G56" s="298"/>
      <c r="H56" s="386"/>
      <c r="I56" s="386"/>
      <c r="J56" s="390"/>
      <c r="K56" s="458"/>
      <c r="L56" s="386"/>
      <c r="M56" s="386"/>
      <c r="N56" s="390"/>
      <c r="O56" s="458"/>
      <c r="P56" s="386"/>
      <c r="Q56" s="386"/>
      <c r="R56" s="390"/>
      <c r="S56" s="458"/>
      <c r="T56" s="386"/>
    </row>
    <row r="57" spans="2:29">
      <c r="B57" s="299" t="s">
        <v>252</v>
      </c>
      <c r="C57" s="300" t="s">
        <v>652</v>
      </c>
      <c r="D57" s="300"/>
      <c r="E57" s="301"/>
      <c r="F57" s="300"/>
      <c r="G57" s="301"/>
      <c r="H57" s="386"/>
      <c r="I57" s="386"/>
      <c r="J57" s="390"/>
      <c r="K57" s="458"/>
      <c r="L57" s="386"/>
      <c r="M57" s="386"/>
      <c r="N57" s="390"/>
      <c r="O57" s="458"/>
      <c r="P57" s="386"/>
      <c r="Q57" s="386"/>
      <c r="R57" s="390"/>
      <c r="S57" s="458"/>
      <c r="T57" s="386"/>
    </row>
    <row r="58" spans="2:29">
      <c r="B58" s="302" t="s">
        <v>253</v>
      </c>
      <c r="C58" s="303" t="s">
        <v>653</v>
      </c>
      <c r="D58" s="303"/>
      <c r="E58" s="304"/>
      <c r="F58" s="303"/>
      <c r="G58" s="304"/>
      <c r="H58" s="386"/>
      <c r="I58" s="386"/>
      <c r="J58" s="390"/>
      <c r="K58" s="458"/>
      <c r="L58" s="386"/>
      <c r="M58" s="386"/>
      <c r="N58" s="390"/>
      <c r="O58" s="458"/>
      <c r="P58" s="386"/>
      <c r="Q58" s="386"/>
      <c r="R58" s="390"/>
      <c r="S58" s="458"/>
      <c r="T58" s="386"/>
    </row>
    <row r="59" spans="2:29">
      <c r="B59" s="305" t="s">
        <v>654</v>
      </c>
      <c r="C59" s="306" t="s">
        <v>653</v>
      </c>
      <c r="D59" s="306"/>
      <c r="E59" s="307"/>
      <c r="F59" s="306"/>
      <c r="G59" s="307"/>
      <c r="H59" s="386"/>
      <c r="I59" s="386"/>
      <c r="J59" s="390"/>
      <c r="K59" s="458"/>
      <c r="L59" s="386"/>
      <c r="M59" s="386"/>
      <c r="N59" s="390"/>
      <c r="O59" s="458"/>
      <c r="P59" s="386"/>
      <c r="Q59" s="386"/>
      <c r="R59" s="390"/>
      <c r="S59" s="458"/>
      <c r="T59" s="386"/>
    </row>
    <row r="60" spans="2:29">
      <c r="B60" s="460" t="s">
        <v>254</v>
      </c>
      <c r="C60" s="461" t="s">
        <v>688</v>
      </c>
      <c r="D60" s="461"/>
      <c r="E60" s="462"/>
      <c r="F60" s="461"/>
      <c r="G60" s="462"/>
      <c r="H60" s="386"/>
      <c r="I60" s="386"/>
      <c r="J60" s="390"/>
      <c r="K60" s="458"/>
      <c r="L60" s="386"/>
      <c r="M60" s="386"/>
      <c r="N60" s="390"/>
      <c r="O60" s="458"/>
      <c r="P60" s="386"/>
      <c r="Q60" s="386"/>
      <c r="R60" s="390"/>
      <c r="S60" s="458"/>
      <c r="T60" s="386"/>
    </row>
    <row r="61" spans="2:29">
      <c r="B61" s="390"/>
      <c r="C61" s="458"/>
      <c r="D61" s="386"/>
      <c r="E61" s="386"/>
      <c r="F61" s="390"/>
      <c r="G61" s="458"/>
      <c r="H61" s="386"/>
      <c r="I61" s="386"/>
      <c r="J61" s="390"/>
      <c r="K61" s="458"/>
      <c r="L61" s="386"/>
      <c r="M61" s="386"/>
      <c r="N61" s="390"/>
      <c r="O61" s="458"/>
      <c r="P61" s="386"/>
      <c r="Q61" s="386"/>
      <c r="R61" s="390"/>
      <c r="S61" s="458"/>
      <c r="T61" s="386"/>
    </row>
    <row r="62" spans="2:29">
      <c r="B62" s="359"/>
      <c r="C62" s="359"/>
      <c r="D62" s="359"/>
      <c r="E62" s="316"/>
      <c r="F62" s="359"/>
      <c r="G62" s="359"/>
      <c r="H62" s="359"/>
      <c r="I62" s="316"/>
      <c r="J62" s="359"/>
      <c r="K62" s="359"/>
      <c r="L62" s="359"/>
      <c r="M62" s="316"/>
      <c r="N62" s="359"/>
      <c r="O62" s="359"/>
      <c r="P62" s="359"/>
      <c r="Q62" s="316"/>
      <c r="R62" s="359"/>
      <c r="S62" s="359"/>
      <c r="T62" s="359"/>
    </row>
    <row r="63" spans="2:29">
      <c r="B63" s="359"/>
      <c r="C63" s="359"/>
      <c r="D63" s="359"/>
      <c r="E63" s="316"/>
      <c r="F63" s="359"/>
      <c r="G63" s="359"/>
      <c r="H63" s="359"/>
      <c r="I63" s="316"/>
      <c r="J63" s="359"/>
      <c r="K63" s="359"/>
      <c r="L63" s="359"/>
      <c r="M63" s="316"/>
      <c r="N63" s="359"/>
      <c r="O63" s="359"/>
      <c r="P63" s="359"/>
      <c r="Q63" s="316"/>
      <c r="R63" s="359"/>
      <c r="S63" s="359"/>
      <c r="T63" s="359"/>
    </row>
    <row r="64" spans="2:29" ht="15.75">
      <c r="B64" s="463" t="s">
        <v>854</v>
      </c>
      <c r="C64" s="464"/>
      <c r="D64" s="465"/>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row>
    <row r="65" spans="2:24">
      <c r="B65" s="317"/>
      <c r="C65" s="1190">
        <v>2009</v>
      </c>
      <c r="D65" s="1194"/>
      <c r="E65" s="321"/>
      <c r="F65" s="319"/>
      <c r="G65" s="1190">
        <v>2010</v>
      </c>
      <c r="H65" s="1194"/>
      <c r="I65" s="321"/>
      <c r="J65" s="320"/>
      <c r="K65" s="1190">
        <v>2011</v>
      </c>
      <c r="L65" s="1194"/>
      <c r="M65" s="321"/>
      <c r="N65" s="320"/>
      <c r="O65" s="1190">
        <v>2012</v>
      </c>
      <c r="P65" s="1194"/>
      <c r="Q65" s="321"/>
      <c r="R65" s="319"/>
      <c r="S65" s="1190">
        <v>2013</v>
      </c>
      <c r="T65" s="1194"/>
      <c r="V65" s="319" t="s">
        <v>656</v>
      </c>
      <c r="W65" s="1190" t="s">
        <v>657</v>
      </c>
      <c r="X65" s="1194"/>
    </row>
    <row r="66" spans="2:24">
      <c r="B66" s="323" t="s">
        <v>690</v>
      </c>
      <c r="C66" s="470" t="s">
        <v>632</v>
      </c>
      <c r="D66" s="470" t="s">
        <v>633</v>
      </c>
      <c r="E66" s="324"/>
      <c r="F66" s="323" t="s">
        <v>690</v>
      </c>
      <c r="G66" s="470" t="s">
        <v>632</v>
      </c>
      <c r="H66" s="470" t="s">
        <v>633</v>
      </c>
      <c r="I66" s="324"/>
      <c r="J66" s="323" t="s">
        <v>690</v>
      </c>
      <c r="K66" s="470" t="s">
        <v>632</v>
      </c>
      <c r="L66" s="471" t="s">
        <v>633</v>
      </c>
      <c r="M66" s="324"/>
      <c r="N66" s="323" t="s">
        <v>690</v>
      </c>
      <c r="O66" s="325" t="s">
        <v>632</v>
      </c>
      <c r="P66" s="470" t="s">
        <v>633</v>
      </c>
      <c r="Q66" s="324"/>
      <c r="R66" s="323" t="s">
        <v>690</v>
      </c>
      <c r="S66" s="547" t="s">
        <v>710</v>
      </c>
      <c r="T66" s="548" t="s">
        <v>633</v>
      </c>
      <c r="V66" s="323" t="s">
        <v>690</v>
      </c>
      <c r="W66" s="547" t="s">
        <v>710</v>
      </c>
      <c r="X66" s="548" t="s">
        <v>633</v>
      </c>
    </row>
    <row r="67" spans="2:24">
      <c r="B67" s="472" t="s">
        <v>855</v>
      </c>
      <c r="C67" s="549">
        <v>361.28090909090906</v>
      </c>
      <c r="D67" s="784">
        <v>22</v>
      </c>
      <c r="E67" s="571"/>
      <c r="F67" s="472" t="s">
        <v>855</v>
      </c>
      <c r="G67" s="549">
        <v>345.18</v>
      </c>
      <c r="H67" s="784">
        <v>755.84510110666872</v>
      </c>
      <c r="I67" s="571"/>
      <c r="J67" s="472" t="s">
        <v>855</v>
      </c>
      <c r="K67" s="549">
        <v>372</v>
      </c>
      <c r="L67" s="784">
        <v>952.79261427956976</v>
      </c>
      <c r="M67" s="571"/>
      <c r="N67" s="472" t="s">
        <v>855</v>
      </c>
      <c r="O67" s="549">
        <v>410</v>
      </c>
      <c r="P67" s="784">
        <v>524.97219512195124</v>
      </c>
      <c r="Q67" s="571"/>
      <c r="R67" s="472" t="s">
        <v>855</v>
      </c>
      <c r="S67" s="549">
        <v>460</v>
      </c>
      <c r="T67" s="333"/>
      <c r="V67" s="472" t="s">
        <v>855</v>
      </c>
      <c r="W67" s="549">
        <f>S67</f>
        <v>460</v>
      </c>
      <c r="X67" s="550">
        <f t="shared" ref="X67:X77" si="1">(H67+L67+P67)/3</f>
        <v>744.53663683606328</v>
      </c>
    </row>
    <row r="68" spans="2:24">
      <c r="B68" s="472" t="s">
        <v>713</v>
      </c>
      <c r="C68" s="554">
        <v>466.80005614823136</v>
      </c>
      <c r="D68" s="785">
        <v>1781</v>
      </c>
      <c r="E68" s="571"/>
      <c r="F68" s="472" t="s">
        <v>713</v>
      </c>
      <c r="G68" s="554">
        <v>542.6</v>
      </c>
      <c r="H68" s="785">
        <v>509.77102838186511</v>
      </c>
      <c r="I68" s="571"/>
      <c r="J68" s="472" t="s">
        <v>713</v>
      </c>
      <c r="K68" s="554">
        <v>585</v>
      </c>
      <c r="L68" s="785">
        <v>1057.4221538461541</v>
      </c>
      <c r="M68" s="571"/>
      <c r="N68" s="472" t="s">
        <v>713</v>
      </c>
      <c r="O68" s="554">
        <v>645</v>
      </c>
      <c r="P68" s="785">
        <v>962.55382945736449</v>
      </c>
      <c r="Q68" s="571"/>
      <c r="R68" s="472" t="s">
        <v>713</v>
      </c>
      <c r="S68" s="554">
        <v>725</v>
      </c>
      <c r="T68" s="344"/>
      <c r="V68" s="472" t="s">
        <v>713</v>
      </c>
      <c r="W68" s="554">
        <f t="shared" ref="W68:W77" si="2">S68</f>
        <v>725</v>
      </c>
      <c r="X68" s="555">
        <f t="shared" si="1"/>
        <v>843.24900389512788</v>
      </c>
    </row>
    <row r="69" spans="2:24">
      <c r="B69" s="472" t="s">
        <v>856</v>
      </c>
      <c r="C69" s="558">
        <v>771.27598086124408</v>
      </c>
      <c r="D69" s="786">
        <v>209</v>
      </c>
      <c r="E69" s="571"/>
      <c r="F69" s="472" t="s">
        <v>856</v>
      </c>
      <c r="G69" s="558">
        <v>740.04</v>
      </c>
      <c r="H69" s="786">
        <v>84.635046754229521</v>
      </c>
      <c r="I69" s="571"/>
      <c r="J69" s="472" t="s">
        <v>856</v>
      </c>
      <c r="K69" s="558">
        <v>797</v>
      </c>
      <c r="L69" s="786">
        <v>79.799560853199523</v>
      </c>
      <c r="M69" s="571"/>
      <c r="N69" s="472" t="s">
        <v>856</v>
      </c>
      <c r="O69" s="558">
        <v>876</v>
      </c>
      <c r="P69" s="786">
        <v>103.2330251141553</v>
      </c>
      <c r="Q69" s="571"/>
      <c r="R69" s="472" t="s">
        <v>856</v>
      </c>
      <c r="S69" s="558">
        <v>990</v>
      </c>
      <c r="T69" s="344"/>
      <c r="V69" s="472" t="s">
        <v>856</v>
      </c>
      <c r="W69" s="558">
        <f t="shared" si="2"/>
        <v>990</v>
      </c>
      <c r="X69" s="559">
        <f t="shared" si="1"/>
        <v>89.222544240528109</v>
      </c>
    </row>
    <row r="70" spans="2:24">
      <c r="B70" s="472" t="s">
        <v>857</v>
      </c>
      <c r="C70" s="558">
        <v>1673.425</v>
      </c>
      <c r="D70" s="786">
        <v>8</v>
      </c>
      <c r="E70" s="571"/>
      <c r="F70" s="472" t="s">
        <v>857</v>
      </c>
      <c r="G70" s="558">
        <v>1606.88</v>
      </c>
      <c r="H70" s="786">
        <v>0</v>
      </c>
      <c r="I70" s="571"/>
      <c r="J70" s="472" t="s">
        <v>857</v>
      </c>
      <c r="K70" s="558">
        <v>1732</v>
      </c>
      <c r="L70" s="786">
        <v>10.086570438799075</v>
      </c>
      <c r="M70" s="571"/>
      <c r="N70" s="472" t="s">
        <v>857</v>
      </c>
      <c r="O70" s="558">
        <v>1910</v>
      </c>
      <c r="P70" s="786">
        <v>14.666890052356022</v>
      </c>
      <c r="Q70" s="571"/>
      <c r="R70" s="472" t="s">
        <v>857</v>
      </c>
      <c r="S70" s="558">
        <v>2150</v>
      </c>
      <c r="T70" s="344"/>
      <c r="V70" s="472" t="s">
        <v>857</v>
      </c>
      <c r="W70" s="558">
        <f t="shared" si="2"/>
        <v>2150</v>
      </c>
      <c r="X70" s="559">
        <f t="shared" si="1"/>
        <v>8.251153497051698</v>
      </c>
    </row>
    <row r="71" spans="2:24">
      <c r="B71" s="472" t="s">
        <v>858</v>
      </c>
      <c r="C71" s="561">
        <v>2823.8415789473684</v>
      </c>
      <c r="D71" s="787">
        <v>19</v>
      </c>
      <c r="E71" s="571"/>
      <c r="F71" s="472" t="s">
        <v>858</v>
      </c>
      <c r="G71" s="561">
        <v>2707.34</v>
      </c>
      <c r="H71" s="787">
        <v>8.1623290757717886</v>
      </c>
      <c r="I71" s="571"/>
      <c r="J71" s="472" t="s">
        <v>858</v>
      </c>
      <c r="K71" s="561">
        <v>2919</v>
      </c>
      <c r="L71" s="787">
        <v>7.8205378554299418</v>
      </c>
      <c r="M71" s="571"/>
      <c r="N71" s="472" t="s">
        <v>858</v>
      </c>
      <c r="O71" s="561">
        <v>3210</v>
      </c>
      <c r="P71" s="787">
        <v>7.7636573208722739</v>
      </c>
      <c r="Q71" s="571"/>
      <c r="R71" s="472" t="s">
        <v>858</v>
      </c>
      <c r="S71" s="561">
        <v>3600</v>
      </c>
      <c r="T71" s="344"/>
      <c r="V71" s="472" t="s">
        <v>858</v>
      </c>
      <c r="W71" s="561">
        <f t="shared" si="2"/>
        <v>3600</v>
      </c>
      <c r="X71" s="562">
        <f t="shared" si="1"/>
        <v>7.9155080840246681</v>
      </c>
    </row>
    <row r="72" spans="2:24">
      <c r="B72" s="472" t="s">
        <v>859</v>
      </c>
      <c r="C72" s="561">
        <v>4308.0550000000003</v>
      </c>
      <c r="D72" s="787">
        <v>20</v>
      </c>
      <c r="E72" s="571"/>
      <c r="F72" s="472" t="s">
        <v>859</v>
      </c>
      <c r="G72" s="561">
        <v>4126.8599999999997</v>
      </c>
      <c r="H72" s="787">
        <v>7.430947500036349</v>
      </c>
      <c r="I72" s="571"/>
      <c r="J72" s="472" t="s">
        <v>859</v>
      </c>
      <c r="K72" s="561">
        <v>4449</v>
      </c>
      <c r="L72" s="787">
        <v>4.9273634524612282</v>
      </c>
      <c r="M72" s="571"/>
      <c r="N72" s="472" t="s">
        <v>859</v>
      </c>
      <c r="O72" s="561">
        <v>4890</v>
      </c>
      <c r="P72" s="787">
        <v>8.921852760736197</v>
      </c>
      <c r="Q72" s="571"/>
      <c r="R72" s="472" t="s">
        <v>859</v>
      </c>
      <c r="S72" s="561">
        <v>5480</v>
      </c>
      <c r="T72" s="344"/>
      <c r="V72" s="472" t="s">
        <v>859</v>
      </c>
      <c r="W72" s="561">
        <f t="shared" si="2"/>
        <v>5480</v>
      </c>
      <c r="X72" s="562">
        <f t="shared" si="1"/>
        <v>7.0933879044112587</v>
      </c>
    </row>
    <row r="73" spans="2:24">
      <c r="B73" s="344" t="s">
        <v>860</v>
      </c>
      <c r="C73" s="592">
        <v>11972.115</v>
      </c>
      <c r="D73" s="787">
        <v>16</v>
      </c>
      <c r="E73" s="571"/>
      <c r="F73" s="472" t="s">
        <v>860</v>
      </c>
      <c r="G73" s="561">
        <v>11468.58</v>
      </c>
      <c r="H73" s="787">
        <v>8.7966374215465208</v>
      </c>
      <c r="I73" s="571"/>
      <c r="J73" s="472" t="s">
        <v>860</v>
      </c>
      <c r="K73" s="561">
        <v>12366</v>
      </c>
      <c r="L73" s="787">
        <v>4.0011103024421795</v>
      </c>
      <c r="M73" s="571"/>
      <c r="N73" s="472" t="s">
        <v>860</v>
      </c>
      <c r="O73" s="561">
        <v>13600</v>
      </c>
      <c r="P73" s="787">
        <v>16.211332352941177</v>
      </c>
      <c r="Q73" s="571"/>
      <c r="R73" s="472" t="s">
        <v>860</v>
      </c>
      <c r="S73" s="561">
        <v>15250</v>
      </c>
      <c r="T73" s="344"/>
      <c r="V73" s="472" t="s">
        <v>860</v>
      </c>
      <c r="W73" s="561">
        <f t="shared" si="2"/>
        <v>15250</v>
      </c>
      <c r="X73" s="562">
        <f t="shared" si="1"/>
        <v>9.669693358976625</v>
      </c>
    </row>
    <row r="74" spans="2:24">
      <c r="B74" s="472" t="s">
        <v>861</v>
      </c>
      <c r="C74" s="564">
        <v>23227.39</v>
      </c>
      <c r="D74" s="788">
        <v>1</v>
      </c>
      <c r="E74" s="571"/>
      <c r="F74" s="472" t="s">
        <v>861</v>
      </c>
      <c r="G74" s="564">
        <v>22321.52</v>
      </c>
      <c r="H74" s="788">
        <v>0</v>
      </c>
      <c r="I74" s="571"/>
      <c r="J74" s="472" t="s">
        <v>861</v>
      </c>
      <c r="K74" s="564">
        <v>24069</v>
      </c>
      <c r="L74" s="788">
        <v>1.9273970667663802</v>
      </c>
      <c r="M74" s="571"/>
      <c r="N74" s="472" t="s">
        <v>861</v>
      </c>
      <c r="O74" s="564">
        <v>26470</v>
      </c>
      <c r="P74" s="788">
        <v>0</v>
      </c>
      <c r="Q74" s="571"/>
      <c r="R74" s="472" t="s">
        <v>861</v>
      </c>
      <c r="S74" s="564">
        <v>29690</v>
      </c>
      <c r="T74" s="344"/>
      <c r="V74" s="472" t="s">
        <v>861</v>
      </c>
      <c r="W74" s="564">
        <f t="shared" si="2"/>
        <v>29690</v>
      </c>
      <c r="X74" s="565">
        <f t="shared" si="1"/>
        <v>0.64246568892212674</v>
      </c>
    </row>
    <row r="75" spans="2:24">
      <c r="B75" s="472" t="s">
        <v>862</v>
      </c>
      <c r="C75" s="564">
        <v>33313</v>
      </c>
      <c r="D75" s="788">
        <v>0</v>
      </c>
      <c r="E75" s="571"/>
      <c r="F75" s="472" t="s">
        <v>862</v>
      </c>
      <c r="G75" s="564">
        <v>32013.79</v>
      </c>
      <c r="H75" s="788">
        <v>1</v>
      </c>
      <c r="I75" s="571"/>
      <c r="J75" s="472" t="s">
        <v>862</v>
      </c>
      <c r="K75" s="564">
        <v>34520</v>
      </c>
      <c r="L75" s="788">
        <v>0.96503476245654696</v>
      </c>
      <c r="M75" s="571"/>
      <c r="N75" s="472" t="s">
        <v>862</v>
      </c>
      <c r="O75" s="564">
        <v>37960</v>
      </c>
      <c r="P75" s="788">
        <v>1.8187565858798735</v>
      </c>
      <c r="Q75" s="571"/>
      <c r="R75" s="472" t="s">
        <v>862</v>
      </c>
      <c r="S75" s="564">
        <v>42580</v>
      </c>
      <c r="T75" s="344"/>
      <c r="V75" s="472" t="s">
        <v>862</v>
      </c>
      <c r="W75" s="564">
        <f t="shared" si="2"/>
        <v>42580</v>
      </c>
      <c r="X75" s="565">
        <f t="shared" si="1"/>
        <v>1.2612637827788069</v>
      </c>
    </row>
    <row r="76" spans="2:24">
      <c r="B76" s="472" t="s">
        <v>796</v>
      </c>
      <c r="C76" s="564">
        <v>107867.83</v>
      </c>
      <c r="D76" s="788">
        <v>0</v>
      </c>
      <c r="E76" s="571"/>
      <c r="F76" s="472" t="s">
        <v>796</v>
      </c>
      <c r="G76" s="564">
        <v>103660.98</v>
      </c>
      <c r="H76" s="788">
        <v>0</v>
      </c>
      <c r="I76" s="571"/>
      <c r="J76" s="472" t="s">
        <v>796</v>
      </c>
      <c r="K76" s="564">
        <v>111777</v>
      </c>
      <c r="L76" s="788">
        <v>0.92739096594111481</v>
      </c>
      <c r="M76" s="571"/>
      <c r="N76" s="472" t="s">
        <v>796</v>
      </c>
      <c r="O76" s="564">
        <v>122910</v>
      </c>
      <c r="P76" s="788">
        <v>0</v>
      </c>
      <c r="Q76" s="571"/>
      <c r="R76" s="472" t="s">
        <v>796</v>
      </c>
      <c r="S76" s="564">
        <v>137860</v>
      </c>
      <c r="T76" s="344"/>
      <c r="V76" s="472" t="s">
        <v>796</v>
      </c>
      <c r="W76" s="564">
        <f t="shared" si="2"/>
        <v>137860</v>
      </c>
      <c r="X76" s="565">
        <f t="shared" si="1"/>
        <v>0.3091303219803716</v>
      </c>
    </row>
    <row r="77" spans="2:24">
      <c r="B77" s="486" t="s">
        <v>863</v>
      </c>
      <c r="C77" s="567">
        <v>149071.10999999999</v>
      </c>
      <c r="D77" s="789">
        <v>0</v>
      </c>
      <c r="E77" s="571"/>
      <c r="F77" s="486" t="s">
        <v>863</v>
      </c>
      <c r="G77" s="564">
        <v>143257.34</v>
      </c>
      <c r="H77" s="789">
        <v>0</v>
      </c>
      <c r="I77" s="571"/>
      <c r="J77" s="486" t="s">
        <v>863</v>
      </c>
      <c r="K77" s="564">
        <v>154474</v>
      </c>
      <c r="L77" s="788">
        <v>0</v>
      </c>
      <c r="M77" s="571"/>
      <c r="N77" s="472" t="s">
        <v>863</v>
      </c>
      <c r="O77" s="567">
        <v>169860</v>
      </c>
      <c r="P77" s="789">
        <v>0.84338478747203582</v>
      </c>
      <c r="Q77" s="571"/>
      <c r="R77" s="486" t="s">
        <v>863</v>
      </c>
      <c r="S77" s="564">
        <v>190520</v>
      </c>
      <c r="T77" s="486"/>
      <c r="V77" s="486" t="s">
        <v>863</v>
      </c>
      <c r="W77" s="564">
        <f t="shared" si="2"/>
        <v>190520</v>
      </c>
      <c r="X77" s="568">
        <f t="shared" si="1"/>
        <v>0.28112826249067863</v>
      </c>
    </row>
    <row r="78" spans="2:24">
      <c r="B78" s="526"/>
      <c r="C78" s="280"/>
      <c r="D78" s="570"/>
      <c r="E78" s="570"/>
      <c r="F78" s="526"/>
      <c r="G78" s="769"/>
      <c r="H78" s="570"/>
      <c r="I78" s="570"/>
      <c r="J78" s="526"/>
      <c r="K78" s="769"/>
      <c r="L78" s="770"/>
      <c r="M78" s="570"/>
      <c r="N78" s="790"/>
      <c r="O78" s="280"/>
      <c r="P78" s="570"/>
      <c r="Q78" s="570"/>
      <c r="R78" s="571"/>
      <c r="S78" s="771"/>
      <c r="T78" s="572"/>
      <c r="U78" s="209"/>
      <c r="V78" s="571"/>
      <c r="W78" s="771"/>
      <c r="X78" s="791"/>
    </row>
    <row r="79" spans="2:24">
      <c r="B79" s="526"/>
      <c r="C79" s="280"/>
      <c r="D79" s="570"/>
      <c r="E79" s="570"/>
      <c r="F79" s="526"/>
      <c r="G79" s="280"/>
      <c r="H79" s="570"/>
      <c r="I79" s="570"/>
      <c r="J79" s="526"/>
      <c r="K79" s="280"/>
      <c r="L79" s="570"/>
      <c r="M79" s="570"/>
      <c r="N79" s="571"/>
      <c r="O79" s="280"/>
      <c r="P79" s="570"/>
      <c r="Q79" s="570"/>
      <c r="R79" s="571"/>
      <c r="S79" s="536"/>
      <c r="T79" s="572"/>
      <c r="U79" s="209"/>
      <c r="V79" s="571"/>
      <c r="W79" s="536"/>
      <c r="X79" s="401"/>
    </row>
    <row r="80" spans="2:24">
      <c r="B80" s="526"/>
      <c r="C80" s="280"/>
      <c r="D80" s="570"/>
      <c r="E80" s="570"/>
      <c r="F80" s="526"/>
      <c r="G80" s="280"/>
      <c r="H80" s="570"/>
      <c r="I80" s="570"/>
      <c r="J80" s="526"/>
      <c r="K80" s="280"/>
      <c r="L80" s="570"/>
      <c r="M80" s="570"/>
      <c r="N80" s="571"/>
      <c r="O80" s="280"/>
      <c r="P80" s="570"/>
      <c r="Q80" s="570"/>
      <c r="R80" s="571"/>
      <c r="S80" s="536"/>
      <c r="T80" s="572"/>
      <c r="U80" s="209"/>
      <c r="V80" s="571"/>
      <c r="W80" s="536"/>
      <c r="X80" s="401"/>
    </row>
    <row r="81" spans="2:24">
      <c r="B81" s="526"/>
      <c r="C81" s="280"/>
      <c r="D81" s="570"/>
      <c r="E81" s="570"/>
      <c r="F81" s="526"/>
      <c r="G81" s="280"/>
      <c r="H81" s="570"/>
      <c r="I81" s="570"/>
      <c r="J81" s="526"/>
      <c r="K81" s="280"/>
      <c r="L81" s="570"/>
      <c r="M81" s="570"/>
      <c r="N81" s="571"/>
      <c r="O81" s="280"/>
      <c r="P81" s="570"/>
      <c r="Q81" s="570"/>
      <c r="R81" s="571"/>
      <c r="S81" s="536"/>
      <c r="T81" s="572"/>
      <c r="U81" s="209"/>
      <c r="V81" s="571"/>
      <c r="W81" s="536"/>
      <c r="X81" s="401"/>
    </row>
    <row r="82" spans="2:24">
      <c r="B82" s="526"/>
      <c r="C82" s="280"/>
      <c r="D82" s="570"/>
      <c r="E82" s="570"/>
      <c r="F82" s="526"/>
      <c r="G82" s="280"/>
      <c r="H82" s="570"/>
      <c r="I82" s="570"/>
      <c r="J82" s="526"/>
      <c r="K82" s="280"/>
      <c r="L82" s="570"/>
      <c r="M82" s="570"/>
      <c r="N82" s="571"/>
      <c r="O82" s="280"/>
      <c r="P82" s="570"/>
      <c r="Q82" s="570"/>
      <c r="R82" s="571"/>
      <c r="S82" s="536"/>
      <c r="T82" s="572"/>
      <c r="U82" s="209"/>
      <c r="V82" s="571"/>
      <c r="W82" s="536"/>
      <c r="X82" s="401"/>
    </row>
    <row r="83" spans="2:24">
      <c r="B83" s="390"/>
      <c r="C83" s="488"/>
      <c r="D83" s="390"/>
      <c r="E83" s="390"/>
      <c r="F83" s="489"/>
      <c r="G83" s="488"/>
      <c r="H83" s="390"/>
      <c r="I83" s="390"/>
      <c r="J83" s="390"/>
      <c r="K83" s="488"/>
      <c r="L83" s="390"/>
      <c r="M83" s="390"/>
      <c r="N83" s="573"/>
      <c r="O83" s="280"/>
      <c r="P83" s="570"/>
      <c r="Q83" s="570"/>
      <c r="R83" s="574"/>
      <c r="S83" s="536"/>
      <c r="T83" s="574"/>
      <c r="U83" s="209"/>
      <c r="V83" s="574"/>
      <c r="W83" s="536"/>
      <c r="X83" s="401"/>
    </row>
    <row r="84" spans="2:24">
      <c r="B84" s="390"/>
      <c r="C84" s="488"/>
      <c r="D84" s="390"/>
      <c r="E84" s="390"/>
      <c r="F84" s="489"/>
      <c r="G84" s="488"/>
      <c r="H84" s="390"/>
      <c r="I84" s="390"/>
      <c r="J84" s="390"/>
      <c r="K84" s="488"/>
      <c r="L84" s="390"/>
      <c r="M84" s="390"/>
      <c r="N84" s="390"/>
      <c r="O84" s="488"/>
      <c r="P84" s="390"/>
      <c r="Q84" s="390"/>
      <c r="R84" s="390"/>
      <c r="S84" s="488"/>
      <c r="T84" s="390"/>
      <c r="V84" s="390"/>
      <c r="W84" s="488"/>
      <c r="X84" s="490"/>
    </row>
    <row r="85" spans="2:24">
      <c r="B85" s="383" t="s">
        <v>680</v>
      </c>
      <c r="C85" s="491">
        <f>SUMPRODUCT(C67:C77,D67:D77)</f>
        <v>1368498.4800000002</v>
      </c>
      <c r="D85" s="422"/>
      <c r="E85" s="386"/>
      <c r="F85" s="492" t="s">
        <v>680</v>
      </c>
      <c r="G85" s="491">
        <f>SUMPRODUCT(G67:G77,H67:H77)</f>
        <v>785801.10199999996</v>
      </c>
      <c r="H85" s="422"/>
      <c r="I85" s="386"/>
      <c r="J85" s="383" t="s">
        <v>680</v>
      </c>
      <c r="K85" s="491">
        <f>SUMPRODUCT(K67:K77,L67:L77)</f>
        <v>1331693.222512</v>
      </c>
      <c r="L85" s="422"/>
      <c r="M85" s="386"/>
      <c r="N85" s="383" t="s">
        <v>680</v>
      </c>
      <c r="O85" s="491">
        <f>SUMPRODUCT(O67:O77,P67:P77)</f>
        <v>1455852.37</v>
      </c>
      <c r="P85" s="422"/>
      <c r="Q85" s="386"/>
      <c r="R85" s="383" t="s">
        <v>680</v>
      </c>
      <c r="S85" s="491">
        <f>SUMPRODUCT(S67:S77,T67:T77)</f>
        <v>0</v>
      </c>
      <c r="T85" s="422"/>
      <c r="V85" s="383" t="s">
        <v>680</v>
      </c>
      <c r="W85" s="491">
        <f>SUMPRODUCT(W67:W77,X67:X77)</f>
        <v>1443699.7790611545</v>
      </c>
      <c r="X85" s="424"/>
    </row>
    <row r="86" spans="2:24">
      <c r="B86" s="390"/>
      <c r="C86" s="269"/>
      <c r="D86" s="386"/>
      <c r="E86" s="386"/>
      <c r="F86" s="489"/>
      <c r="G86" s="493"/>
      <c r="H86" s="386"/>
      <c r="I86" s="386"/>
      <c r="J86" s="390"/>
      <c r="K86" s="269"/>
      <c r="L86" s="386"/>
      <c r="M86" s="386"/>
      <c r="N86" s="390"/>
      <c r="O86" s="269"/>
      <c r="P86" s="386"/>
      <c r="Q86" s="386"/>
      <c r="R86" s="359"/>
      <c r="S86" s="359"/>
      <c r="T86" s="359"/>
      <c r="V86" s="390"/>
      <c r="W86" s="269"/>
      <c r="X86" s="391"/>
    </row>
    <row r="87" spans="2:24" ht="22.5">
      <c r="B87" s="494" t="s">
        <v>704</v>
      </c>
      <c r="C87" s="495" t="s">
        <v>682</v>
      </c>
      <c r="D87" s="433" t="s">
        <v>683</v>
      </c>
      <c r="E87" s="434"/>
      <c r="F87" s="494" t="s">
        <v>705</v>
      </c>
      <c r="G87" s="393" t="s">
        <v>682</v>
      </c>
      <c r="H87" s="496" t="s">
        <v>683</v>
      </c>
      <c r="I87" s="434"/>
      <c r="J87" s="494" t="s">
        <v>705</v>
      </c>
      <c r="K87" s="393" t="s">
        <v>682</v>
      </c>
      <c r="L87" s="496" t="s">
        <v>683</v>
      </c>
      <c r="M87" s="434"/>
      <c r="N87" s="494" t="s">
        <v>705</v>
      </c>
      <c r="O87" s="393" t="s">
        <v>682</v>
      </c>
      <c r="P87" s="496" t="s">
        <v>683</v>
      </c>
      <c r="Q87" s="434"/>
      <c r="R87" s="359"/>
      <c r="S87" s="359"/>
      <c r="T87" s="359"/>
      <c r="V87" s="579" t="s">
        <v>705</v>
      </c>
      <c r="W87" s="393" t="s">
        <v>682</v>
      </c>
      <c r="X87" s="497" t="s">
        <v>683</v>
      </c>
    </row>
    <row r="88" spans="2:24" s="359" customFormat="1" ht="11.25">
      <c r="B88" s="438" t="s">
        <v>251</v>
      </c>
      <c r="C88" s="249">
        <f>C67</f>
        <v>361.28090909090906</v>
      </c>
      <c r="D88" s="498">
        <f>D67</f>
        <v>22</v>
      </c>
      <c r="E88" s="443"/>
      <c r="F88" s="438" t="s">
        <v>251</v>
      </c>
      <c r="G88" s="249">
        <f>G67</f>
        <v>345.18</v>
      </c>
      <c r="H88" s="498">
        <f>H67</f>
        <v>755.84510110666872</v>
      </c>
      <c r="I88" s="443"/>
      <c r="J88" s="438" t="s">
        <v>251</v>
      </c>
      <c r="K88" s="249">
        <f>K67</f>
        <v>372</v>
      </c>
      <c r="L88" s="498">
        <f>L67</f>
        <v>952.79261427956976</v>
      </c>
      <c r="M88" s="443"/>
      <c r="N88" s="438" t="s">
        <v>251</v>
      </c>
      <c r="O88" s="249">
        <f>O67</f>
        <v>410</v>
      </c>
      <c r="P88" s="498">
        <f>P67</f>
        <v>524.97219512195124</v>
      </c>
      <c r="Q88" s="443"/>
      <c r="V88" s="580" t="s">
        <v>251</v>
      </c>
      <c r="W88" s="249">
        <f>W67</f>
        <v>460</v>
      </c>
      <c r="X88" s="250">
        <f>X67</f>
        <v>744.53663683606328</v>
      </c>
    </row>
    <row r="89" spans="2:24" s="359" customFormat="1" ht="11.25">
      <c r="B89" s="438" t="s">
        <v>252</v>
      </c>
      <c r="C89" s="252">
        <f>SUMPRODUCT(C68,D68)/SUM(D68)</f>
        <v>466.80005614823136</v>
      </c>
      <c r="D89" s="442">
        <f>SUM(D68)</f>
        <v>1781</v>
      </c>
      <c r="E89" s="443"/>
      <c r="F89" s="438" t="s">
        <v>252</v>
      </c>
      <c r="G89" s="252">
        <f>SUMPRODUCT(G68,H68)/SUM(H68)</f>
        <v>542.6</v>
      </c>
      <c r="H89" s="442">
        <f>SUM(H68)</f>
        <v>509.77102838186511</v>
      </c>
      <c r="I89" s="443"/>
      <c r="J89" s="438" t="s">
        <v>252</v>
      </c>
      <c r="K89" s="252">
        <f>SUMPRODUCT(K68,L68)/SUM(L68)</f>
        <v>585</v>
      </c>
      <c r="L89" s="442">
        <f>SUM(L68)</f>
        <v>1057.4221538461541</v>
      </c>
      <c r="M89" s="443"/>
      <c r="N89" s="438" t="s">
        <v>252</v>
      </c>
      <c r="O89" s="252">
        <f>SUMPRODUCT(O68,P68)/SUM(P68)</f>
        <v>645</v>
      </c>
      <c r="P89" s="442">
        <f>SUM(P68)</f>
        <v>962.55382945736449</v>
      </c>
      <c r="Q89" s="443"/>
      <c r="V89" s="441" t="s">
        <v>252</v>
      </c>
      <c r="W89" s="252">
        <f>SUMPRODUCT(W68,X68)/SUM(X68)</f>
        <v>725</v>
      </c>
      <c r="X89" s="253">
        <f>SUM(X68)</f>
        <v>843.24900389512788</v>
      </c>
    </row>
    <row r="90" spans="2:24" s="359" customFormat="1" ht="11.25">
      <c r="B90" s="438" t="s">
        <v>253</v>
      </c>
      <c r="C90" s="254">
        <f>SUMPRODUCT(C69:C70,D69:D70)/SUM(D69:D70)</f>
        <v>804.53493087557615</v>
      </c>
      <c r="D90" s="444">
        <f>SUM(D69:D70)</f>
        <v>217</v>
      </c>
      <c r="E90" s="443"/>
      <c r="F90" s="438" t="s">
        <v>253</v>
      </c>
      <c r="G90" s="254">
        <f>SUMPRODUCT(G69:G70,H69:H70)/SUM(H69:H70)</f>
        <v>740.04</v>
      </c>
      <c r="H90" s="444">
        <f>SUM(H69:H70)</f>
        <v>84.635046754229521</v>
      </c>
      <c r="I90" s="443"/>
      <c r="J90" s="438" t="s">
        <v>253</v>
      </c>
      <c r="K90" s="254">
        <f>SUMPRODUCT(K69:K70,L69:L70)/SUM(L69:L70)</f>
        <v>901.92100644136474</v>
      </c>
      <c r="L90" s="444">
        <f>SUM(L69:L70)</f>
        <v>89.886131291998595</v>
      </c>
      <c r="M90" s="443"/>
      <c r="N90" s="438" t="s">
        <v>253</v>
      </c>
      <c r="O90" s="254">
        <f>SUMPRODUCT(O69:O70,P69:P70)/SUM(P69:P70)</f>
        <v>1004.6308331326417</v>
      </c>
      <c r="P90" s="444">
        <f>SUM(P69:P70)</f>
        <v>117.89991516651132</v>
      </c>
      <c r="Q90" s="443"/>
      <c r="V90" s="441" t="s">
        <v>253</v>
      </c>
      <c r="W90" s="254">
        <f>SUMPRODUCT(W69:W70,X69:X70)/SUM(X69:X70)</f>
        <v>1088.1940593076511</v>
      </c>
      <c r="X90" s="255">
        <f>SUM(X69:X70)</f>
        <v>97.473697737579812</v>
      </c>
    </row>
    <row r="91" spans="2:24" s="359" customFormat="1" ht="11.25">
      <c r="B91" s="438" t="s">
        <v>255</v>
      </c>
      <c r="C91" s="256">
        <f>SUMPRODUCT(C71:C73,D71:D73)/SUM(D71:D73)</f>
        <v>6024.8714545454541</v>
      </c>
      <c r="D91" s="445">
        <f>SUM(D71:D73)</f>
        <v>55</v>
      </c>
      <c r="E91" s="443"/>
      <c r="F91" s="438" t="s">
        <v>255</v>
      </c>
      <c r="G91" s="256">
        <f>SUMPRODUCT(G71:G73,H71:H73)/SUM(H71:H73)</f>
        <v>6299.7196306909864</v>
      </c>
      <c r="H91" s="445">
        <f>SUM(H71:H73)</f>
        <v>24.389913997354657</v>
      </c>
      <c r="I91" s="443"/>
      <c r="J91" s="438" t="s">
        <v>255</v>
      </c>
      <c r="K91" s="256">
        <f>SUMPRODUCT(K71:K73,L71:L73)/SUM(L71:L73)</f>
        <v>5625.8674954805065</v>
      </c>
      <c r="L91" s="445">
        <f>SUM(L71:L73)</f>
        <v>16.749011610333348</v>
      </c>
      <c r="M91" s="443"/>
      <c r="N91" s="438" t="s">
        <v>255</v>
      </c>
      <c r="O91" s="256">
        <f>SUMPRODUCT(O71:O73,P71:P73)/SUM(P71:P73)</f>
        <v>8785.7465522726143</v>
      </c>
      <c r="P91" s="445">
        <f>SUM(P71:P73)</f>
        <v>32.896842434549647</v>
      </c>
      <c r="Q91" s="443"/>
      <c r="V91" s="441" t="s">
        <v>255</v>
      </c>
      <c r="W91" s="256">
        <f>SUMPRODUCT(W71:W73,X71:X73)/SUM(X71:X73)</f>
        <v>8705.1336492043083</v>
      </c>
      <c r="X91" s="257">
        <f>SUM(X71:X73)</f>
        <v>24.678589347412554</v>
      </c>
    </row>
    <row r="92" spans="2:24" s="359" customFormat="1" ht="11.25">
      <c r="B92" s="438" t="s">
        <v>254</v>
      </c>
      <c r="C92" s="258">
        <f>SUMPRODUCT(C74:C77,D74:D77)/SUM(D74:D77)</f>
        <v>23227.39</v>
      </c>
      <c r="D92" s="499">
        <f>SUM(D74:D77)</f>
        <v>1</v>
      </c>
      <c r="E92" s="443"/>
      <c r="F92" s="447" t="s">
        <v>254</v>
      </c>
      <c r="G92" s="258">
        <f>SUMPRODUCT(G74:G77,H74:H77)/SUM(H74:H77)</f>
        <v>32013.79</v>
      </c>
      <c r="H92" s="499">
        <f>SUM(H74:H77)</f>
        <v>1</v>
      </c>
      <c r="I92" s="443"/>
      <c r="J92" s="438" t="s">
        <v>254</v>
      </c>
      <c r="K92" s="258">
        <f>SUMPRODUCT(K74:K77,L74:L77)/SUM(L74:L77)</f>
        <v>48003.404826041267</v>
      </c>
      <c r="L92" s="499">
        <f>SUM(L74:L77)</f>
        <v>3.8198227951640416</v>
      </c>
      <c r="M92" s="443"/>
      <c r="N92" s="438" t="s">
        <v>254</v>
      </c>
      <c r="O92" s="258">
        <f>SUMPRODUCT(O74:O77,P74:P77)/SUM(P74:P77)</f>
        <v>79746.831676597183</v>
      </c>
      <c r="P92" s="499">
        <f>SUM(P74:P77)</f>
        <v>2.6621413733519095</v>
      </c>
      <c r="Q92" s="443"/>
      <c r="V92" s="449" t="s">
        <v>254</v>
      </c>
      <c r="W92" s="267">
        <f>SUMPRODUCT(W74:W77,X74:X77)/SUM(X74:X77)</f>
        <v>67745.585434795066</v>
      </c>
      <c r="X92" s="268">
        <f>SUM(X74:X77)</f>
        <v>2.4939880561719843</v>
      </c>
    </row>
    <row r="93" spans="2:24">
      <c r="B93" s="450" t="s">
        <v>680</v>
      </c>
      <c r="C93" s="451">
        <f>SUMPRODUCT(C88:C92,D88:D92)</f>
        <v>1368498.48</v>
      </c>
      <c r="D93" s="452"/>
      <c r="E93" s="443"/>
      <c r="F93" s="450" t="s">
        <v>680</v>
      </c>
      <c r="G93" s="451">
        <f>SUMPRODUCT(G88:G92,H88:H92)</f>
        <v>785801.10200000007</v>
      </c>
      <c r="H93" s="452"/>
      <c r="I93" s="443"/>
      <c r="J93" s="450" t="s">
        <v>680</v>
      </c>
      <c r="K93" s="451">
        <f>SUMPRODUCT(K88:K92,L88:L92)</f>
        <v>1331693.222512</v>
      </c>
      <c r="L93" s="452"/>
      <c r="M93" s="443"/>
      <c r="N93" s="450" t="s">
        <v>680</v>
      </c>
      <c r="O93" s="451">
        <f>SUMPRODUCT(O88:O92,P88:P92)</f>
        <v>1455852.37</v>
      </c>
      <c r="P93" s="452"/>
      <c r="Q93" s="443"/>
      <c r="R93" s="359"/>
      <c r="S93" s="359"/>
      <c r="T93" s="359"/>
      <c r="V93" s="586" t="s">
        <v>680</v>
      </c>
      <c r="W93" s="451">
        <f>SUMPRODUCT(W88:W92,X88:X92)</f>
        <v>1443699.7790611547</v>
      </c>
      <c r="X93" s="604"/>
    </row>
    <row r="94" spans="2:24">
      <c r="B94" s="390"/>
      <c r="C94" s="500"/>
      <c r="D94" s="386"/>
      <c r="E94" s="386"/>
      <c r="F94" s="489"/>
      <c r="G94" s="455"/>
      <c r="H94" s="386"/>
      <c r="I94" s="386"/>
      <c r="J94" s="390"/>
      <c r="K94" s="455"/>
      <c r="L94" s="386"/>
      <c r="M94" s="386"/>
      <c r="N94" s="390"/>
      <c r="O94" s="455"/>
      <c r="P94" s="386"/>
      <c r="Q94" s="386"/>
      <c r="R94" s="359"/>
      <c r="S94" s="359"/>
      <c r="T94" s="359"/>
      <c r="V94" s="390"/>
      <c r="W94" s="455"/>
      <c r="X94" s="391"/>
    </row>
    <row r="95" spans="2:24">
      <c r="B95" s="501" t="s">
        <v>706</v>
      </c>
      <c r="C95" s="393" t="s">
        <v>682</v>
      </c>
      <c r="D95" s="502" t="s">
        <v>683</v>
      </c>
      <c r="E95" s="503"/>
      <c r="F95" s="501" t="s">
        <v>706</v>
      </c>
      <c r="G95" s="393" t="s">
        <v>682</v>
      </c>
      <c r="H95" s="496" t="s">
        <v>683</v>
      </c>
      <c r="I95" s="503"/>
      <c r="J95" s="501" t="s">
        <v>706</v>
      </c>
      <c r="K95" s="393" t="s">
        <v>682</v>
      </c>
      <c r="L95" s="496" t="s">
        <v>683</v>
      </c>
      <c r="M95" s="503"/>
      <c r="N95" s="501" t="s">
        <v>706</v>
      </c>
      <c r="O95" s="393" t="s">
        <v>682</v>
      </c>
      <c r="P95" s="502" t="s">
        <v>683</v>
      </c>
      <c r="Q95" s="503"/>
      <c r="R95" s="587" t="s">
        <v>706</v>
      </c>
      <c r="S95" s="393" t="s">
        <v>682</v>
      </c>
      <c r="T95" s="502" t="s">
        <v>683</v>
      </c>
      <c r="V95" s="587" t="s">
        <v>706</v>
      </c>
      <c r="W95" s="393" t="s">
        <v>682</v>
      </c>
      <c r="X95" s="397" t="s">
        <v>683</v>
      </c>
    </row>
    <row r="96" spans="2:24">
      <c r="B96" s="472" t="s">
        <v>855</v>
      </c>
      <c r="C96" s="549">
        <v>23.97</v>
      </c>
      <c r="D96" s="754">
        <v>0</v>
      </c>
      <c r="E96" s="551"/>
      <c r="F96" s="472" t="s">
        <v>855</v>
      </c>
      <c r="G96" s="549">
        <v>23.04</v>
      </c>
      <c r="H96" s="754">
        <v>69.388020833333314</v>
      </c>
      <c r="I96" s="551"/>
      <c r="J96" s="472" t="s">
        <v>855</v>
      </c>
      <c r="K96" s="549">
        <v>24.84</v>
      </c>
      <c r="L96" s="754">
        <v>134.49275362318841</v>
      </c>
      <c r="M96" s="551"/>
      <c r="N96" s="504" t="s">
        <v>855</v>
      </c>
      <c r="O96" s="549">
        <v>27.299999999999997</v>
      </c>
      <c r="P96" s="754">
        <v>0</v>
      </c>
      <c r="Q96" s="551"/>
      <c r="R96" s="333" t="s">
        <v>855</v>
      </c>
      <c r="S96" s="589">
        <v>30.6</v>
      </c>
      <c r="T96" s="553"/>
      <c r="V96" s="333" t="s">
        <v>855</v>
      </c>
      <c r="W96" s="589">
        <f t="shared" ref="W96:W105" si="3">S96</f>
        <v>30.6</v>
      </c>
      <c r="X96" s="550">
        <f t="shared" ref="X96:X106" si="4">(H96+L96+P96)/3</f>
        <v>67.960258152173907</v>
      </c>
    </row>
    <row r="97" spans="2:24">
      <c r="B97" s="472" t="s">
        <v>713</v>
      </c>
      <c r="C97" s="554">
        <v>25.003599999999999</v>
      </c>
      <c r="D97" s="759">
        <v>600</v>
      </c>
      <c r="E97" s="551"/>
      <c r="F97" s="472" t="s">
        <v>713</v>
      </c>
      <c r="G97" s="554">
        <v>23.92</v>
      </c>
      <c r="H97" s="759">
        <v>644.55183946488296</v>
      </c>
      <c r="I97" s="551"/>
      <c r="J97" s="472" t="s">
        <v>713</v>
      </c>
      <c r="K97" s="554">
        <v>25.79</v>
      </c>
      <c r="L97" s="759">
        <v>623.31407522295467</v>
      </c>
      <c r="M97" s="551"/>
      <c r="N97" s="472" t="s">
        <v>713</v>
      </c>
      <c r="O97" s="554">
        <v>28.3</v>
      </c>
      <c r="P97" s="759">
        <v>596.99187279151943</v>
      </c>
      <c r="Q97" s="551"/>
      <c r="R97" s="344" t="s">
        <v>713</v>
      </c>
      <c r="S97" s="590">
        <v>31.7</v>
      </c>
      <c r="T97" s="557"/>
      <c r="V97" s="344" t="s">
        <v>713</v>
      </c>
      <c r="W97" s="590">
        <f t="shared" si="3"/>
        <v>31.7</v>
      </c>
      <c r="X97" s="555">
        <f t="shared" si="4"/>
        <v>621.61926249311898</v>
      </c>
    </row>
    <row r="98" spans="2:24">
      <c r="B98" s="472" t="s">
        <v>856</v>
      </c>
      <c r="C98" s="558">
        <v>28.621445783132529</v>
      </c>
      <c r="D98" s="763">
        <v>664</v>
      </c>
      <c r="E98" s="551"/>
      <c r="F98" s="472" t="s">
        <v>856</v>
      </c>
      <c r="G98" s="558">
        <v>27.49</v>
      </c>
      <c r="H98" s="763">
        <v>837.27209894507087</v>
      </c>
      <c r="I98" s="551"/>
      <c r="J98" s="472" t="s">
        <v>856</v>
      </c>
      <c r="K98" s="558">
        <v>29.64</v>
      </c>
      <c r="L98" s="763">
        <v>115.19703103913629</v>
      </c>
      <c r="M98" s="551"/>
      <c r="N98" s="472" t="s">
        <v>856</v>
      </c>
      <c r="O98" s="558">
        <v>32.5</v>
      </c>
      <c r="P98" s="763">
        <v>431.26400000000001</v>
      </c>
      <c r="Q98" s="551"/>
      <c r="R98" s="344" t="s">
        <v>856</v>
      </c>
      <c r="S98" s="591">
        <v>36.5</v>
      </c>
      <c r="T98" s="557"/>
      <c r="V98" s="344" t="s">
        <v>856</v>
      </c>
      <c r="W98" s="591">
        <f t="shared" si="3"/>
        <v>36.5</v>
      </c>
      <c r="X98" s="559">
        <f t="shared" si="4"/>
        <v>461.24437666140238</v>
      </c>
    </row>
    <row r="99" spans="2:24">
      <c r="B99" s="472" t="s">
        <v>857</v>
      </c>
      <c r="C99" s="558">
        <v>50.018409323586397</v>
      </c>
      <c r="D99" s="763">
        <v>1002.5796637309847</v>
      </c>
      <c r="E99" s="551"/>
      <c r="F99" s="472" t="s">
        <v>857</v>
      </c>
      <c r="G99" s="558">
        <v>48.01</v>
      </c>
      <c r="H99" s="763">
        <v>0</v>
      </c>
      <c r="I99" s="551"/>
      <c r="J99" s="472" t="s">
        <v>857</v>
      </c>
      <c r="K99" s="558">
        <v>51.76</v>
      </c>
      <c r="L99" s="763">
        <v>59.363214837712519</v>
      </c>
      <c r="M99" s="551"/>
      <c r="N99" s="472" t="s">
        <v>857</v>
      </c>
      <c r="O99" s="558">
        <v>56.800000000000004</v>
      </c>
      <c r="P99" s="763">
        <v>220.07253521126756</v>
      </c>
      <c r="Q99" s="551"/>
      <c r="R99" s="344" t="s">
        <v>857</v>
      </c>
      <c r="S99" s="591">
        <v>63.7</v>
      </c>
      <c r="T99" s="557"/>
      <c r="V99" s="344" t="s">
        <v>857</v>
      </c>
      <c r="W99" s="591">
        <f t="shared" si="3"/>
        <v>63.7</v>
      </c>
      <c r="X99" s="559">
        <f t="shared" si="4"/>
        <v>93.145250016326699</v>
      </c>
    </row>
    <row r="100" spans="2:24">
      <c r="B100" s="472" t="s">
        <v>858</v>
      </c>
      <c r="C100" s="561">
        <v>50.088626270229582</v>
      </c>
      <c r="D100" s="766">
        <v>2657</v>
      </c>
      <c r="E100" s="551"/>
      <c r="F100" s="472" t="s">
        <v>858</v>
      </c>
      <c r="G100" s="561">
        <v>48.01</v>
      </c>
      <c r="H100" s="766">
        <v>388.23390960216625</v>
      </c>
      <c r="I100" s="551"/>
      <c r="J100" s="472" t="s">
        <v>858</v>
      </c>
      <c r="K100" s="561">
        <v>51.76</v>
      </c>
      <c r="L100" s="766">
        <v>687.8589644513138</v>
      </c>
      <c r="M100" s="551"/>
      <c r="N100" s="472" t="s">
        <v>858</v>
      </c>
      <c r="O100" s="561">
        <v>56.800000000000004</v>
      </c>
      <c r="P100" s="766">
        <v>1060.5968309859154</v>
      </c>
      <c r="Q100" s="551"/>
      <c r="R100" s="344" t="s">
        <v>858</v>
      </c>
      <c r="S100" s="592">
        <v>63.7</v>
      </c>
      <c r="T100" s="557"/>
      <c r="V100" s="344" t="s">
        <v>858</v>
      </c>
      <c r="W100" s="592">
        <f t="shared" si="3"/>
        <v>63.7</v>
      </c>
      <c r="X100" s="562">
        <f t="shared" si="4"/>
        <v>712.22990167979845</v>
      </c>
    </row>
    <row r="101" spans="2:24">
      <c r="B101" s="472" t="s">
        <v>859</v>
      </c>
      <c r="C101" s="561">
        <v>54.767316384180788</v>
      </c>
      <c r="D101" s="766">
        <v>1770</v>
      </c>
      <c r="E101" s="551"/>
      <c r="F101" s="472" t="s">
        <v>859</v>
      </c>
      <c r="G101" s="561">
        <v>52.49</v>
      </c>
      <c r="H101" s="766">
        <v>401.10878262526194</v>
      </c>
      <c r="I101" s="551"/>
      <c r="J101" s="472" t="s">
        <v>859</v>
      </c>
      <c r="K101" s="561">
        <v>56.59</v>
      </c>
      <c r="L101" s="766">
        <v>256.93108323025268</v>
      </c>
      <c r="M101" s="551"/>
      <c r="N101" s="472" t="s">
        <v>859</v>
      </c>
      <c r="O101" s="561">
        <v>62.099999999999994</v>
      </c>
      <c r="P101" s="766">
        <v>702.2165861513688</v>
      </c>
      <c r="Q101" s="551"/>
      <c r="R101" s="344" t="s">
        <v>859</v>
      </c>
      <c r="S101" s="592">
        <v>69.7</v>
      </c>
      <c r="T101" s="557"/>
      <c r="V101" s="344" t="s">
        <v>859</v>
      </c>
      <c r="W101" s="592">
        <f t="shared" si="3"/>
        <v>69.7</v>
      </c>
      <c r="X101" s="562">
        <f t="shared" si="4"/>
        <v>453.41881733562781</v>
      </c>
    </row>
    <row r="102" spans="2:24">
      <c r="B102" s="472" t="s">
        <v>860</v>
      </c>
      <c r="C102" s="561">
        <v>94.31255376344086</v>
      </c>
      <c r="D102" s="766">
        <v>744</v>
      </c>
      <c r="E102" s="551"/>
      <c r="F102" s="472" t="s">
        <v>860</v>
      </c>
      <c r="G102" s="561">
        <v>90.3</v>
      </c>
      <c r="H102" s="766">
        <v>232.8093023255814</v>
      </c>
      <c r="I102" s="551"/>
      <c r="J102" s="472" t="s">
        <v>860</v>
      </c>
      <c r="K102" s="561">
        <v>97.37</v>
      </c>
      <c r="L102" s="766">
        <v>46.369518332135151</v>
      </c>
      <c r="M102" s="551"/>
      <c r="N102" s="472" t="s">
        <v>860</v>
      </c>
      <c r="O102" s="561">
        <v>107</v>
      </c>
      <c r="P102" s="766">
        <v>480.68</v>
      </c>
      <c r="Q102" s="551"/>
      <c r="R102" s="344" t="s">
        <v>860</v>
      </c>
      <c r="S102" s="592">
        <v>120</v>
      </c>
      <c r="T102" s="557"/>
      <c r="V102" s="344" t="s">
        <v>860</v>
      </c>
      <c r="W102" s="592">
        <f t="shared" si="3"/>
        <v>120</v>
      </c>
      <c r="X102" s="562">
        <f t="shared" si="4"/>
        <v>253.28627355257217</v>
      </c>
    </row>
    <row r="103" spans="2:24">
      <c r="B103" s="472" t="s">
        <v>861</v>
      </c>
      <c r="C103" s="564">
        <v>93.96</v>
      </c>
      <c r="D103" s="768">
        <v>0</v>
      </c>
      <c r="E103" s="551"/>
      <c r="F103" s="472" t="s">
        <v>861</v>
      </c>
      <c r="G103" s="564">
        <v>90.3</v>
      </c>
      <c r="H103" s="768">
        <v>0</v>
      </c>
      <c r="I103" s="551"/>
      <c r="J103" s="472" t="s">
        <v>861</v>
      </c>
      <c r="K103" s="564">
        <v>97.37</v>
      </c>
      <c r="L103" s="768">
        <v>0</v>
      </c>
      <c r="M103" s="551"/>
      <c r="N103" s="472" t="s">
        <v>861</v>
      </c>
      <c r="O103" s="564">
        <v>107</v>
      </c>
      <c r="P103" s="768">
        <v>0</v>
      </c>
      <c r="Q103" s="551"/>
      <c r="R103" s="344" t="s">
        <v>861</v>
      </c>
      <c r="S103" s="593">
        <v>120</v>
      </c>
      <c r="T103" s="557"/>
      <c r="V103" s="344" t="s">
        <v>861</v>
      </c>
      <c r="W103" s="593">
        <f t="shared" si="3"/>
        <v>120</v>
      </c>
      <c r="X103" s="565">
        <f t="shared" si="4"/>
        <v>0</v>
      </c>
    </row>
    <row r="104" spans="2:24">
      <c r="B104" s="472" t="s">
        <v>862</v>
      </c>
      <c r="C104" s="564">
        <v>93.96</v>
      </c>
      <c r="D104" s="768">
        <v>0</v>
      </c>
      <c r="E104" s="551"/>
      <c r="F104" s="472" t="s">
        <v>862</v>
      </c>
      <c r="G104" s="564">
        <v>90.3</v>
      </c>
      <c r="H104" s="768">
        <v>0</v>
      </c>
      <c r="I104" s="551"/>
      <c r="J104" s="472" t="s">
        <v>862</v>
      </c>
      <c r="K104" s="564">
        <v>97.37</v>
      </c>
      <c r="L104" s="768">
        <v>0</v>
      </c>
      <c r="M104" s="551"/>
      <c r="N104" s="472" t="s">
        <v>862</v>
      </c>
      <c r="O104" s="564">
        <v>107</v>
      </c>
      <c r="P104" s="768">
        <v>72.8</v>
      </c>
      <c r="Q104" s="551"/>
      <c r="R104" s="344" t="s">
        <v>862</v>
      </c>
      <c r="S104" s="593">
        <v>120</v>
      </c>
      <c r="T104" s="557"/>
      <c r="V104" s="344" t="s">
        <v>862</v>
      </c>
      <c r="W104" s="593">
        <f t="shared" si="3"/>
        <v>120</v>
      </c>
      <c r="X104" s="565">
        <f t="shared" si="4"/>
        <v>24.266666666666666</v>
      </c>
    </row>
    <row r="105" spans="2:24">
      <c r="B105" s="472" t="s">
        <v>796</v>
      </c>
      <c r="C105" s="564">
        <v>138.05000000000001</v>
      </c>
      <c r="D105" s="768">
        <v>0</v>
      </c>
      <c r="E105" s="551"/>
      <c r="F105" s="472" t="s">
        <v>796</v>
      </c>
      <c r="G105" s="564">
        <v>132.66999999999999</v>
      </c>
      <c r="H105" s="768">
        <v>0</v>
      </c>
      <c r="I105" s="551"/>
      <c r="J105" s="472" t="s">
        <v>796</v>
      </c>
      <c r="K105" s="564">
        <v>143.05000000000001</v>
      </c>
      <c r="L105" s="768">
        <v>333.8776651520447</v>
      </c>
      <c r="M105" s="551"/>
      <c r="N105" s="472" t="s">
        <v>796</v>
      </c>
      <c r="O105" s="564">
        <v>157</v>
      </c>
      <c r="P105" s="768">
        <v>0</v>
      </c>
      <c r="Q105" s="551"/>
      <c r="R105" s="344" t="s">
        <v>796</v>
      </c>
      <c r="S105" s="593">
        <v>176</v>
      </c>
      <c r="T105" s="557"/>
      <c r="V105" s="344" t="s">
        <v>796</v>
      </c>
      <c r="W105" s="593">
        <f t="shared" si="3"/>
        <v>176</v>
      </c>
      <c r="X105" s="565">
        <f t="shared" si="4"/>
        <v>111.29255505068157</v>
      </c>
    </row>
    <row r="106" spans="2:24">
      <c r="B106" s="483" t="s">
        <v>863</v>
      </c>
      <c r="C106" s="594">
        <v>187.46</v>
      </c>
      <c r="D106" s="775">
        <v>0</v>
      </c>
      <c r="E106" s="551"/>
      <c r="F106" s="483" t="s">
        <v>863</v>
      </c>
      <c r="G106" s="594">
        <v>180.15</v>
      </c>
      <c r="H106" s="775">
        <v>0</v>
      </c>
      <c r="I106" s="551"/>
      <c r="J106" s="483" t="s">
        <v>863</v>
      </c>
      <c r="K106" s="594">
        <v>194.25</v>
      </c>
      <c r="L106" s="775">
        <v>0</v>
      </c>
      <c r="M106" s="551"/>
      <c r="N106" s="483" t="s">
        <v>863</v>
      </c>
      <c r="O106" s="594">
        <v>214</v>
      </c>
      <c r="P106" s="775">
        <v>176.78271028037383</v>
      </c>
      <c r="Q106" s="551"/>
      <c r="R106" s="486" t="s">
        <v>863</v>
      </c>
      <c r="S106" s="595">
        <v>240</v>
      </c>
      <c r="T106" s="569"/>
      <c r="V106" s="486" t="s">
        <v>863</v>
      </c>
      <c r="W106" s="595">
        <f>S106</f>
        <v>240</v>
      </c>
      <c r="X106" s="568">
        <f t="shared" si="4"/>
        <v>58.927570093457945</v>
      </c>
    </row>
    <row r="107" spans="2:24">
      <c r="B107" s="571"/>
      <c r="C107" s="280"/>
      <c r="D107" s="570"/>
      <c r="E107" s="570"/>
      <c r="F107" s="571"/>
      <c r="G107" s="280"/>
      <c r="H107" s="570"/>
      <c r="I107" s="570"/>
      <c r="J107" s="571"/>
      <c r="K107" s="280"/>
      <c r="L107" s="570"/>
      <c r="M107" s="570"/>
      <c r="N107" s="571"/>
      <c r="O107" s="280"/>
      <c r="P107" s="570"/>
      <c r="Q107" s="570"/>
      <c r="R107" s="571"/>
      <c r="S107" s="536"/>
      <c r="T107" s="572"/>
      <c r="X107" s="118"/>
    </row>
    <row r="108" spans="2:24">
      <c r="B108" s="571"/>
      <c r="C108" s="280"/>
      <c r="D108" s="570"/>
      <c r="E108" s="570"/>
      <c r="F108" s="571"/>
      <c r="G108" s="280"/>
      <c r="H108" s="570"/>
      <c r="I108" s="570"/>
      <c r="J108" s="571"/>
      <c r="K108" s="280"/>
      <c r="L108" s="570"/>
      <c r="M108" s="570"/>
      <c r="N108" s="571"/>
      <c r="O108" s="280"/>
      <c r="P108" s="570"/>
      <c r="Q108" s="570"/>
      <c r="R108" s="571"/>
      <c r="S108" s="536"/>
      <c r="T108" s="572"/>
      <c r="X108" s="118"/>
    </row>
    <row r="109" spans="2:24">
      <c r="B109" s="571"/>
      <c r="C109" s="280"/>
      <c r="D109" s="570"/>
      <c r="E109" s="570"/>
      <c r="F109" s="571"/>
      <c r="G109" s="280"/>
      <c r="H109" s="570"/>
      <c r="I109" s="570"/>
      <c r="J109" s="571"/>
      <c r="K109" s="280"/>
      <c r="L109" s="570"/>
      <c r="M109" s="570"/>
      <c r="N109" s="571"/>
      <c r="O109" s="280"/>
      <c r="P109" s="570"/>
      <c r="Q109" s="570"/>
      <c r="R109" s="571"/>
      <c r="S109" s="536"/>
      <c r="T109" s="572"/>
      <c r="X109" s="118"/>
    </row>
    <row r="110" spans="2:24">
      <c r="B110" s="571"/>
      <c r="C110" s="280"/>
      <c r="D110" s="570"/>
      <c r="E110" s="570"/>
      <c r="F110" s="571"/>
      <c r="G110" s="280"/>
      <c r="H110" s="570"/>
      <c r="I110" s="570"/>
      <c r="J110" s="571"/>
      <c r="K110" s="280"/>
      <c r="L110" s="570"/>
      <c r="M110" s="570"/>
      <c r="N110" s="571"/>
      <c r="O110" s="280"/>
      <c r="P110" s="570"/>
      <c r="Q110" s="570"/>
      <c r="R110" s="571"/>
      <c r="S110" s="536"/>
      <c r="T110" s="572"/>
    </row>
    <row r="111" spans="2:24">
      <c r="B111" s="571"/>
      <c r="C111" s="280"/>
      <c r="D111" s="570"/>
      <c r="E111" s="570"/>
      <c r="F111" s="571"/>
      <c r="G111" s="280"/>
      <c r="H111" s="570"/>
      <c r="I111" s="570"/>
      <c r="J111" s="571"/>
      <c r="K111" s="280"/>
      <c r="L111" s="570"/>
      <c r="M111" s="570"/>
      <c r="N111" s="571"/>
      <c r="O111" s="280"/>
      <c r="P111" s="570"/>
      <c r="Q111" s="570"/>
      <c r="R111" s="571"/>
      <c r="S111" s="536"/>
      <c r="T111" s="572"/>
    </row>
    <row r="112" spans="2:24">
      <c r="B112" s="596"/>
      <c r="C112" s="536"/>
      <c r="D112" s="316"/>
      <c r="E112" s="316"/>
      <c r="F112" s="596"/>
      <c r="G112" s="536"/>
      <c r="H112" s="316"/>
      <c r="I112" s="316"/>
      <c r="J112" s="596"/>
      <c r="K112" s="536"/>
      <c r="L112" s="316"/>
      <c r="M112" s="316"/>
      <c r="N112" s="573"/>
      <c r="O112" s="536"/>
      <c r="P112" s="597"/>
      <c r="Q112" s="597"/>
      <c r="R112" s="573"/>
      <c r="S112" s="536"/>
      <c r="T112" s="574"/>
    </row>
    <row r="113" spans="2:24">
      <c r="B113" s="359"/>
      <c r="C113" s="614"/>
      <c r="D113" s="596"/>
      <c r="E113" s="316"/>
      <c r="F113" s="359"/>
      <c r="G113" s="425"/>
      <c r="H113" s="359"/>
      <c r="I113" s="316"/>
      <c r="J113" s="359"/>
      <c r="K113" s="425"/>
      <c r="L113" s="359"/>
      <c r="M113" s="316"/>
      <c r="N113" s="359"/>
      <c r="O113" s="425"/>
      <c r="P113" s="359"/>
      <c r="Q113" s="316"/>
      <c r="R113" s="359"/>
      <c r="S113" s="359"/>
      <c r="T113" s="359"/>
    </row>
    <row r="114" spans="2:24" ht="25.5">
      <c r="B114" s="598" t="s">
        <v>707</v>
      </c>
      <c r="C114" s="393" t="s">
        <v>682</v>
      </c>
      <c r="D114" s="502" t="s">
        <v>683</v>
      </c>
      <c r="E114" s="434"/>
      <c r="F114" s="598" t="s">
        <v>707</v>
      </c>
      <c r="G114" s="393" t="s">
        <v>682</v>
      </c>
      <c r="H114" s="496" t="s">
        <v>683</v>
      </c>
      <c r="I114" s="434"/>
      <c r="J114" s="598" t="s">
        <v>707</v>
      </c>
      <c r="K114" s="393" t="s">
        <v>682</v>
      </c>
      <c r="L114" s="496" t="s">
        <v>683</v>
      </c>
      <c r="M114" s="434"/>
      <c r="N114" s="598" t="s">
        <v>707</v>
      </c>
      <c r="O114" s="393" t="s">
        <v>682</v>
      </c>
      <c r="P114" s="496" t="s">
        <v>683</v>
      </c>
      <c r="Q114" s="434"/>
      <c r="R114" s="359"/>
      <c r="S114" s="359"/>
      <c r="T114" s="359"/>
      <c r="V114" s="600" t="s">
        <v>707</v>
      </c>
      <c r="W114" s="393" t="s">
        <v>682</v>
      </c>
      <c r="X114" s="496" t="s">
        <v>683</v>
      </c>
    </row>
    <row r="115" spans="2:24" s="359" customFormat="1" ht="11.25">
      <c r="B115" s="438" t="s">
        <v>251</v>
      </c>
      <c r="C115" s="249">
        <f>C96</f>
        <v>23.97</v>
      </c>
      <c r="D115" s="498">
        <f>D96</f>
        <v>0</v>
      </c>
      <c r="E115" s="443"/>
      <c r="F115" s="438" t="s">
        <v>251</v>
      </c>
      <c r="G115" s="249">
        <f>G96</f>
        <v>23.04</v>
      </c>
      <c r="H115" s="498">
        <f>H96</f>
        <v>69.388020833333314</v>
      </c>
      <c r="I115" s="443"/>
      <c r="J115" s="438" t="s">
        <v>251</v>
      </c>
      <c r="K115" s="249">
        <f>K96</f>
        <v>24.84</v>
      </c>
      <c r="L115" s="498">
        <f>L96</f>
        <v>134.49275362318841</v>
      </c>
      <c r="M115" s="443"/>
      <c r="N115" s="438" t="s">
        <v>251</v>
      </c>
      <c r="O115" s="249">
        <f>O96</f>
        <v>27.299999999999997</v>
      </c>
      <c r="P115" s="498">
        <f>P96</f>
        <v>0</v>
      </c>
      <c r="Q115" s="443"/>
      <c r="V115" s="441" t="s">
        <v>251</v>
      </c>
      <c r="W115" s="249">
        <f>W96</f>
        <v>30.6</v>
      </c>
      <c r="X115" s="498">
        <f>X96</f>
        <v>67.960258152173907</v>
      </c>
    </row>
    <row r="116" spans="2:24" s="359" customFormat="1" ht="11.25">
      <c r="B116" s="438" t="s">
        <v>252</v>
      </c>
      <c r="C116" s="252">
        <f>SUMPRODUCT(C97,D97)/SUM(D97)</f>
        <v>25.003599999999999</v>
      </c>
      <c r="D116" s="442">
        <f>SUM(D97)</f>
        <v>600</v>
      </c>
      <c r="E116" s="443"/>
      <c r="F116" s="438" t="s">
        <v>252</v>
      </c>
      <c r="G116" s="252">
        <f>SUMPRODUCT(G97,H97)/SUM(H97)</f>
        <v>23.92</v>
      </c>
      <c r="H116" s="442">
        <f>SUM(H97)</f>
        <v>644.55183946488296</v>
      </c>
      <c r="I116" s="443"/>
      <c r="J116" s="438" t="s">
        <v>252</v>
      </c>
      <c r="K116" s="252">
        <f>SUMPRODUCT(K97,L97)/SUM(L97)</f>
        <v>25.79</v>
      </c>
      <c r="L116" s="442">
        <f>SUM(L97)</f>
        <v>623.31407522295467</v>
      </c>
      <c r="M116" s="443"/>
      <c r="N116" s="438" t="s">
        <v>252</v>
      </c>
      <c r="O116" s="252">
        <f>SUMPRODUCT(O97,P97)/SUM(P97)</f>
        <v>28.299999999999997</v>
      </c>
      <c r="P116" s="442">
        <f>SUM(P97)</f>
        <v>596.99187279151943</v>
      </c>
      <c r="Q116" s="443"/>
      <c r="V116" s="441" t="s">
        <v>252</v>
      </c>
      <c r="W116" s="252">
        <f>SUMPRODUCT(W97,X97)/SUM(X97)</f>
        <v>31.699999999999996</v>
      </c>
      <c r="X116" s="442">
        <f>SUM(X97)</f>
        <v>621.61926249311898</v>
      </c>
    </row>
    <row r="117" spans="2:24" s="359" customFormat="1" ht="11.25">
      <c r="B117" s="438" t="s">
        <v>253</v>
      </c>
      <c r="C117" s="254">
        <f>SUMPRODUCT(C98:C99,D98:D99)/SUM(D98:D99)</f>
        <v>41.49341402929921</v>
      </c>
      <c r="D117" s="444">
        <f>SUM(D98:D99)</f>
        <v>1666.5796637309847</v>
      </c>
      <c r="E117" s="443"/>
      <c r="F117" s="438" t="s">
        <v>253</v>
      </c>
      <c r="G117" s="254">
        <f>SUMPRODUCT(G98:G99,H98:H99)/SUM(H98:H99)</f>
        <v>27.49</v>
      </c>
      <c r="H117" s="444">
        <f>SUM(H98:H99)</f>
        <v>837.27209894507087</v>
      </c>
      <c r="I117" s="443"/>
      <c r="J117" s="438" t="s">
        <v>253</v>
      </c>
      <c r="K117" s="254">
        <f>SUMPRODUCT(K98:K99,L98:L99)/SUM(L98:L99)</f>
        <v>37.162413282670308</v>
      </c>
      <c r="L117" s="444">
        <f>SUM(L98:L99)</f>
        <v>174.5602458768488</v>
      </c>
      <c r="M117" s="443"/>
      <c r="N117" s="438" t="s">
        <v>253</v>
      </c>
      <c r="O117" s="254">
        <f>SUMPRODUCT(O98:O99,P98:P99)/SUM(P98:P99)</f>
        <v>40.710444703365518</v>
      </c>
      <c r="P117" s="444">
        <f>SUM(P98:P99)</f>
        <v>651.33653521126757</v>
      </c>
      <c r="Q117" s="443"/>
      <c r="V117" s="441" t="s">
        <v>253</v>
      </c>
      <c r="W117" s="254">
        <f>SUMPRODUCT(W98:W99,X98:X99)/SUM(X98:X99)</f>
        <v>41.069982334674634</v>
      </c>
      <c r="X117" s="444">
        <f>SUM(X98:X99)</f>
        <v>554.3896266777291</v>
      </c>
    </row>
    <row r="118" spans="2:24" s="359" customFormat="1" ht="11.25">
      <c r="B118" s="438" t="s">
        <v>255</v>
      </c>
      <c r="C118" s="256">
        <f>SUMPRODUCT(C100:C102,D100:D102)/SUM(D100:D102)</f>
        <v>58.053020692322562</v>
      </c>
      <c r="D118" s="445">
        <f>SUM(D100:D102)</f>
        <v>5171</v>
      </c>
      <c r="E118" s="443"/>
      <c r="F118" s="438" t="s">
        <v>255</v>
      </c>
      <c r="G118" s="256">
        <f>SUMPRODUCT(G100:G102,H100:H102)/SUM(H100:H102)</f>
        <v>59.400158023026016</v>
      </c>
      <c r="H118" s="445">
        <f>SUM(H100:H102)</f>
        <v>1022.1519945530096</v>
      </c>
      <c r="I118" s="443"/>
      <c r="J118" s="438" t="s">
        <v>255</v>
      </c>
      <c r="K118" s="256">
        <f>SUMPRODUCT(K100:K102,L100:L102)/SUM(L100:L102)</f>
        <v>55.145823007921628</v>
      </c>
      <c r="L118" s="445">
        <f>SUM(L100:L102)</f>
        <v>991.15956601370158</v>
      </c>
      <c r="M118" s="443"/>
      <c r="N118" s="438" t="s">
        <v>255</v>
      </c>
      <c r="O118" s="256">
        <f>SUMPRODUCT(O100:O102,P100:P102)/SUM(P100:P102)</f>
        <v>69.214515546981843</v>
      </c>
      <c r="P118" s="445">
        <f>SUM(P100:P102)</f>
        <v>2243.4934171372843</v>
      </c>
      <c r="Q118" s="443"/>
      <c r="V118" s="441" t="s">
        <v>255</v>
      </c>
      <c r="W118" s="256">
        <f>SUMPRODUCT(W100:W102,X100:X102)/SUM(X100:X102)</f>
        <v>75.667095176285784</v>
      </c>
      <c r="X118" s="445">
        <f>SUM(X100:X102)</f>
        <v>1418.9349925679983</v>
      </c>
    </row>
    <row r="119" spans="2:24" s="359" customFormat="1" ht="11.25">
      <c r="B119" s="438" t="s">
        <v>254</v>
      </c>
      <c r="C119" s="258" t="e">
        <f>SUMPRODUCT(C103:C106,D103:D106)/SUM(D103:D106)</f>
        <v>#DIV/0!</v>
      </c>
      <c r="D119" s="499">
        <f>SUM(D103:D106)</f>
        <v>0</v>
      </c>
      <c r="E119" s="443"/>
      <c r="F119" s="438" t="s">
        <v>254</v>
      </c>
      <c r="G119" s="258" t="e">
        <f>SUMPRODUCT(G103:G106,H103:H106)/SUM(H103:H106)</f>
        <v>#DIV/0!</v>
      </c>
      <c r="H119" s="499">
        <f>SUM(H103:H106)</f>
        <v>0</v>
      </c>
      <c r="I119" s="443"/>
      <c r="J119" s="438" t="s">
        <v>254</v>
      </c>
      <c r="K119" s="258">
        <f>SUMPRODUCT(K103:K106,L103:L106)/SUM(L103:L106)</f>
        <v>143.05000000000001</v>
      </c>
      <c r="L119" s="499">
        <f>SUM(L103:L106)</f>
        <v>333.8776651520447</v>
      </c>
      <c r="M119" s="443"/>
      <c r="N119" s="438" t="s">
        <v>254</v>
      </c>
      <c r="O119" s="258">
        <f>SUMPRODUCT(O103:O106,P103:P106)/SUM(P103:P106)</f>
        <v>182.78950472470873</v>
      </c>
      <c r="P119" s="499">
        <f>SUM(P103:P106)</f>
        <v>249.58271028037382</v>
      </c>
      <c r="Q119" s="443"/>
      <c r="V119" s="441" t="s">
        <v>254</v>
      </c>
      <c r="W119" s="258">
        <f>SUMPRODUCT(W103:W106,X103:X106)/SUM(X103:X106)</f>
        <v>188.40408734282968</v>
      </c>
      <c r="X119" s="499">
        <f>SUM(X103:X106)</f>
        <v>194.48679181080618</v>
      </c>
    </row>
    <row r="120" spans="2:24">
      <c r="B120" s="450" t="s">
        <v>680</v>
      </c>
      <c r="C120" s="451" t="e">
        <f>SUMPRODUCT(C115:C119,D115:D119)</f>
        <v>#DIV/0!</v>
      </c>
      <c r="D120" s="511"/>
      <c r="E120" s="443"/>
      <c r="F120" s="450" t="s">
        <v>680</v>
      </c>
      <c r="G120" s="451" t="e">
        <f>SUMPRODUCT(G115:G119,H115:H119)</f>
        <v>#DIV/0!</v>
      </c>
      <c r="H120" s="511"/>
      <c r="I120" s="443"/>
      <c r="J120" s="450" t="s">
        <v>680</v>
      </c>
      <c r="K120" s="451">
        <f>SUMPRODUCT(K115:K119,L115:L119)</f>
        <v>128322.65999999999</v>
      </c>
      <c r="L120" s="511"/>
      <c r="M120" s="443"/>
      <c r="N120" s="450" t="s">
        <v>680</v>
      </c>
      <c r="O120" s="451">
        <f>SUMPRODUCT(O115:O119,P115:P119)</f>
        <v>244314.48</v>
      </c>
      <c r="P120" s="511"/>
      <c r="Q120" s="443"/>
      <c r="R120" s="359"/>
      <c r="S120" s="359"/>
      <c r="T120" s="359"/>
      <c r="V120" s="603" t="s">
        <v>680</v>
      </c>
      <c r="W120" s="451">
        <f>SUMPRODUCT(W115:W119,X115:X119)</f>
        <v>188562.48233762453</v>
      </c>
      <c r="X120" s="511"/>
    </row>
    <row r="121" spans="2:24">
      <c r="R121" s="359"/>
      <c r="S121" s="359"/>
      <c r="T121" s="359"/>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rgb="FFCCFFCC"/>
  </sheetPr>
  <dimension ref="B1:AC121"/>
  <sheetViews>
    <sheetView showGridLines="0" zoomScale="85" zoomScaleNormal="85" workbookViewId="0"/>
  </sheetViews>
  <sheetFormatPr defaultRowHeight="12.75"/>
  <cols>
    <col min="1" max="1" width="9.140625" style="210"/>
    <col min="2" max="2" width="59.7109375" style="210" bestFit="1" customWidth="1"/>
    <col min="3" max="3" width="14.85546875" style="210" customWidth="1"/>
    <col min="4" max="4" width="12.140625" style="210" customWidth="1"/>
    <col min="5" max="5" width="9.140625" style="238"/>
    <col min="6" max="6" width="60" style="210" bestFit="1" customWidth="1"/>
    <col min="7" max="7" width="16.140625" style="210" customWidth="1"/>
    <col min="8" max="8" width="12.42578125" style="210" bestFit="1" customWidth="1"/>
    <col min="9" max="9" width="8.7109375" style="238" customWidth="1"/>
    <col min="10" max="10" width="44.85546875" style="210" bestFit="1" customWidth="1"/>
    <col min="11" max="11" width="12" style="210" bestFit="1" customWidth="1"/>
    <col min="12" max="12" width="9.140625" style="210"/>
    <col min="13" max="13" width="9.140625" style="238"/>
    <col min="14" max="14" width="59.7109375" style="210" bestFit="1" customWidth="1"/>
    <col min="15" max="15" width="16.28515625" style="210" customWidth="1"/>
    <col min="16" max="16" width="10.42578125" style="210" bestFit="1" customWidth="1"/>
    <col min="17" max="17" width="8.140625" style="238" customWidth="1"/>
    <col min="18" max="18" width="56.28515625" style="210" bestFit="1" customWidth="1"/>
    <col min="19" max="19" width="12.7109375" style="210" customWidth="1"/>
    <col min="20" max="20" width="8.7109375" style="210" bestFit="1" customWidth="1"/>
    <col min="21" max="21" width="9.140625" style="210" collapsed="1"/>
    <col min="22" max="22" width="56.28515625" style="210" bestFit="1" customWidth="1"/>
    <col min="23" max="23" width="15.42578125" style="210" customWidth="1"/>
    <col min="24" max="24" width="11.140625" style="210" bestFit="1" customWidth="1"/>
    <col min="25" max="16384" width="9.140625" style="210"/>
  </cols>
  <sheetData>
    <row r="1" spans="2:24">
      <c r="B1" s="513" t="s">
        <v>798</v>
      </c>
      <c r="C1" s="513" t="s">
        <v>650</v>
      </c>
      <c r="D1" s="513" t="s">
        <v>325</v>
      </c>
    </row>
    <row r="2" spans="2:24" ht="15.75">
      <c r="B2" s="240" t="str">
        <f>B1</f>
        <v>NE6R Enexis</v>
      </c>
      <c r="C2" s="240" t="str">
        <f>C1</f>
        <v>Standaardisatie</v>
      </c>
      <c r="D2" s="240"/>
      <c r="E2" s="240"/>
      <c r="F2" s="240" t="str">
        <f>D1</f>
        <v>PAV</v>
      </c>
      <c r="G2" s="291"/>
      <c r="H2" s="292"/>
      <c r="I2" s="293"/>
      <c r="J2" s="293"/>
      <c r="K2" s="291"/>
      <c r="L2" s="292"/>
      <c r="M2" s="293"/>
      <c r="N2" s="293"/>
      <c r="O2" s="293"/>
      <c r="P2" s="293"/>
      <c r="Q2" s="293"/>
      <c r="R2" s="293"/>
      <c r="S2" s="293"/>
      <c r="T2" s="293"/>
      <c r="V2" s="294" t="s">
        <v>651</v>
      </c>
      <c r="W2" s="295"/>
      <c r="X2" s="295"/>
    </row>
    <row r="3" spans="2:24">
      <c r="B3" s="359"/>
      <c r="C3" s="359"/>
      <c r="D3" s="359"/>
      <c r="E3" s="316"/>
      <c r="F3" s="359"/>
      <c r="G3" s="359"/>
      <c r="H3" s="359"/>
      <c r="I3" s="316"/>
      <c r="J3" s="359"/>
      <c r="K3" s="359"/>
      <c r="L3" s="359"/>
      <c r="M3" s="316"/>
      <c r="N3" s="359"/>
      <c r="O3" s="359"/>
      <c r="P3" s="359"/>
      <c r="Q3" s="316"/>
      <c r="R3" s="359"/>
      <c r="S3" s="359"/>
      <c r="T3" s="359"/>
    </row>
    <row r="4" spans="2:24">
      <c r="B4" s="296" t="s">
        <v>1403</v>
      </c>
      <c r="C4" s="297" t="s">
        <v>1404</v>
      </c>
      <c r="D4" s="297"/>
      <c r="E4" s="297"/>
      <c r="F4" s="297"/>
      <c r="G4" s="297"/>
      <c r="H4" s="297"/>
      <c r="I4" s="297"/>
      <c r="J4" s="298"/>
      <c r="K4" s="359"/>
      <c r="L4" s="359"/>
      <c r="M4" s="316"/>
      <c r="N4" s="359"/>
      <c r="O4" s="359"/>
      <c r="P4" s="359"/>
      <c r="Q4" s="316"/>
      <c r="R4" s="359"/>
      <c r="S4" s="359"/>
      <c r="T4" s="359"/>
    </row>
    <row r="5" spans="2:24">
      <c r="B5" s="299" t="s">
        <v>1405</v>
      </c>
      <c r="C5" s="300" t="s">
        <v>1406</v>
      </c>
      <c r="D5" s="300"/>
      <c r="E5" s="300"/>
      <c r="F5" s="300"/>
      <c r="G5" s="300"/>
      <c r="H5" s="300"/>
      <c r="I5" s="300"/>
      <c r="J5" s="301"/>
      <c r="K5" s="359"/>
      <c r="L5" s="359"/>
      <c r="M5" s="316"/>
      <c r="N5" s="359"/>
      <c r="O5" s="359"/>
      <c r="P5" s="359"/>
      <c r="Q5" s="316"/>
      <c r="R5" s="359"/>
      <c r="S5" s="359"/>
      <c r="T5" s="359"/>
    </row>
    <row r="6" spans="2:24">
      <c r="B6" s="302" t="s">
        <v>1407</v>
      </c>
      <c r="C6" s="303" t="s">
        <v>1408</v>
      </c>
      <c r="D6" s="303"/>
      <c r="E6" s="303"/>
      <c r="F6" s="303"/>
      <c r="G6" s="303"/>
      <c r="H6" s="303"/>
      <c r="I6" s="303"/>
      <c r="J6" s="304"/>
      <c r="K6" s="359"/>
      <c r="L6" s="359"/>
      <c r="M6" s="316"/>
      <c r="N6" s="359"/>
      <c r="O6" s="359"/>
      <c r="P6" s="359"/>
      <c r="Q6" s="316"/>
      <c r="R6" s="359"/>
      <c r="S6" s="359"/>
      <c r="T6" s="359"/>
    </row>
    <row r="7" spans="2:24">
      <c r="B7" s="305" t="s">
        <v>1409</v>
      </c>
      <c r="C7" s="306" t="s">
        <v>1410</v>
      </c>
      <c r="D7" s="306"/>
      <c r="E7" s="306"/>
      <c r="F7" s="306"/>
      <c r="G7" s="306"/>
      <c r="H7" s="306"/>
      <c r="I7" s="306"/>
      <c r="J7" s="307"/>
      <c r="K7" s="359"/>
      <c r="L7" s="359"/>
      <c r="M7" s="316"/>
      <c r="N7" s="359"/>
      <c r="O7" s="359"/>
      <c r="P7" s="359"/>
      <c r="Q7" s="316"/>
      <c r="R7" s="359"/>
      <c r="S7" s="359"/>
      <c r="T7" s="359"/>
    </row>
    <row r="8" spans="2:24">
      <c r="B8" s="1105" t="s">
        <v>1411</v>
      </c>
      <c r="C8" s="308" t="s">
        <v>1438</v>
      </c>
      <c r="D8" s="308"/>
      <c r="E8" s="308"/>
      <c r="F8" s="308"/>
      <c r="G8" s="308"/>
      <c r="H8" s="308"/>
      <c r="I8" s="308"/>
      <c r="J8" s="309"/>
      <c r="K8" s="359"/>
      <c r="L8" s="359"/>
      <c r="M8" s="316"/>
      <c r="N8" s="359"/>
      <c r="O8" s="359"/>
      <c r="P8" s="359"/>
      <c r="Q8" s="316"/>
      <c r="R8" s="359"/>
      <c r="S8" s="359"/>
      <c r="T8" s="359"/>
    </row>
    <row r="9" spans="2:24">
      <c r="B9" s="310" t="s">
        <v>1415</v>
      </c>
      <c r="C9" s="311" t="s">
        <v>1416</v>
      </c>
      <c r="D9" s="311"/>
      <c r="E9" s="311"/>
      <c r="F9" s="311"/>
      <c r="G9" s="311"/>
      <c r="H9" s="311"/>
      <c r="I9" s="311"/>
      <c r="J9" s="312"/>
      <c r="K9" s="359"/>
      <c r="L9" s="359"/>
      <c r="M9" s="316"/>
      <c r="N9" s="359"/>
      <c r="O9" s="359"/>
      <c r="P9" s="359"/>
      <c r="Q9" s="316"/>
      <c r="R9" s="359"/>
      <c r="S9" s="359"/>
      <c r="T9" s="359"/>
    </row>
    <row r="12" spans="2:24" s="513" customFormat="1" ht="15.75">
      <c r="B12" s="463" t="s">
        <v>799</v>
      </c>
      <c r="C12" s="464"/>
      <c r="D12" s="465"/>
      <c r="E12" s="359"/>
      <c r="F12" s="359"/>
      <c r="G12" s="359"/>
      <c r="H12" s="359"/>
      <c r="I12" s="359"/>
      <c r="J12" s="359"/>
      <c r="K12" s="359"/>
      <c r="L12" s="359"/>
      <c r="M12" s="359"/>
      <c r="N12" s="359"/>
      <c r="O12" s="359"/>
      <c r="P12" s="359"/>
      <c r="Q12" s="359"/>
      <c r="R12" s="359"/>
      <c r="S12" s="359"/>
      <c r="T12" s="359"/>
      <c r="U12" s="359"/>
      <c r="V12" s="359"/>
    </row>
    <row r="13" spans="2:24">
      <c r="B13" s="317"/>
      <c r="C13" s="1190">
        <v>2009</v>
      </c>
      <c r="D13" s="1189"/>
      <c r="E13" s="321"/>
      <c r="F13" s="320"/>
      <c r="G13" s="1192">
        <v>2010</v>
      </c>
      <c r="H13" s="1189"/>
      <c r="I13" s="321"/>
      <c r="J13" s="514"/>
      <c r="K13" s="1188">
        <v>2011</v>
      </c>
      <c r="L13" s="1189"/>
      <c r="M13" s="321"/>
      <c r="N13" s="514"/>
      <c r="O13" s="1188">
        <v>2012</v>
      </c>
      <c r="P13" s="1189"/>
      <c r="Q13" s="321"/>
      <c r="R13" s="514"/>
      <c r="S13" s="1188">
        <v>2013</v>
      </c>
      <c r="T13" s="1189"/>
      <c r="V13" s="514" t="s">
        <v>656</v>
      </c>
      <c r="W13" s="1188" t="s">
        <v>657</v>
      </c>
      <c r="X13" s="1189"/>
    </row>
    <row r="14" spans="2:24">
      <c r="B14" s="322" t="s">
        <v>658</v>
      </c>
      <c r="C14" s="322" t="s">
        <v>632</v>
      </c>
      <c r="D14" s="323" t="s">
        <v>633</v>
      </c>
      <c r="E14" s="324"/>
      <c r="F14" s="323" t="s">
        <v>658</v>
      </c>
      <c r="G14" s="606" t="s">
        <v>632</v>
      </c>
      <c r="H14" s="323" t="s">
        <v>633</v>
      </c>
      <c r="I14" s="324"/>
      <c r="J14" s="322" t="s">
        <v>658</v>
      </c>
      <c r="K14" s="470" t="s">
        <v>632</v>
      </c>
      <c r="L14" s="471" t="s">
        <v>633</v>
      </c>
      <c r="M14" s="324"/>
      <c r="N14" s="322" t="s">
        <v>658</v>
      </c>
      <c r="O14" s="325" t="s">
        <v>632</v>
      </c>
      <c r="P14" s="470" t="s">
        <v>633</v>
      </c>
      <c r="Q14" s="324"/>
      <c r="R14" s="322" t="s">
        <v>658</v>
      </c>
      <c r="S14" s="516" t="s">
        <v>710</v>
      </c>
      <c r="T14" s="517" t="s">
        <v>633</v>
      </c>
      <c r="V14" s="322" t="s">
        <v>658</v>
      </c>
      <c r="W14" s="516" t="s">
        <v>710</v>
      </c>
      <c r="X14" s="517" t="s">
        <v>633</v>
      </c>
    </row>
    <row r="15" spans="2:24" s="359" customFormat="1" ht="11.25">
      <c r="B15" s="608"/>
      <c r="C15" s="674"/>
      <c r="D15" s="607"/>
      <c r="E15" s="316"/>
      <c r="F15" s="342" t="s">
        <v>800</v>
      </c>
      <c r="G15" s="723"/>
      <c r="H15" s="724"/>
      <c r="I15" s="725"/>
      <c r="J15" s="326" t="s">
        <v>801</v>
      </c>
      <c r="K15" s="726"/>
      <c r="L15" s="608"/>
      <c r="M15" s="329"/>
      <c r="N15" s="326" t="s">
        <v>800</v>
      </c>
      <c r="O15" s="727"/>
      <c r="P15" s="724"/>
      <c r="Q15" s="725"/>
      <c r="R15" s="326" t="s">
        <v>800</v>
      </c>
      <c r="S15" s="727"/>
      <c r="T15" s="728"/>
      <c r="V15" s="326" t="s">
        <v>800</v>
      </c>
      <c r="W15" s="727"/>
      <c r="X15" s="724"/>
    </row>
    <row r="16" spans="2:24" s="359" customFormat="1" ht="11.25">
      <c r="B16" s="342" t="s">
        <v>802</v>
      </c>
      <c r="C16" s="656">
        <v>1910</v>
      </c>
      <c r="D16" s="729">
        <v>186.28092432175154</v>
      </c>
      <c r="E16" s="329"/>
      <c r="F16" s="342" t="s">
        <v>802</v>
      </c>
      <c r="G16" s="652">
        <v>1763</v>
      </c>
      <c r="H16" s="730">
        <v>182.65899654514513</v>
      </c>
      <c r="I16" s="355"/>
      <c r="J16" s="326" t="s">
        <v>803</v>
      </c>
      <c r="K16" s="656">
        <v>1906</v>
      </c>
      <c r="L16" s="729">
        <v>166.35358008203801</v>
      </c>
      <c r="M16" s="329"/>
      <c r="N16" s="326" t="s">
        <v>802</v>
      </c>
      <c r="O16" s="654">
        <v>2113</v>
      </c>
      <c r="P16" s="729">
        <v>170.43886224205244</v>
      </c>
      <c r="Q16" s="329"/>
      <c r="R16" s="326" t="s">
        <v>804</v>
      </c>
      <c r="S16" s="656">
        <v>2290</v>
      </c>
      <c r="T16" s="347"/>
      <c r="V16" s="326" t="s">
        <v>804</v>
      </c>
      <c r="W16" s="656">
        <f>S16</f>
        <v>2290</v>
      </c>
      <c r="X16" s="653">
        <f t="shared" ref="X16:X21" si="0">(P16+L16+H16)/3</f>
        <v>173.1504796230785</v>
      </c>
    </row>
    <row r="17" spans="2:24" s="359" customFormat="1" ht="11.25">
      <c r="B17" s="342" t="s">
        <v>805</v>
      </c>
      <c r="C17" s="656">
        <v>1645</v>
      </c>
      <c r="D17" s="729">
        <v>646.21931141199229</v>
      </c>
      <c r="E17" s="329"/>
      <c r="F17" s="342" t="s">
        <v>805</v>
      </c>
      <c r="G17" s="652">
        <v>1519</v>
      </c>
      <c r="H17" s="729">
        <v>664.66491112574067</v>
      </c>
      <c r="I17" s="329"/>
      <c r="J17" s="326" t="s">
        <v>805</v>
      </c>
      <c r="K17" s="656">
        <v>1642</v>
      </c>
      <c r="L17" s="729">
        <v>687.99911194773551</v>
      </c>
      <c r="M17" s="329"/>
      <c r="N17" s="326" t="s">
        <v>805</v>
      </c>
      <c r="O17" s="654">
        <v>1820</v>
      </c>
      <c r="P17" s="729">
        <v>711.64170056649573</v>
      </c>
      <c r="Q17" s="329"/>
      <c r="R17" s="326" t="s">
        <v>805</v>
      </c>
      <c r="S17" s="656">
        <v>1972</v>
      </c>
      <c r="T17" s="347"/>
      <c r="V17" s="326" t="s">
        <v>805</v>
      </c>
      <c r="W17" s="656">
        <f t="shared" ref="W17:W23" si="1">S17</f>
        <v>1972</v>
      </c>
      <c r="X17" s="653">
        <f t="shared" si="0"/>
        <v>688.10190787999056</v>
      </c>
    </row>
    <row r="18" spans="2:24" s="359" customFormat="1" ht="11.25">
      <c r="B18" s="342" t="s">
        <v>806</v>
      </c>
      <c r="C18" s="651">
        <v>616</v>
      </c>
      <c r="D18" s="341">
        <v>14023.152449822903</v>
      </c>
      <c r="E18" s="329"/>
      <c r="F18" s="342" t="s">
        <v>806</v>
      </c>
      <c r="G18" s="649">
        <v>569</v>
      </c>
      <c r="H18" s="341">
        <v>14159.890103850457</v>
      </c>
      <c r="I18" s="329"/>
      <c r="J18" s="326" t="s">
        <v>806</v>
      </c>
      <c r="K18" s="651">
        <v>615</v>
      </c>
      <c r="L18" s="341">
        <v>14195.544141906874</v>
      </c>
      <c r="M18" s="329"/>
      <c r="N18" s="326" t="s">
        <v>806</v>
      </c>
      <c r="O18" s="480">
        <v>682</v>
      </c>
      <c r="P18" s="341">
        <v>14239.582613456274</v>
      </c>
      <c r="Q18" s="329"/>
      <c r="R18" s="326" t="s">
        <v>806</v>
      </c>
      <c r="S18" s="651">
        <v>739</v>
      </c>
      <c r="T18" s="347"/>
      <c r="V18" s="326" t="s">
        <v>806</v>
      </c>
      <c r="W18" s="651">
        <f t="shared" si="1"/>
        <v>739</v>
      </c>
      <c r="X18" s="348">
        <f t="shared" si="0"/>
        <v>14198.338953071201</v>
      </c>
    </row>
    <row r="19" spans="2:24" s="359" customFormat="1" ht="11.25">
      <c r="B19" s="342" t="s">
        <v>807</v>
      </c>
      <c r="C19" s="351">
        <v>155</v>
      </c>
      <c r="D19" s="352">
        <v>12070.145313782992</v>
      </c>
      <c r="E19" s="329"/>
      <c r="F19" s="342" t="s">
        <v>807</v>
      </c>
      <c r="G19" s="353">
        <v>143</v>
      </c>
      <c r="H19" s="352">
        <v>12635.067234583596</v>
      </c>
      <c r="I19" s="329"/>
      <c r="J19" s="326" t="s">
        <v>807</v>
      </c>
      <c r="K19" s="351">
        <v>155</v>
      </c>
      <c r="L19" s="352">
        <v>13169.823202346039</v>
      </c>
      <c r="M19" s="329"/>
      <c r="N19" s="326" t="s">
        <v>807</v>
      </c>
      <c r="O19" s="357">
        <v>172</v>
      </c>
      <c r="P19" s="352">
        <v>13611.673687821611</v>
      </c>
      <c r="Q19" s="329"/>
      <c r="R19" s="326" t="s">
        <v>807</v>
      </c>
      <c r="S19" s="351">
        <v>186</v>
      </c>
      <c r="T19" s="347"/>
      <c r="V19" s="326" t="s">
        <v>807</v>
      </c>
      <c r="W19" s="351">
        <f t="shared" si="1"/>
        <v>186</v>
      </c>
      <c r="X19" s="358">
        <f t="shared" si="0"/>
        <v>13138.854708250414</v>
      </c>
    </row>
    <row r="20" spans="2:24" s="359" customFormat="1" ht="11.25">
      <c r="B20" s="342" t="s">
        <v>808</v>
      </c>
      <c r="C20" s="351">
        <v>155</v>
      </c>
      <c r="D20" s="352">
        <v>0</v>
      </c>
      <c r="E20" s="329"/>
      <c r="F20" s="342" t="s">
        <v>808</v>
      </c>
      <c r="G20" s="353">
        <v>143</v>
      </c>
      <c r="H20" s="352">
        <v>0</v>
      </c>
      <c r="I20" s="329"/>
      <c r="J20" s="326" t="s">
        <v>809</v>
      </c>
      <c r="K20" s="351">
        <v>155</v>
      </c>
      <c r="L20" s="352">
        <v>0</v>
      </c>
      <c r="M20" s="329"/>
      <c r="N20" s="326" t="s">
        <v>808</v>
      </c>
      <c r="O20" s="357">
        <v>172</v>
      </c>
      <c r="P20" s="352">
        <v>0</v>
      </c>
      <c r="Q20" s="329"/>
      <c r="R20" s="326" t="s">
        <v>808</v>
      </c>
      <c r="S20" s="351">
        <v>186</v>
      </c>
      <c r="T20" s="347"/>
      <c r="V20" s="326" t="s">
        <v>808</v>
      </c>
      <c r="W20" s="351">
        <f t="shared" si="1"/>
        <v>186</v>
      </c>
      <c r="X20" s="358">
        <f t="shared" si="0"/>
        <v>0</v>
      </c>
    </row>
    <row r="21" spans="2:24" s="359" customFormat="1" ht="11.25">
      <c r="B21" s="342" t="s">
        <v>810</v>
      </c>
      <c r="C21" s="360">
        <v>32.6</v>
      </c>
      <c r="D21" s="361">
        <v>123839.80029904845</v>
      </c>
      <c r="E21" s="329"/>
      <c r="F21" s="342" t="s">
        <v>810</v>
      </c>
      <c r="G21" s="362">
        <v>30.1</v>
      </c>
      <c r="H21" s="361">
        <v>124585.14716934915</v>
      </c>
      <c r="I21" s="329"/>
      <c r="J21" s="326" t="s">
        <v>811</v>
      </c>
      <c r="K21" s="360">
        <v>32.5</v>
      </c>
      <c r="L21" s="361">
        <v>124714.86525582839</v>
      </c>
      <c r="M21" s="329"/>
      <c r="N21" s="326" t="s">
        <v>812</v>
      </c>
      <c r="O21" s="364">
        <v>36</v>
      </c>
      <c r="P21" s="361">
        <v>127454.96878291687</v>
      </c>
      <c r="Q21" s="347"/>
      <c r="R21" s="326" t="s">
        <v>812</v>
      </c>
      <c r="S21" s="360">
        <v>39</v>
      </c>
      <c r="T21" s="347"/>
      <c r="V21" s="326" t="s">
        <v>812</v>
      </c>
      <c r="W21" s="360">
        <f t="shared" si="1"/>
        <v>39</v>
      </c>
      <c r="X21" s="365">
        <f t="shared" si="0"/>
        <v>125584.99373603147</v>
      </c>
    </row>
    <row r="22" spans="2:24" s="359" customFormat="1" ht="11.25">
      <c r="B22" s="342" t="s">
        <v>813</v>
      </c>
      <c r="C22" s="360">
        <v>32.6</v>
      </c>
      <c r="D22" s="361">
        <v>0</v>
      </c>
      <c r="E22" s="329"/>
      <c r="F22" s="342" t="s">
        <v>813</v>
      </c>
      <c r="G22" s="362">
        <v>30.1</v>
      </c>
      <c r="H22" s="361">
        <v>0</v>
      </c>
      <c r="I22" s="329"/>
      <c r="J22" s="326" t="s">
        <v>814</v>
      </c>
      <c r="K22" s="360">
        <v>32.5</v>
      </c>
      <c r="L22" s="361">
        <v>0</v>
      </c>
      <c r="M22" s="347"/>
      <c r="N22" s="526" t="s">
        <v>815</v>
      </c>
      <c r="O22" s="372">
        <v>31.6</v>
      </c>
      <c r="P22" s="369">
        <v>2455968.687544202</v>
      </c>
      <c r="Q22" s="347"/>
      <c r="R22" s="326" t="s">
        <v>815</v>
      </c>
      <c r="S22" s="368">
        <v>34.200000000000003</v>
      </c>
      <c r="T22" s="347"/>
      <c r="V22" s="326" t="s">
        <v>815</v>
      </c>
      <c r="W22" s="368">
        <f t="shared" si="1"/>
        <v>34.200000000000003</v>
      </c>
      <c r="X22" s="373">
        <f>(P22+L23+H23)/3</f>
        <v>2438235.0180991953</v>
      </c>
    </row>
    <row r="23" spans="2:24" s="359" customFormat="1" ht="11.25">
      <c r="B23" s="342" t="s">
        <v>816</v>
      </c>
      <c r="C23" s="368">
        <v>28.6</v>
      </c>
      <c r="D23" s="369">
        <v>2405372.5004237108</v>
      </c>
      <c r="E23" s="329"/>
      <c r="F23" s="342" t="s">
        <v>816</v>
      </c>
      <c r="G23" s="370">
        <v>26.4</v>
      </c>
      <c r="H23" s="369">
        <v>2415726.3667533835</v>
      </c>
      <c r="I23" s="329"/>
      <c r="J23" s="326" t="s">
        <v>817</v>
      </c>
      <c r="K23" s="368">
        <v>28.5</v>
      </c>
      <c r="L23" s="369">
        <v>2443010</v>
      </c>
      <c r="M23" s="329"/>
      <c r="N23" s="523" t="s">
        <v>818</v>
      </c>
      <c r="O23" s="380">
        <v>3.95</v>
      </c>
      <c r="P23" s="375">
        <v>1113337.3484909644</v>
      </c>
      <c r="Q23" s="347"/>
      <c r="R23" s="523" t="s">
        <v>818</v>
      </c>
      <c r="S23" s="661">
        <v>4.24</v>
      </c>
      <c r="T23" s="381"/>
      <c r="V23" s="523" t="s">
        <v>818</v>
      </c>
      <c r="W23" s="661">
        <f t="shared" si="1"/>
        <v>4.24</v>
      </c>
      <c r="X23" s="382">
        <f>(P23+L25+H25)/3</f>
        <v>1097407.0757186192</v>
      </c>
    </row>
    <row r="24" spans="2:24" s="359" customFormat="1" ht="11.25">
      <c r="B24" s="342" t="s">
        <v>819</v>
      </c>
      <c r="C24" s="368">
        <v>28.6</v>
      </c>
      <c r="D24" s="369">
        <v>0</v>
      </c>
      <c r="E24" s="329"/>
      <c r="F24" s="342" t="s">
        <v>819</v>
      </c>
      <c r="G24" s="370">
        <v>26.4</v>
      </c>
      <c r="H24" s="369">
        <v>0</v>
      </c>
      <c r="I24" s="329"/>
      <c r="J24" s="326" t="s">
        <v>820</v>
      </c>
      <c r="K24" s="368">
        <v>28.5</v>
      </c>
      <c r="L24" s="369">
        <v>0</v>
      </c>
      <c r="M24" s="329"/>
      <c r="N24" s="526"/>
      <c r="O24" s="527"/>
      <c r="P24" s="329"/>
      <c r="Q24" s="329"/>
      <c r="R24" s="526"/>
      <c r="S24" s="527"/>
      <c r="T24" s="329"/>
      <c r="V24" s="526"/>
      <c r="W24" s="527"/>
      <c r="X24" s="528"/>
    </row>
    <row r="25" spans="2:24" s="359" customFormat="1" ht="11.25">
      <c r="B25" s="521" t="s">
        <v>818</v>
      </c>
      <c r="C25" s="661">
        <v>3.51</v>
      </c>
      <c r="D25" s="375">
        <v>1062638.4827764828</v>
      </c>
      <c r="E25" s="329"/>
      <c r="F25" s="521" t="s">
        <v>818</v>
      </c>
      <c r="G25" s="731">
        <v>3.26</v>
      </c>
      <c r="H25" s="375">
        <v>1066456.8786648926</v>
      </c>
      <c r="I25" s="329"/>
      <c r="J25" s="732" t="s">
        <v>821</v>
      </c>
      <c r="K25" s="661">
        <v>3.62</v>
      </c>
      <c r="L25" s="375">
        <v>1112427</v>
      </c>
      <c r="M25" s="316"/>
      <c r="N25" s="526"/>
      <c r="O25" s="527"/>
      <c r="P25" s="329"/>
      <c r="Q25" s="329"/>
      <c r="R25" s="526"/>
      <c r="S25" s="527"/>
      <c r="T25" s="329"/>
      <c r="V25" s="526"/>
      <c r="W25" s="527"/>
      <c r="X25" s="528"/>
    </row>
    <row r="26" spans="2:24" s="359" customFormat="1" ht="11.25">
      <c r="B26" s="526"/>
      <c r="C26" s="527"/>
      <c r="D26" s="329"/>
      <c r="E26" s="329"/>
      <c r="F26" s="529"/>
      <c r="G26" s="527"/>
      <c r="H26" s="329"/>
      <c r="I26" s="329"/>
      <c r="J26" s="596"/>
      <c r="K26" s="614"/>
      <c r="L26" s="596"/>
      <c r="M26" s="316"/>
      <c r="N26" s="596"/>
      <c r="O26" s="614"/>
      <c r="P26" s="596"/>
      <c r="Q26" s="316"/>
      <c r="R26" s="596"/>
      <c r="S26" s="614"/>
      <c r="T26" s="316"/>
      <c r="V26" s="596"/>
      <c r="W26" s="614"/>
      <c r="X26" s="615"/>
    </row>
    <row r="27" spans="2:24" s="359" customFormat="1" ht="11.25">
      <c r="B27" s="621"/>
      <c r="C27" s="532"/>
      <c r="D27" s="733"/>
      <c r="E27" s="725"/>
      <c r="F27" s="466"/>
      <c r="G27" s="534"/>
      <c r="H27" s="466"/>
      <c r="I27" s="316"/>
      <c r="J27" s="508"/>
      <c r="K27" s="507"/>
      <c r="L27" s="508"/>
      <c r="M27" s="316"/>
      <c r="N27" s="508"/>
      <c r="O27" s="507"/>
      <c r="P27" s="508"/>
      <c r="Q27" s="316"/>
      <c r="R27" s="508"/>
      <c r="S27" s="507"/>
      <c r="T27" s="466"/>
      <c r="V27" s="508"/>
      <c r="W27" s="507"/>
      <c r="X27" s="622"/>
    </row>
    <row r="28" spans="2:24">
      <c r="B28" s="388" t="s">
        <v>680</v>
      </c>
      <c r="C28" s="537">
        <f>SUMPRODUCT(C16:C25,D16:D25)</f>
        <v>88488653.841867104</v>
      </c>
      <c r="D28" s="385"/>
      <c r="E28" s="386"/>
      <c r="F28" s="387" t="s">
        <v>680</v>
      </c>
      <c r="G28" s="537">
        <f>SUMPRODUCT(G16:G25,H16:H25)</f>
        <v>82197284.331079736</v>
      </c>
      <c r="H28" s="385"/>
      <c r="I28" s="386"/>
      <c r="J28" s="388" t="s">
        <v>680</v>
      </c>
      <c r="K28" s="537">
        <f>SUMPRODUCT(K16:K25,L16:L25)</f>
        <v>89924350.569905326</v>
      </c>
      <c r="L28" s="385"/>
      <c r="M28" s="386"/>
      <c r="N28" s="388" t="s">
        <v>680</v>
      </c>
      <c r="O28" s="537">
        <f>SUMPRODUCT(O16:O23,P16:P23)</f>
        <v>100302600.35675208</v>
      </c>
      <c r="P28" s="385"/>
      <c r="Q28" s="386"/>
      <c r="R28" s="388" t="s">
        <v>680</v>
      </c>
      <c r="S28" s="629">
        <f>SUMPRODUCT(S15:S25,T15:T25)</f>
        <v>0</v>
      </c>
      <c r="T28" s="385"/>
      <c r="V28" s="388" t="s">
        <v>680</v>
      </c>
      <c r="W28" s="537">
        <f>SUMPRODUCT(W16:W23,X16:X23)</f>
        <v>107628309.39847505</v>
      </c>
      <c r="X28" s="389"/>
    </row>
    <row r="29" spans="2:24">
      <c r="B29" s="390"/>
      <c r="C29" s="455"/>
      <c r="D29" s="386"/>
      <c r="E29" s="386"/>
      <c r="F29" s="390"/>
      <c r="G29" s="455"/>
      <c r="H29" s="386"/>
      <c r="I29" s="386"/>
      <c r="J29" s="390"/>
      <c r="K29" s="455"/>
      <c r="L29" s="386"/>
      <c r="M29" s="386"/>
      <c r="N29" s="390"/>
      <c r="O29" s="455"/>
      <c r="P29" s="386"/>
      <c r="Q29" s="386"/>
      <c r="R29" s="390"/>
      <c r="S29" s="455"/>
      <c r="T29" s="386"/>
      <c r="V29" s="390"/>
      <c r="W29" s="455"/>
      <c r="X29" s="391"/>
    </row>
    <row r="30" spans="2:24">
      <c r="B30" s="392" t="s">
        <v>681</v>
      </c>
      <c r="C30" s="393" t="s">
        <v>682</v>
      </c>
      <c r="D30" s="394" t="s">
        <v>683</v>
      </c>
      <c r="E30" s="395"/>
      <c r="F30" s="394" t="s">
        <v>681</v>
      </c>
      <c r="G30" s="396" t="s">
        <v>682</v>
      </c>
      <c r="H30" s="394" t="s">
        <v>683</v>
      </c>
      <c r="I30" s="395"/>
      <c r="J30" s="392" t="s">
        <v>681</v>
      </c>
      <c r="K30" s="393" t="s">
        <v>682</v>
      </c>
      <c r="L30" s="394" t="s">
        <v>683</v>
      </c>
      <c r="M30" s="395"/>
      <c r="N30" s="392" t="s">
        <v>681</v>
      </c>
      <c r="O30" s="393" t="s">
        <v>682</v>
      </c>
      <c r="P30" s="394" t="s">
        <v>683</v>
      </c>
      <c r="Q30" s="395"/>
      <c r="R30" s="392" t="s">
        <v>681</v>
      </c>
      <c r="S30" s="393" t="s">
        <v>682</v>
      </c>
      <c r="T30" s="394" t="s">
        <v>683</v>
      </c>
      <c r="V30" s="392" t="s">
        <v>681</v>
      </c>
      <c r="W30" s="393" t="s">
        <v>682</v>
      </c>
      <c r="X30" s="397" t="s">
        <v>683</v>
      </c>
    </row>
    <row r="31" spans="2:24" s="359" customFormat="1" ht="11.25">
      <c r="B31" s="734" t="s">
        <v>822</v>
      </c>
      <c r="C31" s="735">
        <v>2.58</v>
      </c>
      <c r="D31" s="736">
        <v>95345.902748414373</v>
      </c>
      <c r="E31" s="737"/>
      <c r="F31" s="734" t="s">
        <v>822</v>
      </c>
      <c r="G31" s="403">
        <v>2.4</v>
      </c>
      <c r="H31" s="736">
        <v>100310.75</v>
      </c>
      <c r="I31" s="737"/>
      <c r="J31" s="738" t="s">
        <v>822</v>
      </c>
      <c r="K31" s="735">
        <v>2.2000000000000002</v>
      </c>
      <c r="L31" s="736">
        <v>118086.49090909089</v>
      </c>
      <c r="M31" s="737"/>
      <c r="N31" s="734" t="s">
        <v>823</v>
      </c>
      <c r="O31" s="739">
        <v>2.4</v>
      </c>
      <c r="P31" s="736">
        <v>103184.57777777777</v>
      </c>
      <c r="Q31" s="737"/>
      <c r="R31" s="734" t="s">
        <v>823</v>
      </c>
      <c r="S31" s="735">
        <v>2.6</v>
      </c>
      <c r="T31" s="740"/>
      <c r="V31" s="734" t="s">
        <v>823</v>
      </c>
      <c r="W31" s="735">
        <v>2.6</v>
      </c>
      <c r="X31" s="741">
        <f>(H31+L31+P31)/3</f>
        <v>107193.93956228955</v>
      </c>
    </row>
    <row r="32" spans="2:24" s="359" customFormat="1" ht="11.25">
      <c r="B32" s="742" t="s">
        <v>824</v>
      </c>
      <c r="C32" s="743">
        <v>2.19</v>
      </c>
      <c r="D32" s="744">
        <v>105494.58032378581</v>
      </c>
      <c r="E32" s="737"/>
      <c r="F32" s="742" t="s">
        <v>824</v>
      </c>
      <c r="G32" s="411">
        <v>2</v>
      </c>
      <c r="H32" s="744">
        <v>108471.99818181817</v>
      </c>
      <c r="I32" s="737"/>
      <c r="J32" s="745" t="s">
        <v>824</v>
      </c>
      <c r="K32" s="743">
        <v>2.6</v>
      </c>
      <c r="L32" s="744">
        <v>89593.758041958048</v>
      </c>
      <c r="M32" s="737"/>
      <c r="N32" s="742" t="s">
        <v>825</v>
      </c>
      <c r="O32" s="746">
        <v>2.9</v>
      </c>
      <c r="P32" s="744">
        <v>112149.49090909094</v>
      </c>
      <c r="Q32" s="737"/>
      <c r="R32" s="742" t="s">
        <v>825</v>
      </c>
      <c r="S32" s="743">
        <v>3.1</v>
      </c>
      <c r="T32" s="747"/>
      <c r="V32" s="742" t="s">
        <v>825</v>
      </c>
      <c r="W32" s="743">
        <v>3.1</v>
      </c>
      <c r="X32" s="748">
        <f>(H32+L32+P32)/3</f>
        <v>103405.08237762237</v>
      </c>
    </row>
    <row r="33" spans="2:24">
      <c r="B33" s="414"/>
      <c r="C33" s="415"/>
      <c r="D33" s="416"/>
      <c r="E33" s="417"/>
      <c r="F33" s="418"/>
      <c r="G33" s="419"/>
      <c r="H33" s="416"/>
      <c r="I33" s="417"/>
      <c r="J33" s="414"/>
      <c r="K33" s="415"/>
      <c r="L33" s="416"/>
      <c r="M33" s="417"/>
      <c r="N33" s="414"/>
      <c r="O33" s="415"/>
      <c r="P33" s="416"/>
      <c r="Q33" s="417"/>
      <c r="R33" s="414"/>
      <c r="S33" s="415"/>
      <c r="T33" s="416"/>
      <c r="V33" s="414"/>
      <c r="W33" s="415"/>
      <c r="X33" s="420"/>
    </row>
    <row r="34" spans="2:24" s="359" customFormat="1" ht="11.25">
      <c r="B34" s="383" t="s">
        <v>680</v>
      </c>
      <c r="C34" s="421">
        <f>SUMPRODUCT(C31:C32,D31:D32)</f>
        <v>477025.56</v>
      </c>
      <c r="D34" s="422"/>
      <c r="E34" s="386"/>
      <c r="F34" s="423" t="s">
        <v>680</v>
      </c>
      <c r="G34" s="421">
        <f>SUMPRODUCT(G31:G32,H31:H32)</f>
        <v>457689.79636363633</v>
      </c>
      <c r="H34" s="422"/>
      <c r="I34" s="386"/>
      <c r="J34" s="383" t="s">
        <v>680</v>
      </c>
      <c r="K34" s="421">
        <f>SUMPRODUCT(K31:K32,L31:L32)</f>
        <v>492734.0509090909</v>
      </c>
      <c r="L34" s="422"/>
      <c r="M34" s="386"/>
      <c r="N34" s="383" t="s">
        <v>680</v>
      </c>
      <c r="O34" s="421">
        <f>SUMPRODUCT(O31:O32,P31:P32)</f>
        <v>572876.51030303026</v>
      </c>
      <c r="P34" s="422"/>
      <c r="Q34" s="386"/>
      <c r="R34" s="383" t="s">
        <v>680</v>
      </c>
      <c r="S34" s="421">
        <f>SUMPRODUCT(S31:S32,T31:T32)</f>
        <v>0</v>
      </c>
      <c r="T34" s="422"/>
      <c r="V34" s="383" t="s">
        <v>680</v>
      </c>
      <c r="W34" s="421">
        <f>SUMPRODUCT(W31:W32,X31:X32)</f>
        <v>599259.99823258223</v>
      </c>
      <c r="X34" s="424"/>
    </row>
    <row r="35" spans="2:24">
      <c r="B35" s="359"/>
      <c r="C35" s="425"/>
      <c r="D35" s="359"/>
      <c r="E35" s="316"/>
      <c r="F35" s="359"/>
      <c r="G35" s="425"/>
      <c r="H35" s="359"/>
      <c r="I35" s="316"/>
      <c r="J35" s="359"/>
      <c r="K35" s="425"/>
      <c r="L35" s="359"/>
      <c r="M35" s="316"/>
      <c r="N35" s="359"/>
      <c r="O35" s="425"/>
      <c r="P35" s="359" t="s">
        <v>826</v>
      </c>
      <c r="Q35" s="316"/>
      <c r="R35" s="359"/>
      <c r="S35" s="425"/>
      <c r="T35" s="465"/>
      <c r="V35" s="359"/>
      <c r="W35" s="425"/>
      <c r="X35" s="426"/>
    </row>
    <row r="36" spans="2:24">
      <c r="B36" s="359"/>
      <c r="C36" s="425"/>
      <c r="D36" s="359"/>
      <c r="E36" s="316"/>
      <c r="F36" s="359"/>
      <c r="G36" s="425"/>
      <c r="H36" s="359"/>
      <c r="I36" s="316"/>
      <c r="J36" s="359"/>
      <c r="K36" s="425"/>
      <c r="L36" s="359"/>
      <c r="M36" s="316"/>
      <c r="N36" s="359"/>
      <c r="O36" s="425"/>
      <c r="P36" s="359"/>
      <c r="Q36" s="316"/>
      <c r="R36" s="359"/>
      <c r="S36" s="425"/>
      <c r="T36" s="465"/>
      <c r="V36" s="359"/>
      <c r="W36" s="425"/>
      <c r="X36" s="426"/>
    </row>
    <row r="37" spans="2:24">
      <c r="B37" s="427"/>
      <c r="C37" s="428"/>
      <c r="D37" s="429"/>
      <c r="E37" s="430"/>
      <c r="F37" s="429"/>
      <c r="G37" s="425"/>
      <c r="H37" s="359"/>
      <c r="I37" s="316"/>
      <c r="J37" s="359"/>
      <c r="K37" s="425"/>
      <c r="L37" s="359"/>
      <c r="M37" s="316"/>
      <c r="N37" s="359"/>
      <c r="O37" s="425"/>
      <c r="P37" s="359"/>
      <c r="Q37" s="316"/>
      <c r="R37" s="316"/>
      <c r="S37" s="536"/>
      <c r="T37" s="316"/>
      <c r="V37" s="359"/>
      <c r="W37" s="425"/>
      <c r="X37" s="426"/>
    </row>
    <row r="38" spans="2:24">
      <c r="B38" s="431" t="s">
        <v>686</v>
      </c>
      <c r="C38" s="432"/>
      <c r="D38" s="433"/>
      <c r="E38" s="434"/>
      <c r="F38" s="435" t="s">
        <v>686</v>
      </c>
      <c r="G38" s="432"/>
      <c r="H38" s="433"/>
      <c r="I38" s="434"/>
      <c r="J38" s="431" t="s">
        <v>686</v>
      </c>
      <c r="K38" s="432"/>
      <c r="L38" s="436"/>
      <c r="M38" s="434"/>
      <c r="N38" s="431" t="s">
        <v>686</v>
      </c>
      <c r="O38" s="432"/>
      <c r="P38" s="436"/>
      <c r="Q38" s="434"/>
      <c r="R38" s="542"/>
      <c r="S38" s="500"/>
      <c r="T38" s="434"/>
      <c r="V38" s="431" t="s">
        <v>686</v>
      </c>
      <c r="W38" s="432"/>
      <c r="X38" s="437"/>
    </row>
    <row r="39" spans="2:24" s="359" customFormat="1" ht="11.25">
      <c r="B39" s="441" t="s">
        <v>1403</v>
      </c>
      <c r="C39" s="249">
        <f>SUM(C25)</f>
        <v>3.51</v>
      </c>
      <c r="D39" s="250">
        <f>SUM(D25)</f>
        <v>1062638.4827764828</v>
      </c>
      <c r="E39" s="440"/>
      <c r="F39" s="441" t="s">
        <v>1403</v>
      </c>
      <c r="G39" s="581">
        <f>SUM(G25)</f>
        <v>3.26</v>
      </c>
      <c r="H39" s="250">
        <f>SUM(H25)</f>
        <v>1066456.8786648926</v>
      </c>
      <c r="I39" s="440"/>
      <c r="J39" s="441" t="s">
        <v>1403</v>
      </c>
      <c r="K39" s="249">
        <f>SUM(K25)</f>
        <v>3.62</v>
      </c>
      <c r="L39" s="439">
        <f>SUM(L25)</f>
        <v>1112427</v>
      </c>
      <c r="M39" s="440"/>
      <c r="N39" s="441" t="s">
        <v>1403</v>
      </c>
      <c r="O39" s="286">
        <f>SUM(O23)</f>
        <v>3.95</v>
      </c>
      <c r="P39" s="439">
        <f>SUM(P23)</f>
        <v>1113337.3484909644</v>
      </c>
      <c r="Q39" s="440"/>
      <c r="R39" s="271"/>
      <c r="S39" s="280"/>
      <c r="T39" s="440"/>
      <c r="V39" s="441" t="s">
        <v>1403</v>
      </c>
      <c r="W39" s="286">
        <f>SUM(W23)</f>
        <v>4.24</v>
      </c>
      <c r="X39" s="250">
        <f>SUM(X23)</f>
        <v>1097407.0757186192</v>
      </c>
    </row>
    <row r="40" spans="2:24" s="359" customFormat="1" ht="11.25">
      <c r="B40" s="441" t="s">
        <v>1405</v>
      </c>
      <c r="C40" s="252">
        <f>SUMPRODUCT(C23:C24,D23:D24)/SUM(D23:D24)</f>
        <v>28.6</v>
      </c>
      <c r="D40" s="253">
        <f>SUM(D23:D24)</f>
        <v>2405372.5004237108</v>
      </c>
      <c r="E40" s="443"/>
      <c r="F40" s="441" t="s">
        <v>1405</v>
      </c>
      <c r="G40" s="582">
        <f>SUMPRODUCT(G23:G24,H23:H24)/SUM(H23:H24)</f>
        <v>26.4</v>
      </c>
      <c r="H40" s="253">
        <f>SUM(H23:H24)</f>
        <v>2415726.3667533835</v>
      </c>
      <c r="I40" s="443"/>
      <c r="J40" s="441" t="s">
        <v>1405</v>
      </c>
      <c r="K40" s="252">
        <f>SUMPRODUCT(K23:K24,L23:L24)/SUM(L23:L24)</f>
        <v>28.5</v>
      </c>
      <c r="L40" s="442">
        <f>SUM(L23:L24)</f>
        <v>2443010</v>
      </c>
      <c r="M40" s="443"/>
      <c r="N40" s="441" t="s">
        <v>1405</v>
      </c>
      <c r="O40" s="287">
        <f>SUMPRODUCT(O22,P22)/SUM(P22)</f>
        <v>31.599999999999998</v>
      </c>
      <c r="P40" s="749">
        <f>SUM(P22)</f>
        <v>2455968.687544202</v>
      </c>
      <c r="Q40" s="443"/>
      <c r="R40" s="271"/>
      <c r="S40" s="623"/>
      <c r="T40" s="443"/>
      <c r="V40" s="441" t="s">
        <v>1405</v>
      </c>
      <c r="W40" s="287">
        <f>SUMPRODUCT(W22,X22)/SUM(X22)</f>
        <v>34.200000000000003</v>
      </c>
      <c r="X40" s="681">
        <f>SUM(X22)</f>
        <v>2438235.0180991953</v>
      </c>
    </row>
    <row r="41" spans="2:24" s="359" customFormat="1" ht="11.25">
      <c r="B41" s="441" t="s">
        <v>1407</v>
      </c>
      <c r="C41" s="254">
        <f>SUMPRODUCT(C21:C22,D21:D22)/SUM(D21:D22)</f>
        <v>32.6</v>
      </c>
      <c r="D41" s="255">
        <f>SUM(D21:D22)</f>
        <v>123839.80029904845</v>
      </c>
      <c r="E41" s="443"/>
      <c r="F41" s="441" t="s">
        <v>1407</v>
      </c>
      <c r="G41" s="583">
        <f>SUMPRODUCT(G21:G22,H21:H22)/SUM(H21:H22)</f>
        <v>30.1</v>
      </c>
      <c r="H41" s="255">
        <f>SUM(H21:H22)</f>
        <v>124585.14716934915</v>
      </c>
      <c r="I41" s="443"/>
      <c r="J41" s="441" t="s">
        <v>1407</v>
      </c>
      <c r="K41" s="254">
        <f>SUMPRODUCT(K21:K22,L21:L22)/SUM(L21:L22)</f>
        <v>32.5</v>
      </c>
      <c r="L41" s="444">
        <f>SUM(L21:L22)</f>
        <v>124714.86525582839</v>
      </c>
      <c r="M41" s="443"/>
      <c r="N41" s="441" t="s">
        <v>1407</v>
      </c>
      <c r="O41" s="288">
        <f>SUMPRODUCT(O21,P21)/SUM(P21)</f>
        <v>36</v>
      </c>
      <c r="P41" s="750">
        <f>SUM(P21)</f>
        <v>127454.96878291687</v>
      </c>
      <c r="Q41" s="443"/>
      <c r="R41" s="271"/>
      <c r="S41" s="280"/>
      <c r="T41" s="443"/>
      <c r="V41" s="441" t="s">
        <v>1407</v>
      </c>
      <c r="W41" s="288">
        <f>SUMPRODUCT(W21,X21)/SUM(X21)</f>
        <v>39</v>
      </c>
      <c r="X41" s="682">
        <f>SUM(X21)</f>
        <v>125584.99373603147</v>
      </c>
    </row>
    <row r="42" spans="2:24" s="359" customFormat="1" ht="11.25">
      <c r="B42" s="616" t="s">
        <v>1409</v>
      </c>
      <c r="C42" s="256">
        <f>SUMPRODUCT(C19:C20,D19:D20)/SUM(D19:D20)</f>
        <v>155</v>
      </c>
      <c r="D42" s="257">
        <f>SUM(D19:D20)</f>
        <v>12070.145313782992</v>
      </c>
      <c r="E42" s="443"/>
      <c r="F42" s="616" t="s">
        <v>1409</v>
      </c>
      <c r="G42" s="584">
        <f>SUMPRODUCT(G19:G20,H19:H20)/SUM(H19:H20)</f>
        <v>143</v>
      </c>
      <c r="H42" s="257">
        <f>SUM(H19:H20)</f>
        <v>12635.067234583596</v>
      </c>
      <c r="I42" s="443"/>
      <c r="J42" s="616" t="s">
        <v>1409</v>
      </c>
      <c r="K42" s="256">
        <f>SUMPRODUCT(K19:K20,L19:L20)/SUM(L19:L20)</f>
        <v>155</v>
      </c>
      <c r="L42" s="445">
        <f>SUM(L19:L20)</f>
        <v>13169.823202346039</v>
      </c>
      <c r="M42" s="443"/>
      <c r="N42" s="616" t="s">
        <v>1409</v>
      </c>
      <c r="O42" s="289">
        <f>SUMPRODUCT(O19:O20,P19:P20)/SUM(P19:P20)</f>
        <v>172</v>
      </c>
      <c r="P42" s="751">
        <f>SUM(P19:P20)</f>
        <v>13611.673687821611</v>
      </c>
      <c r="Q42" s="443"/>
      <c r="R42" s="271"/>
      <c r="S42" s="280"/>
      <c r="T42" s="443"/>
      <c r="V42" s="616" t="s">
        <v>1409</v>
      </c>
      <c r="W42" s="289">
        <f>SUMPRODUCT(W19:W20,X19:X20)/SUM(X19:X20)</f>
        <v>186</v>
      </c>
      <c r="X42" s="683">
        <f>SUM(X19:X20)</f>
        <v>13138.854708250414</v>
      </c>
    </row>
    <row r="43" spans="2:24" s="359" customFormat="1" ht="11.25">
      <c r="B43" s="616" t="s">
        <v>1411</v>
      </c>
      <c r="C43" s="258">
        <f>SUMPRODUCT(C18,D18)/SUM(D18)</f>
        <v>616</v>
      </c>
      <c r="D43" s="259">
        <f>SUM(D18)</f>
        <v>14023.152449822903</v>
      </c>
      <c r="E43" s="440"/>
      <c r="F43" s="616" t="s">
        <v>1411</v>
      </c>
      <c r="G43" s="585">
        <f>SUMPRODUCT(G18,H18)/SUM(H18)</f>
        <v>569</v>
      </c>
      <c r="H43" s="259">
        <f>SUM(H18)</f>
        <v>14159.890103850457</v>
      </c>
      <c r="I43" s="440"/>
      <c r="J43" s="616" t="s">
        <v>1411</v>
      </c>
      <c r="K43" s="258">
        <f>SUMPRODUCT(K18,L18)/SUM(L18)</f>
        <v>614.99999999999989</v>
      </c>
      <c r="L43" s="446">
        <f>SUM(L18)</f>
        <v>14195.544141906874</v>
      </c>
      <c r="M43" s="440"/>
      <c r="N43" s="616" t="s">
        <v>1411</v>
      </c>
      <c r="O43" s="684">
        <f>SUMPRODUCT(O18,P18)/SUM(P18)</f>
        <v>682</v>
      </c>
      <c r="P43" s="446">
        <f>SUM(P18)</f>
        <v>14239.582613456274</v>
      </c>
      <c r="Q43" s="440"/>
      <c r="R43" s="271"/>
      <c r="S43" s="280"/>
      <c r="T43" s="440"/>
      <c r="V43" s="616" t="s">
        <v>1411</v>
      </c>
      <c r="W43" s="684">
        <f>SUMPRODUCT(W18,X18)/SUM(X18)</f>
        <v>739</v>
      </c>
      <c r="X43" s="259">
        <f>SUM(X18)</f>
        <v>14198.338953071201</v>
      </c>
    </row>
    <row r="44" spans="2:24" s="359" customFormat="1" ht="11.25">
      <c r="B44" s="449" t="s">
        <v>1415</v>
      </c>
      <c r="C44" s="261">
        <f>SUMPRODUCT(C16:C17,D16:D17)/SUM(D16:D17)</f>
        <v>1704.296613774236</v>
      </c>
      <c r="D44" s="262">
        <f>SUM(D16:D17)</f>
        <v>832.50023573374381</v>
      </c>
      <c r="E44" s="440"/>
      <c r="F44" s="449" t="s">
        <v>1415</v>
      </c>
      <c r="G44" s="685">
        <f>SUMPRODUCT(G16:G17,H16:H17)/SUM(H16:H17)</f>
        <v>1571.5994779015805</v>
      </c>
      <c r="H44" s="262">
        <f>SUM(H16:H17)</f>
        <v>847.32390767088577</v>
      </c>
      <c r="I44" s="440"/>
      <c r="J44" s="449" t="s">
        <v>1415</v>
      </c>
      <c r="K44" s="261">
        <f>SUMPRODUCT(K16:K17,L16:L17)/SUM(L16:L17)</f>
        <v>1693.4042333469088</v>
      </c>
      <c r="L44" s="448">
        <f>SUM(L16:L17)</f>
        <v>854.35269202977349</v>
      </c>
      <c r="M44" s="440"/>
      <c r="N44" s="449" t="s">
        <v>1415</v>
      </c>
      <c r="O44" s="686">
        <f>SUMPRODUCT(O16:O17,P16:P17)/SUM(P16:P17)</f>
        <v>1876.6145415084497</v>
      </c>
      <c r="P44" s="448">
        <f>SUM(P16:P17)</f>
        <v>882.08056280854817</v>
      </c>
      <c r="Q44" s="440"/>
      <c r="R44" s="271"/>
      <c r="S44" s="280"/>
      <c r="T44" s="440"/>
      <c r="V44" s="449" t="s">
        <v>1415</v>
      </c>
      <c r="W44" s="686">
        <f>SUMPRODUCT(W16:W17,X16:X17)/SUM(X16:X17)</f>
        <v>2035.932307554785</v>
      </c>
      <c r="X44" s="262">
        <f>SUM(X16:X17)</f>
        <v>861.25238750306903</v>
      </c>
    </row>
    <row r="45" spans="2:24">
      <c r="B45" s="450" t="s">
        <v>680</v>
      </c>
      <c r="C45" s="451">
        <f>SUMPRODUCT(C39:C44,D39:D44)</f>
        <v>88488653.841867119</v>
      </c>
      <c r="D45" s="452"/>
      <c r="E45" s="443"/>
      <c r="F45" s="603" t="s">
        <v>680</v>
      </c>
      <c r="G45" s="451">
        <f>SUMPRODUCT(G39:G44,H39:H44)</f>
        <v>82197284.331079736</v>
      </c>
      <c r="H45" s="452"/>
      <c r="I45" s="443"/>
      <c r="J45" s="450" t="s">
        <v>680</v>
      </c>
      <c r="K45" s="451">
        <f>SUMPRODUCT(K39:K44,L39:L44)</f>
        <v>89924350.569905326</v>
      </c>
      <c r="L45" s="452"/>
      <c r="M45" s="443"/>
      <c r="N45" s="450" t="s">
        <v>680</v>
      </c>
      <c r="O45" s="451">
        <f>SUMPRODUCT(O39:O44,P39:P44)</f>
        <v>100302600.35675208</v>
      </c>
      <c r="P45" s="452"/>
      <c r="Q45" s="443"/>
      <c r="R45" s="543"/>
      <c r="S45" s="443"/>
      <c r="T45" s="443"/>
      <c r="V45" s="450" t="s">
        <v>680</v>
      </c>
      <c r="W45" s="451">
        <f>SUMPRODUCT(W39:W44,X39:X44)</f>
        <v>107628309.39847504</v>
      </c>
      <c r="X45" s="454"/>
    </row>
    <row r="46" spans="2:24">
      <c r="B46" s="390"/>
      <c r="C46" s="455"/>
      <c r="D46" s="386"/>
      <c r="E46" s="386"/>
      <c r="F46" s="390"/>
      <c r="G46" s="455"/>
      <c r="H46" s="386"/>
      <c r="I46" s="386"/>
      <c r="J46" s="390"/>
      <c r="K46" s="455"/>
      <c r="L46" s="386"/>
      <c r="M46" s="386"/>
      <c r="N46" s="390"/>
      <c r="O46" s="455"/>
      <c r="P46" s="386"/>
      <c r="Q46" s="386"/>
      <c r="R46" s="390"/>
      <c r="S46" s="500"/>
      <c r="T46" s="386"/>
      <c r="V46" s="390"/>
      <c r="W46" s="455"/>
      <c r="X46" s="391"/>
    </row>
    <row r="47" spans="2:24">
      <c r="B47" s="392" t="s">
        <v>681</v>
      </c>
      <c r="C47" s="456"/>
      <c r="D47" s="394"/>
      <c r="E47" s="395"/>
      <c r="F47" s="392" t="s">
        <v>681</v>
      </c>
      <c r="G47" s="456"/>
      <c r="H47" s="394"/>
      <c r="I47" s="395"/>
      <c r="J47" s="392" t="s">
        <v>681</v>
      </c>
      <c r="K47" s="456"/>
      <c r="L47" s="394"/>
      <c r="M47" s="395"/>
      <c r="N47" s="392" t="s">
        <v>681</v>
      </c>
      <c r="O47" s="456"/>
      <c r="P47" s="394"/>
      <c r="Q47" s="395"/>
      <c r="R47" s="395"/>
      <c r="S47" s="544"/>
      <c r="T47" s="395"/>
      <c r="V47" s="392" t="s">
        <v>681</v>
      </c>
      <c r="W47" s="456"/>
      <c r="X47" s="397"/>
    </row>
    <row r="48" spans="2:24">
      <c r="B48" s="398" t="s">
        <v>684</v>
      </c>
      <c r="C48" s="399">
        <f>SUMPRODUCT(C31:C32,D31:D32)/SUM(D31:D32)</f>
        <v>2.3751464480819537</v>
      </c>
      <c r="D48" s="736">
        <f>SUM(D31:D32)</f>
        <v>200840.48307220018</v>
      </c>
      <c r="E48" s="405"/>
      <c r="F48" s="398" t="s">
        <v>684</v>
      </c>
      <c r="G48" s="399">
        <f>SUMPRODUCT(G31:G32,H31:H32)/SUM(H31:H32)</f>
        <v>2.1921820665233214</v>
      </c>
      <c r="H48" s="736">
        <f>SUM(H31:H32)</f>
        <v>208782.74818181817</v>
      </c>
      <c r="I48" s="405"/>
      <c r="J48" s="398" t="s">
        <v>684</v>
      </c>
      <c r="K48" s="399">
        <f>SUMPRODUCT(K31:K32,L31:L32)/SUM(L31:L32)</f>
        <v>2.3725609604080851</v>
      </c>
      <c r="L48" s="736">
        <f>SUM(L31:L32)</f>
        <v>207680.24895104894</v>
      </c>
      <c r="M48" s="405"/>
      <c r="N48" s="398" t="s">
        <v>684</v>
      </c>
      <c r="O48" s="399">
        <f>SUMPRODUCT(O31:O32,P31:P32)/SUM(P31:P32)</f>
        <v>2.6604081453366644</v>
      </c>
      <c r="P48" s="736">
        <f>SUM(P31:P32)</f>
        <v>215334.0686868687</v>
      </c>
      <c r="Q48" s="405"/>
      <c r="R48" s="529"/>
      <c r="S48" s="624"/>
      <c r="T48" s="405"/>
      <c r="V48" s="398" t="s">
        <v>684</v>
      </c>
      <c r="W48" s="399">
        <f>SUMPRODUCT(W31:W32,X31:X32)/SUM(X31:X32)</f>
        <v>2.8455022853979015</v>
      </c>
      <c r="X48" s="400">
        <f>SUM(X31:X32)</f>
        <v>210599.02193991194</v>
      </c>
    </row>
    <row r="49" spans="2:29">
      <c r="B49" s="414"/>
      <c r="C49" s="415"/>
      <c r="D49" s="416"/>
      <c r="E49" s="417"/>
      <c r="F49" s="414"/>
      <c r="G49" s="415"/>
      <c r="H49" s="416"/>
      <c r="I49" s="417"/>
      <c r="J49" s="414"/>
      <c r="K49" s="415"/>
      <c r="L49" s="416"/>
      <c r="M49" s="417"/>
      <c r="N49" s="414"/>
      <c r="O49" s="415"/>
      <c r="P49" s="416"/>
      <c r="Q49" s="417"/>
      <c r="R49" s="529"/>
      <c r="S49" s="545"/>
      <c r="T49" s="417"/>
      <c r="V49" s="414"/>
      <c r="W49" s="415"/>
      <c r="X49" s="420"/>
    </row>
    <row r="50" spans="2:29">
      <c r="B50" s="383" t="s">
        <v>680</v>
      </c>
      <c r="C50" s="432"/>
      <c r="D50" s="422"/>
      <c r="E50" s="386"/>
      <c r="F50" s="383" t="s">
        <v>680</v>
      </c>
      <c r="G50" s="432"/>
      <c r="H50" s="422"/>
      <c r="I50" s="386"/>
      <c r="J50" s="383" t="s">
        <v>680</v>
      </c>
      <c r="K50" s="432"/>
      <c r="L50" s="422"/>
      <c r="M50" s="386"/>
      <c r="N50" s="383" t="s">
        <v>680</v>
      </c>
      <c r="O50" s="432"/>
      <c r="P50" s="422"/>
      <c r="Q50" s="386"/>
      <c r="R50" s="390"/>
      <c r="S50" s="500"/>
      <c r="T50" s="386"/>
      <c r="V50" s="383" t="s">
        <v>680</v>
      </c>
      <c r="W50" s="432"/>
      <c r="X50" s="424"/>
    </row>
    <row r="51" spans="2:29">
      <c r="B51" s="390"/>
      <c r="C51" s="458"/>
      <c r="D51" s="386"/>
      <c r="E51" s="386"/>
      <c r="F51" s="390"/>
      <c r="G51" s="458"/>
      <c r="H51" s="386"/>
      <c r="I51" s="386"/>
      <c r="J51" s="390"/>
      <c r="K51" s="458"/>
      <c r="L51" s="386"/>
      <c r="M51" s="386"/>
      <c r="N51" s="390"/>
      <c r="O51" s="458"/>
      <c r="P51" s="386"/>
      <c r="Q51" s="386"/>
      <c r="R51" s="390"/>
      <c r="S51" s="430"/>
      <c r="T51" s="386"/>
      <c r="X51" s="118"/>
    </row>
    <row r="52" spans="2:29">
      <c r="B52" s="390"/>
      <c r="C52" s="458"/>
      <c r="D52" s="386"/>
      <c r="E52" s="386"/>
      <c r="F52" s="390"/>
      <c r="G52" s="458"/>
      <c r="H52" s="386"/>
      <c r="I52" s="386"/>
      <c r="J52" s="390"/>
      <c r="K52" s="458"/>
      <c r="L52" s="386"/>
      <c r="M52" s="386"/>
      <c r="N52" s="390"/>
      <c r="O52" s="458"/>
      <c r="P52" s="386"/>
      <c r="Q52" s="386"/>
      <c r="R52" s="390"/>
      <c r="S52" s="458"/>
      <c r="T52" s="386"/>
      <c r="X52" s="118"/>
    </row>
    <row r="53" spans="2:29">
      <c r="B53" s="390"/>
      <c r="C53" s="458"/>
      <c r="D53" s="386"/>
      <c r="E53" s="386"/>
      <c r="F53" s="390"/>
      <c r="G53" s="458"/>
      <c r="H53" s="386"/>
      <c r="I53" s="386"/>
      <c r="J53" s="390"/>
      <c r="K53" s="458"/>
      <c r="L53" s="386"/>
      <c r="M53" s="386"/>
      <c r="N53" s="390"/>
      <c r="O53" s="458"/>
      <c r="P53" s="386"/>
      <c r="Q53" s="386"/>
      <c r="R53" s="390"/>
      <c r="S53" s="458"/>
      <c r="T53" s="386"/>
    </row>
    <row r="54" spans="2:29" ht="15.75">
      <c r="B54" s="240" t="str">
        <f>B1</f>
        <v>NE6R Enexis</v>
      </c>
      <c r="C54" s="240" t="s">
        <v>722</v>
      </c>
      <c r="D54" s="546"/>
      <c r="E54" s="293"/>
      <c r="F54" s="293"/>
      <c r="G54" s="291"/>
      <c r="H54" s="292"/>
      <c r="I54" s="293"/>
      <c r="J54" s="293"/>
      <c r="K54" s="291"/>
      <c r="L54" s="292"/>
      <c r="M54" s="293"/>
      <c r="N54" s="293"/>
      <c r="O54" s="293"/>
      <c r="P54" s="293"/>
      <c r="Q54" s="293"/>
      <c r="R54" s="293"/>
      <c r="S54" s="293"/>
      <c r="T54" s="293"/>
      <c r="V54" s="294" t="s">
        <v>651</v>
      </c>
      <c r="W54" s="295"/>
      <c r="X54" s="295"/>
    </row>
    <row r="55" spans="2:29">
      <c r="B55" s="390"/>
      <c r="C55" s="458"/>
      <c r="D55" s="386"/>
      <c r="E55" s="386"/>
      <c r="F55" s="390"/>
      <c r="G55" s="458"/>
      <c r="H55" s="386"/>
      <c r="I55" s="386"/>
      <c r="J55" s="390"/>
      <c r="K55" s="458"/>
      <c r="L55" s="386"/>
      <c r="M55" s="386"/>
      <c r="N55" s="390"/>
      <c r="O55" s="458"/>
      <c r="P55" s="386"/>
      <c r="Q55" s="386"/>
      <c r="R55" s="390"/>
      <c r="S55" s="458"/>
      <c r="T55" s="386"/>
    </row>
    <row r="56" spans="2:29">
      <c r="B56" s="296" t="s">
        <v>251</v>
      </c>
      <c r="C56" s="297" t="s">
        <v>652</v>
      </c>
      <c r="D56" s="297"/>
      <c r="E56" s="298"/>
      <c r="F56" s="297"/>
      <c r="G56" s="298"/>
      <c r="H56" s="386"/>
      <c r="I56" s="386"/>
      <c r="J56" s="390"/>
      <c r="K56" s="458"/>
      <c r="L56" s="386"/>
      <c r="M56" s="386"/>
      <c r="N56" s="390"/>
      <c r="O56" s="458"/>
      <c r="P56" s="386"/>
      <c r="Q56" s="386"/>
      <c r="R56" s="390"/>
      <c r="S56" s="458"/>
      <c r="T56" s="386"/>
    </row>
    <row r="57" spans="2:29">
      <c r="B57" s="299" t="s">
        <v>252</v>
      </c>
      <c r="C57" s="300" t="s">
        <v>652</v>
      </c>
      <c r="D57" s="300"/>
      <c r="E57" s="301"/>
      <c r="F57" s="300"/>
      <c r="G57" s="301"/>
      <c r="H57" s="386"/>
      <c r="I57" s="386"/>
      <c r="J57" s="390"/>
      <c r="K57" s="458"/>
      <c r="L57" s="386"/>
      <c r="M57" s="386"/>
      <c r="N57" s="390"/>
      <c r="O57" s="458"/>
      <c r="P57" s="386"/>
      <c r="Q57" s="386"/>
      <c r="R57" s="390"/>
      <c r="S57" s="458"/>
      <c r="T57" s="386"/>
    </row>
    <row r="58" spans="2:29">
      <c r="B58" s="302" t="s">
        <v>253</v>
      </c>
      <c r="C58" s="303" t="s">
        <v>653</v>
      </c>
      <c r="D58" s="303"/>
      <c r="E58" s="304"/>
      <c r="F58" s="303"/>
      <c r="G58" s="304"/>
      <c r="H58" s="386"/>
      <c r="I58" s="386"/>
      <c r="J58" s="390"/>
      <c r="K58" s="458"/>
      <c r="L58" s="386"/>
      <c r="M58" s="386"/>
      <c r="N58" s="390"/>
      <c r="O58" s="458"/>
      <c r="P58" s="386"/>
      <c r="Q58" s="386"/>
      <c r="R58" s="390"/>
      <c r="S58" s="458"/>
      <c r="T58" s="386"/>
    </row>
    <row r="59" spans="2:29">
      <c r="B59" s="305" t="s">
        <v>654</v>
      </c>
      <c r="C59" s="306" t="s">
        <v>653</v>
      </c>
      <c r="D59" s="306"/>
      <c r="E59" s="307"/>
      <c r="F59" s="306"/>
      <c r="G59" s="307"/>
      <c r="H59" s="386"/>
      <c r="I59" s="386"/>
      <c r="J59" s="390"/>
      <c r="K59" s="458"/>
      <c r="L59" s="386"/>
      <c r="M59" s="386"/>
      <c r="N59" s="390"/>
      <c r="O59" s="458"/>
      <c r="P59" s="386"/>
      <c r="Q59" s="386"/>
      <c r="R59" s="390"/>
      <c r="S59" s="458"/>
      <c r="T59" s="386"/>
    </row>
    <row r="60" spans="2:29">
      <c r="B60" s="460" t="s">
        <v>254</v>
      </c>
      <c r="C60" s="461" t="s">
        <v>688</v>
      </c>
      <c r="D60" s="461"/>
      <c r="E60" s="462"/>
      <c r="F60" s="461"/>
      <c r="G60" s="462"/>
      <c r="H60" s="386"/>
      <c r="I60" s="386"/>
      <c r="J60" s="390"/>
      <c r="K60" s="458"/>
      <c r="L60" s="386"/>
      <c r="M60" s="386"/>
      <c r="N60" s="390"/>
      <c r="O60" s="458"/>
      <c r="P60" s="386"/>
      <c r="Q60" s="386"/>
      <c r="R60" s="390"/>
      <c r="S60" s="458"/>
      <c r="T60" s="386"/>
    </row>
    <row r="61" spans="2:29">
      <c r="B61" s="390"/>
      <c r="C61" s="458"/>
      <c r="D61" s="386"/>
      <c r="E61" s="386"/>
      <c r="F61" s="390"/>
      <c r="G61" s="458"/>
      <c r="H61" s="386"/>
      <c r="I61" s="386"/>
      <c r="J61" s="390"/>
      <c r="K61" s="458"/>
      <c r="L61" s="386"/>
      <c r="M61" s="386"/>
      <c r="N61" s="390"/>
      <c r="O61" s="458"/>
      <c r="P61" s="386"/>
      <c r="Q61" s="386"/>
      <c r="R61" s="390"/>
      <c r="S61" s="458"/>
      <c r="T61" s="386"/>
    </row>
    <row r="62" spans="2:29">
      <c r="B62" s="359"/>
      <c r="C62" s="359"/>
      <c r="D62" s="359"/>
      <c r="E62" s="316"/>
      <c r="F62" s="359"/>
      <c r="G62" s="359"/>
      <c r="H62" s="359"/>
      <c r="I62" s="316"/>
      <c r="J62" s="359"/>
      <c r="K62" s="359"/>
      <c r="L62" s="359"/>
      <c r="M62" s="316"/>
      <c r="N62" s="359"/>
      <c r="O62" s="359"/>
      <c r="P62" s="359"/>
      <c r="Q62" s="316"/>
      <c r="R62" s="359"/>
      <c r="S62" s="359"/>
      <c r="T62" s="359"/>
    </row>
    <row r="63" spans="2:29">
      <c r="B63" s="359"/>
      <c r="C63" s="359"/>
      <c r="D63" s="359"/>
      <c r="E63" s="316"/>
      <c r="F63" s="359"/>
      <c r="G63" s="359"/>
      <c r="H63" s="359"/>
      <c r="I63" s="316"/>
      <c r="J63" s="359"/>
      <c r="K63" s="359"/>
      <c r="L63" s="359"/>
      <c r="M63" s="316"/>
      <c r="N63" s="359"/>
      <c r="O63" s="359"/>
      <c r="P63" s="359"/>
      <c r="Q63" s="316"/>
      <c r="R63" s="359"/>
      <c r="S63" s="359"/>
      <c r="T63" s="359"/>
    </row>
    <row r="64" spans="2:29" ht="15.75">
      <c r="B64" s="463" t="s">
        <v>827</v>
      </c>
      <c r="C64" s="464"/>
      <c r="D64" s="465"/>
      <c r="E64" s="359"/>
      <c r="F64" s="508"/>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row>
    <row r="65" spans="2:24">
      <c r="B65" s="317"/>
      <c r="C65" s="1190">
        <v>2009</v>
      </c>
      <c r="D65" s="1194"/>
      <c r="E65" s="321"/>
      <c r="F65" s="319"/>
      <c r="G65" s="1192">
        <v>2010</v>
      </c>
      <c r="H65" s="1194"/>
      <c r="I65" s="321"/>
      <c r="J65" s="320"/>
      <c r="K65" s="1190">
        <v>2011</v>
      </c>
      <c r="L65" s="1194"/>
      <c r="M65" s="321"/>
      <c r="N65" s="320"/>
      <c r="O65" s="1190">
        <v>2012</v>
      </c>
      <c r="P65" s="1194"/>
      <c r="Q65" s="321"/>
      <c r="R65" s="319"/>
      <c r="S65" s="1190">
        <v>2013</v>
      </c>
      <c r="T65" s="1194"/>
      <c r="V65" s="319" t="s">
        <v>656</v>
      </c>
      <c r="W65" s="1190" t="s">
        <v>657</v>
      </c>
      <c r="X65" s="1194"/>
    </row>
    <row r="66" spans="2:24">
      <c r="B66" s="325" t="s">
        <v>690</v>
      </c>
      <c r="C66" s="470" t="s">
        <v>632</v>
      </c>
      <c r="D66" s="470" t="s">
        <v>633</v>
      </c>
      <c r="E66" s="324"/>
      <c r="F66" s="752" t="s">
        <v>690</v>
      </c>
      <c r="G66" s="470" t="s">
        <v>632</v>
      </c>
      <c r="H66" s="470" t="s">
        <v>633</v>
      </c>
      <c r="I66" s="324"/>
      <c r="J66" s="325" t="s">
        <v>690</v>
      </c>
      <c r="K66" s="325" t="s">
        <v>632</v>
      </c>
      <c r="L66" s="470" t="s">
        <v>633</v>
      </c>
      <c r="M66" s="324"/>
      <c r="N66" s="325" t="s">
        <v>690</v>
      </c>
      <c r="O66" s="470" t="s">
        <v>632</v>
      </c>
      <c r="P66" s="471" t="s">
        <v>633</v>
      </c>
      <c r="Q66" s="324"/>
      <c r="R66" s="325" t="s">
        <v>690</v>
      </c>
      <c r="S66" s="516" t="s">
        <v>710</v>
      </c>
      <c r="T66" s="517" t="s">
        <v>633</v>
      </c>
      <c r="V66" s="325" t="s">
        <v>690</v>
      </c>
      <c r="W66" s="516" t="s">
        <v>710</v>
      </c>
      <c r="X66" s="517" t="s">
        <v>633</v>
      </c>
    </row>
    <row r="67" spans="2:24">
      <c r="B67" s="504" t="s">
        <v>828</v>
      </c>
      <c r="C67" s="552">
        <v>310</v>
      </c>
      <c r="D67" s="753">
        <v>29519.469354838711</v>
      </c>
      <c r="E67" s="551"/>
      <c r="F67" s="504" t="s">
        <v>829</v>
      </c>
      <c r="G67" s="552">
        <v>296</v>
      </c>
      <c r="H67" s="753">
        <v>25391.567533783782</v>
      </c>
      <c r="I67" s="551"/>
      <c r="J67" s="504" t="s">
        <v>829</v>
      </c>
      <c r="K67" s="549">
        <v>318</v>
      </c>
      <c r="L67" s="754">
        <v>24977.239905660379</v>
      </c>
      <c r="M67" s="551"/>
      <c r="N67" s="755" t="s">
        <v>829</v>
      </c>
      <c r="O67" s="552">
        <v>346</v>
      </c>
      <c r="P67" s="753">
        <v>21566.288030769232</v>
      </c>
      <c r="Q67" s="551"/>
      <c r="R67" s="756" t="s">
        <v>829</v>
      </c>
      <c r="S67" s="552">
        <v>372</v>
      </c>
      <c r="T67" s="757"/>
      <c r="V67" s="756" t="s">
        <v>829</v>
      </c>
      <c r="W67" s="552">
        <f>S67</f>
        <v>372</v>
      </c>
      <c r="X67" s="550">
        <f t="shared" ref="X67:X79" si="2">(P67+L67+H67)/3</f>
        <v>23978.365156737796</v>
      </c>
    </row>
    <row r="68" spans="2:24">
      <c r="B68" s="472" t="s">
        <v>830</v>
      </c>
      <c r="C68" s="556">
        <v>595</v>
      </c>
      <c r="D68" s="758">
        <v>20542.669983193278</v>
      </c>
      <c r="E68" s="551"/>
      <c r="F68" s="472" t="s">
        <v>831</v>
      </c>
      <c r="G68" s="556">
        <v>568</v>
      </c>
      <c r="H68" s="758">
        <v>16767.80228873236</v>
      </c>
      <c r="I68" s="551"/>
      <c r="J68" s="472" t="s">
        <v>831</v>
      </c>
      <c r="K68" s="554">
        <v>611</v>
      </c>
      <c r="L68" s="759">
        <v>15158.598346972183</v>
      </c>
      <c r="M68" s="551"/>
      <c r="N68" s="472" t="s">
        <v>831</v>
      </c>
      <c r="O68" s="556">
        <v>664</v>
      </c>
      <c r="P68" s="758">
        <v>12539.300782747603</v>
      </c>
      <c r="Q68" s="551"/>
      <c r="R68" s="760" t="s">
        <v>831</v>
      </c>
      <c r="S68" s="556">
        <v>717</v>
      </c>
      <c r="T68" s="761"/>
      <c r="V68" s="760" t="s">
        <v>831</v>
      </c>
      <c r="W68" s="556">
        <f t="shared" ref="W68:W79" si="3">S68</f>
        <v>717</v>
      </c>
      <c r="X68" s="555">
        <f t="shared" si="2"/>
        <v>14821.900472817382</v>
      </c>
    </row>
    <row r="69" spans="2:24">
      <c r="B69" s="472" t="s">
        <v>832</v>
      </c>
      <c r="C69" s="556">
        <v>595</v>
      </c>
      <c r="D69" s="758">
        <v>9893.8098319327728</v>
      </c>
      <c r="E69" s="551"/>
      <c r="F69" s="472" t="s">
        <v>832</v>
      </c>
      <c r="G69" s="556">
        <v>568</v>
      </c>
      <c r="H69" s="758">
        <v>7630.1961619718304</v>
      </c>
      <c r="I69" s="551"/>
      <c r="J69" s="472" t="s">
        <v>832</v>
      </c>
      <c r="K69" s="554">
        <v>611</v>
      </c>
      <c r="L69" s="759">
        <v>6661.7567921440259</v>
      </c>
      <c r="M69" s="551"/>
      <c r="N69" s="472" t="s">
        <v>832</v>
      </c>
      <c r="O69" s="556">
        <v>664</v>
      </c>
      <c r="P69" s="758">
        <v>6000.051741214058</v>
      </c>
      <c r="Q69" s="551"/>
      <c r="R69" s="472" t="s">
        <v>832</v>
      </c>
      <c r="S69" s="556">
        <v>717</v>
      </c>
      <c r="T69" s="761"/>
      <c r="V69" s="472" t="s">
        <v>832</v>
      </c>
      <c r="W69" s="556">
        <f t="shared" si="3"/>
        <v>717</v>
      </c>
      <c r="X69" s="555">
        <f t="shared" si="2"/>
        <v>6764.0015651099711</v>
      </c>
    </row>
    <row r="70" spans="2:24">
      <c r="B70" s="472" t="s">
        <v>833</v>
      </c>
      <c r="C70" s="560">
        <v>725</v>
      </c>
      <c r="D70" s="762">
        <v>1411</v>
      </c>
      <c r="E70" s="551"/>
      <c r="F70" s="472" t="s">
        <v>833</v>
      </c>
      <c r="G70" s="560">
        <v>692</v>
      </c>
      <c r="H70" s="762">
        <v>970</v>
      </c>
      <c r="I70" s="551"/>
      <c r="J70" s="472" t="s">
        <v>833</v>
      </c>
      <c r="K70" s="558">
        <v>745</v>
      </c>
      <c r="L70" s="763">
        <v>977.96</v>
      </c>
      <c r="M70" s="551"/>
      <c r="N70" s="472" t="s">
        <v>833</v>
      </c>
      <c r="O70" s="560">
        <v>810</v>
      </c>
      <c r="P70" s="764">
        <v>1041.6901834862385</v>
      </c>
      <c r="Q70" s="551"/>
      <c r="R70" s="472" t="s">
        <v>833</v>
      </c>
      <c r="S70" s="560">
        <v>874</v>
      </c>
      <c r="T70" s="761"/>
      <c r="V70" s="472" t="s">
        <v>833</v>
      </c>
      <c r="W70" s="560">
        <f t="shared" si="3"/>
        <v>874</v>
      </c>
      <c r="X70" s="559">
        <f t="shared" si="2"/>
        <v>996.55006116207949</v>
      </c>
    </row>
    <row r="71" spans="2:24">
      <c r="B71" s="472" t="s">
        <v>834</v>
      </c>
      <c r="C71" s="560">
        <v>725</v>
      </c>
      <c r="D71" s="764">
        <v>483.32758620689657</v>
      </c>
      <c r="E71" s="551"/>
      <c r="F71" s="472" t="s">
        <v>834</v>
      </c>
      <c r="G71" s="560">
        <v>692</v>
      </c>
      <c r="H71" s="764">
        <v>401.86518786127169</v>
      </c>
      <c r="I71" s="551"/>
      <c r="J71" s="472" t="s">
        <v>834</v>
      </c>
      <c r="K71" s="558">
        <v>745</v>
      </c>
      <c r="L71" s="763">
        <v>316.94430872483224</v>
      </c>
      <c r="M71" s="551"/>
      <c r="N71" s="472" t="s">
        <v>834</v>
      </c>
      <c r="O71" s="560">
        <v>810</v>
      </c>
      <c r="P71" s="764">
        <v>346.41022280471822</v>
      </c>
      <c r="Q71" s="551"/>
      <c r="R71" s="472" t="s">
        <v>834</v>
      </c>
      <c r="S71" s="560">
        <v>874</v>
      </c>
      <c r="T71" s="761"/>
      <c r="V71" s="472" t="s">
        <v>834</v>
      </c>
      <c r="W71" s="560">
        <f t="shared" si="3"/>
        <v>874</v>
      </c>
      <c r="X71" s="559">
        <f t="shared" si="2"/>
        <v>355.07323979694075</v>
      </c>
    </row>
    <row r="72" spans="2:24">
      <c r="B72" s="472" t="s">
        <v>695</v>
      </c>
      <c r="C72" s="560">
        <v>865</v>
      </c>
      <c r="D72" s="764">
        <v>569.30375722543351</v>
      </c>
      <c r="E72" s="551"/>
      <c r="F72" s="472" t="s">
        <v>695</v>
      </c>
      <c r="G72" s="560">
        <v>826</v>
      </c>
      <c r="H72" s="764">
        <v>457.86682808716705</v>
      </c>
      <c r="I72" s="551"/>
      <c r="J72" s="472" t="s">
        <v>695</v>
      </c>
      <c r="K72" s="558">
        <v>889</v>
      </c>
      <c r="L72" s="763">
        <v>396.35365579302589</v>
      </c>
      <c r="M72" s="551"/>
      <c r="N72" s="472" t="s">
        <v>695</v>
      </c>
      <c r="O72" s="560">
        <v>967</v>
      </c>
      <c r="P72" s="764">
        <v>375.80790340285398</v>
      </c>
      <c r="Q72" s="551"/>
      <c r="R72" s="472" t="s">
        <v>695</v>
      </c>
      <c r="S72" s="560">
        <v>1044</v>
      </c>
      <c r="T72" s="761"/>
      <c r="V72" s="472" t="s">
        <v>695</v>
      </c>
      <c r="W72" s="560">
        <f t="shared" si="3"/>
        <v>1044</v>
      </c>
      <c r="X72" s="559">
        <f t="shared" si="2"/>
        <v>410.00946242768231</v>
      </c>
    </row>
    <row r="73" spans="2:24">
      <c r="B73" s="472" t="s">
        <v>697</v>
      </c>
      <c r="C73" s="560">
        <v>865</v>
      </c>
      <c r="D73" s="764">
        <v>793.10356069364161</v>
      </c>
      <c r="E73" s="551"/>
      <c r="F73" s="472" t="s">
        <v>697</v>
      </c>
      <c r="G73" s="560">
        <v>826</v>
      </c>
      <c r="H73" s="764">
        <v>564.23934624697335</v>
      </c>
      <c r="I73" s="551"/>
      <c r="J73" s="472" t="s">
        <v>697</v>
      </c>
      <c r="K73" s="558">
        <v>889</v>
      </c>
      <c r="L73" s="763">
        <v>553.24994375703034</v>
      </c>
      <c r="M73" s="551"/>
      <c r="N73" s="472" t="s">
        <v>697</v>
      </c>
      <c r="O73" s="560">
        <v>967</v>
      </c>
      <c r="P73" s="764">
        <v>492.35236004390777</v>
      </c>
      <c r="Q73" s="551"/>
      <c r="R73" s="472" t="s">
        <v>697</v>
      </c>
      <c r="S73" s="560">
        <v>1044</v>
      </c>
      <c r="T73" s="761"/>
      <c r="V73" s="472" t="s">
        <v>697</v>
      </c>
      <c r="W73" s="560">
        <f t="shared" si="3"/>
        <v>1044</v>
      </c>
      <c r="X73" s="559">
        <f t="shared" si="2"/>
        <v>536.61388334930382</v>
      </c>
    </row>
    <row r="74" spans="2:24">
      <c r="B74" s="472" t="s">
        <v>835</v>
      </c>
      <c r="C74" s="563">
        <v>2200</v>
      </c>
      <c r="D74" s="765">
        <v>478.10954545454547</v>
      </c>
      <c r="E74" s="551"/>
      <c r="F74" s="472" t="s">
        <v>835</v>
      </c>
      <c r="G74" s="563">
        <v>2101</v>
      </c>
      <c r="H74" s="765">
        <v>430.24191337458353</v>
      </c>
      <c r="I74" s="551"/>
      <c r="J74" s="472" t="s">
        <v>835</v>
      </c>
      <c r="K74" s="561">
        <v>2263</v>
      </c>
      <c r="L74" s="766">
        <v>412.24843128590362</v>
      </c>
      <c r="M74" s="551"/>
      <c r="N74" s="472" t="s">
        <v>835</v>
      </c>
      <c r="O74" s="563">
        <v>2462</v>
      </c>
      <c r="P74" s="765">
        <v>311.59642087106511</v>
      </c>
      <c r="Q74" s="551"/>
      <c r="R74" s="472" t="s">
        <v>835</v>
      </c>
      <c r="S74" s="563">
        <v>2659</v>
      </c>
      <c r="T74" s="761"/>
      <c r="V74" s="472" t="s">
        <v>835</v>
      </c>
      <c r="W74" s="563">
        <f t="shared" si="3"/>
        <v>2659</v>
      </c>
      <c r="X74" s="562">
        <f t="shared" si="2"/>
        <v>384.69558851051744</v>
      </c>
    </row>
    <row r="75" spans="2:24">
      <c r="B75" s="472" t="s">
        <v>836</v>
      </c>
      <c r="C75" s="563">
        <v>2900</v>
      </c>
      <c r="D75" s="765">
        <v>392.26208620689658</v>
      </c>
      <c r="E75" s="551"/>
      <c r="F75" s="472" t="s">
        <v>836</v>
      </c>
      <c r="G75" s="563">
        <v>2769</v>
      </c>
      <c r="H75" s="765">
        <v>395.44990971469849</v>
      </c>
      <c r="I75" s="551"/>
      <c r="J75" s="472" t="s">
        <v>836</v>
      </c>
      <c r="K75" s="561">
        <v>2982</v>
      </c>
      <c r="L75" s="766">
        <v>363.69694835680752</v>
      </c>
      <c r="M75" s="551"/>
      <c r="N75" s="472" t="s">
        <v>836</v>
      </c>
      <c r="O75" s="563">
        <v>3245</v>
      </c>
      <c r="P75" s="765">
        <v>330.55346858638745</v>
      </c>
      <c r="Q75" s="551"/>
      <c r="R75" s="472" t="s">
        <v>836</v>
      </c>
      <c r="S75" s="563">
        <v>3505</v>
      </c>
      <c r="T75" s="761"/>
      <c r="V75" s="472" t="s">
        <v>836</v>
      </c>
      <c r="W75" s="563">
        <f t="shared" si="3"/>
        <v>3505</v>
      </c>
      <c r="X75" s="562">
        <f t="shared" si="2"/>
        <v>363.23344221929784</v>
      </c>
    </row>
    <row r="76" spans="2:24">
      <c r="B76" s="472" t="s">
        <v>837</v>
      </c>
      <c r="C76" s="563">
        <v>10595</v>
      </c>
      <c r="D76" s="765">
        <v>402.64705332704108</v>
      </c>
      <c r="E76" s="551"/>
      <c r="F76" s="472" t="s">
        <v>837</v>
      </c>
      <c r="G76" s="563">
        <v>10118</v>
      </c>
      <c r="H76" s="765">
        <v>322.55610298477961</v>
      </c>
      <c r="I76" s="551"/>
      <c r="J76" s="472" t="s">
        <v>837</v>
      </c>
      <c r="K76" s="561">
        <v>10899</v>
      </c>
      <c r="L76" s="766">
        <v>227.51512982842465</v>
      </c>
      <c r="M76" s="551"/>
      <c r="N76" s="472" t="s">
        <v>837</v>
      </c>
      <c r="O76" s="563">
        <v>11860</v>
      </c>
      <c r="P76" s="765">
        <v>232.25362545877718</v>
      </c>
      <c r="Q76" s="551"/>
      <c r="R76" s="472" t="s">
        <v>837</v>
      </c>
      <c r="S76" s="563">
        <v>12810</v>
      </c>
      <c r="T76" s="761"/>
      <c r="V76" s="472" t="s">
        <v>837</v>
      </c>
      <c r="W76" s="563">
        <f t="shared" si="3"/>
        <v>12810</v>
      </c>
      <c r="X76" s="562">
        <f t="shared" si="2"/>
        <v>260.77495275732713</v>
      </c>
    </row>
    <row r="77" spans="2:24">
      <c r="B77" s="472" t="s">
        <v>838</v>
      </c>
      <c r="C77" s="566">
        <v>23640</v>
      </c>
      <c r="D77" s="767">
        <v>200.00846023688663</v>
      </c>
      <c r="E77" s="551"/>
      <c r="F77" s="472" t="s">
        <v>839</v>
      </c>
      <c r="G77" s="566">
        <v>22576</v>
      </c>
      <c r="H77" s="767">
        <v>126.91435772501772</v>
      </c>
      <c r="I77" s="551"/>
      <c r="J77" s="472" t="s">
        <v>839</v>
      </c>
      <c r="K77" s="564">
        <v>24318</v>
      </c>
      <c r="L77" s="768">
        <v>96.957751459823996</v>
      </c>
      <c r="M77" s="551"/>
      <c r="N77" s="472" t="s">
        <v>839</v>
      </c>
      <c r="O77" s="566">
        <v>26462</v>
      </c>
      <c r="P77" s="767">
        <v>85.392164894684058</v>
      </c>
      <c r="Q77" s="551"/>
      <c r="R77" s="472" t="s">
        <v>839</v>
      </c>
      <c r="S77" s="566">
        <v>28584</v>
      </c>
      <c r="T77" s="761"/>
      <c r="V77" s="472" t="s">
        <v>839</v>
      </c>
      <c r="W77" s="566">
        <f t="shared" si="3"/>
        <v>28584</v>
      </c>
      <c r="X77" s="565">
        <f t="shared" si="2"/>
        <v>103.08809135984193</v>
      </c>
    </row>
    <row r="78" spans="2:24">
      <c r="B78" s="472" t="s">
        <v>840</v>
      </c>
      <c r="C78" s="566">
        <v>156115</v>
      </c>
      <c r="D78" s="767">
        <v>14.200906447170354</v>
      </c>
      <c r="E78" s="551"/>
      <c r="F78" s="472" t="s">
        <v>840</v>
      </c>
      <c r="G78" s="566">
        <v>149089</v>
      </c>
      <c r="H78" s="767">
        <v>6.1895445002649421</v>
      </c>
      <c r="I78" s="551"/>
      <c r="J78" s="472" t="s">
        <v>840</v>
      </c>
      <c r="K78" s="564">
        <v>160598</v>
      </c>
      <c r="L78" s="768">
        <v>5.7012665163949734</v>
      </c>
      <c r="M78" s="551"/>
      <c r="N78" s="472" t="s">
        <v>840</v>
      </c>
      <c r="O78" s="566">
        <v>174762</v>
      </c>
      <c r="P78" s="767">
        <v>2.9268461594537456</v>
      </c>
      <c r="Q78" s="551"/>
      <c r="R78" s="472" t="s">
        <v>840</v>
      </c>
      <c r="S78" s="566">
        <v>188780</v>
      </c>
      <c r="T78" s="761"/>
      <c r="V78" s="472" t="s">
        <v>840</v>
      </c>
      <c r="W78" s="566">
        <f t="shared" si="3"/>
        <v>188780</v>
      </c>
      <c r="X78" s="565">
        <f t="shared" si="2"/>
        <v>4.9392190587045537</v>
      </c>
    </row>
    <row r="79" spans="2:24">
      <c r="B79" s="472" t="s">
        <v>841</v>
      </c>
      <c r="C79" s="566">
        <v>242815</v>
      </c>
      <c r="D79" s="767">
        <v>3.6882317813973602</v>
      </c>
      <c r="E79" s="551"/>
      <c r="F79" s="344" t="s">
        <v>841</v>
      </c>
      <c r="G79" s="567">
        <v>231888</v>
      </c>
      <c r="H79" s="767">
        <v>0</v>
      </c>
      <c r="I79" s="551"/>
      <c r="J79" s="486" t="s">
        <v>841</v>
      </c>
      <c r="K79" s="564">
        <v>249789</v>
      </c>
      <c r="L79" s="768">
        <v>0</v>
      </c>
      <c r="M79" s="551"/>
      <c r="N79" s="483" t="s">
        <v>841</v>
      </c>
      <c r="O79" s="567">
        <v>271820</v>
      </c>
      <c r="P79" s="767">
        <v>0</v>
      </c>
      <c r="Q79" s="551"/>
      <c r="R79" s="486" t="s">
        <v>841</v>
      </c>
      <c r="S79" s="566">
        <v>293624</v>
      </c>
      <c r="T79" s="569"/>
      <c r="V79" s="486" t="s">
        <v>841</v>
      </c>
      <c r="W79" s="566">
        <f t="shared" si="3"/>
        <v>293624</v>
      </c>
      <c r="X79" s="568">
        <f t="shared" si="2"/>
        <v>0</v>
      </c>
    </row>
    <row r="80" spans="2:24">
      <c r="B80" s="701"/>
      <c r="C80" s="769"/>
      <c r="D80" s="770"/>
      <c r="E80" s="570"/>
      <c r="F80" s="701"/>
      <c r="G80" s="280"/>
      <c r="H80" s="770"/>
      <c r="I80" s="570"/>
      <c r="J80" s="526"/>
      <c r="K80" s="769"/>
      <c r="L80" s="770"/>
      <c r="M80" s="570"/>
      <c r="N80" s="571"/>
      <c r="O80" s="769"/>
      <c r="P80" s="770"/>
      <c r="Q80" s="570"/>
      <c r="R80" s="571"/>
      <c r="S80" s="771"/>
      <c r="T80" s="572"/>
      <c r="U80" s="209"/>
      <c r="V80" s="571"/>
      <c r="W80" s="771"/>
      <c r="X80" s="118"/>
    </row>
    <row r="81" spans="2:24">
      <c r="B81" s="526"/>
      <c r="C81" s="280"/>
      <c r="D81" s="570"/>
      <c r="E81" s="570"/>
      <c r="F81" s="526"/>
      <c r="G81" s="280"/>
      <c r="H81" s="570"/>
      <c r="I81" s="570"/>
      <c r="J81" s="526"/>
      <c r="K81" s="280"/>
      <c r="L81" s="570"/>
      <c r="M81" s="570"/>
      <c r="N81" s="571"/>
      <c r="O81" s="280"/>
      <c r="P81" s="570"/>
      <c r="Q81" s="570"/>
      <c r="R81" s="571"/>
      <c r="S81" s="536"/>
      <c r="T81" s="572"/>
      <c r="U81" s="209"/>
      <c r="V81" s="571"/>
      <c r="W81" s="536"/>
      <c r="X81" s="118"/>
    </row>
    <row r="82" spans="2:24">
      <c r="B82" s="526"/>
      <c r="C82" s="280"/>
      <c r="D82" s="570"/>
      <c r="E82" s="570"/>
      <c r="F82" s="526"/>
      <c r="G82" s="280"/>
      <c r="H82" s="570"/>
      <c r="I82" s="570"/>
      <c r="J82" s="526"/>
      <c r="K82" s="280"/>
      <c r="L82" s="570"/>
      <c r="M82" s="570"/>
      <c r="N82" s="571"/>
      <c r="O82" s="280"/>
      <c r="P82" s="570"/>
      <c r="Q82" s="570"/>
      <c r="R82" s="571"/>
      <c r="S82" s="536"/>
      <c r="T82" s="572"/>
      <c r="U82" s="209"/>
      <c r="V82" s="571"/>
      <c r="W82" s="536"/>
      <c r="X82" s="118"/>
    </row>
    <row r="83" spans="2:24">
      <c r="B83" s="390"/>
      <c r="C83" s="488"/>
      <c r="D83" s="390"/>
      <c r="E83" s="390"/>
      <c r="F83" s="489"/>
      <c r="G83" s="488"/>
      <c r="H83" s="390"/>
      <c r="I83" s="390"/>
      <c r="J83" s="390"/>
      <c r="K83" s="488"/>
      <c r="L83" s="390"/>
      <c r="M83" s="390"/>
      <c r="N83" s="573"/>
      <c r="O83" s="280"/>
      <c r="P83" s="570"/>
      <c r="Q83" s="570"/>
      <c r="R83" s="574"/>
      <c r="S83" s="536"/>
      <c r="T83" s="574"/>
      <c r="U83" s="209"/>
      <c r="V83" s="574"/>
      <c r="W83" s="536"/>
      <c r="X83" s="401"/>
    </row>
    <row r="84" spans="2:24">
      <c r="B84" s="390"/>
      <c r="C84" s="488"/>
      <c r="D84" s="390"/>
      <c r="E84" s="390"/>
      <c r="F84" s="489"/>
      <c r="G84" s="488"/>
      <c r="H84" s="390"/>
      <c r="I84" s="390"/>
      <c r="J84" s="390"/>
      <c r="K84" s="488"/>
      <c r="L84" s="390"/>
      <c r="M84" s="390"/>
      <c r="N84" s="390"/>
      <c r="O84" s="488"/>
      <c r="P84" s="390"/>
      <c r="Q84" s="390"/>
      <c r="R84" s="390"/>
      <c r="S84" s="488"/>
      <c r="T84" s="390"/>
      <c r="V84" s="390"/>
      <c r="W84" s="488"/>
      <c r="X84" s="490"/>
    </row>
    <row r="85" spans="2:24">
      <c r="B85" s="383" t="s">
        <v>680</v>
      </c>
      <c r="C85" s="491">
        <f>SUMPRODUCT(C67:C79,D67:D79)</f>
        <v>44108789.909999996</v>
      </c>
      <c r="D85" s="422"/>
      <c r="E85" s="386"/>
      <c r="F85" s="492" t="s">
        <v>680</v>
      </c>
      <c r="G85" s="491">
        <f>SUMPRODUCT(G67:G79,H67:H79)</f>
        <v>32218130.769999977</v>
      </c>
      <c r="H85" s="422"/>
      <c r="I85" s="386"/>
      <c r="J85" s="383" t="s">
        <v>680</v>
      </c>
      <c r="K85" s="491">
        <f>SUMPRODUCT(K67:K79,L67:L79)</f>
        <v>30854481.090000004</v>
      </c>
      <c r="L85" s="422"/>
      <c r="M85" s="386"/>
      <c r="N85" s="383" t="s">
        <v>680</v>
      </c>
      <c r="O85" s="491">
        <f>SUMPRODUCT(O67:O79,P67:P79)</f>
        <v>29101411.386055462</v>
      </c>
      <c r="P85" s="422"/>
      <c r="Q85" s="386"/>
      <c r="R85" s="383" t="s">
        <v>680</v>
      </c>
      <c r="S85" s="491">
        <f>SUMPRODUCT(S67:S82,T67:T82)</f>
        <v>0</v>
      </c>
      <c r="T85" s="422"/>
      <c r="V85" s="383" t="s">
        <v>680</v>
      </c>
      <c r="W85" s="491">
        <f>SUMPRODUCT(W67:W79,X67:X79)</f>
        <v>36082298.844511159</v>
      </c>
      <c r="X85" s="424"/>
    </row>
    <row r="86" spans="2:24">
      <c r="B86" s="390"/>
      <c r="C86" s="269"/>
      <c r="D86" s="386"/>
      <c r="E86" s="386"/>
      <c r="F86" s="489"/>
      <c r="G86" s="493"/>
      <c r="H86" s="386"/>
      <c r="I86" s="386"/>
      <c r="J86" s="390"/>
      <c r="K86" s="269"/>
      <c r="L86" s="386"/>
      <c r="M86" s="386"/>
      <c r="N86" s="390"/>
      <c r="O86" s="269"/>
      <c r="P86" s="386"/>
      <c r="Q86" s="386"/>
      <c r="R86" s="359"/>
      <c r="S86" s="359"/>
      <c r="T86" s="465"/>
      <c r="V86" s="390"/>
      <c r="W86" s="269"/>
      <c r="X86" s="391"/>
    </row>
    <row r="87" spans="2:24" ht="22.5">
      <c r="B87" s="494" t="s">
        <v>704</v>
      </c>
      <c r="C87" s="495" t="s">
        <v>682</v>
      </c>
      <c r="D87" s="433" t="s">
        <v>683</v>
      </c>
      <c r="E87" s="434"/>
      <c r="F87" s="494" t="s">
        <v>705</v>
      </c>
      <c r="G87" s="393" t="s">
        <v>682</v>
      </c>
      <c r="H87" s="496" t="s">
        <v>683</v>
      </c>
      <c r="I87" s="434"/>
      <c r="J87" s="494" t="s">
        <v>705</v>
      </c>
      <c r="K87" s="393" t="s">
        <v>682</v>
      </c>
      <c r="L87" s="496" t="s">
        <v>683</v>
      </c>
      <c r="M87" s="434"/>
      <c r="N87" s="494" t="s">
        <v>705</v>
      </c>
      <c r="O87" s="393" t="s">
        <v>682</v>
      </c>
      <c r="P87" s="496" t="s">
        <v>683</v>
      </c>
      <c r="Q87" s="434"/>
      <c r="R87" s="359"/>
      <c r="S87" s="359"/>
      <c r="T87" s="465"/>
      <c r="V87" s="579" t="s">
        <v>705</v>
      </c>
      <c r="W87" s="393" t="s">
        <v>682</v>
      </c>
      <c r="X87" s="497" t="s">
        <v>683</v>
      </c>
    </row>
    <row r="88" spans="2:24" s="359" customFormat="1" ht="11.25">
      <c r="B88" s="438" t="s">
        <v>251</v>
      </c>
      <c r="C88" s="249">
        <f>C67</f>
        <v>310</v>
      </c>
      <c r="D88" s="498">
        <f>D67</f>
        <v>29519.469354838711</v>
      </c>
      <c r="E88" s="443"/>
      <c r="F88" s="438" t="s">
        <v>251</v>
      </c>
      <c r="G88" s="249">
        <f>G67</f>
        <v>296</v>
      </c>
      <c r="H88" s="498">
        <f>H67</f>
        <v>25391.567533783782</v>
      </c>
      <c r="I88" s="443"/>
      <c r="J88" s="438" t="s">
        <v>251</v>
      </c>
      <c r="K88" s="249">
        <f>K67</f>
        <v>318</v>
      </c>
      <c r="L88" s="498">
        <f>L67</f>
        <v>24977.239905660379</v>
      </c>
      <c r="M88" s="443"/>
      <c r="N88" s="438" t="s">
        <v>251</v>
      </c>
      <c r="O88" s="249">
        <f>O67</f>
        <v>346</v>
      </c>
      <c r="P88" s="498">
        <f>P67</f>
        <v>21566.288030769232</v>
      </c>
      <c r="Q88" s="443"/>
      <c r="T88" s="465"/>
      <c r="V88" s="580" t="s">
        <v>251</v>
      </c>
      <c r="W88" s="581">
        <f>W67</f>
        <v>372</v>
      </c>
      <c r="X88" s="250">
        <f>X67</f>
        <v>23978.365156737796</v>
      </c>
    </row>
    <row r="89" spans="2:24" s="359" customFormat="1" ht="11.25">
      <c r="B89" s="438" t="s">
        <v>252</v>
      </c>
      <c r="C89" s="252">
        <f>SUMPRODUCT(C68:C69,D68:D69)/SUM(D68:D69)</f>
        <v>595</v>
      </c>
      <c r="D89" s="442">
        <f>SUM(D68:D69)</f>
        <v>30436.479815126051</v>
      </c>
      <c r="E89" s="443"/>
      <c r="F89" s="438" t="s">
        <v>252</v>
      </c>
      <c r="G89" s="252">
        <f>SUMPRODUCT(G68:G69,H68:H69)/SUM(H68:H69)</f>
        <v>568</v>
      </c>
      <c r="H89" s="442">
        <f>SUM(H68:H69)</f>
        <v>24397.998450704192</v>
      </c>
      <c r="I89" s="443"/>
      <c r="J89" s="438" t="s">
        <v>252</v>
      </c>
      <c r="K89" s="252">
        <f>SUMPRODUCT(K68:K69,L68:L69)/SUM(L68:L69)</f>
        <v>611</v>
      </c>
      <c r="L89" s="442">
        <f>SUM(L68:L69)</f>
        <v>21820.355139116211</v>
      </c>
      <c r="M89" s="443"/>
      <c r="N89" s="438" t="s">
        <v>252</v>
      </c>
      <c r="O89" s="252">
        <f>SUMPRODUCT(O68:O69,P68:P69)/SUM(P68:P69)</f>
        <v>664</v>
      </c>
      <c r="P89" s="442">
        <f>SUM(P68:P69)</f>
        <v>18539.352523961661</v>
      </c>
      <c r="Q89" s="443"/>
      <c r="T89" s="465"/>
      <c r="V89" s="441" t="s">
        <v>252</v>
      </c>
      <c r="W89" s="582">
        <f>SUMPRODUCT(W68:W69,X68:X69)/SUM(X68:X69)</f>
        <v>717</v>
      </c>
      <c r="X89" s="253">
        <f>SUM(X68:X69)</f>
        <v>21585.902037927353</v>
      </c>
    </row>
    <row r="90" spans="2:24" s="359" customFormat="1" ht="11.25">
      <c r="B90" s="438" t="s">
        <v>253</v>
      </c>
      <c r="C90" s="254">
        <f>SUMPRODUCT(C70:C73,D70:D73)/SUM(D70:D73)</f>
        <v>783.56694822382531</v>
      </c>
      <c r="D90" s="444">
        <f>SUM(D70:D73)</f>
        <v>3256.7349041259718</v>
      </c>
      <c r="E90" s="443"/>
      <c r="F90" s="438" t="s">
        <v>253</v>
      </c>
      <c r="G90" s="254">
        <f>SUMPRODUCT(G70:G73,H70:H73)/SUM(H70:H73)</f>
        <v>749.21130566707029</v>
      </c>
      <c r="H90" s="444">
        <f>SUM(H70:H73)</f>
        <v>2393.9713621954124</v>
      </c>
      <c r="I90" s="443"/>
      <c r="J90" s="438" t="s">
        <v>253</v>
      </c>
      <c r="K90" s="254">
        <f>SUMPRODUCT(K70:K73,L70:L73)/SUM(L70:L73)</f>
        <v>805.92333995842671</v>
      </c>
      <c r="L90" s="444">
        <f>SUM(L70:L73)</f>
        <v>2244.5079082748885</v>
      </c>
      <c r="M90" s="443"/>
      <c r="N90" s="438" t="s">
        <v>253</v>
      </c>
      <c r="O90" s="254">
        <f>SUMPRODUCT(O70:O73,P70:P73)/SUM(P70:P73)</f>
        <v>870.41020135186159</v>
      </c>
      <c r="P90" s="444">
        <f>SUM(P70:P73)</f>
        <v>2256.2606697377187</v>
      </c>
      <c r="Q90" s="443"/>
      <c r="T90" s="465"/>
      <c r="V90" s="441" t="s">
        <v>253</v>
      </c>
      <c r="W90" s="583">
        <f>SUMPRODUCT(W70:W73,X70:X73)/SUM(X70:X73)</f>
        <v>944.02119159431209</v>
      </c>
      <c r="X90" s="255">
        <f>SUM(X70:X73)</f>
        <v>2298.2466467360064</v>
      </c>
    </row>
    <row r="91" spans="2:24" s="359" customFormat="1" ht="11.25">
      <c r="B91" s="438" t="s">
        <v>255</v>
      </c>
      <c r="C91" s="256">
        <f>SUMPRODUCT(C74:C76,D74:D76)/SUM(D74:D76)</f>
        <v>5070.9755136535186</v>
      </c>
      <c r="D91" s="445">
        <f>SUM(D74:D76)</f>
        <v>1273.0186849884831</v>
      </c>
      <c r="E91" s="443"/>
      <c r="F91" s="438" t="s">
        <v>255</v>
      </c>
      <c r="G91" s="256">
        <f>SUMPRODUCT(G74:G76,H74:H76)/SUM(H74:H76)</f>
        <v>4583.1232005731199</v>
      </c>
      <c r="H91" s="445">
        <f>SUM(H74:H76)</f>
        <v>1148.2479260740615</v>
      </c>
      <c r="I91" s="443"/>
      <c r="J91" s="438" t="s">
        <v>255</v>
      </c>
      <c r="K91" s="256">
        <f>SUMPRODUCT(K74:K76,L74:L76)/SUM(L74:L76)</f>
        <v>4481.641138394355</v>
      </c>
      <c r="L91" s="445">
        <f>SUM(L74:L76)</f>
        <v>1003.4605094711358</v>
      </c>
      <c r="M91" s="443"/>
      <c r="N91" s="438" t="s">
        <v>255</v>
      </c>
      <c r="O91" s="256">
        <f>SUMPRODUCT(O74:O76,P74:P76)/SUM(P74:P76)</f>
        <v>5254.2382473481202</v>
      </c>
      <c r="P91" s="445">
        <f>SUM(P74:P76)</f>
        <v>874.40351491622971</v>
      </c>
      <c r="Q91" s="443"/>
      <c r="T91" s="465"/>
      <c r="V91" s="441" t="s">
        <v>255</v>
      </c>
      <c r="W91" s="584">
        <f>SUMPRODUCT(W74:W76,X74:X76)/SUM(X74:X76)</f>
        <v>5587.9286905991612</v>
      </c>
      <c r="X91" s="257">
        <f>SUM(X74:X76)</f>
        <v>1008.7039834871424</v>
      </c>
    </row>
    <row r="92" spans="2:24" s="359" customFormat="1" ht="11.25">
      <c r="B92" s="438" t="s">
        <v>254</v>
      </c>
      <c r="C92" s="258">
        <f>SUMPRODUCT(C77:C79,D77:D79)/SUM(D77:D79)</f>
        <v>35983.565515262329</v>
      </c>
      <c r="D92" s="499">
        <f>SUM(D77:D79)</f>
        <v>217.89759846545434</v>
      </c>
      <c r="E92" s="443"/>
      <c r="F92" s="447" t="s">
        <v>254</v>
      </c>
      <c r="G92" s="267">
        <f>SUMPRODUCT(G77:G79,H77:H79)/SUM(H77:H79)</f>
        <v>28459.056997357355</v>
      </c>
      <c r="H92" s="499">
        <f>SUM(H77:H79)</f>
        <v>133.10390222528267</v>
      </c>
      <c r="I92" s="443"/>
      <c r="J92" s="438" t="s">
        <v>254</v>
      </c>
      <c r="K92" s="258">
        <f>SUMPRODUCT(K77:K79,L77:L79)/SUM(L77:L79)</f>
        <v>31886.439832867803</v>
      </c>
      <c r="L92" s="499">
        <f>SUM(L77:L79)</f>
        <v>102.65901797621896</v>
      </c>
      <c r="M92" s="443"/>
      <c r="N92" s="438" t="s">
        <v>254</v>
      </c>
      <c r="O92" s="258">
        <f>SUMPRODUCT(O77:O79,P77:P79)/SUM(P77:P79)</f>
        <v>31376.584983078283</v>
      </c>
      <c r="P92" s="499">
        <f>SUM(P77:P79)</f>
        <v>88.319011054137803</v>
      </c>
      <c r="Q92" s="443"/>
      <c r="T92" s="465"/>
      <c r="V92" s="449" t="s">
        <v>254</v>
      </c>
      <c r="W92" s="585">
        <f>SUMPRODUCT(W77:W79,X77:X79)/SUM(X77:X79)</f>
        <v>35908.473165744872</v>
      </c>
      <c r="X92" s="268">
        <f>SUM(X77:X79)</f>
        <v>108.02731041854648</v>
      </c>
    </row>
    <row r="93" spans="2:24">
      <c r="B93" s="450" t="s">
        <v>680</v>
      </c>
      <c r="C93" s="451">
        <f>SUMPRODUCT(C88:C92,D88:D92)</f>
        <v>44108789.909999996</v>
      </c>
      <c r="D93" s="452"/>
      <c r="E93" s="443"/>
      <c r="F93" s="450" t="s">
        <v>680</v>
      </c>
      <c r="G93" s="451">
        <f>SUMPRODUCT(G88:G92,H88:H92)</f>
        <v>32218130.769999981</v>
      </c>
      <c r="H93" s="452"/>
      <c r="I93" s="443"/>
      <c r="J93" s="450" t="s">
        <v>680</v>
      </c>
      <c r="K93" s="451">
        <f>SUMPRODUCT(K88:K92,L88:L92)</f>
        <v>30854481.090000004</v>
      </c>
      <c r="L93" s="452"/>
      <c r="M93" s="443"/>
      <c r="N93" s="450" t="s">
        <v>680</v>
      </c>
      <c r="O93" s="451">
        <f>SUMPRODUCT(O88:O92,P88:P92)</f>
        <v>29101411.386055462</v>
      </c>
      <c r="P93" s="452"/>
      <c r="Q93" s="443"/>
      <c r="R93" s="359"/>
      <c r="S93" s="359"/>
      <c r="T93" s="465"/>
      <c r="V93" s="586" t="s">
        <v>680</v>
      </c>
      <c r="W93" s="451">
        <f>SUMPRODUCT(W88:W92,X88:X92)</f>
        <v>36082298.844511166</v>
      </c>
      <c r="X93" s="454"/>
    </row>
    <row r="94" spans="2:24">
      <c r="B94" s="390"/>
      <c r="C94" s="500"/>
      <c r="D94" s="386"/>
      <c r="E94" s="386"/>
      <c r="F94" s="489"/>
      <c r="G94" s="455"/>
      <c r="H94" s="386"/>
      <c r="I94" s="386"/>
      <c r="J94" s="390"/>
      <c r="K94" s="455"/>
      <c r="L94" s="386"/>
      <c r="M94" s="386"/>
      <c r="N94" s="390"/>
      <c r="O94" s="455"/>
      <c r="P94" s="386"/>
      <c r="Q94" s="386"/>
      <c r="R94" s="359"/>
      <c r="S94" s="359"/>
      <c r="T94" s="465"/>
      <c r="V94" s="390"/>
      <c r="W94" s="455"/>
      <c r="X94" s="391"/>
    </row>
    <row r="95" spans="2:24">
      <c r="B95" s="501" t="s">
        <v>706</v>
      </c>
      <c r="C95" s="393" t="s">
        <v>682</v>
      </c>
      <c r="D95" s="502" t="s">
        <v>683</v>
      </c>
      <c r="E95" s="503"/>
      <c r="F95" s="501" t="s">
        <v>706</v>
      </c>
      <c r="G95" s="393" t="s">
        <v>682</v>
      </c>
      <c r="H95" s="496" t="s">
        <v>683</v>
      </c>
      <c r="I95" s="503"/>
      <c r="J95" s="501" t="s">
        <v>706</v>
      </c>
      <c r="K95" s="393" t="s">
        <v>682</v>
      </c>
      <c r="L95" s="496" t="s">
        <v>683</v>
      </c>
      <c r="M95" s="503"/>
      <c r="N95" s="501" t="s">
        <v>706</v>
      </c>
      <c r="O95" s="393" t="s">
        <v>682</v>
      </c>
      <c r="P95" s="502" t="s">
        <v>683</v>
      </c>
      <c r="Q95" s="503"/>
      <c r="R95" s="587" t="s">
        <v>706</v>
      </c>
      <c r="S95" s="393" t="s">
        <v>682</v>
      </c>
      <c r="T95" s="502" t="s">
        <v>683</v>
      </c>
      <c r="V95" s="587" t="s">
        <v>706</v>
      </c>
      <c r="W95" s="393" t="s">
        <v>682</v>
      </c>
      <c r="X95" s="397" t="s">
        <v>683</v>
      </c>
    </row>
    <row r="96" spans="2:24">
      <c r="B96" s="772" t="s">
        <v>828</v>
      </c>
      <c r="C96" s="549">
        <v>15</v>
      </c>
      <c r="D96" s="754">
        <v>44844.573333333334</v>
      </c>
      <c r="E96" s="551"/>
      <c r="F96" s="472" t="s">
        <v>829</v>
      </c>
      <c r="G96" s="549">
        <v>14</v>
      </c>
      <c r="H96" s="754">
        <v>28214.471428571425</v>
      </c>
      <c r="I96" s="551"/>
      <c r="J96" s="472" t="s">
        <v>829</v>
      </c>
      <c r="K96" s="549">
        <v>15</v>
      </c>
      <c r="L96" s="754">
        <v>18536.96</v>
      </c>
      <c r="M96" s="551"/>
      <c r="N96" s="755" t="s">
        <v>829</v>
      </c>
      <c r="O96" s="552">
        <v>16.3</v>
      </c>
      <c r="P96" s="754">
        <v>8189.8169934640573</v>
      </c>
      <c r="Q96" s="551"/>
      <c r="R96" s="773" t="s">
        <v>829</v>
      </c>
      <c r="S96" s="589">
        <v>17.5</v>
      </c>
      <c r="T96" s="553"/>
      <c r="V96" s="773" t="s">
        <v>829</v>
      </c>
      <c r="W96" s="589">
        <f>S96</f>
        <v>17.5</v>
      </c>
      <c r="X96" s="550">
        <f t="shared" ref="X96:X108" si="4">(P96+L96+H96)/3</f>
        <v>18313.749474011827</v>
      </c>
    </row>
    <row r="97" spans="2:24">
      <c r="B97" s="772" t="s">
        <v>830</v>
      </c>
      <c r="C97" s="554">
        <v>17</v>
      </c>
      <c r="D97" s="759">
        <v>90185.23529411765</v>
      </c>
      <c r="E97" s="551"/>
      <c r="F97" s="472" t="s">
        <v>831</v>
      </c>
      <c r="G97" s="554">
        <v>16</v>
      </c>
      <c r="H97" s="759">
        <v>103878.09375</v>
      </c>
      <c r="I97" s="551"/>
      <c r="J97" s="472" t="s">
        <v>831</v>
      </c>
      <c r="K97" s="554">
        <v>17</v>
      </c>
      <c r="L97" s="759">
        <v>45853.597058823529</v>
      </c>
      <c r="M97" s="551"/>
      <c r="N97" s="472" t="s">
        <v>831</v>
      </c>
      <c r="O97" s="556">
        <v>18.399999999999999</v>
      </c>
      <c r="P97" s="759">
        <v>59235.298850574734</v>
      </c>
      <c r="Q97" s="551"/>
      <c r="R97" s="344" t="s">
        <v>831</v>
      </c>
      <c r="S97" s="590">
        <v>19.899999999999999</v>
      </c>
      <c r="T97" s="557"/>
      <c r="V97" s="344" t="s">
        <v>831</v>
      </c>
      <c r="W97" s="590">
        <f t="shared" ref="W97:W107" si="5">S97</f>
        <v>19.899999999999999</v>
      </c>
      <c r="X97" s="555">
        <f t="shared" si="4"/>
        <v>69655.663219799419</v>
      </c>
    </row>
    <row r="98" spans="2:24">
      <c r="B98" s="772" t="s">
        <v>832</v>
      </c>
      <c r="C98" s="554">
        <v>17</v>
      </c>
      <c r="D98" s="759">
        <v>0</v>
      </c>
      <c r="E98" s="551"/>
      <c r="F98" s="472" t="s">
        <v>832</v>
      </c>
      <c r="G98" s="554">
        <v>16</v>
      </c>
      <c r="H98" s="759">
        <v>0</v>
      </c>
      <c r="I98" s="551"/>
      <c r="J98" s="472" t="s">
        <v>832</v>
      </c>
      <c r="K98" s="554">
        <v>17</v>
      </c>
      <c r="L98" s="759">
        <v>0</v>
      </c>
      <c r="M98" s="551"/>
      <c r="N98" s="472" t="s">
        <v>832</v>
      </c>
      <c r="O98" s="556">
        <v>18.399999999999999</v>
      </c>
      <c r="P98" s="759">
        <v>0</v>
      </c>
      <c r="Q98" s="551"/>
      <c r="R98" s="344" t="s">
        <v>832</v>
      </c>
      <c r="S98" s="590">
        <v>19.899999999999999</v>
      </c>
      <c r="T98" s="557"/>
      <c r="V98" s="344" t="s">
        <v>832</v>
      </c>
      <c r="W98" s="590">
        <f t="shared" si="5"/>
        <v>19.899999999999999</v>
      </c>
      <c r="X98" s="555">
        <f t="shared" si="4"/>
        <v>0</v>
      </c>
    </row>
    <row r="99" spans="2:24">
      <c r="B99" s="772" t="s">
        <v>833</v>
      </c>
      <c r="C99" s="558">
        <v>17</v>
      </c>
      <c r="D99" s="763">
        <v>0</v>
      </c>
      <c r="E99" s="551"/>
      <c r="F99" s="472" t="s">
        <v>833</v>
      </c>
      <c r="G99" s="558">
        <v>16</v>
      </c>
      <c r="H99" s="763">
        <v>0</v>
      </c>
      <c r="I99" s="551"/>
      <c r="J99" s="472" t="s">
        <v>833</v>
      </c>
      <c r="K99" s="558">
        <v>17</v>
      </c>
      <c r="L99" s="763">
        <v>0</v>
      </c>
      <c r="M99" s="551"/>
      <c r="N99" s="472" t="s">
        <v>833</v>
      </c>
      <c r="O99" s="560">
        <v>18.399999999999999</v>
      </c>
      <c r="P99" s="763">
        <v>0</v>
      </c>
      <c r="Q99" s="551"/>
      <c r="R99" s="344" t="s">
        <v>833</v>
      </c>
      <c r="S99" s="591">
        <v>19.899999999999999</v>
      </c>
      <c r="T99" s="557"/>
      <c r="V99" s="344" t="s">
        <v>833</v>
      </c>
      <c r="W99" s="591">
        <f t="shared" si="5"/>
        <v>19.899999999999999</v>
      </c>
      <c r="X99" s="559">
        <f t="shared" si="4"/>
        <v>0</v>
      </c>
    </row>
    <row r="100" spans="2:24">
      <c r="B100" s="772" t="s">
        <v>834</v>
      </c>
      <c r="C100" s="558">
        <v>17</v>
      </c>
      <c r="D100" s="763">
        <v>0</v>
      </c>
      <c r="E100" s="551"/>
      <c r="F100" s="472" t="s">
        <v>834</v>
      </c>
      <c r="G100" s="558">
        <v>16</v>
      </c>
      <c r="H100" s="763">
        <v>195</v>
      </c>
      <c r="I100" s="551"/>
      <c r="J100" s="472" t="s">
        <v>834</v>
      </c>
      <c r="K100" s="558">
        <v>17</v>
      </c>
      <c r="L100" s="763">
        <v>0</v>
      </c>
      <c r="M100" s="551"/>
      <c r="N100" s="472" t="s">
        <v>834</v>
      </c>
      <c r="O100" s="560">
        <v>18.399999999999999</v>
      </c>
      <c r="P100" s="763">
        <v>0</v>
      </c>
      <c r="Q100" s="551"/>
      <c r="R100" s="344" t="s">
        <v>834</v>
      </c>
      <c r="S100" s="591">
        <v>19.899999999999999</v>
      </c>
      <c r="T100" s="557"/>
      <c r="V100" s="344" t="s">
        <v>834</v>
      </c>
      <c r="W100" s="591">
        <f t="shared" si="5"/>
        <v>19.899999999999999</v>
      </c>
      <c r="X100" s="559">
        <f t="shared" si="4"/>
        <v>65</v>
      </c>
    </row>
    <row r="101" spans="2:24">
      <c r="B101" s="772" t="s">
        <v>695</v>
      </c>
      <c r="C101" s="558">
        <v>22</v>
      </c>
      <c r="D101" s="763">
        <v>39048.409090909088</v>
      </c>
      <c r="E101" s="551"/>
      <c r="F101" s="472" t="s">
        <v>695</v>
      </c>
      <c r="G101" s="558">
        <v>21</v>
      </c>
      <c r="H101" s="763">
        <v>0</v>
      </c>
      <c r="I101" s="551"/>
      <c r="J101" s="472" t="s">
        <v>695</v>
      </c>
      <c r="K101" s="558">
        <v>22</v>
      </c>
      <c r="L101" s="763">
        <v>25267.516818181819</v>
      </c>
      <c r="M101" s="551"/>
      <c r="N101" s="472" t="s">
        <v>695</v>
      </c>
      <c r="O101" s="560">
        <v>23.9</v>
      </c>
      <c r="P101" s="763">
        <v>22155.831111111111</v>
      </c>
      <c r="Q101" s="551"/>
      <c r="R101" s="344" t="s">
        <v>695</v>
      </c>
      <c r="S101" s="591">
        <v>25.8</v>
      </c>
      <c r="T101" s="557"/>
      <c r="V101" s="344" t="s">
        <v>695</v>
      </c>
      <c r="W101" s="591">
        <f t="shared" si="5"/>
        <v>25.8</v>
      </c>
      <c r="X101" s="559">
        <f t="shared" si="4"/>
        <v>15807.782643097642</v>
      </c>
    </row>
    <row r="102" spans="2:24">
      <c r="B102" s="772" t="s">
        <v>697</v>
      </c>
      <c r="C102" s="558">
        <v>22</v>
      </c>
      <c r="D102" s="763">
        <v>0</v>
      </c>
      <c r="E102" s="551"/>
      <c r="F102" s="472" t="s">
        <v>697</v>
      </c>
      <c r="G102" s="558">
        <v>21</v>
      </c>
      <c r="H102" s="763">
        <v>27690.857142857141</v>
      </c>
      <c r="I102" s="551"/>
      <c r="J102" s="472" t="s">
        <v>697</v>
      </c>
      <c r="K102" s="558">
        <v>22</v>
      </c>
      <c r="L102" s="763">
        <v>30012.31818181818</v>
      </c>
      <c r="M102" s="551"/>
      <c r="N102" s="472" t="s">
        <v>697</v>
      </c>
      <c r="O102" s="560">
        <v>23.9</v>
      </c>
      <c r="P102" s="763">
        <v>9115.1111111111113</v>
      </c>
      <c r="Q102" s="551"/>
      <c r="R102" s="344" t="s">
        <v>697</v>
      </c>
      <c r="S102" s="591">
        <v>25.8</v>
      </c>
      <c r="T102" s="557"/>
      <c r="V102" s="344" t="s">
        <v>697</v>
      </c>
      <c r="W102" s="591">
        <f t="shared" si="5"/>
        <v>25.8</v>
      </c>
      <c r="X102" s="559">
        <f t="shared" si="4"/>
        <v>22272.762145262142</v>
      </c>
    </row>
    <row r="103" spans="2:24">
      <c r="B103" s="772" t="s">
        <v>835</v>
      </c>
      <c r="C103" s="561">
        <v>28</v>
      </c>
      <c r="D103" s="766">
        <v>142120</v>
      </c>
      <c r="E103" s="551"/>
      <c r="F103" s="472" t="s">
        <v>835</v>
      </c>
      <c r="G103" s="561">
        <v>26</v>
      </c>
      <c r="H103" s="766">
        <v>139750.5830769231</v>
      </c>
      <c r="I103" s="551"/>
      <c r="J103" s="472" t="s">
        <v>835</v>
      </c>
      <c r="K103" s="561">
        <v>28</v>
      </c>
      <c r="L103" s="766">
        <v>0</v>
      </c>
      <c r="M103" s="551"/>
      <c r="N103" s="472" t="s">
        <v>835</v>
      </c>
      <c r="O103" s="563">
        <v>30.4</v>
      </c>
      <c r="P103" s="766">
        <v>0</v>
      </c>
      <c r="Q103" s="551"/>
      <c r="R103" s="344" t="s">
        <v>835</v>
      </c>
      <c r="S103" s="592">
        <v>32.799999999999997</v>
      </c>
      <c r="T103" s="557"/>
      <c r="V103" s="344" t="s">
        <v>835</v>
      </c>
      <c r="W103" s="592">
        <f t="shared" si="5"/>
        <v>32.799999999999997</v>
      </c>
      <c r="X103" s="562">
        <f t="shared" si="4"/>
        <v>46583.527692307696</v>
      </c>
    </row>
    <row r="104" spans="2:24">
      <c r="B104" s="772" t="s">
        <v>836</v>
      </c>
      <c r="C104" s="561">
        <v>28</v>
      </c>
      <c r="D104" s="766">
        <v>0</v>
      </c>
      <c r="E104" s="551"/>
      <c r="F104" s="472" t="s">
        <v>836</v>
      </c>
      <c r="G104" s="561">
        <v>26</v>
      </c>
      <c r="H104" s="766">
        <v>20</v>
      </c>
      <c r="I104" s="551"/>
      <c r="J104" s="472" t="s">
        <v>836</v>
      </c>
      <c r="K104" s="561">
        <v>28</v>
      </c>
      <c r="L104" s="766">
        <v>122320.32678571429</v>
      </c>
      <c r="M104" s="551"/>
      <c r="N104" s="472" t="s">
        <v>836</v>
      </c>
      <c r="O104" s="563">
        <v>30.4</v>
      </c>
      <c r="P104" s="766">
        <v>95688.568989547115</v>
      </c>
      <c r="Q104" s="551"/>
      <c r="R104" s="344" t="s">
        <v>836</v>
      </c>
      <c r="S104" s="592">
        <v>32.799999999999997</v>
      </c>
      <c r="T104" s="557"/>
      <c r="V104" s="344" t="s">
        <v>836</v>
      </c>
      <c r="W104" s="592">
        <f t="shared" si="5"/>
        <v>32.799999999999997</v>
      </c>
      <c r="X104" s="562">
        <f t="shared" si="4"/>
        <v>72676.298591753803</v>
      </c>
    </row>
    <row r="105" spans="2:24">
      <c r="B105" s="772" t="s">
        <v>837</v>
      </c>
      <c r="C105" s="561">
        <v>63</v>
      </c>
      <c r="D105" s="766">
        <v>23091.047619047618</v>
      </c>
      <c r="E105" s="551"/>
      <c r="F105" s="472" t="s">
        <v>837</v>
      </c>
      <c r="G105" s="561">
        <v>60</v>
      </c>
      <c r="H105" s="766">
        <v>17301.216666666667</v>
      </c>
      <c r="I105" s="551"/>
      <c r="J105" s="472" t="s">
        <v>837</v>
      </c>
      <c r="K105" s="561">
        <v>64</v>
      </c>
      <c r="L105" s="766">
        <v>12953.135937499999</v>
      </c>
      <c r="M105" s="551"/>
      <c r="N105" s="472" t="s">
        <v>837</v>
      </c>
      <c r="O105" s="563">
        <v>69.599999999999994</v>
      </c>
      <c r="P105" s="766">
        <v>12607.658536585366</v>
      </c>
      <c r="Q105" s="551"/>
      <c r="R105" s="344" t="s">
        <v>837</v>
      </c>
      <c r="S105" s="592">
        <v>75.099999999999994</v>
      </c>
      <c r="T105" s="557"/>
      <c r="V105" s="344" t="s">
        <v>837</v>
      </c>
      <c r="W105" s="592">
        <f t="shared" si="5"/>
        <v>75.099999999999994</v>
      </c>
      <c r="X105" s="562">
        <f t="shared" si="4"/>
        <v>14287.337046917344</v>
      </c>
    </row>
    <row r="106" spans="2:24">
      <c r="B106" s="772" t="s">
        <v>838</v>
      </c>
      <c r="C106" s="564">
        <v>63</v>
      </c>
      <c r="D106" s="768">
        <v>12149.476190476191</v>
      </c>
      <c r="E106" s="551"/>
      <c r="F106" s="472" t="s">
        <v>839</v>
      </c>
      <c r="G106" s="564">
        <v>60</v>
      </c>
      <c r="H106" s="768">
        <v>10441.73</v>
      </c>
      <c r="I106" s="551"/>
      <c r="J106" s="472" t="s">
        <v>839</v>
      </c>
      <c r="K106" s="564">
        <v>64</v>
      </c>
      <c r="L106" s="768">
        <v>4882.390625</v>
      </c>
      <c r="M106" s="551"/>
      <c r="N106" s="472" t="s">
        <v>839</v>
      </c>
      <c r="O106" s="566">
        <v>69.599999999999994</v>
      </c>
      <c r="P106" s="768">
        <v>5407</v>
      </c>
      <c r="Q106" s="551"/>
      <c r="R106" s="344" t="s">
        <v>839</v>
      </c>
      <c r="S106" s="593">
        <v>75.099999999999994</v>
      </c>
      <c r="T106" s="557"/>
      <c r="V106" s="344" t="s">
        <v>839</v>
      </c>
      <c r="W106" s="593">
        <f t="shared" si="5"/>
        <v>75.099999999999994</v>
      </c>
      <c r="X106" s="565">
        <f t="shared" si="4"/>
        <v>6910.3735416666668</v>
      </c>
    </row>
    <row r="107" spans="2:24">
      <c r="B107" s="772" t="s">
        <v>840</v>
      </c>
      <c r="C107" s="564">
        <v>115</v>
      </c>
      <c r="D107" s="768">
        <v>12899.182608695652</v>
      </c>
      <c r="E107" s="551"/>
      <c r="F107" s="472" t="s">
        <v>840</v>
      </c>
      <c r="G107" s="564">
        <v>109</v>
      </c>
      <c r="H107" s="768">
        <v>3348.8256880733943</v>
      </c>
      <c r="I107" s="551"/>
      <c r="J107" s="472" t="s">
        <v>840</v>
      </c>
      <c r="K107" s="564">
        <v>117</v>
      </c>
      <c r="L107" s="768">
        <v>2091.4188034188032</v>
      </c>
      <c r="M107" s="551"/>
      <c r="N107" s="472" t="s">
        <v>840</v>
      </c>
      <c r="O107" s="566">
        <v>127.3</v>
      </c>
      <c r="P107" s="768">
        <v>4298.4570475396158</v>
      </c>
      <c r="Q107" s="551"/>
      <c r="R107" s="344" t="s">
        <v>840</v>
      </c>
      <c r="S107" s="593">
        <v>137.4</v>
      </c>
      <c r="T107" s="557"/>
      <c r="V107" s="344" t="s">
        <v>840</v>
      </c>
      <c r="W107" s="593">
        <f t="shared" si="5"/>
        <v>137.4</v>
      </c>
      <c r="X107" s="565">
        <f t="shared" si="4"/>
        <v>3246.2338463439373</v>
      </c>
    </row>
    <row r="108" spans="2:24">
      <c r="B108" s="774" t="s">
        <v>841</v>
      </c>
      <c r="C108" s="594">
        <v>135</v>
      </c>
      <c r="D108" s="775">
        <v>16479.170370370372</v>
      </c>
      <c r="E108" s="551"/>
      <c r="F108" s="483" t="s">
        <v>841</v>
      </c>
      <c r="G108" s="594">
        <v>128</v>
      </c>
      <c r="H108" s="775">
        <v>0</v>
      </c>
      <c r="I108" s="551"/>
      <c r="J108" s="483" t="s">
        <v>841</v>
      </c>
      <c r="K108" s="594">
        <v>137</v>
      </c>
      <c r="L108" s="775">
        <v>0</v>
      </c>
      <c r="M108" s="551"/>
      <c r="N108" s="483" t="s">
        <v>841</v>
      </c>
      <c r="O108" s="567">
        <v>149</v>
      </c>
      <c r="P108" s="775">
        <v>0</v>
      </c>
      <c r="Q108" s="551"/>
      <c r="R108" s="486" t="s">
        <v>841</v>
      </c>
      <c r="S108" s="595">
        <v>161</v>
      </c>
      <c r="T108" s="569"/>
      <c r="V108" s="486" t="s">
        <v>841</v>
      </c>
      <c r="W108" s="595">
        <f>S108</f>
        <v>161</v>
      </c>
      <c r="X108" s="568">
        <f t="shared" si="4"/>
        <v>0</v>
      </c>
    </row>
    <row r="109" spans="2:24">
      <c r="B109" s="571"/>
      <c r="C109" s="280"/>
      <c r="D109" s="570"/>
      <c r="E109" s="570"/>
      <c r="F109" s="571"/>
      <c r="G109" s="280"/>
      <c r="H109" s="570"/>
      <c r="I109" s="570"/>
      <c r="J109" s="571"/>
      <c r="K109" s="280"/>
      <c r="L109" s="570"/>
      <c r="M109" s="570"/>
      <c r="N109" s="571"/>
      <c r="O109" s="280"/>
      <c r="P109" s="570"/>
      <c r="Q109" s="570"/>
      <c r="R109" s="571"/>
      <c r="S109" s="536"/>
      <c r="T109" s="572"/>
      <c r="V109" s="571"/>
      <c r="W109" s="536"/>
      <c r="X109" s="401"/>
    </row>
    <row r="110" spans="2:24">
      <c r="B110" s="571"/>
      <c r="C110" s="280"/>
      <c r="D110" s="570"/>
      <c r="E110" s="570"/>
      <c r="F110" s="571"/>
      <c r="G110" s="280"/>
      <c r="H110" s="570"/>
      <c r="I110" s="570"/>
      <c r="J110" s="571"/>
      <c r="K110" s="280"/>
      <c r="L110" s="570"/>
      <c r="M110" s="570"/>
      <c r="N110" s="571"/>
      <c r="O110" s="280"/>
      <c r="P110" s="570"/>
      <c r="Q110" s="570"/>
      <c r="R110" s="571"/>
      <c r="S110" s="536"/>
      <c r="T110" s="572"/>
      <c r="V110" s="571"/>
      <c r="W110" s="536"/>
      <c r="X110" s="401"/>
    </row>
    <row r="111" spans="2:24">
      <c r="B111" s="571"/>
      <c r="C111" s="280"/>
      <c r="D111" s="570"/>
      <c r="E111" s="570"/>
      <c r="F111" s="571"/>
      <c r="G111" s="280"/>
      <c r="H111" s="570"/>
      <c r="I111" s="570"/>
      <c r="J111" s="571"/>
      <c r="K111" s="280"/>
      <c r="L111" s="570"/>
      <c r="M111" s="570"/>
      <c r="N111" s="571"/>
      <c r="O111" s="280"/>
      <c r="P111" s="570"/>
      <c r="Q111" s="570"/>
      <c r="R111" s="571"/>
      <c r="S111" s="536"/>
      <c r="T111" s="572"/>
      <c r="V111" s="571"/>
      <c r="W111" s="536"/>
      <c r="X111" s="401"/>
    </row>
    <row r="112" spans="2:24">
      <c r="B112" s="596"/>
      <c r="C112" s="536"/>
      <c r="D112" s="316"/>
      <c r="E112" s="316"/>
      <c r="F112" s="596"/>
      <c r="G112" s="536"/>
      <c r="H112" s="316"/>
      <c r="I112" s="316"/>
      <c r="J112" s="596"/>
      <c r="K112" s="536"/>
      <c r="L112" s="316"/>
      <c r="M112" s="316"/>
      <c r="N112" s="573"/>
      <c r="O112" s="536"/>
      <c r="P112" s="597"/>
      <c r="Q112" s="597"/>
      <c r="R112" s="573"/>
      <c r="S112" s="536"/>
      <c r="T112" s="574"/>
      <c r="V112" s="573"/>
      <c r="W112" s="536"/>
      <c r="X112" s="401"/>
    </row>
    <row r="113" spans="2:24">
      <c r="B113" s="359"/>
      <c r="C113" s="614"/>
      <c r="D113" s="596"/>
      <c r="E113" s="316"/>
      <c r="F113" s="359"/>
      <c r="G113" s="425"/>
      <c r="H113" s="359"/>
      <c r="I113" s="316"/>
      <c r="J113" s="359"/>
      <c r="K113" s="425"/>
      <c r="L113" s="359"/>
      <c r="M113" s="316"/>
      <c r="N113" s="359"/>
      <c r="O113" s="425"/>
      <c r="P113" s="359"/>
      <c r="Q113" s="316"/>
      <c r="R113" s="359"/>
      <c r="S113" s="359"/>
      <c r="T113" s="359"/>
      <c r="V113" s="359"/>
      <c r="W113" s="425"/>
      <c r="X113" s="426"/>
    </row>
    <row r="114" spans="2:24" ht="25.5">
      <c r="B114" s="598" t="s">
        <v>707</v>
      </c>
      <c r="C114" s="393" t="s">
        <v>682</v>
      </c>
      <c r="D114" s="502" t="s">
        <v>683</v>
      </c>
      <c r="E114" s="434"/>
      <c r="F114" s="598" t="s">
        <v>707</v>
      </c>
      <c r="G114" s="393" t="s">
        <v>682</v>
      </c>
      <c r="H114" s="496" t="s">
        <v>683</v>
      </c>
      <c r="I114" s="434"/>
      <c r="J114" s="598" t="s">
        <v>707</v>
      </c>
      <c r="K114" s="393" t="s">
        <v>682</v>
      </c>
      <c r="L114" s="496" t="s">
        <v>683</v>
      </c>
      <c r="M114" s="434"/>
      <c r="N114" s="598" t="s">
        <v>707</v>
      </c>
      <c r="O114" s="393" t="s">
        <v>682</v>
      </c>
      <c r="P114" s="496" t="s">
        <v>683</v>
      </c>
      <c r="Q114" s="434"/>
      <c r="R114" s="359"/>
      <c r="S114" s="359"/>
      <c r="T114" s="359"/>
      <c r="V114" s="600" t="s">
        <v>707</v>
      </c>
      <c r="W114" s="393" t="s">
        <v>682</v>
      </c>
      <c r="X114" s="497" t="s">
        <v>683</v>
      </c>
    </row>
    <row r="115" spans="2:24" s="359" customFormat="1" ht="11.25">
      <c r="B115" s="438" t="s">
        <v>251</v>
      </c>
      <c r="C115" s="249">
        <f>C96</f>
        <v>15</v>
      </c>
      <c r="D115" s="498">
        <f>D96</f>
        <v>44844.573333333334</v>
      </c>
      <c r="E115" s="443"/>
      <c r="F115" s="438" t="s">
        <v>251</v>
      </c>
      <c r="G115" s="249">
        <f>G96</f>
        <v>14</v>
      </c>
      <c r="H115" s="498">
        <f>H96</f>
        <v>28214.471428571425</v>
      </c>
      <c r="I115" s="443"/>
      <c r="J115" s="438" t="s">
        <v>251</v>
      </c>
      <c r="K115" s="249">
        <f>K96</f>
        <v>15</v>
      </c>
      <c r="L115" s="498">
        <f>L96</f>
        <v>18536.96</v>
      </c>
      <c r="M115" s="443"/>
      <c r="N115" s="438" t="s">
        <v>251</v>
      </c>
      <c r="O115" s="249">
        <f>O96</f>
        <v>16.3</v>
      </c>
      <c r="P115" s="498">
        <f>P96</f>
        <v>8189.8169934640573</v>
      </c>
      <c r="Q115" s="443"/>
      <c r="V115" s="441" t="s">
        <v>251</v>
      </c>
      <c r="W115" s="249">
        <f>W96</f>
        <v>17.5</v>
      </c>
      <c r="X115" s="250">
        <f>X96</f>
        <v>18313.749474011827</v>
      </c>
    </row>
    <row r="116" spans="2:24" s="359" customFormat="1" ht="11.25">
      <c r="B116" s="438" t="s">
        <v>252</v>
      </c>
      <c r="C116" s="252">
        <f>SUMPRODUCT(C97:C98,D97:D98)/SUM(D97:D98)</f>
        <v>17</v>
      </c>
      <c r="D116" s="442">
        <f>SUM(D97:D98)</f>
        <v>90185.23529411765</v>
      </c>
      <c r="E116" s="443"/>
      <c r="F116" s="438" t="s">
        <v>252</v>
      </c>
      <c r="G116" s="252">
        <f>SUMPRODUCT(G97:G98,H97:H98)/SUM(H97:H98)</f>
        <v>16</v>
      </c>
      <c r="H116" s="442">
        <f>SUM(H97:H98)</f>
        <v>103878.09375</v>
      </c>
      <c r="I116" s="443"/>
      <c r="J116" s="438" t="s">
        <v>252</v>
      </c>
      <c r="K116" s="252">
        <f>SUMPRODUCT(K97:K98,L97:L98)/SUM(L97:L98)</f>
        <v>17</v>
      </c>
      <c r="L116" s="442">
        <f>SUM(L97:L98)</f>
        <v>45853.597058823529</v>
      </c>
      <c r="M116" s="443"/>
      <c r="N116" s="438" t="s">
        <v>252</v>
      </c>
      <c r="O116" s="252">
        <f>SUMPRODUCT(O97:O98,P97:P98)/SUM(P97:P98)</f>
        <v>18.399999999999999</v>
      </c>
      <c r="P116" s="442">
        <f>SUM(P97:P98)</f>
        <v>59235.298850574734</v>
      </c>
      <c r="Q116" s="443"/>
      <c r="V116" s="441" t="s">
        <v>252</v>
      </c>
      <c r="W116" s="252">
        <f>SUMPRODUCT(W97:W98,X97:X98)/SUM(X97:X98)</f>
        <v>19.899999999999999</v>
      </c>
      <c r="X116" s="253">
        <f>SUM(X97:X98)</f>
        <v>69655.663219799419</v>
      </c>
    </row>
    <row r="117" spans="2:24" s="359" customFormat="1" ht="11.25">
      <c r="B117" s="438" t="s">
        <v>253</v>
      </c>
      <c r="C117" s="254">
        <f>SUMPRODUCT(C99:C102,D99:D102)/SUM(D99:D102)</f>
        <v>22</v>
      </c>
      <c r="D117" s="444">
        <f>SUM(D99:D102)</f>
        <v>39048.409090909088</v>
      </c>
      <c r="E117" s="443"/>
      <c r="F117" s="438" t="s">
        <v>253</v>
      </c>
      <c r="G117" s="254">
        <f>SUMPRODUCT(G99:G102,H99:H102)/SUM(H99:H102)</f>
        <v>20.965036039774386</v>
      </c>
      <c r="H117" s="444">
        <f>SUM(H99:H102)</f>
        <v>27885.857142857141</v>
      </c>
      <c r="I117" s="443"/>
      <c r="J117" s="438" t="s">
        <v>253</v>
      </c>
      <c r="K117" s="254">
        <f>SUMPRODUCT(K99:K102,L99:L102)/SUM(L99:L102)</f>
        <v>22.000000000000004</v>
      </c>
      <c r="L117" s="444">
        <f>SUM(L99:L102)</f>
        <v>55279.834999999999</v>
      </c>
      <c r="M117" s="443"/>
      <c r="N117" s="438" t="s">
        <v>253</v>
      </c>
      <c r="O117" s="254">
        <f>SUMPRODUCT(O99:O102,P99:P102)/SUM(P99:P102)</f>
        <v>23.9</v>
      </c>
      <c r="P117" s="444">
        <f>SUM(P99:P102)</f>
        <v>31270.94222222222</v>
      </c>
      <c r="Q117" s="443"/>
      <c r="V117" s="441" t="s">
        <v>253</v>
      </c>
      <c r="W117" s="254">
        <f>SUMPRODUCT(W99:W102,X99:X102)/SUM(X99:X102)</f>
        <v>25.789946401286766</v>
      </c>
      <c r="X117" s="255">
        <f>SUM(X99:X102)</f>
        <v>38145.544788359781</v>
      </c>
    </row>
    <row r="118" spans="2:24" s="359" customFormat="1" ht="11.25">
      <c r="B118" s="438" t="s">
        <v>255</v>
      </c>
      <c r="C118" s="256">
        <f>SUMPRODUCT(C103:C105,D103:D105)/SUM(D103:D105)</f>
        <v>32.891843967542812</v>
      </c>
      <c r="D118" s="445">
        <f>SUM(D103:D105)</f>
        <v>165211.04761904763</v>
      </c>
      <c r="E118" s="443"/>
      <c r="F118" s="438" t="s">
        <v>255</v>
      </c>
      <c r="G118" s="256">
        <f>SUMPRODUCT(G103:G105,H103:H105)/SUM(H103:H105)</f>
        <v>29.745047600058921</v>
      </c>
      <c r="H118" s="445">
        <f>SUM(H103:H105)</f>
        <v>157071.79974358977</v>
      </c>
      <c r="I118" s="443"/>
      <c r="J118" s="438" t="s">
        <v>255</v>
      </c>
      <c r="K118" s="256">
        <f>SUMPRODUCT(K103:K105,L103:L105)/SUM(L103:L105)</f>
        <v>31.447186790095945</v>
      </c>
      <c r="L118" s="445">
        <f>SUM(L103:L105)</f>
        <v>135273.4627232143</v>
      </c>
      <c r="M118" s="443"/>
      <c r="N118" s="438" t="s">
        <v>255</v>
      </c>
      <c r="O118" s="256">
        <f>SUMPRODUCT(O103:O105,P103:P105)/SUM(P103:P105)</f>
        <v>34.963595851156384</v>
      </c>
      <c r="P118" s="445">
        <f>SUM(P103:P105)</f>
        <v>108296.22752613248</v>
      </c>
      <c r="Q118" s="443"/>
      <c r="V118" s="441" t="s">
        <v>255</v>
      </c>
      <c r="W118" s="256">
        <f>SUMPRODUCT(W103:W105,X103:X105)/SUM(X103:X105)</f>
        <v>37.32540018080946</v>
      </c>
      <c r="X118" s="257">
        <f>SUM(X103:X105)</f>
        <v>133547.16333097886</v>
      </c>
    </row>
    <row r="119" spans="2:24" s="359" customFormat="1" ht="11.25">
      <c r="B119" s="438" t="s">
        <v>254</v>
      </c>
      <c r="C119" s="258">
        <f>SUMPRODUCT(C106:C108,D106:D108)/SUM(D106:D108)</f>
        <v>107.72320849559387</v>
      </c>
      <c r="D119" s="499">
        <f>SUM(D106:D108)</f>
        <v>41527.829169542209</v>
      </c>
      <c r="E119" s="443"/>
      <c r="F119" s="438" t="s">
        <v>254</v>
      </c>
      <c r="G119" s="258">
        <f>SUMPRODUCT(G106:G108,H106:H108)/SUM(H106:H108)</f>
        <v>71.898901134021003</v>
      </c>
      <c r="H119" s="499">
        <f>SUM(H106:H108)</f>
        <v>13790.555688073393</v>
      </c>
      <c r="I119" s="443"/>
      <c r="J119" s="438" t="s">
        <v>254</v>
      </c>
      <c r="K119" s="258">
        <f>SUMPRODUCT(K106:K108,L106:L108)/SUM(L106:L108)</f>
        <v>79.894497507989541</v>
      </c>
      <c r="L119" s="499">
        <f>SUM(L106:L108)</f>
        <v>6973.8094284188028</v>
      </c>
      <c r="M119" s="443"/>
      <c r="N119" s="438" t="s">
        <v>254</v>
      </c>
      <c r="O119" s="258">
        <f>SUMPRODUCT(O106:O108,P106:P108)/SUM(P106:P108)</f>
        <v>95.154795660644382</v>
      </c>
      <c r="P119" s="499">
        <f>SUM(P106:P108)</f>
        <v>9705.4570475396158</v>
      </c>
      <c r="Q119" s="443"/>
      <c r="V119" s="441" t="s">
        <v>254</v>
      </c>
      <c r="W119" s="258">
        <f>SUMPRODUCT(W106:W108,X106:X108)/SUM(X106:X108)</f>
        <v>95.012197144290766</v>
      </c>
      <c r="X119" s="268">
        <f>SUM(X106:X108)</f>
        <v>10156.607388010605</v>
      </c>
    </row>
    <row r="120" spans="2:24">
      <c r="B120" s="450" t="s">
        <v>680</v>
      </c>
      <c r="C120" s="451">
        <f>SUMPRODUCT(C115:C119,D115:D119)</f>
        <v>12972489.6</v>
      </c>
      <c r="D120" s="511"/>
      <c r="E120" s="443"/>
      <c r="F120" s="450" t="s">
        <v>680</v>
      </c>
      <c r="G120" s="451">
        <f>SUMPRODUCT(G115:G119,H115:H119)</f>
        <v>8305314.0599999996</v>
      </c>
      <c r="H120" s="511"/>
      <c r="I120" s="443"/>
      <c r="J120" s="450" t="s">
        <v>680</v>
      </c>
      <c r="K120" s="451">
        <f>SUMPRODUCT(K115:K119,L115:L119)</f>
        <v>7084860.7700000005</v>
      </c>
      <c r="L120" s="511"/>
      <c r="M120" s="443"/>
      <c r="N120" s="450" t="s">
        <v>680</v>
      </c>
      <c r="O120" s="451">
        <f>SUMPRODUCT(O115:O119,P115:P119)</f>
        <v>6680745.3485355172</v>
      </c>
      <c r="P120" s="511"/>
      <c r="Q120" s="443"/>
      <c r="R120" s="359"/>
      <c r="S120" s="359"/>
      <c r="T120" s="359"/>
      <c r="V120" s="603" t="s">
        <v>680</v>
      </c>
      <c r="W120" s="451">
        <f>SUMPRODUCT(W115:W119,X115:X119)</f>
        <v>8640112.767216431</v>
      </c>
      <c r="X120" s="604"/>
    </row>
    <row r="121" spans="2:24">
      <c r="R121" s="359"/>
      <c r="S121" s="359"/>
      <c r="T121" s="359"/>
      <c r="X121" s="118"/>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DBE91F"/>
  </sheetPr>
  <dimension ref="B1:AC121"/>
  <sheetViews>
    <sheetView showGridLines="0" zoomScale="85" zoomScaleNormal="85" workbookViewId="0"/>
  </sheetViews>
  <sheetFormatPr defaultRowHeight="12.75"/>
  <cols>
    <col min="1" max="1" width="9.140625" style="210"/>
    <col min="2" max="2" width="47.7109375" style="210" bestFit="1" customWidth="1"/>
    <col min="3" max="3" width="12" style="210" bestFit="1" customWidth="1"/>
    <col min="4" max="4" width="11.140625" style="210" bestFit="1" customWidth="1"/>
    <col min="5" max="5" width="10.42578125" style="238" customWidth="1"/>
    <col min="6" max="6" width="44.85546875" style="210" bestFit="1" customWidth="1"/>
    <col min="7" max="7" width="12" style="210" bestFit="1" customWidth="1"/>
    <col min="8" max="8" width="11.140625" style="210" bestFit="1" customWidth="1"/>
    <col min="9" max="9" width="8.7109375" style="238" customWidth="1"/>
    <col min="10" max="10" width="44.85546875" style="210" bestFit="1" customWidth="1"/>
    <col min="11" max="11" width="12" style="210" bestFit="1" customWidth="1"/>
    <col min="12" max="12" width="11.140625" style="210" bestFit="1" customWidth="1"/>
    <col min="13" max="13" width="8.140625" style="238" customWidth="1"/>
    <col min="14" max="14" width="47.5703125" style="210" bestFit="1" customWidth="1"/>
    <col min="15" max="15" width="12" style="210" bestFit="1" customWidth="1"/>
    <col min="16" max="16" width="11.140625" style="210" bestFit="1" customWidth="1"/>
    <col min="17" max="17" width="8.140625" style="238" customWidth="1"/>
    <col min="18" max="18" width="33.140625" style="210" bestFit="1" customWidth="1"/>
    <col min="19" max="19" width="11.140625" style="210" bestFit="1" customWidth="1"/>
    <col min="20" max="20" width="8.7109375" style="210" bestFit="1" customWidth="1"/>
    <col min="21" max="21" width="9.140625" style="210" collapsed="1"/>
    <col min="22" max="22" width="35" style="210" bestFit="1" customWidth="1"/>
    <col min="23" max="23" width="12" style="210" bestFit="1" customWidth="1"/>
    <col min="24" max="24" width="11.140625" style="210" bestFit="1" customWidth="1"/>
    <col min="25" max="16384" width="9.140625" style="210"/>
  </cols>
  <sheetData>
    <row r="1" spans="2:24">
      <c r="B1" s="513" t="s">
        <v>768</v>
      </c>
      <c r="C1" s="513" t="s">
        <v>650</v>
      </c>
      <c r="D1" s="513" t="s">
        <v>325</v>
      </c>
    </row>
    <row r="2" spans="2:24" ht="15.75">
      <c r="B2" s="240" t="str">
        <f>B1</f>
        <v>NE6R Liander</v>
      </c>
      <c r="C2" s="240" t="str">
        <f>C1</f>
        <v>Standaardisatie</v>
      </c>
      <c r="D2" s="240"/>
      <c r="E2" s="240"/>
      <c r="F2" s="240" t="str">
        <f>D1</f>
        <v>PAV</v>
      </c>
      <c r="G2" s="291"/>
      <c r="H2" s="292"/>
      <c r="I2" s="293"/>
      <c r="J2" s="293"/>
      <c r="K2" s="291"/>
      <c r="L2" s="292"/>
      <c r="M2" s="293"/>
      <c r="N2" s="293"/>
      <c r="O2" s="293"/>
      <c r="P2" s="293"/>
      <c r="Q2" s="293"/>
      <c r="R2" s="293"/>
      <c r="S2" s="293"/>
      <c r="T2" s="293"/>
      <c r="V2" s="294" t="s">
        <v>651</v>
      </c>
      <c r="W2" s="295"/>
      <c r="X2" s="295"/>
    </row>
    <row r="3" spans="2:24">
      <c r="B3" s="359"/>
      <c r="C3" s="359"/>
      <c r="D3" s="359"/>
      <c r="E3" s="316"/>
      <c r="F3" s="359"/>
      <c r="G3" s="359"/>
      <c r="H3" s="359"/>
      <c r="I3" s="316"/>
      <c r="J3" s="359"/>
      <c r="K3" s="359"/>
      <c r="L3" s="359"/>
      <c r="M3" s="316"/>
      <c r="N3" s="359"/>
      <c r="O3" s="359"/>
      <c r="P3" s="359"/>
      <c r="Q3" s="316"/>
      <c r="R3" s="359"/>
      <c r="S3" s="359"/>
      <c r="T3" s="359"/>
    </row>
    <row r="4" spans="2:24">
      <c r="B4" s="296" t="s">
        <v>1403</v>
      </c>
      <c r="C4" s="297" t="s">
        <v>1404</v>
      </c>
      <c r="D4" s="297"/>
      <c r="E4" s="297"/>
      <c r="F4" s="297"/>
      <c r="G4" s="297"/>
      <c r="H4" s="297"/>
      <c r="I4" s="297"/>
      <c r="J4" s="298"/>
      <c r="K4" s="359"/>
      <c r="L4" s="359"/>
      <c r="M4" s="316"/>
      <c r="N4" s="359"/>
      <c r="O4" s="359"/>
      <c r="P4" s="359"/>
      <c r="Q4" s="316"/>
      <c r="R4" s="359"/>
      <c r="S4" s="359"/>
      <c r="T4" s="359"/>
    </row>
    <row r="5" spans="2:24">
      <c r="B5" s="299" t="s">
        <v>1405</v>
      </c>
      <c r="C5" s="300" t="s">
        <v>1406</v>
      </c>
      <c r="D5" s="300"/>
      <c r="E5" s="300"/>
      <c r="F5" s="300"/>
      <c r="G5" s="300"/>
      <c r="H5" s="300"/>
      <c r="I5" s="300"/>
      <c r="J5" s="301"/>
      <c r="K5" s="359"/>
      <c r="L5" s="359"/>
      <c r="M5" s="316"/>
      <c r="N5" s="359"/>
      <c r="O5" s="359"/>
      <c r="P5" s="359"/>
      <c r="Q5" s="316"/>
      <c r="R5" s="359"/>
      <c r="S5" s="359"/>
      <c r="T5" s="359"/>
    </row>
    <row r="6" spans="2:24">
      <c r="B6" s="302" t="s">
        <v>1407</v>
      </c>
      <c r="C6" s="303" t="s">
        <v>1408</v>
      </c>
      <c r="D6" s="303"/>
      <c r="E6" s="303"/>
      <c r="F6" s="303"/>
      <c r="G6" s="303"/>
      <c r="H6" s="303"/>
      <c r="I6" s="303"/>
      <c r="J6" s="304"/>
      <c r="K6" s="359"/>
      <c r="L6" s="359"/>
      <c r="M6" s="316"/>
      <c r="N6" s="359"/>
      <c r="O6" s="359"/>
      <c r="P6" s="359"/>
      <c r="Q6" s="316"/>
      <c r="R6" s="359"/>
      <c r="S6" s="359"/>
      <c r="T6" s="359"/>
    </row>
    <row r="7" spans="2:24">
      <c r="B7" s="305" t="s">
        <v>1409</v>
      </c>
      <c r="C7" s="306" t="s">
        <v>1410</v>
      </c>
      <c r="D7" s="306"/>
      <c r="E7" s="306"/>
      <c r="F7" s="306"/>
      <c r="G7" s="306"/>
      <c r="H7" s="306"/>
      <c r="I7" s="306"/>
      <c r="J7" s="307"/>
      <c r="K7" s="359"/>
      <c r="L7" s="359"/>
      <c r="M7" s="316"/>
      <c r="N7" s="359"/>
      <c r="O7" s="359"/>
      <c r="P7" s="359"/>
      <c r="Q7" s="316"/>
      <c r="R7" s="359"/>
      <c r="S7" s="359"/>
      <c r="T7" s="359"/>
    </row>
    <row r="8" spans="2:24">
      <c r="B8" s="1105" t="s">
        <v>1411</v>
      </c>
      <c r="C8" s="308" t="s">
        <v>1438</v>
      </c>
      <c r="D8" s="308"/>
      <c r="E8" s="308"/>
      <c r="F8" s="308"/>
      <c r="G8" s="308"/>
      <c r="H8" s="308"/>
      <c r="I8" s="308"/>
      <c r="J8" s="309"/>
      <c r="K8" s="359"/>
      <c r="L8" s="359"/>
      <c r="M8" s="316"/>
      <c r="N8" s="359"/>
      <c r="O8" s="359"/>
      <c r="P8" s="359"/>
      <c r="Q8" s="316"/>
      <c r="R8" s="359"/>
      <c r="S8" s="359"/>
      <c r="T8" s="359"/>
    </row>
    <row r="9" spans="2:24">
      <c r="B9" s="310" t="s">
        <v>1415</v>
      </c>
      <c r="C9" s="311" t="s">
        <v>1416</v>
      </c>
      <c r="D9" s="311"/>
      <c r="E9" s="311"/>
      <c r="F9" s="311"/>
      <c r="G9" s="311"/>
      <c r="H9" s="311"/>
      <c r="I9" s="311"/>
      <c r="J9" s="312"/>
      <c r="K9" s="359"/>
      <c r="L9" s="359"/>
      <c r="M9" s="316"/>
      <c r="N9" s="359"/>
      <c r="O9" s="359"/>
      <c r="P9" s="359"/>
      <c r="Q9" s="316"/>
      <c r="R9" s="359"/>
      <c r="S9" s="359"/>
      <c r="T9" s="359"/>
    </row>
    <row r="12" spans="2:24" ht="15.75">
      <c r="B12" s="463" t="s">
        <v>769</v>
      </c>
      <c r="C12" s="464"/>
      <c r="D12" s="465"/>
      <c r="E12" s="359"/>
      <c r="F12" s="359"/>
      <c r="G12" s="359"/>
      <c r="H12" s="359"/>
      <c r="I12" s="359"/>
      <c r="J12" s="359"/>
      <c r="K12" s="359"/>
      <c r="L12" s="359"/>
      <c r="M12" s="359"/>
      <c r="N12" s="359"/>
      <c r="O12" s="359"/>
      <c r="P12" s="359"/>
      <c r="Q12" s="359"/>
      <c r="R12" s="359"/>
      <c r="S12" s="359"/>
      <c r="T12" s="359"/>
      <c r="U12" s="359"/>
      <c r="V12" s="359"/>
    </row>
    <row r="13" spans="2:24">
      <c r="B13" s="317"/>
      <c r="C13" s="1190">
        <v>2009</v>
      </c>
      <c r="D13" s="1189"/>
      <c r="E13" s="321"/>
      <c r="F13" s="320"/>
      <c r="G13" s="1192">
        <v>2010</v>
      </c>
      <c r="H13" s="1189"/>
      <c r="I13" s="321"/>
      <c r="J13" s="514"/>
      <c r="K13" s="1188">
        <v>2011</v>
      </c>
      <c r="L13" s="1189"/>
      <c r="M13" s="321"/>
      <c r="N13" s="514"/>
      <c r="O13" s="1188">
        <v>2012</v>
      </c>
      <c r="P13" s="1189"/>
      <c r="Q13" s="321"/>
      <c r="R13" s="514"/>
      <c r="S13" s="1188">
        <v>2013</v>
      </c>
      <c r="T13" s="1189"/>
      <c r="V13" s="514" t="s">
        <v>656</v>
      </c>
      <c r="W13" s="1188" t="s">
        <v>657</v>
      </c>
      <c r="X13" s="1189"/>
    </row>
    <row r="14" spans="2:24">
      <c r="B14" s="322" t="s">
        <v>658</v>
      </c>
      <c r="C14" s="322" t="s">
        <v>632</v>
      </c>
      <c r="D14" s="323" t="s">
        <v>633</v>
      </c>
      <c r="E14" s="324"/>
      <c r="F14" s="323" t="s">
        <v>658</v>
      </c>
      <c r="G14" s="606" t="s">
        <v>632</v>
      </c>
      <c r="H14" s="323" t="s">
        <v>633</v>
      </c>
      <c r="I14" s="324"/>
      <c r="J14" s="322" t="s">
        <v>658</v>
      </c>
      <c r="K14" s="470" t="s">
        <v>632</v>
      </c>
      <c r="L14" s="471" t="s">
        <v>633</v>
      </c>
      <c r="M14" s="324"/>
      <c r="N14" s="322" t="s">
        <v>658</v>
      </c>
      <c r="O14" s="325" t="s">
        <v>632</v>
      </c>
      <c r="P14" s="470" t="s">
        <v>633</v>
      </c>
      <c r="Q14" s="324"/>
      <c r="R14" s="322" t="s">
        <v>658</v>
      </c>
      <c r="S14" s="516" t="s">
        <v>710</v>
      </c>
      <c r="T14" s="517" t="s">
        <v>633</v>
      </c>
      <c r="V14" s="322" t="s">
        <v>658</v>
      </c>
      <c r="W14" s="516" t="s">
        <v>710</v>
      </c>
      <c r="X14" s="517" t="s">
        <v>633</v>
      </c>
    </row>
    <row r="15" spans="2:24" s="359" customFormat="1" ht="11.25">
      <c r="B15" s="337" t="s">
        <v>692</v>
      </c>
      <c r="C15" s="636">
        <v>16.440000000000001</v>
      </c>
      <c r="D15" s="637">
        <v>2710320.165338486</v>
      </c>
      <c r="E15" s="528"/>
      <c r="F15" s="330" t="s">
        <v>692</v>
      </c>
      <c r="G15" s="638">
        <v>15.96</v>
      </c>
      <c r="H15" s="637">
        <v>2738965.4637042978</v>
      </c>
      <c r="I15" s="528"/>
      <c r="J15" s="398" t="s">
        <v>692</v>
      </c>
      <c r="K15" s="639">
        <v>17.28</v>
      </c>
      <c r="L15" s="640">
        <v>2769580.7728032786</v>
      </c>
      <c r="M15" s="528"/>
      <c r="N15" s="337" t="s">
        <v>692</v>
      </c>
      <c r="O15" s="639">
        <v>19.2</v>
      </c>
      <c r="P15" s="640">
        <v>2788761.2125838064</v>
      </c>
      <c r="Q15" s="528"/>
      <c r="R15" s="337" t="s">
        <v>692</v>
      </c>
      <c r="S15" s="639">
        <v>20.399999999999999</v>
      </c>
      <c r="T15" s="641"/>
      <c r="V15" s="337" t="s">
        <v>692</v>
      </c>
      <c r="W15" s="642">
        <f>S15</f>
        <v>20.399999999999999</v>
      </c>
      <c r="X15" s="637">
        <f>(H15+L15+P15)/3</f>
        <v>2765769.1496971273</v>
      </c>
    </row>
    <row r="16" spans="2:24" s="359" customFormat="1" ht="11.25">
      <c r="B16" s="326" t="s">
        <v>770</v>
      </c>
      <c r="C16" s="360">
        <v>25.44</v>
      </c>
      <c r="D16" s="365">
        <v>74938.386126340716</v>
      </c>
      <c r="E16" s="528"/>
      <c r="F16" s="342" t="s">
        <v>770</v>
      </c>
      <c r="G16" s="362">
        <v>24.6</v>
      </c>
      <c r="H16" s="365">
        <v>75025.264856090565</v>
      </c>
      <c r="I16" s="528"/>
      <c r="J16" s="366" t="s">
        <v>770</v>
      </c>
      <c r="K16" s="364">
        <v>26.64</v>
      </c>
      <c r="L16" s="643">
        <v>76524.056371362996</v>
      </c>
      <c r="M16" s="528"/>
      <c r="N16" s="326" t="s">
        <v>770</v>
      </c>
      <c r="O16" s="364">
        <v>29.64</v>
      </c>
      <c r="P16" s="643">
        <v>77744.557432097179</v>
      </c>
      <c r="Q16" s="528"/>
      <c r="R16" s="326" t="s">
        <v>770</v>
      </c>
      <c r="S16" s="364">
        <v>31.44</v>
      </c>
      <c r="T16" s="644"/>
      <c r="V16" s="326" t="s">
        <v>770</v>
      </c>
      <c r="W16" s="645">
        <f t="shared" ref="W16:W25" si="0">S16</f>
        <v>31.44</v>
      </c>
      <c r="X16" s="365">
        <f>(H16+L16+P16)/3</f>
        <v>76431.292886516909</v>
      </c>
    </row>
    <row r="17" spans="2:24" s="359" customFormat="1" ht="11.25">
      <c r="B17" s="326" t="s">
        <v>771</v>
      </c>
      <c r="C17" s="360">
        <v>30.84</v>
      </c>
      <c r="D17" s="365">
        <v>36646.488200075932</v>
      </c>
      <c r="E17" s="528"/>
      <c r="F17" s="342" t="s">
        <v>772</v>
      </c>
      <c r="G17" s="362">
        <v>29.88</v>
      </c>
      <c r="H17" s="365">
        <v>39002.588493251882</v>
      </c>
      <c r="I17" s="528"/>
      <c r="J17" s="366" t="s">
        <v>771</v>
      </c>
      <c r="K17" s="364">
        <v>32.4</v>
      </c>
      <c r="L17" s="643">
        <v>38576.46056968419</v>
      </c>
      <c r="M17" s="528"/>
      <c r="N17" s="326" t="s">
        <v>771</v>
      </c>
      <c r="O17" s="364">
        <v>36</v>
      </c>
      <c r="P17" s="646">
        <v>39251.959476240299</v>
      </c>
      <c r="Q17" s="528"/>
      <c r="R17" s="326" t="s">
        <v>771</v>
      </c>
      <c r="S17" s="364">
        <v>38.159999999999997</v>
      </c>
      <c r="T17" s="644"/>
      <c r="V17" s="326" t="s">
        <v>771</v>
      </c>
      <c r="W17" s="645">
        <f t="shared" si="0"/>
        <v>38.159999999999997</v>
      </c>
      <c r="X17" s="365">
        <f>(H17+L17+L18+P17+P18)/3</f>
        <v>39881.4161402428</v>
      </c>
    </row>
    <row r="18" spans="2:24" s="359" customFormat="1" ht="11.25">
      <c r="B18" s="505" t="s">
        <v>773</v>
      </c>
      <c r="C18" s="360">
        <v>30.84</v>
      </c>
      <c r="D18" s="364">
        <v>1538.7594444444446</v>
      </c>
      <c r="E18" s="528"/>
      <c r="F18" s="342" t="s">
        <v>774</v>
      </c>
      <c r="G18" s="353">
        <v>106.92</v>
      </c>
      <c r="H18" s="358">
        <v>7978.9462777779108</v>
      </c>
      <c r="I18" s="528"/>
      <c r="J18" s="366" t="s">
        <v>773</v>
      </c>
      <c r="K18" s="364">
        <v>32.4</v>
      </c>
      <c r="L18" s="643">
        <v>1430.8232148853597</v>
      </c>
      <c r="M18" s="528"/>
      <c r="N18" s="366" t="s">
        <v>773</v>
      </c>
      <c r="O18" s="364">
        <v>36</v>
      </c>
      <c r="P18" s="646">
        <v>1382.4166666666699</v>
      </c>
      <c r="Q18" s="528"/>
      <c r="R18" s="326" t="s">
        <v>774</v>
      </c>
      <c r="S18" s="357">
        <v>137.28</v>
      </c>
      <c r="T18" s="644"/>
      <c r="V18" s="326" t="s">
        <v>774</v>
      </c>
      <c r="W18" s="647">
        <f t="shared" si="0"/>
        <v>137.28</v>
      </c>
      <c r="X18" s="358">
        <f t="shared" ref="X18:X24" si="1">(H18+L19+P19)/3</f>
        <v>8133.957039200126</v>
      </c>
    </row>
    <row r="19" spans="2:24" s="359" customFormat="1" ht="11.25">
      <c r="B19" s="366" t="s">
        <v>774</v>
      </c>
      <c r="C19" s="351">
        <v>110.52</v>
      </c>
      <c r="D19" s="358">
        <v>7832.8863611111092</v>
      </c>
      <c r="E19" s="528"/>
      <c r="F19" s="342" t="s">
        <v>775</v>
      </c>
      <c r="G19" s="353">
        <v>119.88</v>
      </c>
      <c r="H19" s="358">
        <v>5733.4922222222021</v>
      </c>
      <c r="I19" s="528"/>
      <c r="J19" s="366" t="s">
        <v>774</v>
      </c>
      <c r="K19" s="357">
        <v>115.92</v>
      </c>
      <c r="L19" s="648">
        <v>8097.7581731558003</v>
      </c>
      <c r="M19" s="528"/>
      <c r="N19" s="326" t="s">
        <v>774</v>
      </c>
      <c r="O19" s="357">
        <v>129.6</v>
      </c>
      <c r="P19" s="648">
        <v>8325.1666666666661</v>
      </c>
      <c r="Q19" s="528"/>
      <c r="R19" s="326" t="s">
        <v>775</v>
      </c>
      <c r="S19" s="357">
        <v>153.6</v>
      </c>
      <c r="T19" s="644"/>
      <c r="V19" s="326" t="s">
        <v>775</v>
      </c>
      <c r="W19" s="647">
        <f t="shared" si="0"/>
        <v>153.6</v>
      </c>
      <c r="X19" s="358">
        <f t="shared" si="1"/>
        <v>6018.0205747112568</v>
      </c>
    </row>
    <row r="20" spans="2:24" s="359" customFormat="1" ht="11.25">
      <c r="B20" s="366" t="s">
        <v>775</v>
      </c>
      <c r="C20" s="351">
        <v>124.08</v>
      </c>
      <c r="D20" s="358">
        <v>5451.4743055555555</v>
      </c>
      <c r="E20" s="528"/>
      <c r="F20" s="1102" t="s">
        <v>776</v>
      </c>
      <c r="G20" s="1108">
        <v>492</v>
      </c>
      <c r="H20" s="1111">
        <v>10157.647666666666</v>
      </c>
      <c r="I20" s="528"/>
      <c r="J20" s="366" t="s">
        <v>775</v>
      </c>
      <c r="K20" s="357">
        <v>130.08000000000001</v>
      </c>
      <c r="L20" s="648">
        <v>6037.0695019115701</v>
      </c>
      <c r="M20" s="528"/>
      <c r="N20" s="326" t="s">
        <v>775</v>
      </c>
      <c r="O20" s="357">
        <v>145.19999999999999</v>
      </c>
      <c r="P20" s="648">
        <v>6283.5</v>
      </c>
      <c r="Q20" s="528"/>
      <c r="R20" s="1101" t="s">
        <v>776</v>
      </c>
      <c r="S20" s="1110">
        <v>629.64</v>
      </c>
      <c r="T20" s="644"/>
      <c r="V20" s="1101" t="s">
        <v>776</v>
      </c>
      <c r="W20" s="1120">
        <f t="shared" si="0"/>
        <v>629.64</v>
      </c>
      <c r="X20" s="1111">
        <f t="shared" si="1"/>
        <v>10156.640544426413</v>
      </c>
    </row>
    <row r="21" spans="2:24" s="359" customFormat="1" ht="11.25">
      <c r="B21" s="1101" t="s">
        <v>776</v>
      </c>
      <c r="C21" s="1106">
        <v>510</v>
      </c>
      <c r="D21" s="1111">
        <v>10245.43610191994</v>
      </c>
      <c r="E21" s="528"/>
      <c r="F21" s="342" t="s">
        <v>777</v>
      </c>
      <c r="G21" s="649">
        <v>912</v>
      </c>
      <c r="H21" s="348">
        <v>291.93461111111111</v>
      </c>
      <c r="I21" s="528"/>
      <c r="J21" s="1101" t="s">
        <v>776</v>
      </c>
      <c r="K21" s="1110">
        <v>534</v>
      </c>
      <c r="L21" s="1119">
        <v>10096.273966612573</v>
      </c>
      <c r="M21" s="528"/>
      <c r="N21" s="1101" t="s">
        <v>776</v>
      </c>
      <c r="O21" s="1110">
        <v>594.72</v>
      </c>
      <c r="P21" s="1119">
        <v>10216</v>
      </c>
      <c r="Q21" s="528"/>
      <c r="R21" s="326" t="s">
        <v>777</v>
      </c>
      <c r="S21" s="480">
        <v>1128</v>
      </c>
      <c r="T21" s="644"/>
      <c r="V21" s="326" t="s">
        <v>777</v>
      </c>
      <c r="W21" s="650">
        <f t="shared" si="0"/>
        <v>1128</v>
      </c>
      <c r="X21" s="348">
        <f t="shared" si="1"/>
        <v>350.76241833317977</v>
      </c>
    </row>
    <row r="22" spans="2:24" s="359" customFormat="1" ht="11.25">
      <c r="B22" s="366" t="s">
        <v>777</v>
      </c>
      <c r="C22" s="651">
        <v>944.4</v>
      </c>
      <c r="D22" s="348">
        <v>211.97719791666663</v>
      </c>
      <c r="E22" s="528"/>
      <c r="F22" s="342" t="s">
        <v>778</v>
      </c>
      <c r="G22" s="649">
        <v>1452</v>
      </c>
      <c r="H22" s="348">
        <v>2101.3172222222224</v>
      </c>
      <c r="I22" s="528"/>
      <c r="J22" s="366" t="s">
        <v>777</v>
      </c>
      <c r="K22" s="480">
        <v>990</v>
      </c>
      <c r="L22" s="482">
        <v>353.85264388842819</v>
      </c>
      <c r="M22" s="528"/>
      <c r="N22" s="326" t="s">
        <v>777</v>
      </c>
      <c r="O22" s="480">
        <v>1100.4000000000001</v>
      </c>
      <c r="P22" s="482">
        <v>406.49999999999994</v>
      </c>
      <c r="Q22" s="528"/>
      <c r="R22" s="326" t="s">
        <v>779</v>
      </c>
      <c r="S22" s="480">
        <v>1791.6</v>
      </c>
      <c r="T22" s="644"/>
      <c r="V22" s="326" t="s">
        <v>779</v>
      </c>
      <c r="W22" s="650">
        <f t="shared" si="0"/>
        <v>1791.6</v>
      </c>
      <c r="X22" s="348">
        <f t="shared" si="1"/>
        <v>2059.6131419064691</v>
      </c>
    </row>
    <row r="23" spans="2:24" s="359" customFormat="1" ht="11.25">
      <c r="B23" s="366" t="s">
        <v>779</v>
      </c>
      <c r="C23" s="651">
        <v>1500</v>
      </c>
      <c r="D23" s="348">
        <v>2141.3891493055535</v>
      </c>
      <c r="E23" s="528"/>
      <c r="F23" s="342" t="s">
        <v>780</v>
      </c>
      <c r="G23" s="652">
        <v>6420</v>
      </c>
      <c r="H23" s="653">
        <v>97</v>
      </c>
      <c r="I23" s="528"/>
      <c r="J23" s="366" t="s">
        <v>778</v>
      </c>
      <c r="K23" s="480">
        <v>1573.2</v>
      </c>
      <c r="L23" s="482">
        <v>2049.2722034971848</v>
      </c>
      <c r="M23" s="528"/>
      <c r="N23" s="326" t="s">
        <v>779</v>
      </c>
      <c r="O23" s="480">
        <v>1747.2</v>
      </c>
      <c r="P23" s="482">
        <v>2028.2500000000002</v>
      </c>
      <c r="Q23" s="528"/>
      <c r="R23" s="326" t="s">
        <v>780</v>
      </c>
      <c r="S23" s="654">
        <v>7920</v>
      </c>
      <c r="T23" s="644"/>
      <c r="V23" s="326" t="s">
        <v>780</v>
      </c>
      <c r="W23" s="655">
        <f t="shared" si="0"/>
        <v>7920</v>
      </c>
      <c r="X23" s="653">
        <f t="shared" si="1"/>
        <v>103.22401214889767</v>
      </c>
    </row>
    <row r="24" spans="2:24" s="359" customFormat="1" ht="11.25">
      <c r="B24" s="366" t="s">
        <v>780</v>
      </c>
      <c r="C24" s="656">
        <v>6636</v>
      </c>
      <c r="D24" s="653">
        <v>129.01460763888889</v>
      </c>
      <c r="E24" s="528"/>
      <c r="F24" s="342" t="s">
        <v>781</v>
      </c>
      <c r="G24" s="652">
        <v>9336</v>
      </c>
      <c r="H24" s="653">
        <v>34</v>
      </c>
      <c r="I24" s="528"/>
      <c r="J24" s="366" t="s">
        <v>780</v>
      </c>
      <c r="K24" s="654">
        <v>6954</v>
      </c>
      <c r="L24" s="657">
        <v>101.83870311335971</v>
      </c>
      <c r="M24" s="528"/>
      <c r="N24" s="326" t="s">
        <v>780</v>
      </c>
      <c r="O24" s="654">
        <v>7740</v>
      </c>
      <c r="P24" s="657">
        <v>110.83333333333333</v>
      </c>
      <c r="Q24" s="528"/>
      <c r="R24" s="326" t="s">
        <v>781</v>
      </c>
      <c r="S24" s="654">
        <v>11532</v>
      </c>
      <c r="T24" s="644"/>
      <c r="V24" s="326" t="s">
        <v>781</v>
      </c>
      <c r="W24" s="655">
        <f t="shared" si="0"/>
        <v>11532</v>
      </c>
      <c r="X24" s="653">
        <f t="shared" si="1"/>
        <v>34.500585168336215</v>
      </c>
    </row>
    <row r="25" spans="2:24" s="359" customFormat="1" ht="11.25">
      <c r="B25" s="366" t="s">
        <v>781</v>
      </c>
      <c r="C25" s="656">
        <v>9660</v>
      </c>
      <c r="D25" s="653">
        <v>63.974839403749996</v>
      </c>
      <c r="E25" s="528"/>
      <c r="F25" s="342" t="s">
        <v>782</v>
      </c>
      <c r="G25" s="377">
        <v>7.8</v>
      </c>
      <c r="H25" s="658">
        <v>746470.63524900982</v>
      </c>
      <c r="I25" s="528"/>
      <c r="J25" s="366" t="s">
        <v>781</v>
      </c>
      <c r="K25" s="654">
        <v>10116</v>
      </c>
      <c r="L25" s="657">
        <v>34.668422171675296</v>
      </c>
      <c r="M25" s="528"/>
      <c r="N25" s="326" t="s">
        <v>781</v>
      </c>
      <c r="O25" s="654">
        <v>11268</v>
      </c>
      <c r="P25" s="657">
        <v>34.833333333333336</v>
      </c>
      <c r="Q25" s="528"/>
      <c r="R25" s="326" t="s">
        <v>782</v>
      </c>
      <c r="S25" s="659">
        <v>9.7200000000000006</v>
      </c>
      <c r="T25" s="644"/>
      <c r="V25" s="326" t="s">
        <v>782</v>
      </c>
      <c r="W25" s="660">
        <f t="shared" si="0"/>
        <v>9.7200000000000006</v>
      </c>
      <c r="X25" s="658">
        <f>(H25+L27+P26)/3</f>
        <v>757955.35573660675</v>
      </c>
    </row>
    <row r="26" spans="2:24" s="359" customFormat="1" ht="11.25">
      <c r="B26" s="379" t="s">
        <v>782</v>
      </c>
      <c r="C26" s="661">
        <v>8.4</v>
      </c>
      <c r="D26" s="380">
        <v>772155.88484414713</v>
      </c>
      <c r="E26" s="527"/>
      <c r="F26" s="367"/>
      <c r="G26" s="527"/>
      <c r="H26" s="347"/>
      <c r="I26" s="329"/>
      <c r="J26" s="366"/>
      <c r="K26" s="662"/>
      <c r="L26" s="663"/>
      <c r="M26" s="527"/>
      <c r="N26" s="326" t="s">
        <v>782</v>
      </c>
      <c r="O26" s="659">
        <v>9.24</v>
      </c>
      <c r="P26" s="664">
        <v>783087.09252802003</v>
      </c>
      <c r="Q26" s="329"/>
      <c r="R26" s="326"/>
      <c r="S26" s="662"/>
      <c r="T26" s="665"/>
      <c r="V26" s="326"/>
      <c r="W26" s="666"/>
      <c r="X26" s="644"/>
    </row>
    <row r="27" spans="2:24" s="359" customFormat="1">
      <c r="B27" s="667"/>
      <c r="C27" s="668"/>
      <c r="D27" s="669"/>
      <c r="E27" s="417"/>
      <c r="F27" s="376"/>
      <c r="G27" s="527"/>
      <c r="H27" s="347"/>
      <c r="I27" s="329"/>
      <c r="J27" s="670" t="s">
        <v>782</v>
      </c>
      <c r="K27" s="671">
        <v>8.4</v>
      </c>
      <c r="L27" s="672">
        <v>744308.33943279029</v>
      </c>
      <c r="M27" s="271"/>
      <c r="N27" s="673"/>
      <c r="O27" s="674"/>
      <c r="P27" s="675"/>
      <c r="Q27" s="316"/>
      <c r="R27" s="673"/>
      <c r="S27" s="676"/>
      <c r="T27" s="677"/>
      <c r="V27" s="673"/>
      <c r="W27" s="678"/>
      <c r="X27" s="679"/>
    </row>
    <row r="28" spans="2:24">
      <c r="B28" s="383" t="s">
        <v>680</v>
      </c>
      <c r="C28" s="384">
        <f>SUMPRODUCT(C15:C26,D15:D26)</f>
        <v>65781533.35031189</v>
      </c>
      <c r="D28" s="422"/>
      <c r="E28" s="386"/>
      <c r="F28" s="423" t="s">
        <v>680</v>
      </c>
      <c r="G28" s="421">
        <f>SUMPRODUCT(G15:G26,H15:H26)</f>
        <v>63342902.222921088</v>
      </c>
      <c r="H28" s="422"/>
      <c r="I28" s="386"/>
      <c r="J28" s="383" t="s">
        <v>680</v>
      </c>
      <c r="K28" s="629">
        <f>SUMPRODUCT(K15:K27,L15:L27)</f>
        <v>69193908.336171538</v>
      </c>
      <c r="L28" s="385"/>
      <c r="M28" s="386"/>
      <c r="N28" s="383" t="s">
        <v>680</v>
      </c>
      <c r="O28" s="491">
        <f>SUMPRODUCT(O15:O27,P15:P27)</f>
        <v>77855514.560000002</v>
      </c>
      <c r="P28" s="422"/>
      <c r="Q28" s="386"/>
      <c r="R28" s="383" t="s">
        <v>680</v>
      </c>
      <c r="S28" s="629">
        <f>SUMPRODUCT(S15:S27,T15:T27)</f>
        <v>0</v>
      </c>
      <c r="T28" s="385"/>
      <c r="V28" s="383" t="s">
        <v>680</v>
      </c>
      <c r="W28" s="629">
        <f>SUMPRODUCT(W15:W27,X15:X27)</f>
        <v>81450973.972154632</v>
      </c>
      <c r="X28" s="389"/>
    </row>
    <row r="29" spans="2:24">
      <c r="B29" s="390"/>
      <c r="C29" s="455"/>
      <c r="D29" s="386"/>
      <c r="E29" s="386"/>
      <c r="F29" s="390"/>
      <c r="G29" s="455"/>
      <c r="H29" s="386"/>
      <c r="I29" s="386"/>
      <c r="J29" s="390"/>
      <c r="K29" s="455"/>
      <c r="L29" s="386"/>
      <c r="M29" s="386"/>
      <c r="N29" s="390"/>
      <c r="O29" s="455"/>
      <c r="P29" s="386"/>
      <c r="Q29" s="386"/>
      <c r="R29" s="390"/>
      <c r="S29" s="455"/>
      <c r="T29" s="386"/>
      <c r="V29" s="390"/>
      <c r="W29" s="455"/>
      <c r="X29" s="391"/>
    </row>
    <row r="30" spans="2:24">
      <c r="B30" s="392" t="s">
        <v>681</v>
      </c>
      <c r="C30" s="393" t="s">
        <v>682</v>
      </c>
      <c r="D30" s="394" t="s">
        <v>683</v>
      </c>
      <c r="E30" s="395"/>
      <c r="F30" s="394" t="s">
        <v>681</v>
      </c>
      <c r="G30" s="396" t="s">
        <v>682</v>
      </c>
      <c r="H30" s="394" t="s">
        <v>683</v>
      </c>
      <c r="I30" s="395"/>
      <c r="J30" s="392" t="s">
        <v>681</v>
      </c>
      <c r="K30" s="393" t="s">
        <v>682</v>
      </c>
      <c r="L30" s="394" t="s">
        <v>683</v>
      </c>
      <c r="M30" s="395"/>
      <c r="N30" s="392" t="s">
        <v>681</v>
      </c>
      <c r="O30" s="393" t="s">
        <v>682</v>
      </c>
      <c r="P30" s="394" t="s">
        <v>683</v>
      </c>
      <c r="Q30" s="395"/>
      <c r="R30" s="392" t="s">
        <v>681</v>
      </c>
      <c r="S30" s="393" t="s">
        <v>682</v>
      </c>
      <c r="T30" s="394" t="s">
        <v>683</v>
      </c>
      <c r="V30" s="392" t="s">
        <v>681</v>
      </c>
      <c r="W30" s="393" t="s">
        <v>682</v>
      </c>
      <c r="X30" s="397" t="s">
        <v>683</v>
      </c>
    </row>
    <row r="31" spans="2:24">
      <c r="B31" s="398" t="s">
        <v>783</v>
      </c>
      <c r="C31" s="399">
        <v>1.5</v>
      </c>
      <c r="D31" s="400">
        <v>766153.79734780919</v>
      </c>
      <c r="E31" s="401"/>
      <c r="F31" s="402" t="s">
        <v>783</v>
      </c>
      <c r="G31" s="680">
        <v>1.44</v>
      </c>
      <c r="H31" s="400">
        <v>780848.7414388468</v>
      </c>
      <c r="I31" s="401"/>
      <c r="J31" s="398" t="s">
        <v>783</v>
      </c>
      <c r="K31" s="399">
        <v>1.56</v>
      </c>
      <c r="L31" s="400">
        <v>801236.09851126652</v>
      </c>
      <c r="M31" s="401"/>
      <c r="N31" s="398"/>
      <c r="O31" s="399">
        <v>1.8</v>
      </c>
      <c r="P31" s="404">
        <v>816522</v>
      </c>
      <c r="Q31" s="405"/>
      <c r="R31" s="398" t="s">
        <v>684</v>
      </c>
      <c r="S31" s="399">
        <v>1.92</v>
      </c>
      <c r="T31" s="406"/>
      <c r="V31" s="398" t="s">
        <v>684</v>
      </c>
      <c r="W31" s="399">
        <f>S31</f>
        <v>1.92</v>
      </c>
      <c r="X31" s="400">
        <f>(H31+L31+P31)/3</f>
        <v>799535.61331670452</v>
      </c>
    </row>
    <row r="32" spans="2:24">
      <c r="B32" s="407"/>
      <c r="C32" s="408"/>
      <c r="D32" s="409"/>
      <c r="E32" s="405"/>
      <c r="F32" s="410"/>
      <c r="G32" s="411"/>
      <c r="H32" s="409"/>
      <c r="I32" s="405"/>
      <c r="J32" s="407"/>
      <c r="K32" s="408"/>
      <c r="L32" s="409"/>
      <c r="M32" s="405"/>
      <c r="N32" s="407"/>
      <c r="O32" s="408"/>
      <c r="P32" s="409"/>
      <c r="Q32" s="405"/>
      <c r="R32" s="407"/>
      <c r="S32" s="408"/>
      <c r="T32" s="412"/>
      <c r="V32" s="407"/>
      <c r="W32" s="408"/>
      <c r="X32" s="413">
        <f>(H32+L32+P32)/3</f>
        <v>0</v>
      </c>
    </row>
    <row r="33" spans="2:24">
      <c r="B33" s="414"/>
      <c r="C33" s="415"/>
      <c r="D33" s="416"/>
      <c r="E33" s="417"/>
      <c r="F33" s="418"/>
      <c r="G33" s="419"/>
      <c r="H33" s="416"/>
      <c r="I33" s="417"/>
      <c r="J33" s="414"/>
      <c r="K33" s="415"/>
      <c r="L33" s="416"/>
      <c r="M33" s="417"/>
      <c r="N33" s="414"/>
      <c r="O33" s="415"/>
      <c r="P33" s="416"/>
      <c r="Q33" s="417"/>
      <c r="R33" s="414"/>
      <c r="S33" s="415"/>
      <c r="T33" s="416"/>
      <c r="V33" s="414"/>
      <c r="W33" s="415"/>
      <c r="X33" s="420"/>
    </row>
    <row r="34" spans="2:24" s="359" customFormat="1" ht="11.25">
      <c r="B34" s="383" t="s">
        <v>680</v>
      </c>
      <c r="C34" s="421">
        <f>SUMPRODUCT(C31:C32,D31:D32)</f>
        <v>1149230.6960217138</v>
      </c>
      <c r="D34" s="422"/>
      <c r="E34" s="386"/>
      <c r="F34" s="423" t="s">
        <v>680</v>
      </c>
      <c r="G34" s="421">
        <f>SUMPRODUCT(G31:G32,H31:H32)</f>
        <v>1124422.1876719394</v>
      </c>
      <c r="H34" s="422"/>
      <c r="I34" s="386"/>
      <c r="J34" s="383" t="s">
        <v>680</v>
      </c>
      <c r="K34" s="421">
        <f>SUMPRODUCT(K31:K32,L31:L32)</f>
        <v>1249928.3136775759</v>
      </c>
      <c r="L34" s="422"/>
      <c r="M34" s="386"/>
      <c r="N34" s="383" t="s">
        <v>680</v>
      </c>
      <c r="O34" s="421">
        <f>SUMPRODUCT(O31:O32,P31:P32)</f>
        <v>1469739.6</v>
      </c>
      <c r="P34" s="422"/>
      <c r="Q34" s="386"/>
      <c r="R34" s="383" t="s">
        <v>680</v>
      </c>
      <c r="S34" s="421">
        <f>SUMPRODUCT(S31:S32,T31:T32)</f>
        <v>0</v>
      </c>
      <c r="T34" s="422"/>
      <c r="V34" s="383" t="s">
        <v>680</v>
      </c>
      <c r="W34" s="421">
        <f>SUMPRODUCT(W31:W32,X31:X32)</f>
        <v>1535108.3775680726</v>
      </c>
      <c r="X34" s="424"/>
    </row>
    <row r="35" spans="2:24">
      <c r="B35" s="359"/>
      <c r="C35" s="425"/>
      <c r="D35" s="359"/>
      <c r="E35" s="316"/>
      <c r="F35" s="359"/>
      <c r="G35" s="425"/>
      <c r="H35" s="359"/>
      <c r="I35" s="316"/>
      <c r="J35" s="359"/>
      <c r="K35" s="425"/>
      <c r="L35" s="359"/>
      <c r="M35" s="316"/>
      <c r="N35" s="359"/>
      <c r="O35" s="425"/>
      <c r="P35" s="359"/>
      <c r="Q35" s="316"/>
      <c r="R35" s="359"/>
      <c r="S35" s="425"/>
      <c r="T35" s="359"/>
      <c r="V35" s="359"/>
      <c r="W35" s="425"/>
      <c r="X35" s="426"/>
    </row>
    <row r="36" spans="2:24">
      <c r="B36" s="359"/>
      <c r="C36" s="425"/>
      <c r="D36" s="359"/>
      <c r="E36" s="316"/>
      <c r="F36" s="359"/>
      <c r="G36" s="425"/>
      <c r="H36" s="359"/>
      <c r="I36" s="316"/>
      <c r="J36" s="359"/>
      <c r="K36" s="425"/>
      <c r="L36" s="359"/>
      <c r="M36" s="316"/>
      <c r="N36" s="359"/>
      <c r="O36" s="425"/>
      <c r="P36" s="359"/>
      <c r="Q36" s="316"/>
      <c r="R36" s="359"/>
      <c r="S36" s="425"/>
      <c r="T36" s="359"/>
      <c r="V36" s="359"/>
      <c r="W36" s="425"/>
      <c r="X36" s="426"/>
    </row>
    <row r="37" spans="2:24">
      <c r="B37" s="427"/>
      <c r="C37" s="428"/>
      <c r="D37" s="429"/>
      <c r="E37" s="430"/>
      <c r="F37" s="429"/>
      <c r="G37" s="425"/>
      <c r="H37" s="359"/>
      <c r="I37" s="316"/>
      <c r="J37" s="359"/>
      <c r="K37" s="425"/>
      <c r="L37" s="359"/>
      <c r="M37" s="316"/>
      <c r="N37" s="359"/>
      <c r="O37" s="425"/>
      <c r="P37" s="359"/>
      <c r="Q37" s="316"/>
      <c r="R37" s="316"/>
      <c r="S37" s="536"/>
      <c r="T37" s="316"/>
      <c r="V37" s="359"/>
      <c r="W37" s="425"/>
      <c r="X37" s="426"/>
    </row>
    <row r="38" spans="2:24">
      <c r="B38" s="431" t="s">
        <v>686</v>
      </c>
      <c r="C38" s="432"/>
      <c r="D38" s="433"/>
      <c r="E38" s="434"/>
      <c r="F38" s="435" t="s">
        <v>686</v>
      </c>
      <c r="G38" s="432"/>
      <c r="H38" s="433"/>
      <c r="I38" s="434"/>
      <c r="J38" s="431" t="s">
        <v>686</v>
      </c>
      <c r="K38" s="432"/>
      <c r="L38" s="436"/>
      <c r="M38" s="434"/>
      <c r="N38" s="431" t="s">
        <v>686</v>
      </c>
      <c r="O38" s="432"/>
      <c r="P38" s="436"/>
      <c r="Q38" s="434"/>
      <c r="R38" s="542"/>
      <c r="S38" s="500"/>
      <c r="T38" s="434"/>
      <c r="V38" s="431" t="s">
        <v>686</v>
      </c>
      <c r="W38" s="432"/>
      <c r="X38" s="437"/>
    </row>
    <row r="39" spans="2:24" s="359" customFormat="1" ht="11.25">
      <c r="B39" s="441" t="s">
        <v>1403</v>
      </c>
      <c r="C39" s="249">
        <f>SUMPRODUCT(C26,D26)/SUM(D26)</f>
        <v>8.4</v>
      </c>
      <c r="D39" s="250">
        <f>SUM(D26)</f>
        <v>772155.88484414713</v>
      </c>
      <c r="E39" s="440"/>
      <c r="F39" s="441" t="s">
        <v>1403</v>
      </c>
      <c r="G39" s="581">
        <f>SUMPRODUCT(G25,H25)/SUM(H25)</f>
        <v>7.8</v>
      </c>
      <c r="H39" s="250">
        <f>SUM(H25)</f>
        <v>746470.63524900982</v>
      </c>
      <c r="I39" s="440"/>
      <c r="J39" s="441" t="s">
        <v>1403</v>
      </c>
      <c r="K39" s="286">
        <f>SUMPRODUCT(K27,L27)/SUM(L27)</f>
        <v>8.4</v>
      </c>
      <c r="L39" s="250">
        <f>SUM(L27)</f>
        <v>744308.33943279029</v>
      </c>
      <c r="M39" s="440"/>
      <c r="N39" s="441" t="s">
        <v>1403</v>
      </c>
      <c r="O39" s="286">
        <f>SUMPRODUCT(O26,P26)/SUM(P26)</f>
        <v>9.24</v>
      </c>
      <c r="P39" s="250">
        <f>SUM(P26)</f>
        <v>783087.09252802003</v>
      </c>
      <c r="Q39" s="440"/>
      <c r="R39" s="271"/>
      <c r="S39" s="280"/>
      <c r="T39" s="440"/>
      <c r="V39" s="441" t="s">
        <v>1403</v>
      </c>
      <c r="W39" s="286">
        <f>SUMPRODUCT(W25,X25)/SUM(X25)</f>
        <v>9.7200000000000006</v>
      </c>
      <c r="X39" s="250">
        <f>SUM(X25)</f>
        <v>757955.35573660675</v>
      </c>
    </row>
    <row r="40" spans="2:24" s="359" customFormat="1" ht="11.25">
      <c r="B40" s="441" t="s">
        <v>1405</v>
      </c>
      <c r="C40" s="252">
        <f>SUMPRODUCT(C15,D15)/SUM(D15)</f>
        <v>16.440000000000001</v>
      </c>
      <c r="D40" s="253">
        <f>SUM(D15)</f>
        <v>2710320.165338486</v>
      </c>
      <c r="E40" s="443"/>
      <c r="F40" s="441" t="s">
        <v>1405</v>
      </c>
      <c r="G40" s="582">
        <f>SUMPRODUCT(G15,H15)/SUM(H15)</f>
        <v>15.96</v>
      </c>
      <c r="H40" s="253">
        <f>SUM(H15)</f>
        <v>2738965.4637042978</v>
      </c>
      <c r="I40" s="443"/>
      <c r="J40" s="441" t="s">
        <v>1405</v>
      </c>
      <c r="K40" s="287">
        <f>SUMPRODUCT(K15,L15)/SUM(L15)</f>
        <v>17.28</v>
      </c>
      <c r="L40" s="681">
        <f>SUM(L15)</f>
        <v>2769580.7728032786</v>
      </c>
      <c r="M40" s="443"/>
      <c r="N40" s="441" t="s">
        <v>1405</v>
      </c>
      <c r="O40" s="287">
        <f>SUMPRODUCT(O15,P15)/SUM(P15)</f>
        <v>19.2</v>
      </c>
      <c r="P40" s="681">
        <f>SUM(P15)</f>
        <v>2788761.2125838064</v>
      </c>
      <c r="Q40" s="443"/>
      <c r="R40" s="271"/>
      <c r="S40" s="623"/>
      <c r="T40" s="443"/>
      <c r="V40" s="441" t="s">
        <v>1405</v>
      </c>
      <c r="W40" s="287">
        <f>SUMPRODUCT(W15,X15)/SUM(X15)</f>
        <v>20.399999999999999</v>
      </c>
      <c r="X40" s="681">
        <f>SUM(X15)</f>
        <v>2765769.1496971273</v>
      </c>
    </row>
    <row r="41" spans="2:24" s="359" customFormat="1" ht="11.25">
      <c r="B41" s="441" t="s">
        <v>1407</v>
      </c>
      <c r="C41" s="254">
        <f>SUMPRODUCT(C16:C18,D16:D18)/SUM(D16:D18)</f>
        <v>27.262787426525581</v>
      </c>
      <c r="D41" s="255">
        <f>SUM(D16:D18)</f>
        <v>113123.63377086108</v>
      </c>
      <c r="E41" s="443"/>
      <c r="F41" s="441" t="s">
        <v>1407</v>
      </c>
      <c r="G41" s="583">
        <f>SUMPRODUCT(G16:G17,H16:H17)/SUM(H16:H17)</f>
        <v>26.405994423252533</v>
      </c>
      <c r="H41" s="255">
        <f>SUM(H16:H17)</f>
        <v>114027.85334934245</v>
      </c>
      <c r="I41" s="443"/>
      <c r="J41" s="441" t="s">
        <v>1407</v>
      </c>
      <c r="K41" s="288">
        <f>SUMPRODUCT(K16:K18,L16:L18)/SUM(L16:L18)</f>
        <v>28.617510550301422</v>
      </c>
      <c r="L41" s="682">
        <f>SUM(L16:L18)</f>
        <v>116531.34015593254</v>
      </c>
      <c r="M41" s="443"/>
      <c r="N41" s="441" t="s">
        <v>1407</v>
      </c>
      <c r="O41" s="288">
        <f>SUMPRODUCT(O16:O18,P16:P18)/SUM(P16:P18)</f>
        <v>31.823113367085249</v>
      </c>
      <c r="P41" s="682">
        <f>SUM(P16:P18)</f>
        <v>118378.93357500415</v>
      </c>
      <c r="Q41" s="443"/>
      <c r="R41" s="271"/>
      <c r="S41" s="280"/>
      <c r="T41" s="443"/>
      <c r="V41" s="441" t="s">
        <v>1407</v>
      </c>
      <c r="W41" s="288">
        <f>SUMPRODUCT(W16:W17,X16:X17)/SUM(X16:X17)</f>
        <v>33.744160213487703</v>
      </c>
      <c r="X41" s="682">
        <f>SUM(X16:X17)</f>
        <v>116312.70902675971</v>
      </c>
    </row>
    <row r="42" spans="2:24" s="359" customFormat="1" ht="11.25">
      <c r="B42" s="1113" t="s">
        <v>1409</v>
      </c>
      <c r="C42" s="256">
        <f>SUMPRODUCT(C19:C20,D19:D20)/SUM(D19:D20)</f>
        <v>116.08458782158931</v>
      </c>
      <c r="D42" s="257">
        <f>SUM(D19:D20)</f>
        <v>13284.360666666664</v>
      </c>
      <c r="E42" s="443"/>
      <c r="F42" s="1113" t="s">
        <v>1409</v>
      </c>
      <c r="G42" s="256">
        <f>SUMPRODUCT(G18:G19,H18:H19)/SUM(H18:H19)</f>
        <v>112.33888003362779</v>
      </c>
      <c r="H42" s="257">
        <f>SUM(H18:H19)</f>
        <v>13712.438500000113</v>
      </c>
      <c r="I42" s="443"/>
      <c r="J42" s="1113" t="s">
        <v>1409</v>
      </c>
      <c r="K42" s="256">
        <f>SUMPRODUCT(K19:K20,L19:L20)/SUM(L19:L20)</f>
        <v>121.96782075255548</v>
      </c>
      <c r="L42" s="257">
        <f>SUM(L19:L20)</f>
        <v>14134.82767506737</v>
      </c>
      <c r="M42" s="443"/>
      <c r="N42" s="1113" t="s">
        <v>1409</v>
      </c>
      <c r="O42" s="256">
        <f>SUMPRODUCT(O19:O20,P19:P20)/SUM(P19:P20)</f>
        <v>136.30989367042395</v>
      </c>
      <c r="P42" s="257">
        <f>SUM(P19:P20)</f>
        <v>14608.666666666666</v>
      </c>
      <c r="Q42" s="443"/>
      <c r="R42" s="271"/>
      <c r="S42" s="280"/>
      <c r="T42" s="443"/>
      <c r="V42" s="1113" t="s">
        <v>1409</v>
      </c>
      <c r="W42" s="256">
        <f>SUMPRODUCT(W18:W19,X18:X19)/SUM(X18:X19)</f>
        <v>144.21995556371877</v>
      </c>
      <c r="X42" s="257">
        <f>SUM(X18:X19)</f>
        <v>14151.977613911382</v>
      </c>
    </row>
    <row r="43" spans="2:24" s="359" customFormat="1" ht="11.25">
      <c r="B43" s="1113" t="s">
        <v>1411</v>
      </c>
      <c r="C43" s="258">
        <f>SUMPRODUCT(C21:C23,D21:D23)/SUM(D21:D23)</f>
        <v>685.57685831784079</v>
      </c>
      <c r="D43" s="259">
        <f>SUM(D21:D23)</f>
        <v>12598.80244914216</v>
      </c>
      <c r="E43" s="440"/>
      <c r="F43" s="1113" t="s">
        <v>1411</v>
      </c>
      <c r="G43" s="258">
        <f>SUMPRODUCT(G20:G22,H20:H22)/SUM(H20:H22)</f>
        <v>662.49591306184868</v>
      </c>
      <c r="H43" s="259">
        <f>SUM(H20:H22)</f>
        <v>12550.8995</v>
      </c>
      <c r="I43" s="440"/>
      <c r="J43" s="1113" t="s">
        <v>1411</v>
      </c>
      <c r="K43" s="258">
        <f>SUMPRODUCT(K21:K23,L21:L23)/SUM(L21:L23)</f>
        <v>717.28565346052733</v>
      </c>
      <c r="L43" s="259">
        <f>SUM(L21:L23)</f>
        <v>12499.398813998185</v>
      </c>
      <c r="M43" s="440"/>
      <c r="N43" s="1113" t="s">
        <v>1411</v>
      </c>
      <c r="O43" s="258">
        <f>SUMPRODUCT(O21:O23,P21:P23)/SUM(P21:P23)</f>
        <v>795.74179554571856</v>
      </c>
      <c r="P43" s="259">
        <f>SUM(P21:P23)</f>
        <v>12650.75</v>
      </c>
      <c r="Q43" s="440"/>
      <c r="R43" s="271"/>
      <c r="S43" s="280"/>
      <c r="T43" s="440"/>
      <c r="V43" s="1113" t="s">
        <v>1411</v>
      </c>
      <c r="W43" s="258">
        <f>SUMPRODUCT(W20:W22,X20:X22)/SUM(X20:X22)</f>
        <v>833.98397662756884</v>
      </c>
      <c r="X43" s="259">
        <f>SUM(X20:X22)</f>
        <v>12567.016104666061</v>
      </c>
    </row>
    <row r="44" spans="2:24" s="359" customFormat="1" ht="11.25">
      <c r="B44" s="449" t="s">
        <v>1415</v>
      </c>
      <c r="C44" s="261">
        <f>SUMPRODUCT(C24:C25,D24:D25)/SUM(D24:D25)</f>
        <v>7638.4377877729094</v>
      </c>
      <c r="D44" s="262">
        <f>SUM(D24:D25)</f>
        <v>192.98944704263889</v>
      </c>
      <c r="E44" s="440"/>
      <c r="F44" s="449" t="s">
        <v>1415</v>
      </c>
      <c r="G44" s="685">
        <f>SUMPRODUCT(G23:G24,H23:H24)/SUM(H23:H24)</f>
        <v>7176.8244274809158</v>
      </c>
      <c r="H44" s="262">
        <f>SUM(H23:H24)</f>
        <v>131</v>
      </c>
      <c r="I44" s="440"/>
      <c r="J44" s="449" t="s">
        <v>1415</v>
      </c>
      <c r="K44" s="686">
        <f>SUMPRODUCT(K24:K25,L24:L25)/SUM(L24:L25)</f>
        <v>7757.0463660995047</v>
      </c>
      <c r="L44" s="262">
        <f>SUM(L24:L25)</f>
        <v>136.50712528503502</v>
      </c>
      <c r="M44" s="440"/>
      <c r="N44" s="449" t="s">
        <v>1415</v>
      </c>
      <c r="O44" s="686">
        <f>SUMPRODUCT(O24:O25,P24:P25)/SUM(P24:P25)</f>
        <v>8583.652173913044</v>
      </c>
      <c r="P44" s="262">
        <f>SUM(P24:P25)</f>
        <v>145.66666666666666</v>
      </c>
      <c r="Q44" s="440"/>
      <c r="R44" s="271"/>
      <c r="S44" s="280"/>
      <c r="T44" s="440"/>
      <c r="V44" s="449" t="s">
        <v>1415</v>
      </c>
      <c r="W44" s="686">
        <f>SUMPRODUCT(W23:W24,X23:X24)/SUM(X23:X24)</f>
        <v>8824.8210418142698</v>
      </c>
      <c r="X44" s="262">
        <f>SUM(X23:X24)</f>
        <v>137.72459731723387</v>
      </c>
    </row>
    <row r="45" spans="2:24">
      <c r="B45" s="450" t="s">
        <v>680</v>
      </c>
      <c r="C45" s="451">
        <f>SUMPRODUCT(C39:C44,D39:D44)</f>
        <v>65781533.35031189</v>
      </c>
      <c r="D45" s="452"/>
      <c r="E45" s="443"/>
      <c r="F45" s="453" t="s">
        <v>680</v>
      </c>
      <c r="G45" s="451">
        <f>SUMPRODUCT(G39:G44,H39:H44)</f>
        <v>63342902.222921073</v>
      </c>
      <c r="H45" s="452"/>
      <c r="I45" s="443"/>
      <c r="J45" s="450" t="s">
        <v>680</v>
      </c>
      <c r="K45" s="451">
        <f>SUMPRODUCT(K39:K44,L39:L44)</f>
        <v>69193908.336171538</v>
      </c>
      <c r="L45" s="452"/>
      <c r="M45" s="443"/>
      <c r="N45" s="450" t="s">
        <v>680</v>
      </c>
      <c r="O45" s="451">
        <f>SUMPRODUCT(O39:O44,P39:P44)</f>
        <v>77855514.559999987</v>
      </c>
      <c r="P45" s="454"/>
      <c r="Q45" s="443"/>
      <c r="R45" s="543"/>
      <c r="S45" s="443"/>
      <c r="T45" s="443"/>
      <c r="V45" s="450" t="s">
        <v>680</v>
      </c>
      <c r="W45" s="451">
        <f>SUMPRODUCT(W39:W44,X39:X44)</f>
        <v>81450973.972154647</v>
      </c>
      <c r="X45" s="454"/>
    </row>
    <row r="46" spans="2:24">
      <c r="B46" s="390"/>
      <c r="C46" s="455"/>
      <c r="D46" s="386"/>
      <c r="E46" s="386"/>
      <c r="F46" s="390"/>
      <c r="G46" s="455"/>
      <c r="H46" s="386"/>
      <c r="I46" s="386"/>
      <c r="J46" s="390"/>
      <c r="K46" s="455"/>
      <c r="L46" s="386"/>
      <c r="M46" s="386"/>
      <c r="N46" s="390"/>
      <c r="O46" s="455"/>
      <c r="P46" s="386"/>
      <c r="Q46" s="386"/>
      <c r="R46" s="390"/>
      <c r="S46" s="500"/>
      <c r="T46" s="386"/>
      <c r="V46" s="390"/>
      <c r="W46" s="455"/>
      <c r="X46" s="391"/>
    </row>
    <row r="47" spans="2:24">
      <c r="B47" s="392" t="s">
        <v>681</v>
      </c>
      <c r="C47" s="456"/>
      <c r="D47" s="394"/>
      <c r="E47" s="395"/>
      <c r="F47" s="392" t="s">
        <v>681</v>
      </c>
      <c r="G47" s="456"/>
      <c r="H47" s="394"/>
      <c r="I47" s="395"/>
      <c r="J47" s="392" t="s">
        <v>681</v>
      </c>
      <c r="K47" s="456"/>
      <c r="L47" s="394"/>
      <c r="M47" s="395"/>
      <c r="N47" s="392" t="s">
        <v>681</v>
      </c>
      <c r="O47" s="456"/>
      <c r="P47" s="394"/>
      <c r="Q47" s="395"/>
      <c r="R47" s="395"/>
      <c r="S47" s="544"/>
      <c r="T47" s="395"/>
      <c r="V47" s="392" t="s">
        <v>681</v>
      </c>
      <c r="W47" s="456"/>
      <c r="X47" s="397"/>
    </row>
    <row r="48" spans="2:24">
      <c r="B48" s="398"/>
      <c r="C48" s="399">
        <f>SUMPRODUCT(C31:C32,D31:D32)/SUM(D31:D32)</f>
        <v>1.5</v>
      </c>
      <c r="D48" s="457">
        <f>SUM(D31:D32)</f>
        <v>766153.79734780919</v>
      </c>
      <c r="E48" s="405"/>
      <c r="F48" s="398"/>
      <c r="G48" s="399">
        <f>SUMPRODUCT(G31:G32,H31:H32)/SUM(H31:H32)</f>
        <v>1.44</v>
      </c>
      <c r="H48" s="457">
        <f>SUM(H31:H32)</f>
        <v>780848.7414388468</v>
      </c>
      <c r="I48" s="405"/>
      <c r="J48" s="398"/>
      <c r="K48" s="399">
        <f>SUMPRODUCT(K31:K32,L31:L32)/SUM(L31:L32)</f>
        <v>1.56</v>
      </c>
      <c r="L48" s="457">
        <f>SUM(L31:L32)</f>
        <v>801236.09851126652</v>
      </c>
      <c r="M48" s="405"/>
      <c r="N48" s="398"/>
      <c r="O48" s="399">
        <f>SUMPRODUCT(O31:O32,P31:P32)/SUM(P31:P32)</f>
        <v>1.8</v>
      </c>
      <c r="P48" s="404">
        <f>SUM(P31:P32)</f>
        <v>816522</v>
      </c>
      <c r="Q48" s="405"/>
      <c r="R48" s="529"/>
      <c r="S48" s="624"/>
      <c r="T48" s="405"/>
      <c r="V48" s="398"/>
      <c r="W48" s="399">
        <f>SUMPRODUCT(W31:W32,X31:X32)/SUM(X31:X32)</f>
        <v>1.92</v>
      </c>
      <c r="X48" s="400">
        <f>SUM(X31:X32)</f>
        <v>799535.61331670452</v>
      </c>
    </row>
    <row r="49" spans="2:29">
      <c r="B49" s="414"/>
      <c r="C49" s="415"/>
      <c r="D49" s="416"/>
      <c r="E49" s="417"/>
      <c r="F49" s="414"/>
      <c r="G49" s="415"/>
      <c r="H49" s="416"/>
      <c r="I49" s="417"/>
      <c r="J49" s="414"/>
      <c r="K49" s="415"/>
      <c r="L49" s="416"/>
      <c r="M49" s="417"/>
      <c r="N49" s="414"/>
      <c r="O49" s="415"/>
      <c r="P49" s="416"/>
      <c r="Q49" s="417"/>
      <c r="R49" s="529"/>
      <c r="S49" s="545"/>
      <c r="T49" s="417"/>
      <c r="V49" s="414"/>
      <c r="W49" s="415"/>
      <c r="X49" s="416"/>
    </row>
    <row r="50" spans="2:29">
      <c r="B50" s="383" t="s">
        <v>680</v>
      </c>
      <c r="C50" s="432"/>
      <c r="D50" s="422"/>
      <c r="E50" s="386"/>
      <c r="F50" s="383" t="s">
        <v>680</v>
      </c>
      <c r="G50" s="432"/>
      <c r="H50" s="422"/>
      <c r="I50" s="386"/>
      <c r="J50" s="383" t="s">
        <v>680</v>
      </c>
      <c r="K50" s="432"/>
      <c r="L50" s="422"/>
      <c r="M50" s="386"/>
      <c r="N50" s="383" t="s">
        <v>680</v>
      </c>
      <c r="O50" s="432"/>
      <c r="P50" s="422"/>
      <c r="Q50" s="386"/>
      <c r="R50" s="390"/>
      <c r="S50" s="500"/>
      <c r="T50" s="386"/>
      <c r="V50" s="383" t="s">
        <v>680</v>
      </c>
      <c r="W50" s="432"/>
      <c r="X50" s="422"/>
    </row>
    <row r="51" spans="2:29">
      <c r="B51" s="390"/>
      <c r="C51" s="458"/>
      <c r="D51" s="386"/>
      <c r="E51" s="386"/>
      <c r="F51" s="390"/>
      <c r="G51" s="458"/>
      <c r="H51" s="386"/>
      <c r="I51" s="386"/>
      <c r="J51" s="390"/>
      <c r="K51" s="458"/>
      <c r="L51" s="386"/>
      <c r="M51" s="386"/>
      <c r="N51" s="390"/>
      <c r="O51" s="458"/>
      <c r="P51" s="386"/>
      <c r="Q51" s="386"/>
      <c r="R51" s="390"/>
      <c r="S51" s="430"/>
      <c r="T51" s="386"/>
    </row>
    <row r="52" spans="2:29">
      <c r="B52" s="390"/>
      <c r="C52" s="458"/>
      <c r="D52" s="386"/>
      <c r="E52" s="386"/>
      <c r="F52" s="390"/>
      <c r="G52" s="458"/>
      <c r="H52" s="386"/>
      <c r="I52" s="386"/>
      <c r="J52" s="390"/>
      <c r="K52" s="458"/>
      <c r="L52" s="386"/>
      <c r="M52" s="386"/>
      <c r="N52" s="390"/>
      <c r="O52" s="458"/>
      <c r="P52" s="386"/>
      <c r="Q52" s="386"/>
      <c r="R52" s="390"/>
      <c r="S52" s="458"/>
      <c r="T52" s="386"/>
    </row>
    <row r="53" spans="2:29">
      <c r="B53" s="390"/>
      <c r="C53" s="458"/>
      <c r="D53" s="386"/>
      <c r="E53" s="386"/>
      <c r="F53" s="390"/>
      <c r="G53" s="458"/>
      <c r="H53" s="386"/>
      <c r="I53" s="386"/>
      <c r="J53" s="390"/>
      <c r="K53" s="458"/>
      <c r="L53" s="386"/>
      <c r="M53" s="386"/>
      <c r="N53" s="390"/>
      <c r="O53" s="458"/>
      <c r="P53" s="386"/>
      <c r="Q53" s="386"/>
      <c r="R53" s="390"/>
      <c r="S53" s="458"/>
      <c r="T53" s="386"/>
    </row>
    <row r="54" spans="2:29" ht="15.75">
      <c r="B54" s="240" t="str">
        <f>B1</f>
        <v>NE6R Liander</v>
      </c>
      <c r="C54" s="240" t="s">
        <v>722</v>
      </c>
      <c r="D54" s="546"/>
      <c r="E54" s="293"/>
      <c r="F54" s="293"/>
      <c r="G54" s="291"/>
      <c r="H54" s="292"/>
      <c r="I54" s="293"/>
      <c r="J54" s="293"/>
      <c r="K54" s="291"/>
      <c r="L54" s="292"/>
      <c r="M54" s="293"/>
      <c r="N54" s="293"/>
      <c r="O54" s="293"/>
      <c r="P54" s="293"/>
      <c r="Q54" s="293"/>
      <c r="R54" s="293"/>
      <c r="S54" s="293"/>
      <c r="T54" s="293"/>
      <c r="V54" s="294" t="s">
        <v>651</v>
      </c>
      <c r="W54" s="295"/>
      <c r="X54" s="295"/>
    </row>
    <row r="55" spans="2:29">
      <c r="B55" s="390"/>
      <c r="C55" s="458"/>
      <c r="D55" s="386"/>
      <c r="E55" s="386"/>
      <c r="F55" s="390"/>
      <c r="G55" s="458"/>
      <c r="H55" s="386"/>
      <c r="I55" s="386"/>
      <c r="J55" s="390"/>
      <c r="K55" s="458"/>
      <c r="L55" s="386"/>
      <c r="M55" s="386"/>
      <c r="N55" s="390"/>
      <c r="O55" s="458"/>
      <c r="P55" s="386"/>
      <c r="Q55" s="386"/>
      <c r="R55" s="390"/>
      <c r="S55" s="458"/>
      <c r="T55" s="386"/>
    </row>
    <row r="56" spans="2:29">
      <c r="B56" s="296" t="s">
        <v>251</v>
      </c>
      <c r="C56" s="297" t="s">
        <v>652</v>
      </c>
      <c r="D56" s="297"/>
      <c r="E56" s="298"/>
      <c r="F56" s="297"/>
      <c r="G56" s="298"/>
      <c r="H56" s="386"/>
      <c r="I56" s="386"/>
      <c r="J56" s="390"/>
      <c r="K56" s="458"/>
      <c r="L56" s="386"/>
      <c r="M56" s="386"/>
      <c r="N56" s="390"/>
      <c r="O56" s="458"/>
      <c r="P56" s="386"/>
      <c r="Q56" s="386"/>
      <c r="R56" s="390"/>
      <c r="S56" s="458"/>
      <c r="T56" s="386"/>
    </row>
    <row r="57" spans="2:29">
      <c r="B57" s="299" t="s">
        <v>252</v>
      </c>
      <c r="C57" s="300" t="s">
        <v>652</v>
      </c>
      <c r="D57" s="300"/>
      <c r="E57" s="301"/>
      <c r="F57" s="300"/>
      <c r="G57" s="301"/>
      <c r="H57" s="386"/>
      <c r="I57" s="386"/>
      <c r="J57" s="390"/>
      <c r="K57" s="458"/>
      <c r="L57" s="386"/>
      <c r="M57" s="386"/>
      <c r="N57" s="390"/>
      <c r="O57" s="458"/>
      <c r="P57" s="386"/>
      <c r="Q57" s="386"/>
      <c r="R57" s="390"/>
      <c r="S57" s="458"/>
      <c r="T57" s="386"/>
    </row>
    <row r="58" spans="2:29">
      <c r="B58" s="302" t="s">
        <v>253</v>
      </c>
      <c r="C58" s="303" t="s">
        <v>653</v>
      </c>
      <c r="D58" s="303"/>
      <c r="E58" s="304"/>
      <c r="F58" s="303"/>
      <c r="G58" s="304"/>
      <c r="H58" s="386"/>
      <c r="I58" s="386"/>
      <c r="J58" s="390"/>
      <c r="K58" s="458"/>
      <c r="L58" s="386"/>
      <c r="M58" s="386"/>
      <c r="N58" s="390"/>
      <c r="O58" s="458"/>
      <c r="P58" s="386"/>
      <c r="Q58" s="386"/>
      <c r="R58" s="390"/>
      <c r="S58" s="458"/>
      <c r="T58" s="386"/>
    </row>
    <row r="59" spans="2:29">
      <c r="B59" s="305" t="s">
        <v>654</v>
      </c>
      <c r="C59" s="306" t="s">
        <v>653</v>
      </c>
      <c r="D59" s="306"/>
      <c r="E59" s="307"/>
      <c r="F59" s="306"/>
      <c r="G59" s="307"/>
      <c r="H59" s="386"/>
      <c r="I59" s="386"/>
      <c r="J59" s="390"/>
      <c r="K59" s="458"/>
      <c r="L59" s="386"/>
      <c r="M59" s="386"/>
      <c r="N59" s="390"/>
      <c r="O59" s="458"/>
      <c r="P59" s="386"/>
      <c r="Q59" s="386"/>
      <c r="R59" s="390"/>
      <c r="S59" s="458"/>
      <c r="T59" s="386"/>
    </row>
    <row r="60" spans="2:29">
      <c r="B60" s="460" t="s">
        <v>254</v>
      </c>
      <c r="C60" s="461" t="s">
        <v>688</v>
      </c>
      <c r="D60" s="461"/>
      <c r="E60" s="462"/>
      <c r="F60" s="461"/>
      <c r="G60" s="462"/>
      <c r="H60" s="386"/>
      <c r="I60" s="386"/>
      <c r="J60" s="390"/>
      <c r="K60" s="458"/>
      <c r="L60" s="386"/>
      <c r="M60" s="386"/>
      <c r="N60" s="390"/>
      <c r="O60" s="458"/>
      <c r="P60" s="386"/>
      <c r="Q60" s="386"/>
      <c r="R60" s="390"/>
      <c r="S60" s="458"/>
      <c r="T60" s="386"/>
    </row>
    <row r="61" spans="2:29">
      <c r="B61" s="390"/>
      <c r="C61" s="458"/>
      <c r="D61" s="386"/>
      <c r="E61" s="386"/>
      <c r="F61" s="390"/>
      <c r="G61" s="458"/>
      <c r="H61" s="386"/>
      <c r="I61" s="386"/>
      <c r="J61" s="390"/>
      <c r="K61" s="458"/>
      <c r="L61" s="386"/>
      <c r="M61" s="386"/>
      <c r="N61" s="390"/>
      <c r="O61" s="458"/>
      <c r="P61" s="386"/>
      <c r="Q61" s="386"/>
      <c r="R61" s="390"/>
      <c r="S61" s="458"/>
      <c r="T61" s="386"/>
    </row>
    <row r="62" spans="2:29">
      <c r="B62" s="359"/>
      <c r="C62" s="359"/>
      <c r="D62" s="359"/>
      <c r="E62" s="316"/>
      <c r="F62" s="359"/>
      <c r="G62" s="359"/>
      <c r="H62" s="359"/>
      <c r="I62" s="316"/>
      <c r="J62" s="359"/>
      <c r="K62" s="359"/>
      <c r="L62" s="359"/>
      <c r="M62" s="316"/>
      <c r="N62" s="359"/>
      <c r="O62" s="359"/>
      <c r="P62" s="359"/>
      <c r="Q62" s="316"/>
      <c r="R62" s="359"/>
      <c r="S62" s="359"/>
      <c r="T62" s="359"/>
    </row>
    <row r="63" spans="2:29">
      <c r="B63" s="359"/>
      <c r="C63" s="359"/>
      <c r="D63" s="359"/>
      <c r="E63" s="316"/>
      <c r="F63" s="359"/>
      <c r="G63" s="359"/>
      <c r="H63" s="359"/>
      <c r="I63" s="316"/>
      <c r="J63" s="359"/>
      <c r="K63" s="359"/>
      <c r="L63" s="359"/>
      <c r="M63" s="316"/>
      <c r="N63" s="359"/>
      <c r="O63" s="359"/>
      <c r="P63" s="359"/>
      <c r="Q63" s="316"/>
      <c r="R63" s="359"/>
      <c r="S63" s="359"/>
      <c r="T63" s="359"/>
    </row>
    <row r="64" spans="2:29" ht="15.75">
      <c r="B64" s="463" t="s">
        <v>784</v>
      </c>
      <c r="C64" s="464"/>
      <c r="D64" s="465"/>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row>
    <row r="65" spans="2:24">
      <c r="B65" s="317"/>
      <c r="C65" s="1190">
        <v>2009</v>
      </c>
      <c r="D65" s="1194"/>
      <c r="E65" s="321"/>
      <c r="F65" s="319"/>
      <c r="G65" s="1190">
        <v>2010</v>
      </c>
      <c r="H65" s="1194"/>
      <c r="I65" s="321"/>
      <c r="J65" s="320"/>
      <c r="K65" s="1190">
        <v>2011</v>
      </c>
      <c r="L65" s="1194"/>
      <c r="M65" s="321"/>
      <c r="N65" s="320"/>
      <c r="O65" s="1190">
        <v>2012</v>
      </c>
      <c r="P65" s="1194"/>
      <c r="Q65" s="321"/>
      <c r="R65" s="319"/>
      <c r="S65" s="1190">
        <v>2013</v>
      </c>
      <c r="T65" s="1194"/>
      <c r="V65" s="319" t="s">
        <v>656</v>
      </c>
      <c r="W65" s="1190" t="s">
        <v>657</v>
      </c>
      <c r="X65" s="1194"/>
    </row>
    <row r="66" spans="2:24">
      <c r="B66" s="325" t="s">
        <v>690</v>
      </c>
      <c r="C66" s="470" t="s">
        <v>632</v>
      </c>
      <c r="D66" s="470" t="s">
        <v>633</v>
      </c>
      <c r="E66" s="324"/>
      <c r="F66" s="470" t="s">
        <v>690</v>
      </c>
      <c r="G66" s="470" t="s">
        <v>632</v>
      </c>
      <c r="H66" s="470" t="s">
        <v>633</v>
      </c>
      <c r="I66" s="324"/>
      <c r="J66" s="470" t="s">
        <v>690</v>
      </c>
      <c r="K66" s="470" t="s">
        <v>632</v>
      </c>
      <c r="L66" s="471" t="s">
        <v>633</v>
      </c>
      <c r="M66" s="324"/>
      <c r="N66" s="323" t="s">
        <v>690</v>
      </c>
      <c r="O66" s="325" t="s">
        <v>632</v>
      </c>
      <c r="P66" s="470" t="s">
        <v>633</v>
      </c>
      <c r="Q66" s="324"/>
      <c r="R66" s="323" t="s">
        <v>690</v>
      </c>
      <c r="S66" s="547" t="s">
        <v>710</v>
      </c>
      <c r="T66" s="548" t="s">
        <v>633</v>
      </c>
      <c r="V66" s="323" t="s">
        <v>690</v>
      </c>
      <c r="W66" s="547" t="s">
        <v>710</v>
      </c>
      <c r="X66" s="548" t="s">
        <v>633</v>
      </c>
    </row>
    <row r="67" spans="2:24">
      <c r="B67" s="687" t="s">
        <v>782</v>
      </c>
      <c r="C67" s="552">
        <v>341</v>
      </c>
      <c r="D67" s="550">
        <v>10610</v>
      </c>
      <c r="E67" s="571"/>
      <c r="F67" s="688" t="s">
        <v>782</v>
      </c>
      <c r="G67" s="552">
        <v>329.4</v>
      </c>
      <c r="H67" s="550">
        <v>10247</v>
      </c>
      <c r="I67" s="571"/>
      <c r="J67" s="688" t="s">
        <v>782</v>
      </c>
      <c r="K67" s="552">
        <v>356.9</v>
      </c>
      <c r="L67" s="550">
        <v>9232</v>
      </c>
      <c r="M67" s="571"/>
      <c r="N67" s="687" t="s">
        <v>692</v>
      </c>
      <c r="O67" s="689">
        <v>661</v>
      </c>
      <c r="P67" s="690">
        <v>25504</v>
      </c>
      <c r="Q67" s="571"/>
      <c r="R67" s="687" t="s">
        <v>692</v>
      </c>
      <c r="S67" s="689">
        <v>700</v>
      </c>
      <c r="T67" s="333"/>
      <c r="V67" s="687" t="s">
        <v>692</v>
      </c>
      <c r="W67" s="691">
        <f t="shared" ref="W67:W77" si="2">S67</f>
        <v>700</v>
      </c>
      <c r="X67" s="690">
        <f>(H68+H69+L68+L69+P67)/3</f>
        <v>28544.590342052314</v>
      </c>
    </row>
    <row r="68" spans="2:24">
      <c r="B68" s="692" t="s">
        <v>692</v>
      </c>
      <c r="C68" s="556">
        <v>565.95000000000005</v>
      </c>
      <c r="D68" s="555">
        <v>36285</v>
      </c>
      <c r="E68" s="571"/>
      <c r="F68" s="693" t="s">
        <v>692</v>
      </c>
      <c r="G68" s="556">
        <v>546.70000000000005</v>
      </c>
      <c r="H68" s="555">
        <v>29534.771026156941</v>
      </c>
      <c r="I68" s="571"/>
      <c r="J68" s="693" t="s">
        <v>692</v>
      </c>
      <c r="K68" s="556">
        <v>592.45000000000005</v>
      </c>
      <c r="L68" s="555">
        <v>29619</v>
      </c>
      <c r="M68" s="571"/>
      <c r="N68" s="692" t="s">
        <v>770</v>
      </c>
      <c r="O68" s="560">
        <v>1022</v>
      </c>
      <c r="P68" s="559">
        <v>2295</v>
      </c>
      <c r="Q68" s="571"/>
      <c r="R68" s="692" t="s">
        <v>770</v>
      </c>
      <c r="S68" s="560">
        <v>1082</v>
      </c>
      <c r="T68" s="344"/>
      <c r="V68" s="692" t="s">
        <v>770</v>
      </c>
      <c r="W68" s="694">
        <f t="shared" si="2"/>
        <v>1082</v>
      </c>
      <c r="X68" s="559">
        <f>(H70+H72+L70+L72+P68)/3</f>
        <v>2347.3254703037614</v>
      </c>
    </row>
    <row r="69" spans="2:24">
      <c r="B69" s="692" t="s">
        <v>785</v>
      </c>
      <c r="C69" s="560">
        <v>875.5</v>
      </c>
      <c r="D69" s="559">
        <v>2116</v>
      </c>
      <c r="E69" s="571"/>
      <c r="F69" s="693" t="s">
        <v>786</v>
      </c>
      <c r="G69" s="556">
        <v>0</v>
      </c>
      <c r="H69" s="555">
        <v>0</v>
      </c>
      <c r="I69" s="571"/>
      <c r="J69" s="693" t="s">
        <v>786</v>
      </c>
      <c r="K69" s="556">
        <v>592.45000000000005</v>
      </c>
      <c r="L69" s="555">
        <v>976</v>
      </c>
      <c r="M69" s="571"/>
      <c r="N69" s="692" t="s">
        <v>771</v>
      </c>
      <c r="O69" s="560">
        <v>1242</v>
      </c>
      <c r="P69" s="559">
        <v>1267</v>
      </c>
      <c r="Q69" s="571"/>
      <c r="R69" s="692" t="s">
        <v>771</v>
      </c>
      <c r="S69" s="560">
        <v>1315</v>
      </c>
      <c r="T69" s="344"/>
      <c r="V69" s="692" t="s">
        <v>771</v>
      </c>
      <c r="W69" s="694">
        <f t="shared" si="2"/>
        <v>1315</v>
      </c>
      <c r="X69" s="559">
        <f>(H71+H73+L71+L73+P69)/3</f>
        <v>1308.2887296014562</v>
      </c>
    </row>
    <row r="70" spans="2:24">
      <c r="B70" s="692" t="s">
        <v>787</v>
      </c>
      <c r="C70" s="560">
        <v>1061.5</v>
      </c>
      <c r="D70" s="559">
        <v>1391</v>
      </c>
      <c r="E70" s="571"/>
      <c r="F70" s="693" t="s">
        <v>785</v>
      </c>
      <c r="G70" s="560">
        <v>845.73</v>
      </c>
      <c r="H70" s="559">
        <v>2065.9764109112839</v>
      </c>
      <c r="I70" s="571"/>
      <c r="J70" s="693" t="s">
        <v>785</v>
      </c>
      <c r="K70" s="560">
        <v>916.5</v>
      </c>
      <c r="L70" s="559">
        <v>1844</v>
      </c>
      <c r="M70" s="571"/>
      <c r="N70" s="692" t="s">
        <v>774</v>
      </c>
      <c r="O70" s="563">
        <v>4453</v>
      </c>
      <c r="P70" s="562">
        <v>241</v>
      </c>
      <c r="Q70" s="571"/>
      <c r="R70" s="692" t="s">
        <v>774</v>
      </c>
      <c r="S70" s="563">
        <v>4715</v>
      </c>
      <c r="T70" s="344"/>
      <c r="V70" s="692" t="s">
        <v>774</v>
      </c>
      <c r="W70" s="695">
        <f t="shared" si="2"/>
        <v>4715</v>
      </c>
      <c r="X70" s="562">
        <f t="shared" ref="X70:X76" si="3">(H74+L74+P70)/3</f>
        <v>253.33333333333334</v>
      </c>
    </row>
    <row r="71" spans="2:24">
      <c r="B71" s="692" t="s">
        <v>788</v>
      </c>
      <c r="C71" s="563">
        <v>3817</v>
      </c>
      <c r="D71" s="562">
        <v>227</v>
      </c>
      <c r="E71" s="571"/>
      <c r="F71" s="693" t="s">
        <v>787</v>
      </c>
      <c r="G71" s="560">
        <v>1025.4000000000001</v>
      </c>
      <c r="H71" s="559">
        <v>1165.8661888043689</v>
      </c>
      <c r="I71" s="571"/>
      <c r="J71" s="693" t="s">
        <v>787</v>
      </c>
      <c r="K71" s="560">
        <v>1111</v>
      </c>
      <c r="L71" s="559">
        <v>1214</v>
      </c>
      <c r="M71" s="571"/>
      <c r="N71" s="692" t="s">
        <v>775</v>
      </c>
      <c r="O71" s="563">
        <v>4990</v>
      </c>
      <c r="P71" s="562">
        <v>319</v>
      </c>
      <c r="Q71" s="571"/>
      <c r="R71" s="692" t="s">
        <v>775</v>
      </c>
      <c r="S71" s="563">
        <v>5284</v>
      </c>
      <c r="T71" s="344"/>
      <c r="V71" s="692" t="s">
        <v>775</v>
      </c>
      <c r="W71" s="695">
        <f t="shared" si="2"/>
        <v>5284</v>
      </c>
      <c r="X71" s="562">
        <f t="shared" si="3"/>
        <v>318.66666666666669</v>
      </c>
    </row>
    <row r="72" spans="2:24">
      <c r="B72" s="692" t="s">
        <v>789</v>
      </c>
      <c r="C72" s="563">
        <v>4283</v>
      </c>
      <c r="D72" s="562">
        <v>233</v>
      </c>
      <c r="E72" s="571"/>
      <c r="F72" s="693" t="s">
        <v>790</v>
      </c>
      <c r="G72" s="560">
        <v>0</v>
      </c>
      <c r="H72" s="559">
        <v>0</v>
      </c>
      <c r="I72" s="571"/>
      <c r="J72" s="693" t="s">
        <v>790</v>
      </c>
      <c r="K72" s="560">
        <v>916.5</v>
      </c>
      <c r="L72" s="559">
        <v>837</v>
      </c>
      <c r="M72" s="571"/>
      <c r="N72" s="692" t="s">
        <v>776</v>
      </c>
      <c r="O72" s="563">
        <v>20525</v>
      </c>
      <c r="P72" s="562">
        <v>140.17400915925199</v>
      </c>
      <c r="Q72" s="571"/>
      <c r="R72" s="692" t="s">
        <v>776</v>
      </c>
      <c r="S72" s="563">
        <v>21733</v>
      </c>
      <c r="T72" s="344"/>
      <c r="V72" s="692" t="s">
        <v>776</v>
      </c>
      <c r="W72" s="695">
        <f t="shared" si="2"/>
        <v>21733</v>
      </c>
      <c r="X72" s="562">
        <f t="shared" si="3"/>
        <v>159.05800305308401</v>
      </c>
    </row>
    <row r="73" spans="2:24">
      <c r="B73" s="692" t="s">
        <v>791</v>
      </c>
      <c r="C73" s="563">
        <v>17585</v>
      </c>
      <c r="D73" s="562">
        <v>168</v>
      </c>
      <c r="E73" s="571"/>
      <c r="F73" s="693" t="s">
        <v>792</v>
      </c>
      <c r="G73" s="560">
        <v>0</v>
      </c>
      <c r="H73" s="559">
        <v>0</v>
      </c>
      <c r="I73" s="571"/>
      <c r="J73" s="693" t="s">
        <v>792</v>
      </c>
      <c r="K73" s="560">
        <v>1111</v>
      </c>
      <c r="L73" s="559">
        <v>278</v>
      </c>
      <c r="M73" s="571"/>
      <c r="N73" s="692" t="s">
        <v>777</v>
      </c>
      <c r="O73" s="566">
        <v>38061</v>
      </c>
      <c r="P73" s="565">
        <v>36.530196326350499</v>
      </c>
      <c r="Q73" s="571"/>
      <c r="R73" s="692" t="s">
        <v>777</v>
      </c>
      <c r="S73" s="566">
        <v>38950</v>
      </c>
      <c r="T73" s="344"/>
      <c r="V73" s="692" t="s">
        <v>777</v>
      </c>
      <c r="W73" s="696">
        <f t="shared" si="2"/>
        <v>38950</v>
      </c>
      <c r="X73" s="565">
        <f t="shared" si="3"/>
        <v>29.843398775450169</v>
      </c>
    </row>
    <row r="74" spans="2:24">
      <c r="B74" s="692" t="s">
        <v>793</v>
      </c>
      <c r="C74" s="566">
        <v>32616</v>
      </c>
      <c r="D74" s="565">
        <v>27</v>
      </c>
      <c r="E74" s="571"/>
      <c r="F74" s="693" t="s">
        <v>788</v>
      </c>
      <c r="G74" s="563">
        <v>3687.22</v>
      </c>
      <c r="H74" s="562">
        <v>236</v>
      </c>
      <c r="I74" s="571"/>
      <c r="J74" s="693" t="s">
        <v>794</v>
      </c>
      <c r="K74" s="563">
        <v>3995</v>
      </c>
      <c r="L74" s="562">
        <v>283</v>
      </c>
      <c r="M74" s="571"/>
      <c r="N74" s="692" t="s">
        <v>778</v>
      </c>
      <c r="O74" s="566">
        <v>60300</v>
      </c>
      <c r="P74" s="565">
        <v>41.6274330230506</v>
      </c>
      <c r="Q74" s="571"/>
      <c r="R74" s="692" t="s">
        <v>778</v>
      </c>
      <c r="S74" s="566">
        <v>61700</v>
      </c>
      <c r="T74" s="344"/>
      <c r="V74" s="692" t="s">
        <v>778</v>
      </c>
      <c r="W74" s="696">
        <f t="shared" si="2"/>
        <v>61700</v>
      </c>
      <c r="X74" s="565">
        <f t="shared" si="3"/>
        <v>40.542477674350202</v>
      </c>
    </row>
    <row r="75" spans="2:24">
      <c r="B75" s="692" t="s">
        <v>795</v>
      </c>
      <c r="C75" s="566">
        <v>51797</v>
      </c>
      <c r="D75" s="565">
        <v>41</v>
      </c>
      <c r="E75" s="571"/>
      <c r="F75" s="693" t="s">
        <v>789</v>
      </c>
      <c r="G75" s="563">
        <v>4137.37</v>
      </c>
      <c r="H75" s="562">
        <v>273</v>
      </c>
      <c r="I75" s="571"/>
      <c r="J75" s="693" t="s">
        <v>789</v>
      </c>
      <c r="K75" s="563">
        <v>4483</v>
      </c>
      <c r="L75" s="562">
        <v>364</v>
      </c>
      <c r="M75" s="571"/>
      <c r="N75" s="692" t="s">
        <v>780</v>
      </c>
      <c r="O75" s="566">
        <v>267100</v>
      </c>
      <c r="P75" s="565">
        <v>11</v>
      </c>
      <c r="Q75" s="571"/>
      <c r="R75" s="692" t="s">
        <v>780</v>
      </c>
      <c r="S75" s="566">
        <v>273350</v>
      </c>
      <c r="T75" s="344"/>
      <c r="V75" s="692" t="s">
        <v>780</v>
      </c>
      <c r="W75" s="696">
        <f t="shared" si="2"/>
        <v>273350</v>
      </c>
      <c r="X75" s="565">
        <f t="shared" si="3"/>
        <v>8.6666666666666661</v>
      </c>
    </row>
    <row r="76" spans="2:24">
      <c r="B76" s="692" t="s">
        <v>796</v>
      </c>
      <c r="C76" s="566">
        <v>228994</v>
      </c>
      <c r="D76" s="565">
        <v>8</v>
      </c>
      <c r="E76" s="571"/>
      <c r="F76" s="693" t="s">
        <v>791</v>
      </c>
      <c r="G76" s="563">
        <v>16987.11</v>
      </c>
      <c r="H76" s="562">
        <v>152</v>
      </c>
      <c r="I76" s="571"/>
      <c r="J76" s="693" t="s">
        <v>791</v>
      </c>
      <c r="K76" s="563">
        <v>18408</v>
      </c>
      <c r="L76" s="562">
        <v>185</v>
      </c>
      <c r="M76" s="571"/>
      <c r="N76" s="692" t="s">
        <v>781</v>
      </c>
      <c r="O76" s="566">
        <v>388750</v>
      </c>
      <c r="P76" s="565">
        <v>7</v>
      </c>
      <c r="Q76" s="571"/>
      <c r="R76" s="692" t="s">
        <v>781</v>
      </c>
      <c r="S76" s="566">
        <v>397700</v>
      </c>
      <c r="T76" s="344"/>
      <c r="V76" s="692" t="s">
        <v>781</v>
      </c>
      <c r="W76" s="696">
        <f t="shared" si="2"/>
        <v>397700</v>
      </c>
      <c r="X76" s="565">
        <f t="shared" si="3"/>
        <v>5</v>
      </c>
    </row>
    <row r="77" spans="2:24">
      <c r="B77" s="692" t="s">
        <v>797</v>
      </c>
      <c r="C77" s="567">
        <v>333256</v>
      </c>
      <c r="D77" s="568">
        <v>9</v>
      </c>
      <c r="E77" s="571"/>
      <c r="F77" s="693" t="s">
        <v>793</v>
      </c>
      <c r="G77" s="566">
        <v>31507.05</v>
      </c>
      <c r="H77" s="565">
        <v>25</v>
      </c>
      <c r="I77" s="571"/>
      <c r="J77" s="693" t="s">
        <v>793</v>
      </c>
      <c r="K77" s="566">
        <v>34144</v>
      </c>
      <c r="L77" s="565">
        <v>28</v>
      </c>
      <c r="M77" s="571"/>
      <c r="N77" s="697" t="s">
        <v>782</v>
      </c>
      <c r="O77" s="698">
        <v>398</v>
      </c>
      <c r="P77" s="699">
        <v>8427</v>
      </c>
      <c r="Q77" s="571"/>
      <c r="R77" s="697" t="s">
        <v>782</v>
      </c>
      <c r="S77" s="698">
        <v>421</v>
      </c>
      <c r="T77" s="486"/>
      <c r="V77" s="697" t="s">
        <v>782</v>
      </c>
      <c r="W77" s="700">
        <f t="shared" si="2"/>
        <v>421</v>
      </c>
      <c r="X77" s="699">
        <f>(H67+L67+P77)/3</f>
        <v>9302</v>
      </c>
    </row>
    <row r="78" spans="2:24">
      <c r="B78" s="701"/>
      <c r="C78" s="280"/>
      <c r="D78" s="281"/>
      <c r="E78" s="570"/>
      <c r="F78" s="344" t="s">
        <v>795</v>
      </c>
      <c r="G78" s="480">
        <v>50035.9</v>
      </c>
      <c r="H78" s="348">
        <v>43</v>
      </c>
      <c r="I78" s="527"/>
      <c r="J78" s="344" t="s">
        <v>795</v>
      </c>
      <c r="K78" s="566">
        <v>54223</v>
      </c>
      <c r="L78" s="565">
        <v>37</v>
      </c>
      <c r="M78" s="571"/>
      <c r="N78" s="571"/>
      <c r="O78" s="280"/>
      <c r="P78" s="281"/>
      <c r="Q78" s="570"/>
      <c r="R78" s="571"/>
      <c r="S78" s="536"/>
      <c r="T78" s="572"/>
      <c r="V78" s="571"/>
      <c r="W78" s="702"/>
      <c r="X78" s="597"/>
    </row>
    <row r="79" spans="2:24">
      <c r="B79" s="526"/>
      <c r="C79" s="280"/>
      <c r="D79" s="281"/>
      <c r="E79" s="570"/>
      <c r="F79" s="703" t="s">
        <v>796</v>
      </c>
      <c r="G79" s="704">
        <v>221208.2</v>
      </c>
      <c r="H79" s="705">
        <v>7</v>
      </c>
      <c r="I79" s="574"/>
      <c r="J79" s="703" t="s">
        <v>796</v>
      </c>
      <c r="K79" s="566">
        <v>239723</v>
      </c>
      <c r="L79" s="565">
        <v>8</v>
      </c>
      <c r="M79" s="571"/>
      <c r="N79" s="571"/>
      <c r="O79" s="280"/>
      <c r="P79" s="281"/>
      <c r="Q79" s="570"/>
      <c r="R79" s="571"/>
      <c r="S79" s="536"/>
      <c r="T79" s="572"/>
      <c r="V79" s="571"/>
      <c r="W79" s="702"/>
      <c r="X79" s="597"/>
    </row>
    <row r="80" spans="2:24">
      <c r="B80" s="526"/>
      <c r="C80" s="280"/>
      <c r="D80" s="281"/>
      <c r="E80" s="570"/>
      <c r="F80" s="706" t="s">
        <v>797</v>
      </c>
      <c r="G80" s="707">
        <v>321925.28999999998</v>
      </c>
      <c r="H80" s="708">
        <v>3</v>
      </c>
      <c r="I80" s="574"/>
      <c r="J80" s="706" t="s">
        <v>797</v>
      </c>
      <c r="K80" s="567">
        <v>348870</v>
      </c>
      <c r="L80" s="568">
        <v>5</v>
      </c>
      <c r="M80" s="571"/>
      <c r="N80" s="571"/>
      <c r="O80" s="280"/>
      <c r="P80" s="281"/>
      <c r="Q80" s="570"/>
      <c r="R80" s="571"/>
      <c r="S80" s="536"/>
      <c r="T80" s="572"/>
      <c r="V80" s="571"/>
      <c r="W80" s="702"/>
      <c r="X80" s="597"/>
    </row>
    <row r="81" spans="2:24">
      <c r="B81" s="526"/>
      <c r="C81" s="280"/>
      <c r="D81" s="281"/>
      <c r="E81" s="570"/>
      <c r="F81" s="526"/>
      <c r="G81" s="280"/>
      <c r="H81" s="281"/>
      <c r="I81" s="570"/>
      <c r="J81" s="526"/>
      <c r="K81" s="280"/>
      <c r="L81" s="281"/>
      <c r="M81" s="570"/>
      <c r="N81" s="571"/>
      <c r="O81" s="280"/>
      <c r="P81" s="281"/>
      <c r="Q81" s="570"/>
      <c r="R81" s="571"/>
      <c r="S81" s="536"/>
      <c r="T81" s="572"/>
      <c r="V81" s="571"/>
      <c r="W81" s="702"/>
      <c r="X81" s="597"/>
    </row>
    <row r="82" spans="2:24">
      <c r="B82" s="526"/>
      <c r="C82" s="280"/>
      <c r="D82" s="281"/>
      <c r="E82" s="570"/>
      <c r="F82" s="526"/>
      <c r="G82" s="280"/>
      <c r="H82" s="281"/>
      <c r="I82" s="570"/>
      <c r="J82" s="526"/>
      <c r="K82" s="280"/>
      <c r="L82" s="281"/>
      <c r="M82" s="570"/>
      <c r="N82" s="571"/>
      <c r="O82" s="280"/>
      <c r="P82" s="281"/>
      <c r="Q82" s="570"/>
      <c r="R82" s="571"/>
      <c r="S82" s="536"/>
      <c r="T82" s="572"/>
      <c r="V82" s="571"/>
      <c r="W82" s="702"/>
      <c r="X82" s="597"/>
    </row>
    <row r="83" spans="2:24">
      <c r="B83" s="390"/>
      <c r="C83" s="488"/>
      <c r="D83" s="490"/>
      <c r="E83" s="390"/>
      <c r="F83" s="489"/>
      <c r="G83" s="488"/>
      <c r="H83" s="490"/>
      <c r="I83" s="390"/>
      <c r="J83" s="390"/>
      <c r="K83" s="488"/>
      <c r="L83" s="490"/>
      <c r="M83" s="390"/>
      <c r="N83" s="573"/>
      <c r="O83" s="280"/>
      <c r="P83" s="281"/>
      <c r="Q83" s="570"/>
      <c r="R83" s="574"/>
      <c r="S83" s="536"/>
      <c r="T83" s="574"/>
      <c r="V83" s="574"/>
      <c r="W83" s="702"/>
      <c r="X83" s="401"/>
    </row>
    <row r="84" spans="2:24">
      <c r="B84" s="390"/>
      <c r="C84" s="488"/>
      <c r="D84" s="490"/>
      <c r="E84" s="390"/>
      <c r="F84" s="489"/>
      <c r="G84" s="488"/>
      <c r="H84" s="490"/>
      <c r="I84" s="390"/>
      <c r="J84" s="390"/>
      <c r="K84" s="488"/>
      <c r="L84" s="490"/>
      <c r="M84" s="390"/>
      <c r="N84" s="390"/>
      <c r="O84" s="488"/>
      <c r="P84" s="490"/>
      <c r="Q84" s="390"/>
      <c r="R84" s="390"/>
      <c r="S84" s="488"/>
      <c r="T84" s="390"/>
      <c r="V84" s="390"/>
      <c r="W84" s="709"/>
      <c r="X84" s="490"/>
    </row>
    <row r="85" spans="2:24">
      <c r="B85" s="383" t="s">
        <v>680</v>
      </c>
      <c r="C85" s="491">
        <f>SUMPRODUCT(C67:C82,D67:D82)</f>
        <v>40136853.25</v>
      </c>
      <c r="D85" s="424"/>
      <c r="E85" s="386"/>
      <c r="F85" s="492" t="s">
        <v>680</v>
      </c>
      <c r="G85" s="491">
        <f>SUMPRODUCT(G67:G80,H67:H80)</f>
        <v>32499938.41</v>
      </c>
      <c r="H85" s="424"/>
      <c r="I85" s="386"/>
      <c r="J85" s="383" t="s">
        <v>680</v>
      </c>
      <c r="K85" s="491">
        <f>SUMPRODUCT(K67:K80,L67:L80)</f>
        <v>38327951.049999997</v>
      </c>
      <c r="L85" s="424"/>
      <c r="M85" s="386"/>
      <c r="N85" s="383" t="s">
        <v>680</v>
      </c>
      <c r="O85" s="491">
        <f>SUMPRODUCT(O67:O77,P67:P77)</f>
        <v>39233108.551660821</v>
      </c>
      <c r="P85" s="424"/>
      <c r="Q85" s="386"/>
      <c r="R85" s="383" t="s">
        <v>680</v>
      </c>
      <c r="S85" s="491">
        <f>SUMPRODUCT(S67:S77,T67:T77)</f>
        <v>0</v>
      </c>
      <c r="T85" s="422"/>
      <c r="V85" s="383" t="s">
        <v>680</v>
      </c>
      <c r="W85" s="491">
        <f>SUMPRODUCT(W67:W77,X67:X77)</f>
        <v>42514074.57956174</v>
      </c>
      <c r="X85" s="424"/>
    </row>
    <row r="86" spans="2:24">
      <c r="B86" s="390"/>
      <c r="C86" s="269"/>
      <c r="D86" s="391"/>
      <c r="E86" s="386"/>
      <c r="F86" s="489"/>
      <c r="G86" s="493"/>
      <c r="H86" s="391"/>
      <c r="I86" s="386"/>
      <c r="J86" s="390"/>
      <c r="K86" s="269"/>
      <c r="L86" s="391"/>
      <c r="M86" s="386"/>
      <c r="N86" s="390"/>
      <c r="O86" s="269"/>
      <c r="P86" s="391"/>
      <c r="Q86" s="386"/>
      <c r="R86" s="359"/>
      <c r="S86" s="359"/>
      <c r="T86" s="359"/>
      <c r="V86" s="390"/>
      <c r="W86" s="710"/>
      <c r="X86" s="391"/>
    </row>
    <row r="87" spans="2:24" ht="22.5">
      <c r="B87" s="494" t="s">
        <v>704</v>
      </c>
      <c r="C87" s="495" t="s">
        <v>682</v>
      </c>
      <c r="D87" s="541" t="s">
        <v>683</v>
      </c>
      <c r="E87" s="434"/>
      <c r="F87" s="494" t="s">
        <v>705</v>
      </c>
      <c r="G87" s="393" t="s">
        <v>682</v>
      </c>
      <c r="H87" s="497" t="s">
        <v>683</v>
      </c>
      <c r="I87" s="434"/>
      <c r="J87" s="494" t="s">
        <v>705</v>
      </c>
      <c r="K87" s="393" t="s">
        <v>682</v>
      </c>
      <c r="L87" s="497" t="s">
        <v>683</v>
      </c>
      <c r="M87" s="434"/>
      <c r="N87" s="494" t="s">
        <v>705</v>
      </c>
      <c r="O87" s="393" t="s">
        <v>682</v>
      </c>
      <c r="P87" s="497" t="s">
        <v>683</v>
      </c>
      <c r="Q87" s="434"/>
      <c r="R87" s="359"/>
      <c r="S87" s="359"/>
      <c r="T87" s="359"/>
      <c r="V87" s="579" t="s">
        <v>705</v>
      </c>
      <c r="W87" s="711" t="s">
        <v>682</v>
      </c>
      <c r="X87" s="497" t="s">
        <v>683</v>
      </c>
    </row>
    <row r="88" spans="2:24" s="359" customFormat="1" ht="11.25">
      <c r="B88" s="438" t="s">
        <v>251</v>
      </c>
      <c r="C88" s="249">
        <f>C67</f>
        <v>341</v>
      </c>
      <c r="D88" s="250">
        <f>D67</f>
        <v>10610</v>
      </c>
      <c r="E88" s="443"/>
      <c r="F88" s="438" t="s">
        <v>251</v>
      </c>
      <c r="G88" s="249">
        <f>G67</f>
        <v>329.4</v>
      </c>
      <c r="H88" s="250">
        <f>H67</f>
        <v>10247</v>
      </c>
      <c r="I88" s="443"/>
      <c r="J88" s="438" t="s">
        <v>251</v>
      </c>
      <c r="K88" s="249">
        <f>K67</f>
        <v>356.9</v>
      </c>
      <c r="L88" s="250">
        <f>L67</f>
        <v>9232</v>
      </c>
      <c r="M88" s="443"/>
      <c r="N88" s="438" t="s">
        <v>251</v>
      </c>
      <c r="O88" s="249">
        <f>O77</f>
        <v>398</v>
      </c>
      <c r="P88" s="250">
        <f>P77</f>
        <v>8427</v>
      </c>
      <c r="Q88" s="443"/>
      <c r="V88" s="580" t="s">
        <v>251</v>
      </c>
      <c r="W88" s="712">
        <f>W77</f>
        <v>421</v>
      </c>
      <c r="X88" s="250">
        <f>X77</f>
        <v>9302</v>
      </c>
    </row>
    <row r="89" spans="2:24" s="359" customFormat="1" ht="11.25">
      <c r="B89" s="438" t="s">
        <v>252</v>
      </c>
      <c r="C89" s="252">
        <f>SUMPRODUCT(C68,D68)/SUM(D68)</f>
        <v>565.95000000000005</v>
      </c>
      <c r="D89" s="253">
        <f>SUM(D68)</f>
        <v>36285</v>
      </c>
      <c r="E89" s="443"/>
      <c r="F89" s="438" t="s">
        <v>252</v>
      </c>
      <c r="G89" s="252">
        <f>SUMPRODUCT(G68:G69,H68:H69)/SUM(H68:H69)</f>
        <v>546.70000000000005</v>
      </c>
      <c r="H89" s="253">
        <f>SUM(H68:H69)</f>
        <v>29534.771026156941</v>
      </c>
      <c r="I89" s="443"/>
      <c r="J89" s="438" t="s">
        <v>252</v>
      </c>
      <c r="K89" s="252">
        <f>SUMPRODUCT(K68:K69,L68:L69)/SUM(L68:L69)</f>
        <v>592.45000000000005</v>
      </c>
      <c r="L89" s="253">
        <f>SUM(L68:L69)</f>
        <v>30595</v>
      </c>
      <c r="M89" s="443"/>
      <c r="N89" s="438" t="s">
        <v>252</v>
      </c>
      <c r="O89" s="252">
        <f>SUMPRODUCT(O67,P67)/SUM(P67)</f>
        <v>661</v>
      </c>
      <c r="P89" s="253">
        <f>SUM(P67)</f>
        <v>25504</v>
      </c>
      <c r="Q89" s="443"/>
      <c r="V89" s="441" t="s">
        <v>252</v>
      </c>
      <c r="W89" s="713">
        <f>SUMPRODUCT(W67,X67)/SUM(X67)</f>
        <v>700</v>
      </c>
      <c r="X89" s="253">
        <f>SUM(X67)</f>
        <v>28544.590342052314</v>
      </c>
    </row>
    <row r="90" spans="2:24" s="359" customFormat="1" ht="11.25">
      <c r="B90" s="438" t="s">
        <v>253</v>
      </c>
      <c r="C90" s="254">
        <f>SUMPRODUCT(C69:C70,D69:D70)/SUM(D69:D70)</f>
        <v>949.27416595380669</v>
      </c>
      <c r="D90" s="255">
        <f>SUM(D69:D70)</f>
        <v>3507</v>
      </c>
      <c r="E90" s="443"/>
      <c r="F90" s="438" t="s">
        <v>253</v>
      </c>
      <c r="G90" s="254">
        <f>SUMPRODUCT(G70:G73,H70:H73)/SUM(H70:H73)</f>
        <v>910.54478341826143</v>
      </c>
      <c r="H90" s="255">
        <f>SUM(H70:H73)</f>
        <v>3231.8425997156528</v>
      </c>
      <c r="I90" s="443"/>
      <c r="J90" s="438" t="s">
        <v>253</v>
      </c>
      <c r="K90" s="254">
        <f>SUMPRODUCT(K70:K73,L70:L73)/SUM(L70:L73)</f>
        <v>986.0408578959981</v>
      </c>
      <c r="L90" s="255">
        <f>SUM(L70:L73)</f>
        <v>4173</v>
      </c>
      <c r="M90" s="443"/>
      <c r="N90" s="438" t="s">
        <v>253</v>
      </c>
      <c r="O90" s="254">
        <f>SUMPRODUCT(O68:O69,P68:P69)/SUM(P68:P69)</f>
        <v>1100.2537900056147</v>
      </c>
      <c r="P90" s="255">
        <f>SUM(P68:P69)</f>
        <v>3562</v>
      </c>
      <c r="Q90" s="443"/>
      <c r="V90" s="441" t="s">
        <v>253</v>
      </c>
      <c r="W90" s="714">
        <f>SUMPRODUCT(W68:W69,X68:X69)/SUM(X68:X69)</f>
        <v>1165.3871566657781</v>
      </c>
      <c r="X90" s="255">
        <f>SUM(X68:X69)</f>
        <v>3655.6141999052179</v>
      </c>
    </row>
    <row r="91" spans="2:24" s="359" customFormat="1" ht="11.25">
      <c r="B91" s="438" t="s">
        <v>255</v>
      </c>
      <c r="C91" s="256">
        <f>SUMPRODUCT(C71:C73,D71:D73)/SUM(D71:D73)</f>
        <v>7673.0541401273886</v>
      </c>
      <c r="D91" s="257">
        <f>SUM(D71:D73)</f>
        <v>628</v>
      </c>
      <c r="E91" s="443"/>
      <c r="F91" s="438" t="s">
        <v>255</v>
      </c>
      <c r="G91" s="256">
        <f>SUMPRODUCT(G74:G76,H74:H76)/SUM(H74:H76)</f>
        <v>6931.5077912254164</v>
      </c>
      <c r="H91" s="257">
        <f>SUM(H74:H76)</f>
        <v>661</v>
      </c>
      <c r="I91" s="443"/>
      <c r="J91" s="438" t="s">
        <v>255</v>
      </c>
      <c r="K91" s="256">
        <f>SUMPRODUCT(K74:K76,L74:L76)/SUM(L74:L76)</f>
        <v>7413.3137019230771</v>
      </c>
      <c r="L91" s="257">
        <f>SUM(L74:L76)</f>
        <v>832</v>
      </c>
      <c r="M91" s="443"/>
      <c r="N91" s="438" t="s">
        <v>255</v>
      </c>
      <c r="O91" s="256">
        <f>SUMPRODUCT(O70:O72,P70:P72)/SUM(P70:P72)</f>
        <v>7915.2531592087807</v>
      </c>
      <c r="P91" s="257">
        <f>SUM(P70:P72)</f>
        <v>700.17400915925202</v>
      </c>
      <c r="Q91" s="443"/>
      <c r="V91" s="441" t="s">
        <v>255</v>
      </c>
      <c r="W91" s="715">
        <f>SUMPRODUCT(W70:W72,X70:X72)/SUM(X70:X72)</f>
        <v>8665.6720632685556</v>
      </c>
      <c r="X91" s="257">
        <f>SUM(X70:X72)</f>
        <v>731.05800305308401</v>
      </c>
    </row>
    <row r="92" spans="2:24" s="359" customFormat="1" ht="11.25">
      <c r="B92" s="438" t="s">
        <v>254</v>
      </c>
      <c r="C92" s="258">
        <f>SUMPRODUCT(C74:C77,D74:D77)/SUM(D74:D77)</f>
        <v>92183.117647058825</v>
      </c>
      <c r="D92" s="268">
        <f>SUM(D74:D77)</f>
        <v>85</v>
      </c>
      <c r="E92" s="443"/>
      <c r="F92" s="447" t="s">
        <v>254</v>
      </c>
      <c r="G92" s="267">
        <f>SUMPRODUCT(G77:G80,H77:H80)/SUM(H77:H80)</f>
        <v>69916.066923076927</v>
      </c>
      <c r="H92" s="268">
        <f>SUM(H77:H80)</f>
        <v>78</v>
      </c>
      <c r="I92" s="443"/>
      <c r="J92" s="438" t="s">
        <v>254</v>
      </c>
      <c r="K92" s="258">
        <f>SUMPRODUCT(K77:K80,L77:L80)/SUM(L77:L80)</f>
        <v>84928.423076923078</v>
      </c>
      <c r="L92" s="268">
        <f>SUM(L77:L80)</f>
        <v>78</v>
      </c>
      <c r="M92" s="443"/>
      <c r="N92" s="438" t="s">
        <v>254</v>
      </c>
      <c r="O92" s="258">
        <f>SUMPRODUCT(O73:O76,P73:P76)/SUM(P73:P76)</f>
        <v>99418.632492801975</v>
      </c>
      <c r="P92" s="268">
        <f>SUM(P73:P76)</f>
        <v>96.157629349401105</v>
      </c>
      <c r="Q92" s="443"/>
      <c r="V92" s="449" t="s">
        <v>254</v>
      </c>
      <c r="W92" s="716">
        <f>SUMPRODUCT(W73:W76,X73:X76)/SUM(X73:X76)</f>
        <v>95433.21701795148</v>
      </c>
      <c r="X92" s="268">
        <f>SUM(X73:X76)</f>
        <v>84.052543116467049</v>
      </c>
    </row>
    <row r="93" spans="2:24">
      <c r="B93" s="450" t="s">
        <v>680</v>
      </c>
      <c r="C93" s="451">
        <f>SUMPRODUCT(C88:C92,D88:D92)</f>
        <v>40136853.25</v>
      </c>
      <c r="D93" s="454"/>
      <c r="E93" s="443"/>
      <c r="F93" s="450" t="s">
        <v>680</v>
      </c>
      <c r="G93" s="451">
        <f>SUMPRODUCT(G88:G92,H88:H92)</f>
        <v>32499938.409999996</v>
      </c>
      <c r="H93" s="454"/>
      <c r="I93" s="443"/>
      <c r="J93" s="450" t="s">
        <v>680</v>
      </c>
      <c r="K93" s="451">
        <f>SUMPRODUCT(K88:K92,L88:L92)</f>
        <v>38327951.049999997</v>
      </c>
      <c r="L93" s="454"/>
      <c r="M93" s="443"/>
      <c r="N93" s="450" t="s">
        <v>680</v>
      </c>
      <c r="O93" s="451">
        <f>SUMPRODUCT(O88:O92,P88:P92)</f>
        <v>39233108.551660821</v>
      </c>
      <c r="P93" s="454"/>
      <c r="Q93" s="443"/>
      <c r="R93" s="359"/>
      <c r="S93" s="359"/>
      <c r="T93" s="359"/>
      <c r="V93" s="586" t="s">
        <v>680</v>
      </c>
      <c r="W93" s="451">
        <f>SUMPRODUCT(W88:W92,X88:X92)</f>
        <v>42514074.57956174</v>
      </c>
      <c r="X93" s="454"/>
    </row>
    <row r="94" spans="2:24">
      <c r="B94" s="390"/>
      <c r="C94" s="500"/>
      <c r="D94" s="391"/>
      <c r="E94" s="386"/>
      <c r="F94" s="489"/>
      <c r="G94" s="455"/>
      <c r="H94" s="391"/>
      <c r="I94" s="386"/>
      <c r="J94" s="390"/>
      <c r="K94" s="455"/>
      <c r="L94" s="391"/>
      <c r="M94" s="386"/>
      <c r="N94" s="390"/>
      <c r="O94" s="455"/>
      <c r="P94" s="391"/>
      <c r="Q94" s="386"/>
      <c r="R94" s="359"/>
      <c r="S94" s="359"/>
      <c r="T94" s="359"/>
      <c r="V94" s="390"/>
      <c r="W94" s="455"/>
      <c r="X94" s="391"/>
    </row>
    <row r="95" spans="2:24">
      <c r="B95" s="501" t="s">
        <v>706</v>
      </c>
      <c r="C95" s="393" t="s">
        <v>682</v>
      </c>
      <c r="D95" s="397" t="s">
        <v>683</v>
      </c>
      <c r="E95" s="503"/>
      <c r="F95" s="501" t="s">
        <v>706</v>
      </c>
      <c r="G95" s="393" t="s">
        <v>682</v>
      </c>
      <c r="H95" s="497" t="s">
        <v>683</v>
      </c>
      <c r="I95" s="503"/>
      <c r="J95" s="501" t="s">
        <v>706</v>
      </c>
      <c r="K95" s="393" t="s">
        <v>682</v>
      </c>
      <c r="L95" s="497" t="s">
        <v>683</v>
      </c>
      <c r="M95" s="503"/>
      <c r="N95" s="501" t="s">
        <v>706</v>
      </c>
      <c r="O95" s="393" t="s">
        <v>682</v>
      </c>
      <c r="P95" s="397" t="s">
        <v>683</v>
      </c>
      <c r="Q95" s="503"/>
      <c r="R95" s="587" t="s">
        <v>706</v>
      </c>
      <c r="S95" s="393" t="s">
        <v>682</v>
      </c>
      <c r="T95" s="502" t="s">
        <v>683</v>
      </c>
      <c r="V95" s="587" t="s">
        <v>706</v>
      </c>
      <c r="W95" s="393" t="s">
        <v>682</v>
      </c>
      <c r="X95" s="397" t="s">
        <v>683</v>
      </c>
    </row>
    <row r="96" spans="2:24">
      <c r="B96" s="687" t="s">
        <v>782</v>
      </c>
      <c r="C96" s="552">
        <v>16.93</v>
      </c>
      <c r="D96" s="550">
        <v>17007</v>
      </c>
      <c r="E96" s="571"/>
      <c r="F96" s="687" t="s">
        <v>782</v>
      </c>
      <c r="G96" s="552">
        <v>16.350000000000001</v>
      </c>
      <c r="H96" s="550">
        <v>12090</v>
      </c>
      <c r="I96" s="551"/>
      <c r="J96" s="687" t="s">
        <v>782</v>
      </c>
      <c r="K96" s="552">
        <v>17.71</v>
      </c>
      <c r="L96" s="550">
        <v>12904</v>
      </c>
      <c r="M96" s="551"/>
      <c r="N96" s="687" t="s">
        <v>692</v>
      </c>
      <c r="O96" s="689">
        <v>26.1</v>
      </c>
      <c r="P96" s="690">
        <v>38233</v>
      </c>
      <c r="Q96" s="551"/>
      <c r="R96" s="688" t="s">
        <v>692</v>
      </c>
      <c r="S96" s="717">
        <v>27.6</v>
      </c>
      <c r="T96" s="553"/>
      <c r="V96" s="688" t="s">
        <v>692</v>
      </c>
      <c r="W96" s="717">
        <v>27.6</v>
      </c>
      <c r="X96" s="690">
        <f t="shared" ref="X96:X105" si="4">(H97+L97+P96)/3</f>
        <v>33369.666666666664</v>
      </c>
    </row>
    <row r="97" spans="2:24">
      <c r="B97" s="692" t="s">
        <v>692</v>
      </c>
      <c r="C97" s="556">
        <v>22.37</v>
      </c>
      <c r="D97" s="555">
        <v>34778</v>
      </c>
      <c r="E97" s="571"/>
      <c r="F97" s="692" t="s">
        <v>692</v>
      </c>
      <c r="G97" s="556">
        <v>21.6</v>
      </c>
      <c r="H97" s="555">
        <v>24040</v>
      </c>
      <c r="I97" s="551"/>
      <c r="J97" s="692" t="s">
        <v>692</v>
      </c>
      <c r="K97" s="556">
        <v>23.4</v>
      </c>
      <c r="L97" s="555">
        <v>37836</v>
      </c>
      <c r="M97" s="551"/>
      <c r="N97" s="692" t="s">
        <v>770</v>
      </c>
      <c r="O97" s="560">
        <v>34.1</v>
      </c>
      <c r="P97" s="559">
        <v>13820</v>
      </c>
      <c r="Q97" s="551"/>
      <c r="R97" s="693" t="s">
        <v>770</v>
      </c>
      <c r="S97" s="718">
        <v>36.1</v>
      </c>
      <c r="T97" s="557"/>
      <c r="V97" s="693" t="s">
        <v>770</v>
      </c>
      <c r="W97" s="718">
        <v>36.1</v>
      </c>
      <c r="X97" s="559">
        <f t="shared" si="4"/>
        <v>14224.333333333334</v>
      </c>
    </row>
    <row r="98" spans="2:24">
      <c r="B98" s="692" t="s">
        <v>785</v>
      </c>
      <c r="C98" s="560">
        <v>29.27</v>
      </c>
      <c r="D98" s="559">
        <v>20149</v>
      </c>
      <c r="E98" s="571"/>
      <c r="F98" s="692" t="s">
        <v>785</v>
      </c>
      <c r="G98" s="560">
        <v>28.27</v>
      </c>
      <c r="H98" s="559">
        <v>14892</v>
      </c>
      <c r="I98" s="551"/>
      <c r="J98" s="692" t="s">
        <v>785</v>
      </c>
      <c r="K98" s="560">
        <v>30.63</v>
      </c>
      <c r="L98" s="559">
        <v>13961</v>
      </c>
      <c r="M98" s="551"/>
      <c r="N98" s="692" t="s">
        <v>771</v>
      </c>
      <c r="O98" s="560">
        <v>35.299999999999997</v>
      </c>
      <c r="P98" s="559">
        <v>15824</v>
      </c>
      <c r="Q98" s="551"/>
      <c r="R98" s="693" t="s">
        <v>771</v>
      </c>
      <c r="S98" s="718">
        <v>37.4</v>
      </c>
      <c r="T98" s="557"/>
      <c r="V98" s="693" t="s">
        <v>771</v>
      </c>
      <c r="W98" s="718">
        <v>37.4</v>
      </c>
      <c r="X98" s="559">
        <f t="shared" si="4"/>
        <v>15950</v>
      </c>
    </row>
    <row r="99" spans="2:24">
      <c r="B99" s="692" t="s">
        <v>787</v>
      </c>
      <c r="C99" s="560">
        <v>30.22</v>
      </c>
      <c r="D99" s="559">
        <v>17327</v>
      </c>
      <c r="E99" s="571"/>
      <c r="F99" s="692" t="s">
        <v>787</v>
      </c>
      <c r="G99" s="560">
        <v>29.19</v>
      </c>
      <c r="H99" s="559">
        <v>15166</v>
      </c>
      <c r="I99" s="551"/>
      <c r="J99" s="692" t="s">
        <v>787</v>
      </c>
      <c r="K99" s="560">
        <v>31.63</v>
      </c>
      <c r="L99" s="559">
        <v>16860</v>
      </c>
      <c r="M99" s="551"/>
      <c r="N99" s="692" t="s">
        <v>774</v>
      </c>
      <c r="O99" s="563">
        <v>46.7</v>
      </c>
      <c r="P99" s="562">
        <v>28230.135683951379</v>
      </c>
      <c r="Q99" s="551"/>
      <c r="R99" s="693" t="s">
        <v>774</v>
      </c>
      <c r="S99" s="719">
        <v>49.4</v>
      </c>
      <c r="T99" s="557"/>
      <c r="V99" s="693" t="s">
        <v>774</v>
      </c>
      <c r="W99" s="719">
        <v>49.4</v>
      </c>
      <c r="X99" s="562">
        <f t="shared" si="4"/>
        <v>32691.205181061392</v>
      </c>
    </row>
    <row r="100" spans="2:24">
      <c r="B100" s="692" t="s">
        <v>788</v>
      </c>
      <c r="C100" s="563">
        <v>39.99</v>
      </c>
      <c r="D100" s="562">
        <v>30283</v>
      </c>
      <c r="E100" s="571"/>
      <c r="F100" s="692" t="s">
        <v>788</v>
      </c>
      <c r="G100" s="563">
        <v>38.630000000000003</v>
      </c>
      <c r="H100" s="562">
        <v>36257</v>
      </c>
      <c r="I100" s="551"/>
      <c r="J100" s="692" t="s">
        <v>788</v>
      </c>
      <c r="K100" s="563">
        <v>41.86</v>
      </c>
      <c r="L100" s="562">
        <v>33586.479859232801</v>
      </c>
      <c r="M100" s="551"/>
      <c r="N100" s="692" t="s">
        <v>775</v>
      </c>
      <c r="O100" s="563">
        <v>57.8</v>
      </c>
      <c r="P100" s="562">
        <v>37366.86009618461</v>
      </c>
      <c r="Q100" s="551"/>
      <c r="R100" s="693" t="s">
        <v>775</v>
      </c>
      <c r="S100" s="719">
        <v>61.2</v>
      </c>
      <c r="T100" s="557"/>
      <c r="V100" s="693" t="s">
        <v>775</v>
      </c>
      <c r="W100" s="719">
        <v>61.2</v>
      </c>
      <c r="X100" s="562">
        <f t="shared" si="4"/>
        <v>40836.143787963469</v>
      </c>
    </row>
    <row r="101" spans="2:24">
      <c r="B101" s="692" t="s">
        <v>789</v>
      </c>
      <c r="C101" s="563">
        <v>49.51</v>
      </c>
      <c r="D101" s="562">
        <v>31083</v>
      </c>
      <c r="E101" s="571"/>
      <c r="F101" s="692" t="s">
        <v>789</v>
      </c>
      <c r="G101" s="563">
        <v>47.82</v>
      </c>
      <c r="H101" s="562">
        <v>41942</v>
      </c>
      <c r="I101" s="551"/>
      <c r="J101" s="692" t="s">
        <v>789</v>
      </c>
      <c r="K101" s="563">
        <v>51.82</v>
      </c>
      <c r="L101" s="562">
        <v>43199.571267705789</v>
      </c>
      <c r="M101" s="551"/>
      <c r="N101" s="692" t="s">
        <v>776</v>
      </c>
      <c r="O101" s="563">
        <v>125.5</v>
      </c>
      <c r="P101" s="562">
        <v>5276.9361231411622</v>
      </c>
      <c r="Q101" s="551"/>
      <c r="R101" s="693" t="s">
        <v>776</v>
      </c>
      <c r="S101" s="719">
        <v>132.9</v>
      </c>
      <c r="T101" s="557"/>
      <c r="V101" s="693" t="s">
        <v>776</v>
      </c>
      <c r="W101" s="719">
        <v>132.9</v>
      </c>
      <c r="X101" s="562">
        <f t="shared" si="4"/>
        <v>5945.6453743803868</v>
      </c>
    </row>
    <row r="102" spans="2:24">
      <c r="B102" s="692" t="s">
        <v>791</v>
      </c>
      <c r="C102" s="563">
        <v>107.59</v>
      </c>
      <c r="D102" s="562">
        <v>24364</v>
      </c>
      <c r="E102" s="571"/>
      <c r="F102" s="692" t="s">
        <v>791</v>
      </c>
      <c r="G102" s="563">
        <v>103.93</v>
      </c>
      <c r="H102" s="562">
        <v>6784</v>
      </c>
      <c r="I102" s="551"/>
      <c r="J102" s="692" t="s">
        <v>791</v>
      </c>
      <c r="K102" s="563">
        <v>112.62</v>
      </c>
      <c r="L102" s="562">
        <v>5776</v>
      </c>
      <c r="M102" s="551"/>
      <c r="N102" s="692" t="s">
        <v>777</v>
      </c>
      <c r="O102" s="566">
        <v>125.5</v>
      </c>
      <c r="P102" s="565">
        <v>1418.7300623272413</v>
      </c>
      <c r="Q102" s="551"/>
      <c r="R102" s="693" t="s">
        <v>777</v>
      </c>
      <c r="S102" s="720">
        <v>132.9</v>
      </c>
      <c r="T102" s="557"/>
      <c r="V102" s="693" t="s">
        <v>777</v>
      </c>
      <c r="W102" s="720">
        <v>132.9</v>
      </c>
      <c r="X102" s="565">
        <f t="shared" si="4"/>
        <v>1451.9100207757472</v>
      </c>
    </row>
    <row r="103" spans="2:24">
      <c r="B103" s="692" t="s">
        <v>793</v>
      </c>
      <c r="C103" s="566">
        <v>107.59</v>
      </c>
      <c r="D103" s="565">
        <v>3916</v>
      </c>
      <c r="E103" s="571"/>
      <c r="F103" s="692" t="s">
        <v>793</v>
      </c>
      <c r="G103" s="566">
        <v>103.93</v>
      </c>
      <c r="H103" s="565">
        <v>1902</v>
      </c>
      <c r="I103" s="551"/>
      <c r="J103" s="692" t="s">
        <v>793</v>
      </c>
      <c r="K103" s="566">
        <v>112.62</v>
      </c>
      <c r="L103" s="565">
        <v>1035</v>
      </c>
      <c r="M103" s="551"/>
      <c r="N103" s="692" t="s">
        <v>778</v>
      </c>
      <c r="O103" s="566">
        <v>125.5</v>
      </c>
      <c r="P103" s="565">
        <v>1531.7700562780442</v>
      </c>
      <c r="Q103" s="551"/>
      <c r="R103" s="693" t="s">
        <v>778</v>
      </c>
      <c r="S103" s="720">
        <v>132.9</v>
      </c>
      <c r="T103" s="557"/>
      <c r="V103" s="693" t="s">
        <v>778</v>
      </c>
      <c r="W103" s="720">
        <v>132.9</v>
      </c>
      <c r="X103" s="565">
        <f t="shared" si="4"/>
        <v>2228.9233520926814</v>
      </c>
    </row>
    <row r="104" spans="2:24">
      <c r="B104" s="692" t="s">
        <v>795</v>
      </c>
      <c r="C104" s="566">
        <v>107.59</v>
      </c>
      <c r="D104" s="565">
        <v>5946</v>
      </c>
      <c r="E104" s="571"/>
      <c r="F104" s="692" t="s">
        <v>795</v>
      </c>
      <c r="G104" s="566">
        <v>103.93</v>
      </c>
      <c r="H104" s="565">
        <v>3352</v>
      </c>
      <c r="I104" s="551"/>
      <c r="J104" s="692" t="s">
        <v>795</v>
      </c>
      <c r="K104" s="566">
        <v>112.62</v>
      </c>
      <c r="L104" s="565">
        <v>1803</v>
      </c>
      <c r="M104" s="551"/>
      <c r="N104" s="692" t="s">
        <v>780</v>
      </c>
      <c r="O104" s="566">
        <v>125.5</v>
      </c>
      <c r="P104" s="565">
        <v>20785</v>
      </c>
      <c r="Q104" s="551"/>
      <c r="R104" s="693" t="s">
        <v>780</v>
      </c>
      <c r="S104" s="720">
        <v>132.9</v>
      </c>
      <c r="T104" s="557"/>
      <c r="V104" s="693" t="s">
        <v>780</v>
      </c>
      <c r="W104" s="720">
        <v>132.9</v>
      </c>
      <c r="X104" s="565">
        <f t="shared" si="4"/>
        <v>14437.333333333334</v>
      </c>
    </row>
    <row r="105" spans="2:24">
      <c r="B105" s="692" t="s">
        <v>796</v>
      </c>
      <c r="C105" s="566">
        <v>107.59</v>
      </c>
      <c r="D105" s="565">
        <v>5076.666666666667</v>
      </c>
      <c r="E105" s="571"/>
      <c r="F105" s="692" t="s">
        <v>796</v>
      </c>
      <c r="G105" s="566">
        <v>103.93</v>
      </c>
      <c r="H105" s="565">
        <v>11450</v>
      </c>
      <c r="I105" s="551"/>
      <c r="J105" s="692" t="s">
        <v>796</v>
      </c>
      <c r="K105" s="566">
        <v>112.62</v>
      </c>
      <c r="L105" s="565">
        <v>11077</v>
      </c>
      <c r="M105" s="551"/>
      <c r="N105" s="692" t="s">
        <v>781</v>
      </c>
      <c r="O105" s="566">
        <v>210</v>
      </c>
      <c r="P105" s="565">
        <v>17644</v>
      </c>
      <c r="Q105" s="551"/>
      <c r="R105" s="693" t="s">
        <v>781</v>
      </c>
      <c r="S105" s="720">
        <v>222.4</v>
      </c>
      <c r="T105" s="557"/>
      <c r="V105" s="693" t="s">
        <v>781</v>
      </c>
      <c r="W105" s="720">
        <v>222.4</v>
      </c>
      <c r="X105" s="565">
        <f t="shared" si="4"/>
        <v>14074.666666666666</v>
      </c>
    </row>
    <row r="106" spans="2:24">
      <c r="B106" s="697" t="s">
        <v>797</v>
      </c>
      <c r="C106" s="567">
        <v>179.95</v>
      </c>
      <c r="D106" s="568">
        <v>9135</v>
      </c>
      <c r="E106" s="571"/>
      <c r="F106" s="697" t="s">
        <v>797</v>
      </c>
      <c r="G106" s="567">
        <v>173.83</v>
      </c>
      <c r="H106" s="568">
        <v>4175</v>
      </c>
      <c r="I106" s="551"/>
      <c r="J106" s="697" t="s">
        <v>797</v>
      </c>
      <c r="K106" s="567">
        <v>188.37</v>
      </c>
      <c r="L106" s="568">
        <v>20405</v>
      </c>
      <c r="M106" s="551"/>
      <c r="N106" s="697" t="s">
        <v>782</v>
      </c>
      <c r="O106" s="698">
        <v>19.7</v>
      </c>
      <c r="P106" s="699">
        <v>7761.5</v>
      </c>
      <c r="Q106" s="551"/>
      <c r="R106" s="721" t="s">
        <v>782</v>
      </c>
      <c r="S106" s="722">
        <v>20.9</v>
      </c>
      <c r="T106" s="569"/>
      <c r="V106" s="721" t="s">
        <v>782</v>
      </c>
      <c r="W106" s="722">
        <v>20.9</v>
      </c>
      <c r="X106" s="699">
        <f>(H96+L96+P106)/3</f>
        <v>10918.5</v>
      </c>
    </row>
    <row r="107" spans="2:24">
      <c r="B107" s="571"/>
      <c r="C107" s="280"/>
      <c r="D107" s="281"/>
      <c r="E107" s="570"/>
      <c r="F107" s="571"/>
      <c r="G107" s="280"/>
      <c r="H107" s="281"/>
      <c r="I107" s="570"/>
      <c r="J107" s="571"/>
      <c r="K107" s="280"/>
      <c r="L107" s="570"/>
      <c r="M107" s="570"/>
      <c r="N107" s="571"/>
      <c r="O107" s="280"/>
      <c r="P107" s="281"/>
      <c r="Q107" s="570"/>
      <c r="R107" s="571"/>
      <c r="S107" s="536"/>
      <c r="T107" s="572"/>
      <c r="U107" s="209"/>
      <c r="V107" s="571"/>
      <c r="W107" s="536"/>
      <c r="X107" s="401"/>
    </row>
    <row r="108" spans="2:24">
      <c r="B108" s="571"/>
      <c r="C108" s="280"/>
      <c r="D108" s="281"/>
      <c r="E108" s="570"/>
      <c r="F108" s="571"/>
      <c r="G108" s="280"/>
      <c r="H108" s="281"/>
      <c r="I108" s="570"/>
      <c r="J108" s="571"/>
      <c r="K108" s="280"/>
      <c r="L108" s="570"/>
      <c r="M108" s="570"/>
      <c r="N108" s="571"/>
      <c r="O108" s="280"/>
      <c r="P108" s="281"/>
      <c r="Q108" s="570"/>
      <c r="R108" s="571"/>
      <c r="S108" s="536"/>
      <c r="T108" s="572"/>
      <c r="U108" s="209"/>
      <c r="V108" s="571"/>
      <c r="W108" s="536"/>
      <c r="X108" s="401"/>
    </row>
    <row r="109" spans="2:24">
      <c r="B109" s="571"/>
      <c r="C109" s="280"/>
      <c r="D109" s="281"/>
      <c r="E109" s="570"/>
      <c r="F109" s="571"/>
      <c r="G109" s="280"/>
      <c r="H109" s="281"/>
      <c r="I109" s="570"/>
      <c r="J109" s="571"/>
      <c r="K109" s="280"/>
      <c r="L109" s="570"/>
      <c r="M109" s="570"/>
      <c r="N109" s="571"/>
      <c r="O109" s="280"/>
      <c r="P109" s="570"/>
      <c r="Q109" s="570"/>
      <c r="R109" s="571"/>
      <c r="S109" s="536"/>
      <c r="T109" s="572"/>
      <c r="U109" s="209"/>
      <c r="V109" s="571"/>
      <c r="W109" s="536"/>
      <c r="X109" s="401"/>
    </row>
    <row r="110" spans="2:24">
      <c r="B110" s="571"/>
      <c r="C110" s="280"/>
      <c r="D110" s="281"/>
      <c r="E110" s="570"/>
      <c r="F110" s="571"/>
      <c r="G110" s="280"/>
      <c r="H110" s="570"/>
      <c r="I110" s="570"/>
      <c r="J110" s="571"/>
      <c r="K110" s="280"/>
      <c r="L110" s="570"/>
      <c r="M110" s="570"/>
      <c r="N110" s="571"/>
      <c r="O110" s="280"/>
      <c r="P110" s="570"/>
      <c r="Q110" s="570"/>
      <c r="R110" s="571"/>
      <c r="S110" s="536"/>
      <c r="T110" s="572"/>
      <c r="U110" s="209"/>
      <c r="V110" s="571"/>
      <c r="W110" s="536"/>
      <c r="X110" s="401"/>
    </row>
    <row r="111" spans="2:24">
      <c r="B111" s="571"/>
      <c r="C111" s="280"/>
      <c r="D111" s="281"/>
      <c r="E111" s="570"/>
      <c r="F111" s="571"/>
      <c r="G111" s="280"/>
      <c r="H111" s="570"/>
      <c r="I111" s="570"/>
      <c r="J111" s="571"/>
      <c r="K111" s="280"/>
      <c r="L111" s="570"/>
      <c r="M111" s="570"/>
      <c r="N111" s="571"/>
      <c r="O111" s="280"/>
      <c r="P111" s="570"/>
      <c r="Q111" s="570"/>
      <c r="R111" s="571"/>
      <c r="S111" s="536"/>
      <c r="T111" s="572"/>
      <c r="U111" s="209"/>
      <c r="V111" s="571"/>
      <c r="W111" s="536"/>
      <c r="X111" s="401"/>
    </row>
    <row r="112" spans="2:24">
      <c r="B112" s="596"/>
      <c r="C112" s="536"/>
      <c r="D112" s="401"/>
      <c r="E112" s="316"/>
      <c r="F112" s="596"/>
      <c r="G112" s="536"/>
      <c r="H112" s="316"/>
      <c r="I112" s="316"/>
      <c r="J112" s="596"/>
      <c r="K112" s="536"/>
      <c r="L112" s="316"/>
      <c r="M112" s="316"/>
      <c r="N112" s="573"/>
      <c r="O112" s="536"/>
      <c r="P112" s="597"/>
      <c r="Q112" s="597"/>
      <c r="R112" s="573"/>
      <c r="S112" s="536"/>
      <c r="T112" s="574"/>
      <c r="U112" s="209"/>
      <c r="V112" s="573"/>
      <c r="W112" s="536"/>
      <c r="X112" s="401"/>
    </row>
    <row r="113" spans="2:24">
      <c r="B113" s="359"/>
      <c r="C113" s="507"/>
      <c r="D113" s="622"/>
      <c r="E113" s="316"/>
      <c r="F113" s="359"/>
      <c r="G113" s="425"/>
      <c r="H113" s="359"/>
      <c r="I113" s="316"/>
      <c r="J113" s="359"/>
      <c r="K113" s="425"/>
      <c r="L113" s="359"/>
      <c r="M113" s="316"/>
      <c r="N113" s="359"/>
      <c r="O113" s="425"/>
      <c r="P113" s="359"/>
      <c r="Q113" s="316"/>
      <c r="R113" s="359"/>
      <c r="S113" s="359"/>
      <c r="T113" s="359"/>
      <c r="V113" s="359"/>
      <c r="W113" s="425"/>
      <c r="X113" s="426"/>
    </row>
    <row r="114" spans="2:24" ht="25.5">
      <c r="B114" s="598" t="s">
        <v>707</v>
      </c>
      <c r="C114" s="509" t="s">
        <v>682</v>
      </c>
      <c r="D114" s="634" t="s">
        <v>683</v>
      </c>
      <c r="E114" s="434"/>
      <c r="F114" s="598" t="s">
        <v>707</v>
      </c>
      <c r="G114" s="393" t="s">
        <v>682</v>
      </c>
      <c r="H114" s="496" t="s">
        <v>683</v>
      </c>
      <c r="I114" s="434"/>
      <c r="J114" s="598" t="s">
        <v>707</v>
      </c>
      <c r="K114" s="393" t="s">
        <v>682</v>
      </c>
      <c r="L114" s="496" t="s">
        <v>683</v>
      </c>
      <c r="M114" s="434"/>
      <c r="N114" s="598" t="s">
        <v>707</v>
      </c>
      <c r="O114" s="393" t="s">
        <v>682</v>
      </c>
      <c r="P114" s="496" t="s">
        <v>683</v>
      </c>
      <c r="Q114" s="434"/>
      <c r="R114" s="359"/>
      <c r="S114" s="359"/>
      <c r="T114" s="359"/>
      <c r="V114" s="600" t="s">
        <v>707</v>
      </c>
      <c r="W114" s="393" t="s">
        <v>682</v>
      </c>
      <c r="X114" s="497" t="s">
        <v>683</v>
      </c>
    </row>
    <row r="115" spans="2:24" s="359" customFormat="1" ht="11.25">
      <c r="B115" s="438" t="s">
        <v>251</v>
      </c>
      <c r="C115" s="249">
        <f>C96</f>
        <v>16.93</v>
      </c>
      <c r="D115" s="250">
        <f>D96</f>
        <v>17007</v>
      </c>
      <c r="E115" s="443"/>
      <c r="F115" s="438" t="s">
        <v>251</v>
      </c>
      <c r="G115" s="249">
        <f>G96</f>
        <v>16.350000000000001</v>
      </c>
      <c r="H115" s="498">
        <f>H96</f>
        <v>12090</v>
      </c>
      <c r="I115" s="443"/>
      <c r="J115" s="438" t="s">
        <v>251</v>
      </c>
      <c r="K115" s="249">
        <f>K96</f>
        <v>17.71</v>
      </c>
      <c r="L115" s="498">
        <f>L96</f>
        <v>12904</v>
      </c>
      <c r="M115" s="443"/>
      <c r="N115" s="438" t="s">
        <v>251</v>
      </c>
      <c r="O115" s="249">
        <f>O106</f>
        <v>19.7</v>
      </c>
      <c r="P115" s="498">
        <f>P106</f>
        <v>7761.5</v>
      </c>
      <c r="Q115" s="443"/>
      <c r="V115" s="441" t="s">
        <v>251</v>
      </c>
      <c r="W115" s="249">
        <f>W106</f>
        <v>20.9</v>
      </c>
      <c r="X115" s="250">
        <f>X106</f>
        <v>10918.5</v>
      </c>
    </row>
    <row r="116" spans="2:24" s="359" customFormat="1" ht="11.25">
      <c r="B116" s="438" t="s">
        <v>252</v>
      </c>
      <c r="C116" s="252">
        <f>SUMPRODUCT(C97,D97)/SUM(D97)</f>
        <v>22.37</v>
      </c>
      <c r="D116" s="253">
        <f>SUM(D97)</f>
        <v>34778</v>
      </c>
      <c r="E116" s="443"/>
      <c r="F116" s="438" t="s">
        <v>252</v>
      </c>
      <c r="G116" s="252">
        <f>SUMPRODUCT(G97,H97)/SUM(H97)</f>
        <v>21.6</v>
      </c>
      <c r="H116" s="442">
        <f>SUM(H97)</f>
        <v>24040</v>
      </c>
      <c r="I116" s="443"/>
      <c r="J116" s="438" t="s">
        <v>252</v>
      </c>
      <c r="K116" s="252">
        <f>SUMPRODUCT(K97,L97)/SUM(L97)</f>
        <v>23.4</v>
      </c>
      <c r="L116" s="442">
        <f>SUM(L97)</f>
        <v>37836</v>
      </c>
      <c r="M116" s="443"/>
      <c r="N116" s="438" t="s">
        <v>252</v>
      </c>
      <c r="O116" s="252">
        <f>SUMPRODUCT(O96,P96)/SUM(P96)</f>
        <v>26.1</v>
      </c>
      <c r="P116" s="442">
        <f>SUM(P96)</f>
        <v>38233</v>
      </c>
      <c r="Q116" s="443"/>
      <c r="V116" s="441" t="s">
        <v>252</v>
      </c>
      <c r="W116" s="252">
        <f>SUMPRODUCT(W96,X96)/SUM(X96)</f>
        <v>27.6</v>
      </c>
      <c r="X116" s="253">
        <f>SUM(X96)</f>
        <v>33369.666666666664</v>
      </c>
    </row>
    <row r="117" spans="2:24" s="359" customFormat="1" ht="11.25">
      <c r="B117" s="438" t="s">
        <v>253</v>
      </c>
      <c r="C117" s="254">
        <f>SUMPRODUCT(C98:C99,D98:D99)/SUM(D98:D99)</f>
        <v>29.709231775002667</v>
      </c>
      <c r="D117" s="255">
        <f>SUM(D98:D99)</f>
        <v>37476</v>
      </c>
      <c r="E117" s="443"/>
      <c r="F117" s="438" t="s">
        <v>253</v>
      </c>
      <c r="G117" s="254">
        <f>SUMPRODUCT(G98:G99,H98:H99)/SUM(H98:H99)</f>
        <v>28.734193226428904</v>
      </c>
      <c r="H117" s="444">
        <f>SUM(H98:H99)</f>
        <v>30058</v>
      </c>
      <c r="I117" s="443"/>
      <c r="J117" s="438" t="s">
        <v>253</v>
      </c>
      <c r="K117" s="254">
        <f>SUMPRODUCT(K98:K99,L98:L99)/SUM(L98:L99)</f>
        <v>31.177029622659873</v>
      </c>
      <c r="L117" s="444">
        <f>SUM(L98:L99)</f>
        <v>30821</v>
      </c>
      <c r="M117" s="443"/>
      <c r="N117" s="438" t="s">
        <v>253</v>
      </c>
      <c r="O117" s="254">
        <f>SUMPRODUCT(O97:O98,P97:P98)/SUM(P97:P98)</f>
        <v>34.740561327756033</v>
      </c>
      <c r="P117" s="444">
        <f>SUM(P97:P98)</f>
        <v>29644</v>
      </c>
      <c r="Q117" s="443"/>
      <c r="V117" s="441" t="s">
        <v>253</v>
      </c>
      <c r="W117" s="254">
        <f>SUMPRODUCT(W97:W98,X97:X98)/SUM(X97:X98)</f>
        <v>36.787173425538256</v>
      </c>
      <c r="X117" s="255">
        <f>SUM(X97:X98)</f>
        <v>30174.333333333336</v>
      </c>
    </row>
    <row r="118" spans="2:24" s="359" customFormat="1" ht="11.25">
      <c r="B118" s="438" t="s">
        <v>255</v>
      </c>
      <c r="C118" s="256">
        <f>SUMPRODUCT(C100:C102,D100:D102)/SUM(D100:D102)</f>
        <v>62.653204945759938</v>
      </c>
      <c r="D118" s="257">
        <f>SUM(D100:D102)</f>
        <v>85730</v>
      </c>
      <c r="E118" s="443"/>
      <c r="F118" s="438" t="s">
        <v>255</v>
      </c>
      <c r="G118" s="256">
        <f>SUMPRODUCT(G100:G102,H100:H102)/SUM(H100:H102)</f>
        <v>48.378328253886075</v>
      </c>
      <c r="H118" s="445">
        <f>SUM(H100:H102)</f>
        <v>84983</v>
      </c>
      <c r="I118" s="443"/>
      <c r="J118" s="438" t="s">
        <v>255</v>
      </c>
      <c r="K118" s="256">
        <f>SUMPRODUCT(K100:K102,L100:L102)/SUM(L100:L102)</f>
        <v>52.021781089188636</v>
      </c>
      <c r="L118" s="445">
        <f>SUM(L100:L102)</f>
        <v>82562.05112693859</v>
      </c>
      <c r="M118" s="443"/>
      <c r="N118" s="438" t="s">
        <v>255</v>
      </c>
      <c r="O118" s="256">
        <f>SUMPRODUCT(O99:O101,P99:P101)/SUM(P99:P101)</f>
        <v>58.419326009804273</v>
      </c>
      <c r="P118" s="445">
        <f>SUM(P99:P101)</f>
        <v>70873.931903277145</v>
      </c>
      <c r="Q118" s="443"/>
      <c r="V118" s="441" t="s">
        <v>255</v>
      </c>
      <c r="W118" s="256">
        <f>SUMPRODUCT(W99:W101,X99:X101)/SUM(X99:X101)</f>
        <v>61.710192833949932</v>
      </c>
      <c r="X118" s="257">
        <f>SUM(X99:X101)</f>
        <v>79472.994343405255</v>
      </c>
    </row>
    <row r="119" spans="2:24" s="359" customFormat="1" ht="11.25">
      <c r="B119" s="438" t="s">
        <v>254</v>
      </c>
      <c r="C119" s="258">
        <f>SUMPRODUCT(C103:C106,D103:D106)/SUM(D103:D106)</f>
        <v>135.04774497722269</v>
      </c>
      <c r="D119" s="268">
        <f>SUM(D103:D106)</f>
        <v>24073.666666666668</v>
      </c>
      <c r="E119" s="443"/>
      <c r="F119" s="438" t="s">
        <v>254</v>
      </c>
      <c r="G119" s="258">
        <f>SUMPRODUCT(G103:G106,H103:H106)/SUM(H103:H106)</f>
        <v>117.90732171080991</v>
      </c>
      <c r="H119" s="499">
        <f>SUM(H103:H106)</f>
        <v>20879</v>
      </c>
      <c r="I119" s="443"/>
      <c r="J119" s="438" t="s">
        <v>254</v>
      </c>
      <c r="K119" s="258">
        <f>SUMPRODUCT(K103:K106,L103:L106)/SUM(L103:L106)</f>
        <v>157.65725961538462</v>
      </c>
      <c r="L119" s="499">
        <f>SUM(L103:L106)</f>
        <v>34320</v>
      </c>
      <c r="M119" s="443"/>
      <c r="N119" s="438" t="s">
        <v>254</v>
      </c>
      <c r="O119" s="258">
        <f>SUMPRODUCT(O102:O105,P102:P105)/SUM(P102:P105)</f>
        <v>161.53035309094142</v>
      </c>
      <c r="P119" s="499">
        <f>SUM(P102:P105)</f>
        <v>41379.500118605283</v>
      </c>
      <c r="Q119" s="443"/>
      <c r="V119" s="441" t="s">
        <v>254</v>
      </c>
      <c r="W119" s="258">
        <f>SUMPRODUCT(W102:W105,X102:X105)/SUM(X102:X105)</f>
        <v>172.0292885617302</v>
      </c>
      <c r="X119" s="268">
        <f>SUM(X102:X105)</f>
        <v>32192.83337286843</v>
      </c>
    </row>
    <row r="120" spans="2:24">
      <c r="B120" s="450" t="s">
        <v>680</v>
      </c>
      <c r="C120" s="451">
        <f>SUMPRODUCT(C115:C119,D115:D119)</f>
        <v>10801649.196666667</v>
      </c>
      <c r="D120" s="604"/>
      <c r="E120" s="443"/>
      <c r="F120" s="450" t="s">
        <v>680</v>
      </c>
      <c r="G120" s="451">
        <f>SUMPRODUCT(G115:G119,H115:H119)</f>
        <v>8153750.3200000003</v>
      </c>
      <c r="H120" s="511"/>
      <c r="I120" s="443"/>
      <c r="J120" s="450" t="s">
        <v>680</v>
      </c>
      <c r="K120" s="451">
        <f>SUMPRODUCT(K115:K119,L115:L119)</f>
        <v>11780621.57</v>
      </c>
      <c r="L120" s="511"/>
      <c r="M120" s="443"/>
      <c r="N120" s="450" t="s">
        <v>680</v>
      </c>
      <c r="O120" s="451">
        <f>SUMPRODUCT(O115:O119,P115:P119)</f>
        <v>13005084.648339178</v>
      </c>
      <c r="P120" s="511"/>
      <c r="Q120" s="443"/>
      <c r="R120" s="359"/>
      <c r="S120" s="359"/>
      <c r="T120" s="359"/>
      <c r="V120" s="603" t="s">
        <v>680</v>
      </c>
      <c r="W120" s="451">
        <f>SUMPRODUCT(W115:W119,X115:X119)</f>
        <v>12701631.911277166</v>
      </c>
      <c r="X120" s="604"/>
    </row>
    <row r="121" spans="2:24">
      <c r="R121" s="359"/>
      <c r="S121" s="359"/>
      <c r="T121" s="359"/>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rgb="FFDBE91F"/>
  </sheetPr>
  <dimension ref="B1:AC120"/>
  <sheetViews>
    <sheetView showGridLines="0" zoomScale="85" zoomScaleNormal="85" workbookViewId="0"/>
  </sheetViews>
  <sheetFormatPr defaultRowHeight="12.75"/>
  <cols>
    <col min="1" max="1" width="9.140625" style="210"/>
    <col min="2" max="2" width="47.7109375" style="210" bestFit="1" customWidth="1"/>
    <col min="3" max="3" width="11.140625" style="210" bestFit="1" customWidth="1"/>
    <col min="4" max="4" width="10.42578125" style="210" bestFit="1" customWidth="1"/>
    <col min="5" max="5" width="10.42578125" style="238" customWidth="1"/>
    <col min="6" max="6" width="44.85546875" style="210" bestFit="1" customWidth="1"/>
    <col min="7" max="7" width="9.85546875" style="210" bestFit="1" customWidth="1"/>
    <col min="8" max="8" width="9" style="210" bestFit="1" customWidth="1"/>
    <col min="9" max="9" width="8.7109375" style="238" customWidth="1"/>
    <col min="10" max="10" width="44.85546875" style="210" bestFit="1" customWidth="1"/>
    <col min="11" max="11" width="10.42578125" style="210" bestFit="1" customWidth="1"/>
    <col min="12" max="12" width="9" style="210" bestFit="1" customWidth="1"/>
    <col min="13" max="13" width="8.140625" style="238" customWidth="1"/>
    <col min="14" max="14" width="47.5703125" style="210" bestFit="1" customWidth="1"/>
    <col min="15" max="15" width="11.140625" style="210" bestFit="1" customWidth="1"/>
    <col min="16" max="16" width="9" style="210" bestFit="1" customWidth="1"/>
    <col min="17" max="17" width="11.85546875" style="238" customWidth="1"/>
    <col min="18" max="18" width="47.5703125" style="210" bestFit="1" customWidth="1"/>
    <col min="19" max="19" width="9.85546875" style="210" bestFit="1" customWidth="1"/>
    <col min="20" max="20" width="8.140625" style="210" bestFit="1" customWidth="1"/>
    <col min="21" max="21" width="9.140625" style="210"/>
    <col min="22" max="22" width="44.42578125" style="210" bestFit="1" customWidth="1"/>
    <col min="23" max="23" width="11.140625" style="210" bestFit="1" customWidth="1"/>
    <col min="24" max="16384" width="9.140625" style="210"/>
  </cols>
  <sheetData>
    <row r="1" spans="2:24">
      <c r="B1" s="513" t="s">
        <v>736</v>
      </c>
      <c r="C1" s="513" t="s">
        <v>650</v>
      </c>
      <c r="D1" s="513" t="s">
        <v>325</v>
      </c>
    </row>
    <row r="2" spans="2:24" ht="15.75">
      <c r="B2" s="240" t="str">
        <f>B1</f>
        <v>NE6R Rendo</v>
      </c>
      <c r="C2" s="240" t="str">
        <f>C1</f>
        <v>Standaardisatie</v>
      </c>
      <c r="D2" s="240"/>
      <c r="E2" s="240"/>
      <c r="F2" s="240" t="str">
        <f>D1</f>
        <v>PAV</v>
      </c>
      <c r="G2" s="291"/>
      <c r="H2" s="292"/>
      <c r="I2" s="293"/>
      <c r="J2" s="293"/>
      <c r="K2" s="291"/>
      <c r="L2" s="292"/>
      <c r="M2" s="293"/>
      <c r="N2" s="293"/>
      <c r="O2" s="293"/>
      <c r="P2" s="293"/>
      <c r="Q2" s="293"/>
      <c r="R2" s="293"/>
      <c r="S2" s="293"/>
      <c r="T2" s="293"/>
      <c r="V2" s="294" t="s">
        <v>651</v>
      </c>
      <c r="W2" s="295"/>
      <c r="X2" s="295"/>
    </row>
    <row r="3" spans="2:24">
      <c r="B3" s="359"/>
      <c r="C3" s="359"/>
      <c r="D3" s="359"/>
      <c r="E3" s="316"/>
      <c r="F3" s="359"/>
      <c r="G3" s="359"/>
      <c r="H3" s="359"/>
      <c r="I3" s="316"/>
      <c r="J3" s="359"/>
      <c r="K3" s="359"/>
      <c r="L3" s="359"/>
      <c r="M3" s="316"/>
      <c r="N3" s="359"/>
      <c r="O3" s="359"/>
      <c r="P3" s="359"/>
      <c r="Q3" s="316"/>
      <c r="R3" s="359"/>
      <c r="S3" s="359"/>
      <c r="T3" s="359"/>
    </row>
    <row r="4" spans="2:24">
      <c r="B4" s="296" t="s">
        <v>1403</v>
      </c>
      <c r="C4" s="297" t="s">
        <v>1404</v>
      </c>
      <c r="D4" s="297"/>
      <c r="E4" s="297"/>
      <c r="F4" s="297"/>
      <c r="G4" s="297"/>
      <c r="H4" s="297"/>
      <c r="I4" s="297"/>
      <c r="J4" s="298"/>
      <c r="K4" s="359"/>
      <c r="L4" s="359"/>
      <c r="M4" s="316"/>
      <c r="N4" s="359"/>
      <c r="O4" s="359"/>
      <c r="P4" s="359"/>
      <c r="Q4" s="316"/>
      <c r="R4" s="359"/>
      <c r="S4" s="359"/>
      <c r="T4" s="359"/>
    </row>
    <row r="5" spans="2:24">
      <c r="B5" s="299" t="s">
        <v>1405</v>
      </c>
      <c r="C5" s="300" t="s">
        <v>1406</v>
      </c>
      <c r="D5" s="300"/>
      <c r="E5" s="300"/>
      <c r="F5" s="300"/>
      <c r="G5" s="300"/>
      <c r="H5" s="300"/>
      <c r="I5" s="300"/>
      <c r="J5" s="301"/>
      <c r="K5" s="359"/>
      <c r="L5" s="359"/>
      <c r="M5" s="316"/>
      <c r="N5" s="359"/>
      <c r="O5" s="359"/>
      <c r="P5" s="359"/>
      <c r="Q5" s="316"/>
      <c r="R5" s="359"/>
      <c r="S5" s="359"/>
      <c r="T5" s="359"/>
    </row>
    <row r="6" spans="2:24">
      <c r="B6" s="302" t="s">
        <v>1407</v>
      </c>
      <c r="C6" s="303" t="s">
        <v>1408</v>
      </c>
      <c r="D6" s="303"/>
      <c r="E6" s="303"/>
      <c r="F6" s="303"/>
      <c r="G6" s="303"/>
      <c r="H6" s="303"/>
      <c r="I6" s="303"/>
      <c r="J6" s="304"/>
      <c r="K6" s="359"/>
      <c r="L6" s="359"/>
      <c r="M6" s="316"/>
      <c r="N6" s="359"/>
      <c r="O6" s="359"/>
      <c r="P6" s="359"/>
      <c r="Q6" s="316"/>
      <c r="R6" s="359"/>
      <c r="S6" s="359"/>
      <c r="T6" s="359"/>
    </row>
    <row r="7" spans="2:24">
      <c r="B7" s="305" t="s">
        <v>1409</v>
      </c>
      <c r="C7" s="306" t="s">
        <v>1410</v>
      </c>
      <c r="D7" s="306"/>
      <c r="E7" s="306"/>
      <c r="F7" s="306"/>
      <c r="G7" s="306"/>
      <c r="H7" s="306"/>
      <c r="I7" s="306"/>
      <c r="J7" s="307"/>
      <c r="K7" s="359"/>
      <c r="L7" s="359"/>
      <c r="M7" s="316"/>
      <c r="N7" s="359"/>
      <c r="O7" s="359"/>
      <c r="P7" s="359"/>
      <c r="Q7" s="316"/>
      <c r="R7" s="359"/>
      <c r="S7" s="359"/>
      <c r="T7" s="359"/>
    </row>
    <row r="8" spans="2:24">
      <c r="B8" s="1105" t="s">
        <v>1411</v>
      </c>
      <c r="C8" s="308" t="s">
        <v>1438</v>
      </c>
      <c r="D8" s="308"/>
      <c r="E8" s="308"/>
      <c r="F8" s="308"/>
      <c r="G8" s="308"/>
      <c r="H8" s="308"/>
      <c r="I8" s="308"/>
      <c r="J8" s="309"/>
      <c r="K8" s="359"/>
      <c r="L8" s="359"/>
      <c r="M8" s="316"/>
      <c r="N8" s="359"/>
      <c r="O8" s="359"/>
      <c r="P8" s="359"/>
      <c r="Q8" s="316"/>
      <c r="R8" s="359"/>
      <c r="S8" s="359"/>
      <c r="T8" s="359"/>
    </row>
    <row r="9" spans="2:24">
      <c r="B9" s="310" t="s">
        <v>1415</v>
      </c>
      <c r="C9" s="1126" t="s">
        <v>1416</v>
      </c>
      <c r="D9" s="311"/>
      <c r="E9" s="311"/>
      <c r="F9" s="311"/>
      <c r="G9" s="311"/>
      <c r="H9" s="311"/>
      <c r="I9" s="311"/>
      <c r="J9" s="312"/>
      <c r="K9" s="359"/>
      <c r="L9" s="359"/>
      <c r="M9" s="316"/>
      <c r="N9" s="359"/>
      <c r="O9" s="359"/>
      <c r="P9" s="359"/>
      <c r="Q9" s="316"/>
      <c r="R9" s="359"/>
      <c r="S9" s="359"/>
      <c r="T9" s="359"/>
    </row>
    <row r="12" spans="2:24" ht="15.75">
      <c r="B12" s="463" t="s">
        <v>737</v>
      </c>
      <c r="C12" s="464"/>
      <c r="D12" s="465"/>
      <c r="E12" s="359"/>
      <c r="F12" s="359"/>
      <c r="G12" s="359"/>
      <c r="H12" s="359"/>
      <c r="I12" s="359"/>
      <c r="J12" s="359"/>
      <c r="K12" s="359"/>
      <c r="L12" s="359"/>
      <c r="M12" s="359"/>
      <c r="N12" s="359"/>
      <c r="O12" s="359"/>
      <c r="P12" s="359"/>
      <c r="Q12" s="359"/>
      <c r="R12" s="359"/>
      <c r="S12" s="359"/>
      <c r="T12" s="359"/>
      <c r="U12" s="359"/>
      <c r="V12" s="359"/>
    </row>
    <row r="13" spans="2:24">
      <c r="B13" s="317"/>
      <c r="C13" s="1190">
        <v>2009</v>
      </c>
      <c r="D13" s="1201"/>
      <c r="E13" s="321"/>
      <c r="F13" s="320"/>
      <c r="G13" s="1192">
        <v>2010</v>
      </c>
      <c r="H13" s="1189"/>
      <c r="I13" s="321"/>
      <c r="J13" s="514"/>
      <c r="K13" s="1188">
        <v>2011</v>
      </c>
      <c r="L13" s="1189"/>
      <c r="M13" s="321"/>
      <c r="N13" s="514"/>
      <c r="O13" s="1188">
        <v>2012</v>
      </c>
      <c r="P13" s="1189"/>
      <c r="Q13" s="321"/>
      <c r="R13" s="514"/>
      <c r="S13" s="1188">
        <v>2013</v>
      </c>
      <c r="T13" s="1189"/>
      <c r="V13" s="514" t="s">
        <v>656</v>
      </c>
      <c r="W13" s="1188" t="s">
        <v>657</v>
      </c>
      <c r="X13" s="1189"/>
    </row>
    <row r="14" spans="2:24">
      <c r="B14" s="325" t="s">
        <v>658</v>
      </c>
      <c r="C14" s="325" t="s">
        <v>632</v>
      </c>
      <c r="D14" s="470" t="s">
        <v>633</v>
      </c>
      <c r="E14" s="324"/>
      <c r="F14" s="323" t="s">
        <v>658</v>
      </c>
      <c r="G14" s="606" t="s">
        <v>632</v>
      </c>
      <c r="H14" s="323" t="s">
        <v>633</v>
      </c>
      <c r="I14" s="324"/>
      <c r="J14" s="325" t="s">
        <v>658</v>
      </c>
      <c r="K14" s="470" t="s">
        <v>632</v>
      </c>
      <c r="L14" s="470" t="s">
        <v>633</v>
      </c>
      <c r="M14" s="324"/>
      <c r="N14" s="322" t="s">
        <v>658</v>
      </c>
      <c r="O14" s="325" t="s">
        <v>632</v>
      </c>
      <c r="P14" s="470" t="s">
        <v>633</v>
      </c>
      <c r="Q14" s="324"/>
      <c r="R14" s="322" t="s">
        <v>658</v>
      </c>
      <c r="S14" s="516" t="s">
        <v>710</v>
      </c>
      <c r="T14" s="548" t="s">
        <v>633</v>
      </c>
      <c r="V14" s="322" t="s">
        <v>658</v>
      </c>
      <c r="W14" s="516" t="s">
        <v>710</v>
      </c>
      <c r="X14" s="548" t="s">
        <v>633</v>
      </c>
    </row>
    <row r="15" spans="2:24" s="359" customFormat="1" ht="11.25">
      <c r="B15" s="1123" t="s">
        <v>738</v>
      </c>
      <c r="C15" s="1127">
        <v>1599.35</v>
      </c>
      <c r="D15" s="1128">
        <v>1</v>
      </c>
      <c r="E15" s="329"/>
      <c r="F15" s="1121" t="s">
        <v>738</v>
      </c>
      <c r="G15" s="1127">
        <v>1342.5</v>
      </c>
      <c r="H15" s="1128">
        <v>1.75</v>
      </c>
      <c r="I15" s="316"/>
      <c r="J15" s="1124" t="s">
        <v>738</v>
      </c>
      <c r="K15" s="1127">
        <v>1475</v>
      </c>
      <c r="L15" s="1128">
        <v>2</v>
      </c>
      <c r="M15" s="316"/>
      <c r="N15" s="326" t="s">
        <v>739</v>
      </c>
      <c r="O15" s="609"/>
      <c r="P15" s="610"/>
      <c r="Q15" s="329"/>
      <c r="R15" s="611" t="s">
        <v>739</v>
      </c>
      <c r="S15" s="609"/>
      <c r="T15" s="338"/>
      <c r="V15" s="611" t="s">
        <v>739</v>
      </c>
      <c r="W15" s="609"/>
      <c r="X15" s="610"/>
    </row>
    <row r="16" spans="2:24" s="359" customFormat="1" ht="11.25">
      <c r="B16" s="342" t="s">
        <v>740</v>
      </c>
      <c r="C16" s="480">
        <v>539</v>
      </c>
      <c r="D16" s="348">
        <v>17.73</v>
      </c>
      <c r="E16" s="329"/>
      <c r="F16" s="607" t="s">
        <v>740</v>
      </c>
      <c r="G16" s="480">
        <v>452.45</v>
      </c>
      <c r="H16" s="348">
        <v>16.579999999999998</v>
      </c>
      <c r="I16" s="316"/>
      <c r="J16" s="607" t="s">
        <v>740</v>
      </c>
      <c r="K16" s="480">
        <v>495</v>
      </c>
      <c r="L16" s="348">
        <v>16</v>
      </c>
      <c r="M16" s="316"/>
      <c r="N16" s="326" t="s">
        <v>218</v>
      </c>
      <c r="O16" s="612"/>
      <c r="P16" s="613"/>
      <c r="Q16" s="329"/>
      <c r="R16" s="611" t="s">
        <v>218</v>
      </c>
      <c r="S16" s="612"/>
      <c r="T16" s="347"/>
      <c r="V16" s="611" t="s">
        <v>218</v>
      </c>
      <c r="W16" s="612"/>
      <c r="X16" s="613"/>
    </row>
    <row r="17" spans="2:24" s="359" customFormat="1" ht="11.25">
      <c r="B17" s="1102" t="s">
        <v>741</v>
      </c>
      <c r="C17" s="1110">
        <v>182.8</v>
      </c>
      <c r="D17" s="1111">
        <v>134.06</v>
      </c>
      <c r="E17" s="329"/>
      <c r="F17" s="1121" t="s">
        <v>741</v>
      </c>
      <c r="G17" s="1110">
        <v>153.44999999999999</v>
      </c>
      <c r="H17" s="1111">
        <v>132.88</v>
      </c>
      <c r="I17" s="316"/>
      <c r="J17" s="1121" t="s">
        <v>741</v>
      </c>
      <c r="K17" s="1110">
        <v>168</v>
      </c>
      <c r="L17" s="1111">
        <v>132.72999999999999</v>
      </c>
      <c r="M17" s="316"/>
      <c r="N17" s="326" t="s">
        <v>742</v>
      </c>
      <c r="O17" s="612"/>
      <c r="P17" s="613"/>
      <c r="Q17" s="329"/>
      <c r="R17" s="611" t="s">
        <v>742</v>
      </c>
      <c r="S17" s="612"/>
      <c r="T17" s="347"/>
      <c r="V17" s="611" t="s">
        <v>742</v>
      </c>
      <c r="W17" s="612"/>
      <c r="X17" s="613"/>
    </row>
    <row r="18" spans="2:24" s="359" customFormat="1" ht="11.25">
      <c r="B18" s="367" t="s">
        <v>743</v>
      </c>
      <c r="C18" s="357">
        <v>41.45</v>
      </c>
      <c r="D18" s="358">
        <v>122.1</v>
      </c>
      <c r="E18" s="329"/>
      <c r="F18" s="607" t="s">
        <v>743</v>
      </c>
      <c r="G18" s="357">
        <v>34.799999999999997</v>
      </c>
      <c r="H18" s="358">
        <v>128.72</v>
      </c>
      <c r="I18" s="316"/>
      <c r="J18" s="342" t="s">
        <v>743</v>
      </c>
      <c r="K18" s="357">
        <v>38.15</v>
      </c>
      <c r="L18" s="358">
        <v>133.4</v>
      </c>
      <c r="M18" s="528"/>
      <c r="N18" s="1101" t="s">
        <v>738</v>
      </c>
      <c r="O18" s="1129">
        <v>1670</v>
      </c>
      <c r="P18" s="1130">
        <v>2</v>
      </c>
      <c r="Q18" s="329"/>
      <c r="R18" s="1122" t="s">
        <v>738</v>
      </c>
      <c r="S18" s="1129">
        <v>1910</v>
      </c>
      <c r="T18" s="347"/>
      <c r="V18" s="1122" t="s">
        <v>738</v>
      </c>
      <c r="W18" s="1129">
        <f>S18</f>
        <v>1910</v>
      </c>
      <c r="X18" s="1130">
        <f t="shared" ref="X18:X23" si="0">(H15+L15+P18)/3</f>
        <v>1.9166666666666667</v>
      </c>
    </row>
    <row r="19" spans="2:24" s="359" customFormat="1" ht="11.25">
      <c r="B19" s="367" t="s">
        <v>744</v>
      </c>
      <c r="C19" s="364">
        <v>41.45</v>
      </c>
      <c r="D19" s="365">
        <v>1213</v>
      </c>
      <c r="E19" s="329"/>
      <c r="F19" s="342" t="s">
        <v>745</v>
      </c>
      <c r="G19" s="364">
        <v>34.799999999999997</v>
      </c>
      <c r="H19" s="365">
        <v>1208.4000000000001</v>
      </c>
      <c r="I19" s="329"/>
      <c r="J19" s="342" t="s">
        <v>745</v>
      </c>
      <c r="K19" s="364">
        <v>38.15</v>
      </c>
      <c r="L19" s="365">
        <v>1225.2</v>
      </c>
      <c r="M19" s="329"/>
      <c r="N19" s="326" t="s">
        <v>740</v>
      </c>
      <c r="O19" s="480">
        <v>560</v>
      </c>
      <c r="P19" s="348">
        <v>15.59</v>
      </c>
      <c r="Q19" s="329"/>
      <c r="R19" s="611" t="s">
        <v>740</v>
      </c>
      <c r="S19" s="480">
        <v>640</v>
      </c>
      <c r="T19" s="347"/>
      <c r="V19" s="611" t="s">
        <v>740</v>
      </c>
      <c r="W19" s="480">
        <f t="shared" ref="W19:W24" si="1">S19</f>
        <v>640</v>
      </c>
      <c r="X19" s="348">
        <f>(H16+L16+P19)/3</f>
        <v>16.056666666666668</v>
      </c>
    </row>
    <row r="20" spans="2:24" s="359" customFormat="1" ht="11.25">
      <c r="B20" s="367" t="s">
        <v>746</v>
      </c>
      <c r="C20" s="287">
        <v>25.56</v>
      </c>
      <c r="D20" s="253">
        <v>19529</v>
      </c>
      <c r="E20" s="329"/>
      <c r="F20" s="342" t="s">
        <v>747</v>
      </c>
      <c r="G20" s="287">
        <v>21.46</v>
      </c>
      <c r="H20" s="253">
        <v>29926.6</v>
      </c>
      <c r="I20" s="329"/>
      <c r="J20" s="342" t="s">
        <v>747</v>
      </c>
      <c r="K20" s="287">
        <v>23.6</v>
      </c>
      <c r="L20" s="253">
        <v>30167.599999999999</v>
      </c>
      <c r="M20" s="329"/>
      <c r="N20" s="1101" t="s">
        <v>741</v>
      </c>
      <c r="O20" s="1110">
        <v>190</v>
      </c>
      <c r="P20" s="1111">
        <v>131.59</v>
      </c>
      <c r="Q20" s="329"/>
      <c r="R20" s="1122" t="s">
        <v>741</v>
      </c>
      <c r="S20" s="1110">
        <v>215</v>
      </c>
      <c r="T20" s="347"/>
      <c r="V20" s="1122" t="s">
        <v>741</v>
      </c>
      <c r="W20" s="1110">
        <f t="shared" si="1"/>
        <v>215</v>
      </c>
      <c r="X20" s="1111">
        <f>(H17+L17+P20)/3</f>
        <v>132.4</v>
      </c>
    </row>
    <row r="21" spans="2:24" s="359" customFormat="1" ht="11.25">
      <c r="B21" s="367" t="s">
        <v>748</v>
      </c>
      <c r="C21" s="372">
        <v>25.56</v>
      </c>
      <c r="D21" s="373">
        <v>10140</v>
      </c>
      <c r="E21" s="329"/>
      <c r="F21" s="521" t="s">
        <v>749</v>
      </c>
      <c r="G21" s="380">
        <v>10.6</v>
      </c>
      <c r="H21" s="382">
        <v>18401</v>
      </c>
      <c r="I21" s="329"/>
      <c r="J21" s="521" t="s">
        <v>749</v>
      </c>
      <c r="K21" s="380">
        <v>11.65</v>
      </c>
      <c r="L21" s="382">
        <v>18696</v>
      </c>
      <c r="M21" s="329"/>
      <c r="N21" s="326" t="s">
        <v>743</v>
      </c>
      <c r="O21" s="357">
        <v>43.25</v>
      </c>
      <c r="P21" s="358">
        <v>141.13</v>
      </c>
      <c r="Q21" s="329"/>
      <c r="R21" s="611" t="s">
        <v>743</v>
      </c>
      <c r="S21" s="357">
        <v>49</v>
      </c>
      <c r="T21" s="347"/>
      <c r="V21" s="611" t="s">
        <v>743</v>
      </c>
      <c r="W21" s="357">
        <f t="shared" si="1"/>
        <v>49</v>
      </c>
      <c r="X21" s="358">
        <f t="shared" si="0"/>
        <v>134.41666666666666</v>
      </c>
    </row>
    <row r="22" spans="2:24" s="359" customFormat="1" ht="11.25">
      <c r="B22" s="376" t="s">
        <v>749</v>
      </c>
      <c r="C22" s="380">
        <v>12.64</v>
      </c>
      <c r="D22" s="382">
        <v>18103</v>
      </c>
      <c r="E22" s="329"/>
      <c r="F22" s="526"/>
      <c r="G22" s="527"/>
      <c r="H22" s="528"/>
      <c r="I22" s="329"/>
      <c r="J22" s="526"/>
      <c r="K22" s="527"/>
      <c r="L22" s="528"/>
      <c r="M22" s="329"/>
      <c r="N22" s="326" t="s">
        <v>745</v>
      </c>
      <c r="O22" s="364">
        <v>43.25</v>
      </c>
      <c r="P22" s="365">
        <v>1227.8</v>
      </c>
      <c r="Q22" s="329"/>
      <c r="R22" s="611" t="s">
        <v>745</v>
      </c>
      <c r="S22" s="364">
        <v>49</v>
      </c>
      <c r="T22" s="347"/>
      <c r="V22" s="611" t="s">
        <v>745</v>
      </c>
      <c r="W22" s="364">
        <f t="shared" si="1"/>
        <v>49</v>
      </c>
      <c r="X22" s="365">
        <f t="shared" si="0"/>
        <v>1220.4666666666669</v>
      </c>
    </row>
    <row r="23" spans="2:24" s="359" customFormat="1">
      <c r="B23" s="596"/>
      <c r="C23" s="614"/>
      <c r="D23" s="615"/>
      <c r="E23" s="430"/>
      <c r="F23" s="526"/>
      <c r="G23" s="527"/>
      <c r="H23" s="528"/>
      <c r="I23" s="329"/>
      <c r="J23" s="526"/>
      <c r="K23" s="527"/>
      <c r="L23" s="528"/>
      <c r="M23" s="329"/>
      <c r="N23" s="326" t="s">
        <v>747</v>
      </c>
      <c r="O23" s="287">
        <v>26.75</v>
      </c>
      <c r="P23" s="253">
        <v>30304.6</v>
      </c>
      <c r="Q23" s="329"/>
      <c r="R23" s="611" t="s">
        <v>747</v>
      </c>
      <c r="S23" s="287">
        <v>30.45</v>
      </c>
      <c r="T23" s="616"/>
      <c r="V23" s="611" t="s">
        <v>747</v>
      </c>
      <c r="W23" s="287">
        <f t="shared" si="1"/>
        <v>30.45</v>
      </c>
      <c r="X23" s="253">
        <f t="shared" si="0"/>
        <v>30132.933333333331</v>
      </c>
    </row>
    <row r="24" spans="2:24" s="359" customFormat="1" ht="11.25">
      <c r="B24" s="596"/>
      <c r="C24" s="614"/>
      <c r="D24" s="615"/>
      <c r="E24" s="329"/>
      <c r="F24" s="526"/>
      <c r="G24" s="527"/>
      <c r="H24" s="528"/>
      <c r="I24" s="329"/>
      <c r="J24" s="526"/>
      <c r="K24" s="527"/>
      <c r="L24" s="528"/>
      <c r="M24" s="355"/>
      <c r="N24" s="523" t="s">
        <v>749</v>
      </c>
      <c r="O24" s="380">
        <v>13.25</v>
      </c>
      <c r="P24" s="382">
        <v>18957.5</v>
      </c>
      <c r="Q24" s="329"/>
      <c r="R24" s="617" t="s">
        <v>749</v>
      </c>
      <c r="S24" s="380">
        <v>15</v>
      </c>
      <c r="T24" s="381"/>
      <c r="V24" s="617" t="s">
        <v>749</v>
      </c>
      <c r="W24" s="380">
        <f t="shared" si="1"/>
        <v>15</v>
      </c>
      <c r="X24" s="382">
        <f>(H21+L21+P24)/3</f>
        <v>18684.833333333332</v>
      </c>
    </row>
    <row r="25" spans="2:24" s="359" customFormat="1" ht="11.25">
      <c r="B25" s="596"/>
      <c r="C25" s="614"/>
      <c r="D25" s="615"/>
      <c r="E25" s="329"/>
      <c r="F25" s="526"/>
      <c r="G25" s="527"/>
      <c r="H25" s="528"/>
      <c r="I25" s="329"/>
      <c r="J25" s="529"/>
      <c r="K25" s="527"/>
      <c r="L25" s="528"/>
      <c r="M25" s="528"/>
      <c r="N25" s="526"/>
      <c r="O25" s="527"/>
      <c r="P25" s="528"/>
      <c r="Q25" s="329"/>
      <c r="R25" s="526"/>
      <c r="S25" s="527"/>
      <c r="T25" s="329"/>
      <c r="V25" s="526"/>
      <c r="W25" s="527"/>
      <c r="X25" s="528"/>
    </row>
    <row r="26" spans="2:24" s="359" customFormat="1" ht="11.25">
      <c r="B26" s="529"/>
      <c r="C26" s="618"/>
      <c r="D26" s="619"/>
      <c r="E26" s="620"/>
      <c r="F26" s="529"/>
      <c r="G26" s="527"/>
      <c r="H26" s="528"/>
      <c r="I26" s="329"/>
      <c r="J26" s="529"/>
      <c r="K26" s="527"/>
      <c r="L26" s="528"/>
      <c r="M26" s="527"/>
      <c r="N26" s="526"/>
      <c r="O26" s="527"/>
      <c r="P26" s="528"/>
      <c r="Q26" s="329"/>
      <c r="R26" s="526"/>
      <c r="S26" s="527"/>
      <c r="T26" s="329"/>
      <c r="V26" s="526"/>
      <c r="W26" s="527"/>
      <c r="X26" s="528"/>
    </row>
    <row r="27" spans="2:24" s="359" customFormat="1">
      <c r="B27" s="530"/>
      <c r="C27" s="527"/>
      <c r="D27" s="528"/>
      <c r="E27" s="417"/>
      <c r="F27" s="621"/>
      <c r="G27" s="532"/>
      <c r="H27" s="533"/>
      <c r="I27" s="329"/>
      <c r="J27" s="405"/>
      <c r="K27" s="280"/>
      <c r="L27" s="281"/>
      <c r="M27" s="271"/>
      <c r="N27" s="508"/>
      <c r="O27" s="507"/>
      <c r="P27" s="622"/>
      <c r="Q27" s="316"/>
      <c r="R27" s="596"/>
      <c r="S27" s="614"/>
      <c r="T27" s="596"/>
      <c r="V27" s="596"/>
      <c r="W27" s="614"/>
      <c r="X27" s="615"/>
    </row>
    <row r="28" spans="2:24">
      <c r="B28" s="423" t="s">
        <v>680</v>
      </c>
      <c r="C28" s="491">
        <f>SUMPRODUCT(C15:C22,D15:D22)</f>
        <v>1078163.443</v>
      </c>
      <c r="D28" s="424"/>
      <c r="E28" s="386"/>
      <c r="F28" s="387" t="s">
        <v>680</v>
      </c>
      <c r="G28" s="491">
        <f>SUMPRODUCT(G15:G22,H15:H22)</f>
        <v>914048.64399999997</v>
      </c>
      <c r="H28" s="389"/>
      <c r="I28" s="386"/>
      <c r="J28" s="383" t="s">
        <v>680</v>
      </c>
      <c r="K28" s="491">
        <f>SUMPRODUCT(K15:K22,L15:L22)</f>
        <v>1014762.99</v>
      </c>
      <c r="L28" s="424"/>
      <c r="M28" s="386"/>
      <c r="N28" s="388" t="s">
        <v>680</v>
      </c>
      <c r="O28" s="491">
        <f>SUMPRODUCT(O15:O24,P15:P24)</f>
        <v>1158113.6475</v>
      </c>
      <c r="P28" s="389"/>
      <c r="Q28" s="386"/>
      <c r="R28" s="383" t="s">
        <v>680</v>
      </c>
      <c r="S28" s="491">
        <f>SUMPRODUCT(S15:S24,T15:T24)</f>
        <v>0</v>
      </c>
      <c r="T28" s="422"/>
      <c r="V28" s="383" t="s">
        <v>680</v>
      </c>
      <c r="W28" s="491">
        <f>SUMPRODUCT(W15:W24,X15:X24)</f>
        <v>1306612.7033333331</v>
      </c>
      <c r="X28" s="424"/>
    </row>
    <row r="29" spans="2:24">
      <c r="B29" s="390"/>
      <c r="C29" s="455"/>
      <c r="D29" s="391"/>
      <c r="E29" s="386"/>
      <c r="F29" s="390"/>
      <c r="G29" s="455"/>
      <c r="H29" s="391"/>
      <c r="I29" s="386"/>
      <c r="J29" s="390"/>
      <c r="K29" s="455"/>
      <c r="L29" s="391"/>
      <c r="M29" s="386"/>
      <c r="N29" s="390"/>
      <c r="O29" s="455"/>
      <c r="P29" s="391"/>
      <c r="Q29" s="386"/>
      <c r="R29" s="390"/>
      <c r="S29" s="455"/>
      <c r="T29" s="386"/>
      <c r="V29" s="390"/>
      <c r="W29" s="455"/>
      <c r="X29" s="391"/>
    </row>
    <row r="30" spans="2:24">
      <c r="B30" s="392" t="s">
        <v>681</v>
      </c>
      <c r="C30" s="393" t="s">
        <v>682</v>
      </c>
      <c r="D30" s="397" t="s">
        <v>683</v>
      </c>
      <c r="E30" s="395"/>
      <c r="F30" s="394" t="s">
        <v>681</v>
      </c>
      <c r="G30" s="396" t="s">
        <v>682</v>
      </c>
      <c r="H30" s="397" t="s">
        <v>683</v>
      </c>
      <c r="I30" s="395"/>
      <c r="J30" s="392" t="s">
        <v>681</v>
      </c>
      <c r="K30" s="393" t="s">
        <v>682</v>
      </c>
      <c r="L30" s="397" t="s">
        <v>683</v>
      </c>
      <c r="M30" s="395"/>
      <c r="N30" s="392" t="s">
        <v>681</v>
      </c>
      <c r="O30" s="393" t="s">
        <v>682</v>
      </c>
      <c r="P30" s="397" t="s">
        <v>683</v>
      </c>
      <c r="Q30" s="395"/>
      <c r="R30" s="392" t="s">
        <v>681</v>
      </c>
      <c r="S30" s="393" t="s">
        <v>682</v>
      </c>
      <c r="T30" s="394" t="s">
        <v>683</v>
      </c>
      <c r="V30" s="392" t="s">
        <v>681</v>
      </c>
      <c r="W30" s="393" t="s">
        <v>682</v>
      </c>
      <c r="X30" s="397" t="s">
        <v>683</v>
      </c>
    </row>
    <row r="31" spans="2:24">
      <c r="B31" s="398" t="s">
        <v>684</v>
      </c>
      <c r="C31" s="399">
        <v>13.64</v>
      </c>
      <c r="D31" s="400">
        <v>5615</v>
      </c>
      <c r="E31" s="401"/>
      <c r="F31" s="402" t="s">
        <v>684</v>
      </c>
      <c r="G31" s="403">
        <v>11.45</v>
      </c>
      <c r="H31" s="400">
        <v>8240</v>
      </c>
      <c r="I31" s="401"/>
      <c r="J31" s="398" t="s">
        <v>684</v>
      </c>
      <c r="K31" s="399">
        <v>12.55</v>
      </c>
      <c r="L31" s="400">
        <v>9115</v>
      </c>
      <c r="M31" s="401"/>
      <c r="N31" s="398"/>
      <c r="O31" s="399">
        <v>13.9</v>
      </c>
      <c r="P31" s="400">
        <v>9115</v>
      </c>
      <c r="Q31" s="405"/>
      <c r="R31" s="398" t="s">
        <v>684</v>
      </c>
      <c r="S31" s="399">
        <v>15.35</v>
      </c>
      <c r="T31" s="406"/>
      <c r="V31" s="398" t="s">
        <v>684</v>
      </c>
      <c r="W31" s="399">
        <v>15.35</v>
      </c>
      <c r="X31" s="400">
        <f>(H31+L31+P31)/3</f>
        <v>8823.3333333333339</v>
      </c>
    </row>
    <row r="32" spans="2:24">
      <c r="B32" s="407"/>
      <c r="C32" s="408"/>
      <c r="D32" s="413"/>
      <c r="E32" s="405"/>
      <c r="F32" s="410"/>
      <c r="G32" s="411"/>
      <c r="H32" s="413"/>
      <c r="I32" s="405"/>
      <c r="J32" s="407"/>
      <c r="K32" s="408"/>
      <c r="L32" s="413"/>
      <c r="M32" s="405"/>
      <c r="N32" s="407"/>
      <c r="O32" s="408"/>
      <c r="P32" s="413"/>
      <c r="Q32" s="405"/>
      <c r="R32" s="407"/>
      <c r="S32" s="408"/>
      <c r="T32" s="412"/>
      <c r="V32" s="407"/>
      <c r="W32" s="408"/>
      <c r="X32" s="413">
        <f>(H32+L32+P32)/3</f>
        <v>0</v>
      </c>
    </row>
    <row r="33" spans="2:27">
      <c r="B33" s="414"/>
      <c r="C33" s="415"/>
      <c r="D33" s="420"/>
      <c r="E33" s="417"/>
      <c r="F33" s="418"/>
      <c r="G33" s="419"/>
      <c r="H33" s="420"/>
      <c r="I33" s="417"/>
      <c r="J33" s="414"/>
      <c r="K33" s="415"/>
      <c r="L33" s="420"/>
      <c r="M33" s="417"/>
      <c r="N33" s="414"/>
      <c r="O33" s="415"/>
      <c r="P33" s="420"/>
      <c r="Q33" s="417"/>
      <c r="R33" s="414"/>
      <c r="S33" s="415"/>
      <c r="T33" s="416"/>
      <c r="V33" s="414"/>
      <c r="W33" s="415"/>
      <c r="X33" s="420"/>
    </row>
    <row r="34" spans="2:27" s="359" customFormat="1" ht="11.25">
      <c r="B34" s="383" t="s">
        <v>680</v>
      </c>
      <c r="C34" s="421">
        <f>SUMPRODUCT(C31:C32,D31:D32)</f>
        <v>76588.600000000006</v>
      </c>
      <c r="D34" s="424"/>
      <c r="E34" s="386"/>
      <c r="F34" s="423" t="s">
        <v>680</v>
      </c>
      <c r="G34" s="421">
        <f>SUMPRODUCT(G31:G32,H31:H32)</f>
        <v>94348</v>
      </c>
      <c r="H34" s="424"/>
      <c r="I34" s="386"/>
      <c r="J34" s="383" t="s">
        <v>680</v>
      </c>
      <c r="K34" s="421">
        <f>SUMPRODUCT(K31:K32,L31:L32)</f>
        <v>114393.25</v>
      </c>
      <c r="L34" s="424"/>
      <c r="M34" s="386"/>
      <c r="N34" s="383" t="s">
        <v>680</v>
      </c>
      <c r="O34" s="421">
        <f>SUMPRODUCT(O31:O32,P31:P32)</f>
        <v>126698.5</v>
      </c>
      <c r="P34" s="424"/>
      <c r="Q34" s="386"/>
      <c r="R34" s="383" t="s">
        <v>680</v>
      </c>
      <c r="S34" s="421">
        <f>SUMPRODUCT(S31:S32,T31:T32)</f>
        <v>0</v>
      </c>
      <c r="T34" s="422"/>
      <c r="V34" s="383" t="s">
        <v>680</v>
      </c>
      <c r="W34" s="421">
        <f>SUMPRODUCT(W31:W32,X31:X32)</f>
        <v>135438.16666666669</v>
      </c>
      <c r="X34" s="424"/>
    </row>
    <row r="35" spans="2:27">
      <c r="B35" s="359"/>
      <c r="C35" s="425"/>
      <c r="D35" s="426"/>
      <c r="E35" s="316"/>
      <c r="F35" s="359"/>
      <c r="G35" s="425"/>
      <c r="H35" s="426"/>
      <c r="I35" s="316"/>
      <c r="J35" s="359"/>
      <c r="K35" s="425"/>
      <c r="L35" s="426"/>
      <c r="M35" s="316"/>
      <c r="N35" s="359"/>
      <c r="O35" s="425"/>
      <c r="P35" s="426"/>
      <c r="Q35" s="316"/>
      <c r="R35" s="359"/>
      <c r="S35" s="425"/>
      <c r="T35" s="359"/>
      <c r="V35" s="359"/>
      <c r="W35" s="425"/>
      <c r="X35" s="426"/>
    </row>
    <row r="36" spans="2:27">
      <c r="B36" s="359"/>
      <c r="C36" s="425"/>
      <c r="D36" s="426"/>
      <c r="E36" s="316"/>
      <c r="F36" s="359"/>
      <c r="G36" s="425"/>
      <c r="H36" s="426"/>
      <c r="I36" s="316"/>
      <c r="J36" s="359"/>
      <c r="K36" s="425"/>
      <c r="L36" s="426"/>
      <c r="M36" s="316"/>
      <c r="N36" s="359"/>
      <c r="O36" s="425"/>
      <c r="P36" s="426"/>
      <c r="Q36" s="316"/>
      <c r="R36" s="359"/>
      <c r="S36" s="425"/>
      <c r="T36" s="359"/>
      <c r="V36" s="359"/>
      <c r="W36" s="425"/>
      <c r="X36" s="426"/>
    </row>
    <row r="37" spans="2:27">
      <c r="B37" s="427"/>
      <c r="C37" s="428"/>
      <c r="D37" s="540"/>
      <c r="E37" s="430"/>
      <c r="F37" s="429"/>
      <c r="G37" s="425"/>
      <c r="H37" s="426"/>
      <c r="I37" s="316"/>
      <c r="J37" s="359"/>
      <c r="K37" s="425"/>
      <c r="L37" s="426"/>
      <c r="M37" s="316"/>
      <c r="N37" s="359"/>
      <c r="O37" s="425"/>
      <c r="P37" s="426"/>
      <c r="Q37" s="316"/>
      <c r="R37" s="316"/>
      <c r="S37" s="536"/>
      <c r="T37" s="316"/>
      <c r="V37" s="359"/>
      <c r="W37" s="425"/>
      <c r="X37" s="426"/>
    </row>
    <row r="38" spans="2:27">
      <c r="B38" s="431" t="s">
        <v>686</v>
      </c>
      <c r="C38" s="432"/>
      <c r="D38" s="541"/>
      <c r="E38" s="434"/>
      <c r="F38" s="435" t="s">
        <v>686</v>
      </c>
      <c r="G38" s="432"/>
      <c r="H38" s="541"/>
      <c r="I38" s="434"/>
      <c r="J38" s="431" t="s">
        <v>686</v>
      </c>
      <c r="K38" s="432"/>
      <c r="L38" s="437"/>
      <c r="M38" s="434"/>
      <c r="N38" s="431" t="s">
        <v>686</v>
      </c>
      <c r="O38" s="432"/>
      <c r="P38" s="437"/>
      <c r="Q38" s="434"/>
      <c r="R38" s="542"/>
      <c r="S38" s="500"/>
      <c r="T38" s="434"/>
      <c r="V38" s="431" t="s">
        <v>686</v>
      </c>
      <c r="W38" s="432"/>
      <c r="X38" s="437"/>
    </row>
    <row r="39" spans="2:27" s="359" customFormat="1">
      <c r="B39" s="441" t="s">
        <v>1403</v>
      </c>
      <c r="C39" s="249">
        <f>SUMPRODUCT(C22,D22)/SUM(D22)</f>
        <v>12.64</v>
      </c>
      <c r="D39" s="250">
        <f>SUM(D22)</f>
        <v>18103</v>
      </c>
      <c r="E39" s="440"/>
      <c r="F39" s="441" t="s">
        <v>1403</v>
      </c>
      <c r="G39" s="249">
        <f>SUMPRODUCT(G21,H21)/SUM(H21)</f>
        <v>10.6</v>
      </c>
      <c r="H39" s="250">
        <f>SUM(H21)</f>
        <v>18401</v>
      </c>
      <c r="I39" s="440"/>
      <c r="J39" s="441" t="s">
        <v>1403</v>
      </c>
      <c r="K39" s="249">
        <f>SUMPRODUCT(K21,L21)/SUM(L21)</f>
        <v>11.65</v>
      </c>
      <c r="L39" s="250">
        <f>SUM(L21)</f>
        <v>18696</v>
      </c>
      <c r="M39" s="440"/>
      <c r="N39" s="441" t="s">
        <v>1403</v>
      </c>
      <c r="O39" s="249">
        <f>SUMPRODUCT(O24,P24)/SUM(P24)</f>
        <v>13.25</v>
      </c>
      <c r="P39" s="250">
        <f>SUM(P24)</f>
        <v>18957.5</v>
      </c>
      <c r="Q39" s="440"/>
      <c r="R39" s="271"/>
      <c r="S39" s="280"/>
      <c r="T39" s="440"/>
      <c r="V39" s="441" t="s">
        <v>1403</v>
      </c>
      <c r="W39" s="249">
        <f>SUMPRODUCT(W24,X24)/SUM(X24)</f>
        <v>15.000000000000002</v>
      </c>
      <c r="X39" s="250">
        <f>SUM(X24)</f>
        <v>18684.833333333332</v>
      </c>
      <c r="Z39" s="210"/>
      <c r="AA39" s="210"/>
    </row>
    <row r="40" spans="2:27" s="359" customFormat="1">
      <c r="B40" s="441" t="s">
        <v>1405</v>
      </c>
      <c r="C40" s="252">
        <f>SUMPRODUCT(C20:C21,D20:D21)/SUM(D20:D21)</f>
        <v>25.56</v>
      </c>
      <c r="D40" s="253">
        <f>SUM(D20:D21)</f>
        <v>29669</v>
      </c>
      <c r="E40" s="443"/>
      <c r="F40" s="441" t="s">
        <v>1405</v>
      </c>
      <c r="G40" s="252">
        <f>SUMPRODUCT(G20,H20)/SUM(H20)</f>
        <v>21.46</v>
      </c>
      <c r="H40" s="253">
        <f>SUM(H20)</f>
        <v>29926.6</v>
      </c>
      <c r="I40" s="443"/>
      <c r="J40" s="441" t="s">
        <v>1405</v>
      </c>
      <c r="K40" s="252">
        <f>SUMPRODUCT(K20,L20)/SUM(L20)</f>
        <v>23.6</v>
      </c>
      <c r="L40" s="253">
        <f>SUM(L20)</f>
        <v>30167.599999999999</v>
      </c>
      <c r="M40" s="443"/>
      <c r="N40" s="441" t="s">
        <v>1405</v>
      </c>
      <c r="O40" s="252">
        <f>SUMPRODUCT(O23,P23)/SUM(P23)</f>
        <v>26.75</v>
      </c>
      <c r="P40" s="253">
        <f>SUM(P23)</f>
        <v>30304.6</v>
      </c>
      <c r="Q40" s="443"/>
      <c r="R40" s="271"/>
      <c r="S40" s="623"/>
      <c r="T40" s="443"/>
      <c r="V40" s="441" t="s">
        <v>1405</v>
      </c>
      <c r="W40" s="252">
        <f>SUMPRODUCT(W23,X23)/SUM(X23)</f>
        <v>30.45</v>
      </c>
      <c r="X40" s="253">
        <f>SUM(X23)</f>
        <v>30132.933333333331</v>
      </c>
      <c r="Z40" s="210"/>
      <c r="AA40" s="210"/>
    </row>
    <row r="41" spans="2:27" s="359" customFormat="1">
      <c r="B41" s="441" t="s">
        <v>1407</v>
      </c>
      <c r="C41" s="254">
        <f>SUMPRODUCT(C19,D19)/SUM(D19)</f>
        <v>41.45</v>
      </c>
      <c r="D41" s="255">
        <f>SUM(D19)</f>
        <v>1213</v>
      </c>
      <c r="E41" s="443"/>
      <c r="F41" s="441" t="s">
        <v>1407</v>
      </c>
      <c r="G41" s="254">
        <f>SUMPRODUCT(G19,H19)/SUM(H19)</f>
        <v>34.799999999999997</v>
      </c>
      <c r="H41" s="255">
        <f>SUM(H19)</f>
        <v>1208.4000000000001</v>
      </c>
      <c r="I41" s="443"/>
      <c r="J41" s="441" t="s">
        <v>1407</v>
      </c>
      <c r="K41" s="254">
        <f>SUMPRODUCT(K19,L19)/SUM(L19)</f>
        <v>38.15</v>
      </c>
      <c r="L41" s="255">
        <f>SUM(L19)</f>
        <v>1225.2</v>
      </c>
      <c r="M41" s="443"/>
      <c r="N41" s="441" t="s">
        <v>1407</v>
      </c>
      <c r="O41" s="254">
        <f>SUMPRODUCT(O22,P22)/SUM(P22)</f>
        <v>43.25</v>
      </c>
      <c r="P41" s="255">
        <f>SUM(P22)</f>
        <v>1227.8</v>
      </c>
      <c r="Q41" s="443"/>
      <c r="R41" s="271"/>
      <c r="S41" s="280"/>
      <c r="T41" s="443"/>
      <c r="V41" s="441" t="s">
        <v>1407</v>
      </c>
      <c r="W41" s="254">
        <f>SUMPRODUCT(W22,X22)/SUM(X22)</f>
        <v>49</v>
      </c>
      <c r="X41" s="255">
        <f>SUM(X22)</f>
        <v>1220.4666666666669</v>
      </c>
      <c r="Z41" s="210"/>
      <c r="AA41" s="210"/>
    </row>
    <row r="42" spans="2:27" s="359" customFormat="1">
      <c r="B42" s="1113" t="s">
        <v>1409</v>
      </c>
      <c r="C42" s="256">
        <f>SUMPRODUCT(C18,D18)/SUM(D18)</f>
        <v>41.45</v>
      </c>
      <c r="D42" s="257">
        <f>SUM(D18)</f>
        <v>122.1</v>
      </c>
      <c r="E42" s="443"/>
      <c r="F42" s="1113" t="s">
        <v>1409</v>
      </c>
      <c r="G42" s="256">
        <f>SUMPRODUCT(G18,H18)/SUM(H18)</f>
        <v>34.799999999999997</v>
      </c>
      <c r="H42" s="257">
        <f>SUM(H18)</f>
        <v>128.72</v>
      </c>
      <c r="I42" s="443"/>
      <c r="J42" s="1113" t="s">
        <v>1409</v>
      </c>
      <c r="K42" s="256">
        <f>SUMPRODUCT(K18,L18)/SUM(L18)</f>
        <v>38.15</v>
      </c>
      <c r="L42" s="257">
        <f>SUM(L18)</f>
        <v>133.4</v>
      </c>
      <c r="M42" s="443"/>
      <c r="N42" s="1113" t="s">
        <v>1409</v>
      </c>
      <c r="O42" s="256">
        <f>SUMPRODUCT(O21,P21)/SUM(P21)</f>
        <v>43.25</v>
      </c>
      <c r="P42" s="257">
        <f>SUM(P21)</f>
        <v>141.13</v>
      </c>
      <c r="Q42" s="443"/>
      <c r="R42" s="271"/>
      <c r="S42" s="280"/>
      <c r="T42" s="443"/>
      <c r="V42" s="1113" t="s">
        <v>1409</v>
      </c>
      <c r="W42" s="256">
        <f>SUMPRODUCT(W21,X21)/SUM(X21)</f>
        <v>49</v>
      </c>
      <c r="X42" s="257">
        <f>SUM(X21)</f>
        <v>134.41666666666666</v>
      </c>
      <c r="Z42" s="210"/>
      <c r="AA42" s="210"/>
    </row>
    <row r="43" spans="2:27" s="359" customFormat="1">
      <c r="B43" s="1113" t="s">
        <v>1411</v>
      </c>
      <c r="C43" s="258">
        <f>SUMPRODUCT(C16:C17,D16:D17)/SUM(D16:D17)</f>
        <v>224.40633770340602</v>
      </c>
      <c r="D43" s="259">
        <f>SUM(D16:D17)</f>
        <v>151.79</v>
      </c>
      <c r="E43" s="440"/>
      <c r="F43" s="1113" t="s">
        <v>1411</v>
      </c>
      <c r="G43" s="258">
        <f>SUMPRODUCT(G16:G17,H16:H17)/SUM(H16:H17)</f>
        <v>186.6188746152817</v>
      </c>
      <c r="H43" s="259">
        <f>SUM(H16:H17)</f>
        <v>149.45999999999998</v>
      </c>
      <c r="I43" s="440"/>
      <c r="J43" s="1113" t="s">
        <v>1411</v>
      </c>
      <c r="K43" s="258">
        <f>SUMPRODUCT(K16:K17,L16:L17)/SUM(L16:L17)</f>
        <v>203.17783903718149</v>
      </c>
      <c r="L43" s="259">
        <f>SUM(L16:L17)</f>
        <v>148.72999999999999</v>
      </c>
      <c r="M43" s="440"/>
      <c r="N43" s="1113" t="s">
        <v>1411</v>
      </c>
      <c r="O43" s="258">
        <f>SUMPRODUCT(O19:O20,P19:P20)/SUM(P19:P20)</f>
        <v>229.1921456719663</v>
      </c>
      <c r="P43" s="259">
        <f>SUM(P19:P20)</f>
        <v>147.18</v>
      </c>
      <c r="Q43" s="440"/>
      <c r="R43" s="271"/>
      <c r="S43" s="280"/>
      <c r="T43" s="440"/>
      <c r="V43" s="1113" t="s">
        <v>1411</v>
      </c>
      <c r="W43" s="258">
        <f>SUMPRODUCT(W19:W20,X19:X20)/SUM(X19:X20)</f>
        <v>260.96683656285785</v>
      </c>
      <c r="X43" s="259">
        <f>SUM(X19:X20)</f>
        <v>148.45666666666668</v>
      </c>
      <c r="Z43" s="210"/>
      <c r="AA43" s="210"/>
    </row>
    <row r="44" spans="2:27" s="359" customFormat="1">
      <c r="B44" s="1125" t="s">
        <v>1415</v>
      </c>
      <c r="C44" s="262">
        <f>C15</f>
        <v>1599.35</v>
      </c>
      <c r="D44" s="262">
        <f>D15</f>
        <v>1</v>
      </c>
      <c r="E44" s="440"/>
      <c r="F44" s="1125" t="s">
        <v>1415</v>
      </c>
      <c r="G44" s="262">
        <f>G15</f>
        <v>1342.5</v>
      </c>
      <c r="H44" s="262">
        <f>H15</f>
        <v>1.75</v>
      </c>
      <c r="I44" s="440"/>
      <c r="J44" s="1125" t="s">
        <v>1415</v>
      </c>
      <c r="K44" s="262">
        <f>K15</f>
        <v>1475</v>
      </c>
      <c r="L44" s="262">
        <f>L15</f>
        <v>2</v>
      </c>
      <c r="M44" s="440"/>
      <c r="N44" s="1125" t="s">
        <v>1415</v>
      </c>
      <c r="O44" s="262">
        <f>O18</f>
        <v>1670</v>
      </c>
      <c r="P44" s="262">
        <f>P18</f>
        <v>2</v>
      </c>
      <c r="Q44" s="440"/>
      <c r="R44" s="271"/>
      <c r="S44" s="280"/>
      <c r="T44" s="440"/>
      <c r="V44" s="1125" t="s">
        <v>1415</v>
      </c>
      <c r="W44" s="262">
        <f>W18</f>
        <v>1910</v>
      </c>
      <c r="X44" s="262">
        <f>X18</f>
        <v>1.9166666666666667</v>
      </c>
      <c r="Z44" s="210"/>
      <c r="AA44" s="210"/>
    </row>
    <row r="45" spans="2:27">
      <c r="B45" s="450" t="s">
        <v>680</v>
      </c>
      <c r="C45" s="451">
        <f>SUMPRODUCT(C39:C44,D39:D44)</f>
        <v>1078163.4430000002</v>
      </c>
      <c r="D45" s="454" t="s">
        <v>750</v>
      </c>
      <c r="E45" s="443"/>
      <c r="F45" s="453" t="s">
        <v>680</v>
      </c>
      <c r="G45" s="451">
        <f>SUMPRODUCT(G39:G44,H39:H44)</f>
        <v>914048.64399999997</v>
      </c>
      <c r="H45" s="454"/>
      <c r="I45" s="443"/>
      <c r="J45" s="450" t="s">
        <v>680</v>
      </c>
      <c r="K45" s="451">
        <f>SUMPRODUCT(K39:K44,L39:L44)</f>
        <v>1014762.99</v>
      </c>
      <c r="L45" s="454"/>
      <c r="M45" s="443"/>
      <c r="N45" s="450" t="s">
        <v>680</v>
      </c>
      <c r="O45" s="451">
        <f>SUMPRODUCT(O39:O44,P39:P44)</f>
        <v>1158113.6475</v>
      </c>
      <c r="P45" s="454"/>
      <c r="Q45" s="443"/>
      <c r="R45" s="543"/>
      <c r="S45" s="443"/>
      <c r="T45" s="443"/>
      <c r="V45" s="450" t="s">
        <v>680</v>
      </c>
      <c r="W45" s="451">
        <f>SUMPRODUCT(W39:W44,X39:X44)</f>
        <v>1306612.7033333331</v>
      </c>
      <c r="X45" s="454"/>
    </row>
    <row r="46" spans="2:27">
      <c r="B46" s="390"/>
      <c r="C46" s="455"/>
      <c r="D46" s="391"/>
      <c r="E46" s="386"/>
      <c r="F46" s="390"/>
      <c r="G46" s="455"/>
      <c r="H46" s="391"/>
      <c r="I46" s="386"/>
      <c r="J46" s="390"/>
      <c r="K46" s="455"/>
      <c r="L46" s="391"/>
      <c r="M46" s="386"/>
      <c r="N46" s="390"/>
      <c r="O46" s="455"/>
      <c r="P46" s="391"/>
      <c r="Q46" s="386"/>
      <c r="R46" s="390"/>
      <c r="S46" s="500"/>
      <c r="T46" s="386"/>
      <c r="V46" s="390"/>
      <c r="W46" s="455"/>
      <c r="X46" s="391"/>
    </row>
    <row r="47" spans="2:27">
      <c r="B47" s="392" t="s">
        <v>681</v>
      </c>
      <c r="C47" s="456"/>
      <c r="D47" s="397"/>
      <c r="E47" s="395"/>
      <c r="F47" s="392" t="s">
        <v>681</v>
      </c>
      <c r="G47" s="456"/>
      <c r="H47" s="397"/>
      <c r="I47" s="395"/>
      <c r="J47" s="392" t="s">
        <v>681</v>
      </c>
      <c r="K47" s="456"/>
      <c r="L47" s="397"/>
      <c r="M47" s="395"/>
      <c r="N47" s="392" t="s">
        <v>681</v>
      </c>
      <c r="O47" s="456"/>
      <c r="P47" s="397"/>
      <c r="Q47" s="395"/>
      <c r="R47" s="395"/>
      <c r="S47" s="544"/>
      <c r="T47" s="395"/>
      <c r="V47" s="392" t="s">
        <v>681</v>
      </c>
      <c r="W47" s="456"/>
      <c r="X47" s="397"/>
    </row>
    <row r="48" spans="2:27">
      <c r="B48" s="398"/>
      <c r="C48" s="399">
        <f>SUMPRODUCT(C31:C32,D31:D32)/SUM(D31:D32)</f>
        <v>13.64</v>
      </c>
      <c r="D48" s="400">
        <f>SUM(D31:D32)</f>
        <v>5615</v>
      </c>
      <c r="E48" s="405"/>
      <c r="F48" s="398"/>
      <c r="G48" s="399">
        <f>SUMPRODUCT(G31:G32,H31:H32)/SUM(H31:H32)</f>
        <v>11.45</v>
      </c>
      <c r="H48" s="400">
        <f>SUM(H31:H32)</f>
        <v>8240</v>
      </c>
      <c r="I48" s="405"/>
      <c r="J48" s="398"/>
      <c r="K48" s="399">
        <f>SUMPRODUCT(K31:K32,L31:L32)/SUM(L31:L32)</f>
        <v>12.55</v>
      </c>
      <c r="L48" s="400">
        <f>SUM(L31:L32)</f>
        <v>9115</v>
      </c>
      <c r="M48" s="405"/>
      <c r="N48" s="398"/>
      <c r="O48" s="399">
        <f>SUMPRODUCT(O31:O32,P31:P32)/SUM(P31:P32)</f>
        <v>13.9</v>
      </c>
      <c r="P48" s="400">
        <f>SUM(P31:P32)</f>
        <v>9115</v>
      </c>
      <c r="Q48" s="405"/>
      <c r="R48" s="529"/>
      <c r="S48" s="624"/>
      <c r="T48" s="405"/>
      <c r="V48" s="398"/>
      <c r="W48" s="399">
        <f>SUMPRODUCT(W31:W32,X31:X32)/SUM(X31:X32)</f>
        <v>15.350000000000001</v>
      </c>
      <c r="X48" s="400">
        <f>SUM(X31:X32)</f>
        <v>8823.3333333333339</v>
      </c>
    </row>
    <row r="49" spans="2:29">
      <c r="B49" s="414"/>
      <c r="C49" s="415"/>
      <c r="D49" s="420"/>
      <c r="E49" s="417"/>
      <c r="F49" s="414"/>
      <c r="G49" s="415"/>
      <c r="H49" s="416"/>
      <c r="I49" s="417"/>
      <c r="J49" s="414"/>
      <c r="K49" s="415"/>
      <c r="L49" s="420"/>
      <c r="M49" s="417"/>
      <c r="N49" s="414"/>
      <c r="O49" s="415"/>
      <c r="P49" s="420"/>
      <c r="Q49" s="417"/>
      <c r="R49" s="529"/>
      <c r="S49" s="545"/>
      <c r="T49" s="417"/>
      <c r="V49" s="414"/>
      <c r="W49" s="415"/>
      <c r="X49" s="420"/>
    </row>
    <row r="50" spans="2:29">
      <c r="B50" s="383" t="s">
        <v>680</v>
      </c>
      <c r="C50" s="432"/>
      <c r="D50" s="422"/>
      <c r="E50" s="386"/>
      <c r="F50" s="383" t="s">
        <v>680</v>
      </c>
      <c r="G50" s="432"/>
      <c r="H50" s="422"/>
      <c r="I50" s="386"/>
      <c r="J50" s="383" t="s">
        <v>680</v>
      </c>
      <c r="K50" s="432"/>
      <c r="L50" s="424"/>
      <c r="M50" s="386"/>
      <c r="N50" s="383" t="s">
        <v>680</v>
      </c>
      <c r="O50" s="432"/>
      <c r="P50" s="424"/>
      <c r="Q50" s="386"/>
      <c r="R50" s="390"/>
      <c r="S50" s="500"/>
      <c r="T50" s="386"/>
      <c r="V50" s="383" t="s">
        <v>680</v>
      </c>
      <c r="W50" s="432"/>
      <c r="X50" s="422"/>
    </row>
    <row r="51" spans="2:29">
      <c r="B51" s="390"/>
      <c r="C51" s="458"/>
      <c r="D51" s="386"/>
      <c r="E51" s="386"/>
      <c r="F51" s="390"/>
      <c r="G51" s="458"/>
      <c r="H51" s="386"/>
      <c r="I51" s="386"/>
      <c r="J51" s="390"/>
      <c r="K51" s="458"/>
      <c r="L51" s="386"/>
      <c r="M51" s="386"/>
      <c r="N51" s="390"/>
      <c r="O51" s="458"/>
      <c r="P51" s="386"/>
      <c r="Q51" s="386"/>
      <c r="R51" s="390"/>
      <c r="S51" s="430"/>
      <c r="T51" s="386"/>
    </row>
    <row r="52" spans="2:29">
      <c r="B52" s="390"/>
      <c r="C52" s="458"/>
      <c r="D52" s="386"/>
      <c r="E52" s="386"/>
      <c r="F52" s="390"/>
      <c r="G52" s="458"/>
      <c r="H52" s="386"/>
      <c r="I52" s="386"/>
      <c r="J52" s="390"/>
      <c r="K52" s="458"/>
      <c r="L52" s="386"/>
      <c r="M52" s="386"/>
      <c r="N52" s="390"/>
      <c r="O52" s="458"/>
      <c r="P52" s="386"/>
      <c r="Q52" s="386"/>
      <c r="R52" s="390"/>
      <c r="S52" s="458"/>
      <c r="T52" s="386"/>
    </row>
    <row r="53" spans="2:29">
      <c r="B53" s="390"/>
      <c r="C53" s="458"/>
      <c r="D53" s="386"/>
      <c r="E53" s="386"/>
      <c r="F53" s="390"/>
      <c r="G53" s="458"/>
      <c r="H53" s="386"/>
      <c r="I53" s="386"/>
      <c r="J53" s="390"/>
      <c r="K53" s="458"/>
      <c r="L53" s="386"/>
      <c r="M53" s="386"/>
      <c r="N53" s="390"/>
      <c r="O53" s="458"/>
      <c r="P53" s="386"/>
      <c r="Q53" s="386"/>
      <c r="R53" s="390"/>
      <c r="S53" s="458"/>
      <c r="T53" s="386"/>
    </row>
    <row r="54" spans="2:29" ht="15.75">
      <c r="B54" s="240" t="str">
        <f>B1</f>
        <v>NE6R Rendo</v>
      </c>
      <c r="C54" s="240" t="s">
        <v>722</v>
      </c>
      <c r="D54" s="546"/>
      <c r="E54" s="293"/>
      <c r="F54" s="293"/>
      <c r="G54" s="291"/>
      <c r="H54" s="292"/>
      <c r="I54" s="293"/>
      <c r="J54" s="293"/>
      <c r="K54" s="291"/>
      <c r="L54" s="292"/>
      <c r="M54" s="293"/>
      <c r="N54" s="293"/>
      <c r="O54" s="293"/>
      <c r="P54" s="293"/>
      <c r="Q54" s="293"/>
      <c r="R54" s="293"/>
      <c r="S54" s="293"/>
      <c r="T54" s="293"/>
      <c r="V54" s="294" t="s">
        <v>651</v>
      </c>
      <c r="W54" s="295"/>
      <c r="X54" s="295"/>
    </row>
    <row r="55" spans="2:29">
      <c r="B55" s="390"/>
      <c r="C55" s="458"/>
      <c r="D55" s="386"/>
      <c r="E55" s="386"/>
      <c r="F55" s="390"/>
      <c r="G55" s="458"/>
      <c r="H55" s="386"/>
      <c r="I55" s="386"/>
      <c r="J55" s="390"/>
      <c r="K55" s="458"/>
      <c r="L55" s="386"/>
      <c r="M55" s="386"/>
      <c r="N55" s="390"/>
      <c r="O55" s="458"/>
      <c r="P55" s="386"/>
      <c r="Q55" s="386"/>
      <c r="R55" s="390"/>
      <c r="S55" s="458"/>
      <c r="T55" s="386"/>
    </row>
    <row r="56" spans="2:29">
      <c r="B56" s="296" t="s">
        <v>251</v>
      </c>
      <c r="C56" s="297" t="s">
        <v>652</v>
      </c>
      <c r="D56" s="297"/>
      <c r="E56" s="298"/>
      <c r="F56" s="297"/>
      <c r="G56" s="298"/>
      <c r="H56" s="386"/>
      <c r="I56" s="386"/>
      <c r="J56" s="390"/>
      <c r="K56" s="458"/>
      <c r="L56" s="386"/>
      <c r="M56" s="386"/>
      <c r="N56" s="390"/>
      <c r="O56" s="458"/>
      <c r="P56" s="386"/>
      <c r="Q56" s="386"/>
      <c r="R56" s="390"/>
      <c r="S56" s="458"/>
      <c r="T56" s="386"/>
    </row>
    <row r="57" spans="2:29">
      <c r="B57" s="299" t="s">
        <v>252</v>
      </c>
      <c r="C57" s="300" t="s">
        <v>652</v>
      </c>
      <c r="D57" s="300"/>
      <c r="E57" s="301"/>
      <c r="F57" s="300"/>
      <c r="G57" s="301"/>
      <c r="H57" s="386"/>
      <c r="I57" s="386"/>
      <c r="J57" s="390"/>
      <c r="K57" s="458"/>
      <c r="L57" s="386"/>
      <c r="M57" s="386"/>
      <c r="N57" s="390"/>
      <c r="O57" s="458"/>
      <c r="P57" s="386"/>
      <c r="Q57" s="386"/>
      <c r="R57" s="390"/>
      <c r="S57" s="458"/>
      <c r="T57" s="386"/>
    </row>
    <row r="58" spans="2:29">
      <c r="B58" s="302" t="s">
        <v>253</v>
      </c>
      <c r="C58" s="303" t="s">
        <v>653</v>
      </c>
      <c r="D58" s="303"/>
      <c r="E58" s="304"/>
      <c r="F58" s="303"/>
      <c r="G58" s="304"/>
      <c r="H58" s="386"/>
      <c r="I58" s="386"/>
      <c r="J58" s="390"/>
      <c r="K58" s="458"/>
      <c r="L58" s="386"/>
      <c r="M58" s="386"/>
      <c r="N58" s="390"/>
      <c r="O58" s="458"/>
      <c r="P58" s="386"/>
      <c r="Q58" s="386"/>
      <c r="R58" s="390"/>
      <c r="S58" s="458"/>
      <c r="T58" s="386"/>
    </row>
    <row r="59" spans="2:29">
      <c r="B59" s="305" t="s">
        <v>654</v>
      </c>
      <c r="C59" s="306" t="s">
        <v>653</v>
      </c>
      <c r="D59" s="306"/>
      <c r="E59" s="307"/>
      <c r="F59" s="306"/>
      <c r="G59" s="307"/>
      <c r="H59" s="386"/>
      <c r="I59" s="386"/>
      <c r="J59" s="390"/>
      <c r="K59" s="458"/>
      <c r="L59" s="386"/>
      <c r="M59" s="386"/>
      <c r="N59" s="390"/>
      <c r="O59" s="458"/>
      <c r="P59" s="386"/>
      <c r="Q59" s="386"/>
      <c r="R59" s="390"/>
      <c r="S59" s="458"/>
      <c r="T59" s="386"/>
    </row>
    <row r="60" spans="2:29">
      <c r="B60" s="460" t="s">
        <v>254</v>
      </c>
      <c r="C60" s="461" t="s">
        <v>688</v>
      </c>
      <c r="D60" s="461"/>
      <c r="E60" s="462"/>
      <c r="F60" s="461"/>
      <c r="G60" s="462"/>
      <c r="H60" s="386"/>
      <c r="I60" s="386"/>
      <c r="J60" s="390"/>
      <c r="K60" s="458"/>
      <c r="L60" s="386"/>
      <c r="M60" s="386"/>
      <c r="N60" s="390"/>
      <c r="O60" s="458"/>
      <c r="P60" s="386"/>
      <c r="Q60" s="386"/>
      <c r="R60" s="390"/>
      <c r="S60" s="458"/>
      <c r="T60" s="386"/>
    </row>
    <row r="61" spans="2:29">
      <c r="B61" s="390"/>
      <c r="C61" s="458"/>
      <c r="D61" s="386"/>
      <c r="E61" s="386"/>
      <c r="F61" s="390"/>
      <c r="G61" s="458"/>
      <c r="H61" s="386"/>
      <c r="I61" s="386"/>
      <c r="J61" s="390"/>
      <c r="K61" s="458"/>
      <c r="L61" s="386"/>
      <c r="M61" s="386"/>
      <c r="N61" s="390"/>
      <c r="O61" s="458"/>
      <c r="P61" s="386"/>
      <c r="Q61" s="386"/>
      <c r="R61" s="390"/>
      <c r="S61" s="458"/>
      <c r="T61" s="386"/>
    </row>
    <row r="62" spans="2:29">
      <c r="B62" s="359"/>
      <c r="C62" s="359"/>
      <c r="D62" s="359"/>
      <c r="E62" s="316"/>
      <c r="F62" s="359"/>
      <c r="G62" s="359"/>
      <c r="H62" s="359"/>
      <c r="I62" s="316"/>
      <c r="J62" s="359"/>
      <c r="K62" s="359"/>
      <c r="L62" s="359"/>
      <c r="M62" s="316"/>
      <c r="N62" s="359"/>
      <c r="O62" s="359"/>
      <c r="P62" s="359"/>
      <c r="Q62" s="316"/>
      <c r="R62" s="359"/>
      <c r="S62" s="359"/>
      <c r="T62" s="359"/>
    </row>
    <row r="63" spans="2:29">
      <c r="B63" s="359"/>
      <c r="C63" s="359"/>
      <c r="D63" s="359"/>
      <c r="E63" s="316"/>
      <c r="F63" s="359"/>
      <c r="G63" s="359"/>
      <c r="H63" s="359"/>
      <c r="I63" s="316"/>
      <c r="J63" s="359"/>
      <c r="K63" s="359"/>
      <c r="L63" s="359"/>
      <c r="M63" s="316"/>
      <c r="N63" s="359"/>
      <c r="O63" s="359"/>
      <c r="P63" s="359"/>
      <c r="Q63" s="316"/>
      <c r="R63" s="359"/>
      <c r="S63" s="359"/>
      <c r="T63" s="359"/>
    </row>
    <row r="64" spans="2:29" ht="15.75">
      <c r="B64" s="463" t="s">
        <v>751</v>
      </c>
      <c r="C64" s="464"/>
      <c r="D64" s="465"/>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row>
    <row r="65" spans="2:24">
      <c r="B65" s="317"/>
      <c r="C65" s="1190">
        <v>2009</v>
      </c>
      <c r="D65" s="1202"/>
      <c r="E65" s="321"/>
      <c r="F65" s="319"/>
      <c r="G65" s="1190">
        <v>2010</v>
      </c>
      <c r="H65" s="1194"/>
      <c r="I65" s="321"/>
      <c r="J65" s="320"/>
      <c r="K65" s="1190">
        <v>2011</v>
      </c>
      <c r="L65" s="1194"/>
      <c r="M65" s="321"/>
      <c r="N65" s="320"/>
      <c r="O65" s="1190">
        <v>2012</v>
      </c>
      <c r="P65" s="1194"/>
      <c r="Q65" s="321"/>
      <c r="R65" s="319"/>
      <c r="S65" s="1190">
        <v>2013</v>
      </c>
      <c r="T65" s="1194"/>
      <c r="V65" s="319" t="s">
        <v>656</v>
      </c>
      <c r="W65" s="1190" t="s">
        <v>657</v>
      </c>
      <c r="X65" s="1194"/>
    </row>
    <row r="66" spans="2:24" ht="15" customHeight="1">
      <c r="B66" s="325" t="s">
        <v>690</v>
      </c>
      <c r="C66" s="470" t="s">
        <v>632</v>
      </c>
      <c r="D66" s="470" t="s">
        <v>633</v>
      </c>
      <c r="E66" s="324"/>
      <c r="F66" s="470" t="s">
        <v>690</v>
      </c>
      <c r="G66" s="470" t="s">
        <v>632</v>
      </c>
      <c r="H66" s="470" t="s">
        <v>633</v>
      </c>
      <c r="I66" s="324"/>
      <c r="J66" s="470" t="s">
        <v>690</v>
      </c>
      <c r="K66" s="470" t="s">
        <v>632</v>
      </c>
      <c r="L66" s="471" t="s">
        <v>633</v>
      </c>
      <c r="M66" s="324"/>
      <c r="N66" s="323" t="s">
        <v>690</v>
      </c>
      <c r="O66" s="325" t="s">
        <v>632</v>
      </c>
      <c r="P66" s="625" t="s">
        <v>633</v>
      </c>
      <c r="Q66" s="324"/>
      <c r="R66" s="323" t="s">
        <v>690</v>
      </c>
      <c r="S66" s="547" t="s">
        <v>710</v>
      </c>
      <c r="T66" s="548" t="s">
        <v>633</v>
      </c>
      <c r="V66" s="323" t="s">
        <v>690</v>
      </c>
      <c r="W66" s="547" t="s">
        <v>710</v>
      </c>
      <c r="X66" s="548" t="s">
        <v>633</v>
      </c>
    </row>
    <row r="67" spans="2:24">
      <c r="B67" s="504" t="s">
        <v>752</v>
      </c>
      <c r="C67" s="549">
        <v>366.84</v>
      </c>
      <c r="D67" s="550">
        <v>309</v>
      </c>
      <c r="E67" s="571"/>
      <c r="F67" s="504" t="s">
        <v>752</v>
      </c>
      <c r="G67" s="549">
        <v>363</v>
      </c>
      <c r="H67" s="550">
        <v>437</v>
      </c>
      <c r="I67" s="571"/>
      <c r="J67" s="504" t="s">
        <v>752</v>
      </c>
      <c r="K67" s="549">
        <v>372.55</v>
      </c>
      <c r="L67" s="550">
        <v>536</v>
      </c>
      <c r="M67" s="571"/>
      <c r="N67" s="504" t="s">
        <v>752</v>
      </c>
      <c r="O67" s="552">
        <v>436</v>
      </c>
      <c r="P67" s="550">
        <v>350</v>
      </c>
      <c r="Q67" s="571"/>
      <c r="R67" s="504" t="s">
        <v>752</v>
      </c>
      <c r="S67" s="549">
        <v>482</v>
      </c>
      <c r="T67" s="333"/>
      <c r="V67" s="504" t="s">
        <v>752</v>
      </c>
      <c r="W67" s="549">
        <f>S67</f>
        <v>482</v>
      </c>
      <c r="X67" s="550">
        <f>(H67+L67+P67)/3</f>
        <v>441</v>
      </c>
    </row>
    <row r="68" spans="2:24">
      <c r="B68" s="472" t="s">
        <v>753</v>
      </c>
      <c r="C68" s="554">
        <v>620.97</v>
      </c>
      <c r="D68" s="555">
        <v>315</v>
      </c>
      <c r="E68" s="571"/>
      <c r="F68" s="472" t="s">
        <v>753</v>
      </c>
      <c r="G68" s="554">
        <v>615</v>
      </c>
      <c r="H68" s="555">
        <v>271</v>
      </c>
      <c r="I68" s="571"/>
      <c r="J68" s="472" t="s">
        <v>753</v>
      </c>
      <c r="K68" s="554">
        <v>660.94</v>
      </c>
      <c r="L68" s="555">
        <v>224</v>
      </c>
      <c r="M68" s="571"/>
      <c r="N68" s="472" t="s">
        <v>753</v>
      </c>
      <c r="O68" s="556">
        <v>738</v>
      </c>
      <c r="P68" s="555">
        <v>209</v>
      </c>
      <c r="Q68" s="571"/>
      <c r="R68" s="472" t="s">
        <v>753</v>
      </c>
      <c r="S68" s="554">
        <v>815</v>
      </c>
      <c r="T68" s="344"/>
      <c r="V68" s="472" t="s">
        <v>753</v>
      </c>
      <c r="W68" s="554">
        <f t="shared" ref="W68:W82" si="2">S68</f>
        <v>815</v>
      </c>
      <c r="X68" s="555">
        <f t="shared" ref="X68:X82" si="3">(H68+L68+P68)/3</f>
        <v>234.66666666666666</v>
      </c>
    </row>
    <row r="69" spans="2:24">
      <c r="B69" s="472" t="s">
        <v>754</v>
      </c>
      <c r="C69" s="558">
        <v>835.76</v>
      </c>
      <c r="D69" s="559">
        <v>15</v>
      </c>
      <c r="E69" s="571"/>
      <c r="F69" s="472" t="s">
        <v>754</v>
      </c>
      <c r="G69" s="558">
        <v>828</v>
      </c>
      <c r="H69" s="559">
        <v>19</v>
      </c>
      <c r="I69" s="571"/>
      <c r="J69" s="472" t="s">
        <v>754</v>
      </c>
      <c r="K69" s="558">
        <v>895</v>
      </c>
      <c r="L69" s="559">
        <v>7</v>
      </c>
      <c r="M69" s="571"/>
      <c r="N69" s="472" t="s">
        <v>754</v>
      </c>
      <c r="O69" s="560">
        <v>994</v>
      </c>
      <c r="P69" s="559">
        <v>9</v>
      </c>
      <c r="Q69" s="571"/>
      <c r="R69" s="472" t="s">
        <v>754</v>
      </c>
      <c r="S69" s="558">
        <v>1098</v>
      </c>
      <c r="T69" s="344"/>
      <c r="V69" s="472" t="s">
        <v>754</v>
      </c>
      <c r="W69" s="558">
        <f t="shared" si="2"/>
        <v>1098</v>
      </c>
      <c r="X69" s="559">
        <f t="shared" si="3"/>
        <v>11.666666666666666</v>
      </c>
    </row>
    <row r="70" spans="2:24">
      <c r="B70" s="472" t="s">
        <v>755</v>
      </c>
      <c r="C70" s="558">
        <v>942.09</v>
      </c>
      <c r="D70" s="559">
        <v>6</v>
      </c>
      <c r="E70" s="571"/>
      <c r="F70" s="472" t="s">
        <v>755</v>
      </c>
      <c r="G70" s="558">
        <v>933</v>
      </c>
      <c r="H70" s="559">
        <v>5</v>
      </c>
      <c r="I70" s="571"/>
      <c r="J70" s="472" t="s">
        <v>755</v>
      </c>
      <c r="K70" s="558">
        <v>970.5</v>
      </c>
      <c r="L70" s="559">
        <v>4</v>
      </c>
      <c r="M70" s="571"/>
      <c r="N70" s="472" t="s">
        <v>755</v>
      </c>
      <c r="O70" s="560">
        <v>1119</v>
      </c>
      <c r="P70" s="559">
        <v>3</v>
      </c>
      <c r="Q70" s="571"/>
      <c r="R70" s="472" t="s">
        <v>755</v>
      </c>
      <c r="S70" s="558">
        <v>1236</v>
      </c>
      <c r="T70" s="344"/>
      <c r="V70" s="472" t="s">
        <v>755</v>
      </c>
      <c r="W70" s="558">
        <f t="shared" si="2"/>
        <v>1236</v>
      </c>
      <c r="X70" s="559">
        <f t="shared" si="3"/>
        <v>4</v>
      </c>
    </row>
    <row r="71" spans="2:24">
      <c r="B71" s="472" t="s">
        <v>756</v>
      </c>
      <c r="C71" s="558">
        <v>1017.58</v>
      </c>
      <c r="D71" s="559">
        <v>7</v>
      </c>
      <c r="E71" s="571"/>
      <c r="F71" s="472" t="s">
        <v>756</v>
      </c>
      <c r="G71" s="558">
        <v>1007</v>
      </c>
      <c r="H71" s="559">
        <v>2</v>
      </c>
      <c r="I71" s="571"/>
      <c r="J71" s="472" t="s">
        <v>756</v>
      </c>
      <c r="K71" s="558">
        <v>1088</v>
      </c>
      <c r="L71" s="559">
        <v>4</v>
      </c>
      <c r="M71" s="571"/>
      <c r="N71" s="472" t="s">
        <v>756</v>
      </c>
      <c r="O71" s="560">
        <v>1208</v>
      </c>
      <c r="P71" s="559">
        <v>4</v>
      </c>
      <c r="Q71" s="571"/>
      <c r="R71" s="472" t="s">
        <v>756</v>
      </c>
      <c r="S71" s="558">
        <v>1334</v>
      </c>
      <c r="T71" s="344"/>
      <c r="V71" s="472" t="s">
        <v>756</v>
      </c>
      <c r="W71" s="558">
        <f t="shared" si="2"/>
        <v>1334</v>
      </c>
      <c r="X71" s="559">
        <f t="shared" si="3"/>
        <v>3.3333333333333335</v>
      </c>
    </row>
    <row r="72" spans="2:24">
      <c r="B72" s="472" t="s">
        <v>757</v>
      </c>
      <c r="C72" s="558">
        <v>1017.58</v>
      </c>
      <c r="D72" s="559">
        <v>23</v>
      </c>
      <c r="E72" s="571"/>
      <c r="F72" s="472" t="s">
        <v>757</v>
      </c>
      <c r="G72" s="558">
        <v>1007</v>
      </c>
      <c r="H72" s="559">
        <v>10</v>
      </c>
      <c r="I72" s="571"/>
      <c r="J72" s="472" t="s">
        <v>757</v>
      </c>
      <c r="K72" s="558">
        <v>1088</v>
      </c>
      <c r="L72" s="559">
        <v>6</v>
      </c>
      <c r="M72" s="571"/>
      <c r="N72" s="472" t="s">
        <v>757</v>
      </c>
      <c r="O72" s="560">
        <v>1208</v>
      </c>
      <c r="P72" s="559">
        <v>7</v>
      </c>
      <c r="Q72" s="571"/>
      <c r="R72" s="472" t="s">
        <v>757</v>
      </c>
      <c r="S72" s="558">
        <v>1334</v>
      </c>
      <c r="T72" s="344"/>
      <c r="V72" s="472" t="s">
        <v>757</v>
      </c>
      <c r="W72" s="558">
        <f t="shared" si="2"/>
        <v>1334</v>
      </c>
      <c r="X72" s="559">
        <f t="shared" si="3"/>
        <v>7.666666666666667</v>
      </c>
    </row>
    <row r="73" spans="2:24">
      <c r="B73" s="472" t="s">
        <v>758</v>
      </c>
      <c r="C73" s="561">
        <v>3054.88</v>
      </c>
      <c r="D73" s="562"/>
      <c r="E73" s="571"/>
      <c r="F73" s="472" t="s">
        <v>758</v>
      </c>
      <c r="G73" s="561">
        <v>3025</v>
      </c>
      <c r="H73" s="562">
        <v>0</v>
      </c>
      <c r="I73" s="571"/>
      <c r="J73" s="472" t="s">
        <v>758</v>
      </c>
      <c r="K73" s="561">
        <v>3270</v>
      </c>
      <c r="L73" s="562">
        <v>0</v>
      </c>
      <c r="M73" s="571"/>
      <c r="N73" s="472" t="s">
        <v>758</v>
      </c>
      <c r="O73" s="563">
        <v>3630</v>
      </c>
      <c r="P73" s="562">
        <v>0</v>
      </c>
      <c r="Q73" s="571"/>
      <c r="R73" s="472" t="s">
        <v>758</v>
      </c>
      <c r="S73" s="561">
        <v>4295</v>
      </c>
      <c r="T73" s="344"/>
      <c r="V73" s="472" t="s">
        <v>758</v>
      </c>
      <c r="W73" s="561">
        <f t="shared" si="2"/>
        <v>4295</v>
      </c>
      <c r="X73" s="562">
        <f t="shared" si="3"/>
        <v>0</v>
      </c>
    </row>
    <row r="74" spans="2:24">
      <c r="B74" s="472" t="s">
        <v>759</v>
      </c>
      <c r="C74" s="561">
        <v>3159.08</v>
      </c>
      <c r="D74" s="562">
        <v>2</v>
      </c>
      <c r="E74" s="571"/>
      <c r="F74" s="472" t="s">
        <v>759</v>
      </c>
      <c r="G74" s="561">
        <v>3130</v>
      </c>
      <c r="H74" s="562">
        <v>2</v>
      </c>
      <c r="I74" s="571"/>
      <c r="J74" s="472" t="s">
        <v>759</v>
      </c>
      <c r="K74" s="561">
        <v>3256.5</v>
      </c>
      <c r="L74" s="562">
        <v>2</v>
      </c>
      <c r="M74" s="571"/>
      <c r="N74" s="472" t="s">
        <v>759</v>
      </c>
      <c r="O74" s="563">
        <v>3755</v>
      </c>
      <c r="P74" s="562">
        <v>1</v>
      </c>
      <c r="Q74" s="571"/>
      <c r="R74" s="472" t="s">
        <v>759</v>
      </c>
      <c r="S74" s="561">
        <v>4440</v>
      </c>
      <c r="T74" s="344"/>
      <c r="V74" s="472" t="s">
        <v>759</v>
      </c>
      <c r="W74" s="561">
        <f t="shared" si="2"/>
        <v>4440</v>
      </c>
      <c r="X74" s="562">
        <f t="shared" si="3"/>
        <v>1.6666666666666667</v>
      </c>
    </row>
    <row r="75" spans="2:24">
      <c r="B75" s="472" t="s">
        <v>760</v>
      </c>
      <c r="C75" s="561">
        <v>4059.71</v>
      </c>
      <c r="D75" s="562">
        <v>3</v>
      </c>
      <c r="E75" s="571"/>
      <c r="F75" s="472" t="s">
        <v>760</v>
      </c>
      <c r="G75" s="561">
        <v>4020</v>
      </c>
      <c r="H75" s="562">
        <v>0</v>
      </c>
      <c r="I75" s="571"/>
      <c r="J75" s="472" t="s">
        <v>760</v>
      </c>
      <c r="K75" s="561">
        <v>4128.67</v>
      </c>
      <c r="L75" s="562">
        <v>3</v>
      </c>
      <c r="M75" s="571"/>
      <c r="N75" s="472" t="s">
        <v>760</v>
      </c>
      <c r="O75" s="563">
        <v>4824</v>
      </c>
      <c r="P75" s="562">
        <v>1</v>
      </c>
      <c r="Q75" s="571"/>
      <c r="R75" s="472" t="s">
        <v>760</v>
      </c>
      <c r="S75" s="561">
        <v>5710</v>
      </c>
      <c r="T75" s="344"/>
      <c r="V75" s="472" t="s">
        <v>760</v>
      </c>
      <c r="W75" s="561">
        <f t="shared" si="2"/>
        <v>5710</v>
      </c>
      <c r="X75" s="562">
        <f t="shared" si="3"/>
        <v>1.3333333333333333</v>
      </c>
    </row>
    <row r="76" spans="2:24">
      <c r="B76" s="472" t="s">
        <v>761</v>
      </c>
      <c r="C76" s="561">
        <v>4662.6000000000004</v>
      </c>
      <c r="D76" s="562">
        <v>2</v>
      </c>
      <c r="E76" s="571"/>
      <c r="F76" s="472" t="s">
        <v>761</v>
      </c>
      <c r="G76" s="561">
        <v>4615</v>
      </c>
      <c r="H76" s="562">
        <v>2</v>
      </c>
      <c r="I76" s="571"/>
      <c r="J76" s="472" t="s">
        <v>761</v>
      </c>
      <c r="K76" s="561">
        <v>4989</v>
      </c>
      <c r="L76" s="562">
        <v>1</v>
      </c>
      <c r="M76" s="571"/>
      <c r="N76" s="472" t="s">
        <v>761</v>
      </c>
      <c r="O76" s="563">
        <v>5538</v>
      </c>
      <c r="P76" s="562">
        <v>0</v>
      </c>
      <c r="Q76" s="571"/>
      <c r="R76" s="472" t="s">
        <v>761</v>
      </c>
      <c r="S76" s="561">
        <v>6330</v>
      </c>
      <c r="T76" s="344"/>
      <c r="V76" s="472" t="s">
        <v>761</v>
      </c>
      <c r="W76" s="561">
        <f t="shared" si="2"/>
        <v>6330</v>
      </c>
      <c r="X76" s="562">
        <f t="shared" si="3"/>
        <v>1</v>
      </c>
    </row>
    <row r="77" spans="2:24">
      <c r="B77" s="472" t="s">
        <v>762</v>
      </c>
      <c r="C77" s="561">
        <v>4662.6000000000004</v>
      </c>
      <c r="D77" s="562">
        <v>1</v>
      </c>
      <c r="E77" s="571"/>
      <c r="F77" s="472" t="s">
        <v>762</v>
      </c>
      <c r="G77" s="561">
        <v>4615</v>
      </c>
      <c r="H77" s="562">
        <v>1</v>
      </c>
      <c r="I77" s="571"/>
      <c r="J77" s="472" t="s">
        <v>762</v>
      </c>
      <c r="K77" s="561">
        <v>4802</v>
      </c>
      <c r="L77" s="562">
        <v>2</v>
      </c>
      <c r="M77" s="571"/>
      <c r="N77" s="472" t="s">
        <v>762</v>
      </c>
      <c r="O77" s="563">
        <v>5538</v>
      </c>
      <c r="P77" s="562">
        <v>5</v>
      </c>
      <c r="Q77" s="571"/>
      <c r="R77" s="472" t="s">
        <v>762</v>
      </c>
      <c r="S77" s="561">
        <v>6330</v>
      </c>
      <c r="T77" s="344"/>
      <c r="V77" s="472" t="s">
        <v>762</v>
      </c>
      <c r="W77" s="561">
        <f t="shared" si="2"/>
        <v>6330</v>
      </c>
      <c r="X77" s="562">
        <f t="shared" si="3"/>
        <v>2.6666666666666665</v>
      </c>
    </row>
    <row r="78" spans="2:24">
      <c r="B78" s="472" t="s">
        <v>763</v>
      </c>
      <c r="C78" s="561">
        <v>18489.86</v>
      </c>
      <c r="D78" s="562">
        <v>1</v>
      </c>
      <c r="E78" s="571"/>
      <c r="F78" s="472" t="s">
        <v>763</v>
      </c>
      <c r="G78" s="561">
        <v>18305</v>
      </c>
      <c r="H78" s="562">
        <v>2</v>
      </c>
      <c r="I78" s="571"/>
      <c r="J78" s="472" t="s">
        <v>763</v>
      </c>
      <c r="K78" s="561">
        <v>19789</v>
      </c>
      <c r="L78" s="562">
        <v>0</v>
      </c>
      <c r="M78" s="571"/>
      <c r="N78" s="472" t="s">
        <v>763</v>
      </c>
      <c r="O78" s="563">
        <v>21966</v>
      </c>
      <c r="P78" s="562">
        <v>0</v>
      </c>
      <c r="Q78" s="571"/>
      <c r="R78" s="472" t="s">
        <v>763</v>
      </c>
      <c r="S78" s="561">
        <v>24250</v>
      </c>
      <c r="T78" s="344"/>
      <c r="V78" s="472" t="s">
        <v>763</v>
      </c>
      <c r="W78" s="561">
        <f t="shared" si="2"/>
        <v>24250</v>
      </c>
      <c r="X78" s="562">
        <f t="shared" si="3"/>
        <v>0.66666666666666663</v>
      </c>
    </row>
    <row r="79" spans="2:24">
      <c r="B79" s="472" t="s">
        <v>764</v>
      </c>
      <c r="C79" s="564">
        <v>21672.35</v>
      </c>
      <c r="D79" s="565">
        <v>0</v>
      </c>
      <c r="E79" s="571"/>
      <c r="F79" s="472" t="s">
        <v>764</v>
      </c>
      <c r="G79" s="564">
        <v>21455</v>
      </c>
      <c r="H79" s="565">
        <v>0</v>
      </c>
      <c r="I79" s="571"/>
      <c r="J79" s="472" t="s">
        <v>764</v>
      </c>
      <c r="K79" s="564">
        <v>23195</v>
      </c>
      <c r="L79" s="565">
        <v>0</v>
      </c>
      <c r="M79" s="571"/>
      <c r="N79" s="472" t="s">
        <v>764</v>
      </c>
      <c r="O79" s="564">
        <v>25746</v>
      </c>
      <c r="P79" s="565">
        <v>0</v>
      </c>
      <c r="Q79" s="571"/>
      <c r="R79" s="472" t="s">
        <v>764</v>
      </c>
      <c r="S79" s="564">
        <v>28420</v>
      </c>
      <c r="T79" s="344"/>
      <c r="V79" s="472" t="s">
        <v>764</v>
      </c>
      <c r="W79" s="564">
        <f t="shared" si="2"/>
        <v>28420</v>
      </c>
      <c r="X79" s="565">
        <f t="shared" si="3"/>
        <v>0</v>
      </c>
    </row>
    <row r="80" spans="2:24">
      <c r="B80" s="483" t="s">
        <v>765</v>
      </c>
      <c r="C80" s="594">
        <v>49135.47</v>
      </c>
      <c r="D80" s="568">
        <v>0</v>
      </c>
      <c r="E80" s="571"/>
      <c r="F80" s="472" t="s">
        <v>765</v>
      </c>
      <c r="G80" s="564">
        <v>48889.792650000003</v>
      </c>
      <c r="H80" s="565">
        <v>1</v>
      </c>
      <c r="I80" s="571"/>
      <c r="J80" s="472" t="s">
        <v>765</v>
      </c>
      <c r="K80" s="564">
        <v>52854</v>
      </c>
      <c r="L80" s="565">
        <v>0</v>
      </c>
      <c r="M80" s="571"/>
      <c r="N80" s="472" t="s">
        <v>765</v>
      </c>
      <c r="O80" s="564">
        <v>58667</v>
      </c>
      <c r="P80" s="565">
        <v>0</v>
      </c>
      <c r="Q80" s="571"/>
      <c r="R80" s="472" t="s">
        <v>765</v>
      </c>
      <c r="S80" s="564">
        <v>64755</v>
      </c>
      <c r="T80" s="344"/>
      <c r="V80" s="472" t="s">
        <v>765</v>
      </c>
      <c r="W80" s="564">
        <f t="shared" si="2"/>
        <v>64755</v>
      </c>
      <c r="X80" s="565">
        <f t="shared" si="3"/>
        <v>0.33333333333333331</v>
      </c>
    </row>
    <row r="81" spans="2:24">
      <c r="B81" s="571"/>
      <c r="C81" s="545"/>
      <c r="D81" s="391"/>
      <c r="E81" s="571"/>
      <c r="F81" s="472" t="s">
        <v>766</v>
      </c>
      <c r="G81" s="564">
        <v>311337.36064999999</v>
      </c>
      <c r="H81" s="565">
        <v>0</v>
      </c>
      <c r="I81" s="571"/>
      <c r="J81" s="472" t="s">
        <v>766</v>
      </c>
      <c r="K81" s="564">
        <v>336586</v>
      </c>
      <c r="L81" s="565">
        <v>0</v>
      </c>
      <c r="M81" s="571"/>
      <c r="N81" s="472" t="s">
        <v>766</v>
      </c>
      <c r="O81" s="564">
        <v>373610</v>
      </c>
      <c r="P81" s="565">
        <v>0</v>
      </c>
      <c r="Q81" s="571"/>
      <c r="R81" s="472" t="s">
        <v>766</v>
      </c>
      <c r="S81" s="564">
        <v>412375</v>
      </c>
      <c r="T81" s="344"/>
      <c r="V81" s="472" t="s">
        <v>766</v>
      </c>
      <c r="W81" s="564">
        <f t="shared" si="2"/>
        <v>412375</v>
      </c>
      <c r="X81" s="565">
        <f t="shared" si="3"/>
        <v>0</v>
      </c>
    </row>
    <row r="82" spans="2:24">
      <c r="B82" s="571"/>
      <c r="C82" s="545"/>
      <c r="D82" s="391"/>
      <c r="E82" s="571"/>
      <c r="F82" s="483" t="s">
        <v>767</v>
      </c>
      <c r="G82" s="594">
        <v>332744.76574999996</v>
      </c>
      <c r="H82" s="568">
        <v>0</v>
      </c>
      <c r="I82" s="571"/>
      <c r="J82" s="483" t="s">
        <v>767</v>
      </c>
      <c r="K82" s="594">
        <v>359730</v>
      </c>
      <c r="L82" s="568">
        <v>0</v>
      </c>
      <c r="M82" s="571"/>
      <c r="N82" s="483" t="s">
        <v>767</v>
      </c>
      <c r="O82" s="594">
        <v>399300</v>
      </c>
      <c r="P82" s="568">
        <v>0</v>
      </c>
      <c r="Q82" s="571"/>
      <c r="R82" s="483" t="s">
        <v>767</v>
      </c>
      <c r="S82" s="594">
        <v>440725</v>
      </c>
      <c r="T82" s="486"/>
      <c r="V82" s="483" t="s">
        <v>767</v>
      </c>
      <c r="W82" s="594">
        <f t="shared" si="2"/>
        <v>440725</v>
      </c>
      <c r="X82" s="568">
        <f t="shared" si="3"/>
        <v>0</v>
      </c>
    </row>
    <row r="83" spans="2:24">
      <c r="B83" s="390"/>
      <c r="C83" s="488"/>
      <c r="D83" s="490"/>
      <c r="E83" s="390"/>
      <c r="F83" s="489"/>
      <c r="G83" s="488"/>
      <c r="H83" s="490"/>
      <c r="I83" s="390"/>
      <c r="J83" s="390"/>
      <c r="K83" s="488"/>
      <c r="L83" s="490"/>
      <c r="M83" s="390"/>
      <c r="N83" s="573"/>
      <c r="O83" s="280"/>
      <c r="P83" s="281"/>
      <c r="Q83" s="570"/>
      <c r="R83" s="574"/>
      <c r="S83" s="536"/>
      <c r="T83" s="574"/>
      <c r="V83" s="574"/>
      <c r="W83" s="536"/>
      <c r="X83" s="401"/>
    </row>
    <row r="84" spans="2:24">
      <c r="B84" s="390"/>
      <c r="C84" s="488"/>
      <c r="D84" s="490"/>
      <c r="E84" s="390"/>
      <c r="F84" s="626"/>
      <c r="G84" s="576"/>
      <c r="H84" s="627"/>
      <c r="I84" s="390"/>
      <c r="J84" s="390"/>
      <c r="K84" s="488"/>
      <c r="L84" s="490"/>
      <c r="M84" s="390"/>
      <c r="N84" s="390"/>
      <c r="O84" s="488"/>
      <c r="P84" s="490"/>
      <c r="Q84" s="390"/>
      <c r="R84" s="575"/>
      <c r="S84" s="576"/>
      <c r="T84" s="575"/>
      <c r="V84" s="575"/>
      <c r="W84" s="576"/>
      <c r="X84" s="627"/>
    </row>
    <row r="85" spans="2:24">
      <c r="B85" s="383" t="s">
        <v>680</v>
      </c>
      <c r="C85" s="491">
        <f>SUMPRODUCT(C67:C80,D67:D80)</f>
        <v>408650.39999999997</v>
      </c>
      <c r="D85" s="424"/>
      <c r="E85" s="386"/>
      <c r="F85" s="628" t="s">
        <v>680</v>
      </c>
      <c r="G85" s="629">
        <f>SUMPRODUCT(G67:G82,H67:H82)</f>
        <v>463381.79265000002</v>
      </c>
      <c r="H85" s="389"/>
      <c r="I85" s="386"/>
      <c r="J85" s="383" t="s">
        <v>680</v>
      </c>
      <c r="K85" s="491">
        <f>SUMPRODUCT(K67:K82,L67:L82)</f>
        <v>402256.37</v>
      </c>
      <c r="L85" s="424"/>
      <c r="M85" s="386"/>
      <c r="N85" s="383" t="s">
        <v>680</v>
      </c>
      <c r="O85" s="491">
        <f>SUMPRODUCT(O67:O82,P67:P82)</f>
        <v>368702</v>
      </c>
      <c r="P85" s="424"/>
      <c r="Q85" s="386"/>
      <c r="R85" s="388" t="s">
        <v>680</v>
      </c>
      <c r="S85" s="629">
        <f>SUMPRODUCT(S67:S82,T67:T82)</f>
        <v>0</v>
      </c>
      <c r="T85" s="385"/>
      <c r="V85" s="388" t="s">
        <v>680</v>
      </c>
      <c r="W85" s="629">
        <f>SUMPRODUCT(W67:W82,X67:X82)</f>
        <v>512218.33333333331</v>
      </c>
      <c r="X85" s="389"/>
    </row>
    <row r="86" spans="2:24">
      <c r="B86" s="390"/>
      <c r="C86" s="269"/>
      <c r="D86" s="391"/>
      <c r="E86" s="386"/>
      <c r="F86" s="489"/>
      <c r="G86" s="493"/>
      <c r="H86" s="391"/>
      <c r="I86" s="386"/>
      <c r="J86" s="390"/>
      <c r="K86" s="269"/>
      <c r="L86" s="391"/>
      <c r="M86" s="386"/>
      <c r="N86" s="390"/>
      <c r="O86" s="269"/>
      <c r="P86" s="391"/>
      <c r="Q86" s="386"/>
      <c r="R86" s="390"/>
      <c r="S86" s="269"/>
      <c r="T86" s="386"/>
      <c r="V86" s="390"/>
      <c r="W86" s="269"/>
      <c r="X86" s="391"/>
    </row>
    <row r="87" spans="2:24" ht="22.5">
      <c r="B87" s="494" t="s">
        <v>704</v>
      </c>
      <c r="C87" s="495" t="s">
        <v>682</v>
      </c>
      <c r="D87" s="541" t="s">
        <v>683</v>
      </c>
      <c r="E87" s="434"/>
      <c r="F87" s="494" t="s">
        <v>705</v>
      </c>
      <c r="G87" s="393" t="s">
        <v>682</v>
      </c>
      <c r="H87" s="497" t="s">
        <v>683</v>
      </c>
      <c r="I87" s="434"/>
      <c r="J87" s="494" t="s">
        <v>705</v>
      </c>
      <c r="K87" s="393" t="s">
        <v>682</v>
      </c>
      <c r="L87" s="497" t="s">
        <v>683</v>
      </c>
      <c r="M87" s="434"/>
      <c r="N87" s="494" t="s">
        <v>705</v>
      </c>
      <c r="O87" s="393" t="s">
        <v>682</v>
      </c>
      <c r="P87" s="497" t="s">
        <v>683</v>
      </c>
      <c r="Q87" s="434"/>
      <c r="R87" s="577"/>
      <c r="S87" s="578"/>
      <c r="T87" s="503"/>
      <c r="V87" s="579" t="s">
        <v>705</v>
      </c>
      <c r="W87" s="393" t="s">
        <v>682</v>
      </c>
      <c r="X87" s="497" t="s">
        <v>683</v>
      </c>
    </row>
    <row r="88" spans="2:24" s="359" customFormat="1" ht="11.25">
      <c r="B88" s="438" t="s">
        <v>251</v>
      </c>
      <c r="C88" s="249">
        <f>C67</f>
        <v>366.84</v>
      </c>
      <c r="D88" s="250">
        <f>D67</f>
        <v>309</v>
      </c>
      <c r="E88" s="443"/>
      <c r="F88" s="438" t="s">
        <v>251</v>
      </c>
      <c r="G88" s="249">
        <f>G67</f>
        <v>363</v>
      </c>
      <c r="H88" s="250">
        <f>H67</f>
        <v>437</v>
      </c>
      <c r="I88" s="443"/>
      <c r="J88" s="438" t="s">
        <v>251</v>
      </c>
      <c r="K88" s="249">
        <f>K67</f>
        <v>372.55</v>
      </c>
      <c r="L88" s="250">
        <f>L67</f>
        <v>536</v>
      </c>
      <c r="M88" s="443"/>
      <c r="N88" s="438" t="s">
        <v>251</v>
      </c>
      <c r="O88" s="249">
        <f>O67</f>
        <v>436</v>
      </c>
      <c r="P88" s="250">
        <f>P67</f>
        <v>350</v>
      </c>
      <c r="Q88" s="443"/>
      <c r="R88" s="271"/>
      <c r="S88" s="280"/>
      <c r="T88" s="443"/>
      <c r="V88" s="580" t="s">
        <v>251</v>
      </c>
      <c r="W88" s="249">
        <f>W67</f>
        <v>482</v>
      </c>
      <c r="X88" s="250">
        <f>X67</f>
        <v>441</v>
      </c>
    </row>
    <row r="89" spans="2:24" s="359" customFormat="1" ht="11.25">
      <c r="B89" s="438" t="s">
        <v>252</v>
      </c>
      <c r="C89" s="252">
        <f>C68</f>
        <v>620.97</v>
      </c>
      <c r="D89" s="253">
        <f>D68</f>
        <v>315</v>
      </c>
      <c r="E89" s="443"/>
      <c r="F89" s="438" t="s">
        <v>252</v>
      </c>
      <c r="G89" s="252">
        <f>G68</f>
        <v>615</v>
      </c>
      <c r="H89" s="253">
        <f>H68</f>
        <v>271</v>
      </c>
      <c r="I89" s="443"/>
      <c r="J89" s="438" t="s">
        <v>252</v>
      </c>
      <c r="K89" s="252">
        <f>K68</f>
        <v>660.94</v>
      </c>
      <c r="L89" s="253">
        <f>L68</f>
        <v>224</v>
      </c>
      <c r="M89" s="443"/>
      <c r="N89" s="438" t="s">
        <v>252</v>
      </c>
      <c r="O89" s="252">
        <f>O68</f>
        <v>738</v>
      </c>
      <c r="P89" s="253">
        <f>P68</f>
        <v>209</v>
      </c>
      <c r="Q89" s="443"/>
      <c r="R89" s="271"/>
      <c r="S89" s="280"/>
      <c r="T89" s="443"/>
      <c r="V89" s="441" t="s">
        <v>252</v>
      </c>
      <c r="W89" s="252">
        <f>W68</f>
        <v>815</v>
      </c>
      <c r="X89" s="253">
        <f>X68</f>
        <v>234.66666666666666</v>
      </c>
    </row>
    <row r="90" spans="2:24" s="359" customFormat="1" ht="11.25">
      <c r="B90" s="438" t="s">
        <v>253</v>
      </c>
      <c r="C90" s="254">
        <f>SUMPRODUCT(C69:C72,D69:D72)/SUM(D69:D72)</f>
        <v>955.22235294117638</v>
      </c>
      <c r="D90" s="255">
        <f>SUM(D69:D72)</f>
        <v>51</v>
      </c>
      <c r="E90" s="443"/>
      <c r="F90" s="438" t="s">
        <v>253</v>
      </c>
      <c r="G90" s="254">
        <f>SUMPRODUCT(G69:G72,H69:H72)/SUM(H69:H72)</f>
        <v>902.25</v>
      </c>
      <c r="H90" s="255">
        <f>SUM(H69:H72)</f>
        <v>36</v>
      </c>
      <c r="I90" s="443"/>
      <c r="J90" s="438" t="s">
        <v>253</v>
      </c>
      <c r="K90" s="254">
        <f>SUMPRODUCT(K69:K72,L69:L72)/SUM(L69:L72)</f>
        <v>1001.2857142857143</v>
      </c>
      <c r="L90" s="255">
        <f>SUM(L69:L72)</f>
        <v>21</v>
      </c>
      <c r="M90" s="443"/>
      <c r="N90" s="438" t="s">
        <v>253</v>
      </c>
      <c r="O90" s="254">
        <f>SUMPRODUCT(O69:O72,P69:P72)/SUM(P69:P72)</f>
        <v>1112.6521739130435</v>
      </c>
      <c r="P90" s="255">
        <f>SUM(P69:P72)</f>
        <v>23</v>
      </c>
      <c r="Q90" s="443"/>
      <c r="R90" s="271"/>
      <c r="S90" s="623"/>
      <c r="T90" s="443"/>
      <c r="V90" s="441" t="s">
        <v>253</v>
      </c>
      <c r="W90" s="254">
        <f>SUMPRODUCT(W69:W72,X69:X72)/SUM(X69:X72)</f>
        <v>1216.05</v>
      </c>
      <c r="X90" s="255">
        <f>SUM(X69:X72)</f>
        <v>26.666666666666668</v>
      </c>
    </row>
    <row r="91" spans="2:24" s="359" customFormat="1" ht="11.25">
      <c r="B91" s="438" t="s">
        <v>255</v>
      </c>
      <c r="C91" s="256">
        <f>SUMPRODUCT(C73:C78,D73:D78)/SUM(D73:D78)</f>
        <v>5663.8833333333341</v>
      </c>
      <c r="D91" s="257">
        <f>SUM(D73:D78)</f>
        <v>9</v>
      </c>
      <c r="E91" s="443"/>
      <c r="F91" s="438" t="s">
        <v>255</v>
      </c>
      <c r="G91" s="256">
        <f>SUMPRODUCT(G73:G78,H73:H78)/SUM(H73:H78)</f>
        <v>8102.1428571428569</v>
      </c>
      <c r="H91" s="257">
        <f>SUM(H73:H78)</f>
        <v>7</v>
      </c>
      <c r="I91" s="443"/>
      <c r="J91" s="438" t="s">
        <v>255</v>
      </c>
      <c r="K91" s="256">
        <f>SUMPRODUCT(K73:K78,L73:L78)/SUM(L73:L78)</f>
        <v>4186.5012500000003</v>
      </c>
      <c r="L91" s="257">
        <f>SUM(L73:L78)</f>
        <v>8</v>
      </c>
      <c r="M91" s="443"/>
      <c r="N91" s="438" t="s">
        <v>255</v>
      </c>
      <c r="O91" s="256">
        <f>SUMPRODUCT(O73:O78,P73:P78)/SUM(P73:P78)</f>
        <v>5181.2857142857147</v>
      </c>
      <c r="P91" s="257">
        <f>SUM(P73:P78)</f>
        <v>7</v>
      </c>
      <c r="Q91" s="443"/>
      <c r="R91" s="271"/>
      <c r="S91" s="623"/>
      <c r="T91" s="443"/>
      <c r="V91" s="441" t="s">
        <v>255</v>
      </c>
      <c r="W91" s="256">
        <f>SUMPRODUCT(W73:W78,X73:X78)/SUM(X73:X78)</f>
        <v>7416.8181818181811</v>
      </c>
      <c r="X91" s="257">
        <f>SUM(X73:X78)</f>
        <v>7.333333333333333</v>
      </c>
    </row>
    <row r="92" spans="2:24" s="359" customFormat="1" ht="11.25">
      <c r="B92" s="438" t="s">
        <v>254</v>
      </c>
      <c r="C92" s="630" t="e">
        <f>SUMPRODUCT(C79:C80,D79:D80)/SUM(D79:D80)</f>
        <v>#DIV/0!</v>
      </c>
      <c r="D92" s="268">
        <f>SUM(D79:D80)</f>
        <v>0</v>
      </c>
      <c r="E92" s="443"/>
      <c r="F92" s="447" t="s">
        <v>254</v>
      </c>
      <c r="G92" s="267">
        <f>SUMPRODUCT(G79:G82,H79:H82)/SUM(H79:H82)</f>
        <v>48889.792650000003</v>
      </c>
      <c r="H92" s="268">
        <f>SUM(H79:H82)</f>
        <v>1</v>
      </c>
      <c r="I92" s="443"/>
      <c r="J92" s="438" t="s">
        <v>254</v>
      </c>
      <c r="K92" s="630" t="e">
        <f>SUMPRODUCT(K79:K82,L79:L82)/SUM(L79:L82)</f>
        <v>#DIV/0!</v>
      </c>
      <c r="L92" s="268">
        <f>SUM(L79:L82)</f>
        <v>0</v>
      </c>
      <c r="M92" s="443"/>
      <c r="N92" s="438" t="s">
        <v>254</v>
      </c>
      <c r="O92" s="630" t="e">
        <f>SUMPRODUCT(O79:O82,P79:P82)/SUM(P79:P82)</f>
        <v>#DIV/0!</v>
      </c>
      <c r="P92" s="268">
        <f>SUM(P79:P82)</f>
        <v>0</v>
      </c>
      <c r="Q92" s="443"/>
      <c r="R92" s="271"/>
      <c r="S92" s="623"/>
      <c r="T92" s="443"/>
      <c r="V92" s="449" t="s">
        <v>254</v>
      </c>
      <c r="W92" s="258">
        <f>SUMPRODUCT(W79:W82,X79:X82)/SUM(X79:X82)</f>
        <v>64755</v>
      </c>
      <c r="X92" s="268">
        <f>SUM(X79:X82)</f>
        <v>0.33333333333333331</v>
      </c>
    </row>
    <row r="93" spans="2:24">
      <c r="B93" s="450" t="s">
        <v>680</v>
      </c>
      <c r="C93" s="451" t="e">
        <f>SUMPRODUCT(C88:C92,D88:D92)</f>
        <v>#DIV/0!</v>
      </c>
      <c r="D93" s="454"/>
      <c r="E93" s="443"/>
      <c r="F93" s="450" t="s">
        <v>680</v>
      </c>
      <c r="G93" s="451">
        <f>SUMPRODUCT(G88:G92,H88:H92)</f>
        <v>463381.79265000002</v>
      </c>
      <c r="H93" s="454"/>
      <c r="I93" s="443"/>
      <c r="J93" s="450" t="s">
        <v>680</v>
      </c>
      <c r="K93" s="451" t="e">
        <f>SUMPRODUCT(K88:K92,L88:L92)</f>
        <v>#DIV/0!</v>
      </c>
      <c r="L93" s="454"/>
      <c r="M93" s="443"/>
      <c r="N93" s="450" t="s">
        <v>680</v>
      </c>
      <c r="O93" s="451" t="e">
        <f>SUMPRODUCT(O88:O92,P88:P92)</f>
        <v>#DIV/0!</v>
      </c>
      <c r="P93" s="454"/>
      <c r="Q93" s="443"/>
      <c r="R93" s="543"/>
      <c r="S93" s="443"/>
      <c r="T93" s="443"/>
      <c r="V93" s="586" t="s">
        <v>680</v>
      </c>
      <c r="W93" s="451">
        <f>SUMPRODUCT(W88:W92,X88:X92)</f>
        <v>512218.33333333331</v>
      </c>
      <c r="X93" s="454"/>
    </row>
    <row r="94" spans="2:24">
      <c r="B94" s="390"/>
      <c r="C94" s="500"/>
      <c r="D94" s="391"/>
      <c r="E94" s="386"/>
      <c r="F94" s="489"/>
      <c r="G94" s="455"/>
      <c r="H94" s="391"/>
      <c r="I94" s="386"/>
      <c r="J94" s="390"/>
      <c r="K94" s="455"/>
      <c r="L94" s="391"/>
      <c r="M94" s="386"/>
      <c r="N94" s="390"/>
      <c r="O94" s="455"/>
      <c r="P94" s="391"/>
      <c r="Q94" s="386"/>
      <c r="R94" s="390"/>
      <c r="S94" s="455"/>
      <c r="T94" s="386"/>
      <c r="V94" s="390"/>
      <c r="W94" s="455"/>
      <c r="X94" s="391"/>
    </row>
    <row r="95" spans="2:24">
      <c r="B95" s="501" t="s">
        <v>706</v>
      </c>
      <c r="C95" s="393" t="s">
        <v>682</v>
      </c>
      <c r="D95" s="397" t="s">
        <v>683</v>
      </c>
      <c r="E95" s="503"/>
      <c r="F95" s="501" t="s">
        <v>706</v>
      </c>
      <c r="G95" s="393" t="s">
        <v>682</v>
      </c>
      <c r="H95" s="497" t="s">
        <v>683</v>
      </c>
      <c r="I95" s="503"/>
      <c r="J95" s="501" t="s">
        <v>706</v>
      </c>
      <c r="K95" s="393" t="s">
        <v>682</v>
      </c>
      <c r="L95" s="497" t="s">
        <v>683</v>
      </c>
      <c r="M95" s="503"/>
      <c r="N95" s="501" t="s">
        <v>706</v>
      </c>
      <c r="O95" s="393" t="s">
        <v>682</v>
      </c>
      <c r="P95" s="397" t="s">
        <v>683</v>
      </c>
      <c r="Q95" s="503"/>
      <c r="R95" s="587" t="s">
        <v>706</v>
      </c>
      <c r="S95" s="393" t="s">
        <v>682</v>
      </c>
      <c r="T95" s="502" t="s">
        <v>683</v>
      </c>
      <c r="V95" s="587" t="s">
        <v>706</v>
      </c>
      <c r="W95" s="393" t="s">
        <v>682</v>
      </c>
      <c r="X95" s="397" t="s">
        <v>683</v>
      </c>
    </row>
    <row r="96" spans="2:24">
      <c r="B96" s="504" t="s">
        <v>752</v>
      </c>
      <c r="C96" s="549">
        <v>18.18</v>
      </c>
      <c r="D96" s="550">
        <v>261</v>
      </c>
      <c r="E96" s="571"/>
      <c r="F96" s="504" t="s">
        <v>752</v>
      </c>
      <c r="G96" s="549">
        <v>18.09</v>
      </c>
      <c r="H96" s="550">
        <v>169</v>
      </c>
      <c r="I96" s="571"/>
      <c r="J96" s="504" t="s">
        <v>752</v>
      </c>
      <c r="K96" s="549">
        <v>18.25</v>
      </c>
      <c r="L96" s="550">
        <v>648</v>
      </c>
      <c r="M96" s="571"/>
      <c r="N96" s="504" t="s">
        <v>752</v>
      </c>
      <c r="O96" s="552">
        <v>21.25</v>
      </c>
      <c r="P96" s="550">
        <v>89</v>
      </c>
      <c r="Q96" s="571"/>
      <c r="R96" s="333" t="s">
        <v>752</v>
      </c>
      <c r="S96" s="589">
        <v>23.5</v>
      </c>
      <c r="T96" s="333"/>
      <c r="V96" s="333" t="s">
        <v>752</v>
      </c>
      <c r="W96" s="589">
        <f>S96</f>
        <v>23.5</v>
      </c>
      <c r="X96" s="550">
        <f t="shared" ref="X96:X111" si="4">(H96+L96+P96)/3</f>
        <v>302</v>
      </c>
    </row>
    <row r="97" spans="2:24">
      <c r="B97" s="472" t="s">
        <v>753</v>
      </c>
      <c r="C97" s="554">
        <v>21.31</v>
      </c>
      <c r="D97" s="555">
        <v>583</v>
      </c>
      <c r="E97" s="571"/>
      <c r="F97" s="472" t="s">
        <v>753</v>
      </c>
      <c r="G97" s="554">
        <v>21.2</v>
      </c>
      <c r="H97" s="555">
        <v>487</v>
      </c>
      <c r="I97" s="571"/>
      <c r="J97" s="472" t="s">
        <v>753</v>
      </c>
      <c r="K97" s="554">
        <v>21.8</v>
      </c>
      <c r="L97" s="555">
        <v>420</v>
      </c>
      <c r="M97" s="571"/>
      <c r="N97" s="472" t="s">
        <v>753</v>
      </c>
      <c r="O97" s="556">
        <v>24.5</v>
      </c>
      <c r="P97" s="555">
        <v>447</v>
      </c>
      <c r="Q97" s="571"/>
      <c r="R97" s="344" t="s">
        <v>753</v>
      </c>
      <c r="S97" s="590">
        <v>27.5</v>
      </c>
      <c r="T97" s="344"/>
      <c r="V97" s="344" t="s">
        <v>753</v>
      </c>
      <c r="W97" s="590">
        <f>S97</f>
        <v>27.5</v>
      </c>
      <c r="X97" s="555">
        <f t="shared" si="4"/>
        <v>451.33333333333331</v>
      </c>
    </row>
    <row r="98" spans="2:24">
      <c r="B98" s="472" t="s">
        <v>754</v>
      </c>
      <c r="C98" s="558">
        <v>24.61</v>
      </c>
      <c r="D98" s="559">
        <v>0</v>
      </c>
      <c r="E98" s="571"/>
      <c r="F98" s="571" t="s">
        <v>754</v>
      </c>
      <c r="G98" s="560">
        <v>24.49</v>
      </c>
      <c r="H98" s="559">
        <v>86</v>
      </c>
      <c r="I98" s="571"/>
      <c r="J98" s="472" t="s">
        <v>754</v>
      </c>
      <c r="K98" s="558">
        <v>26</v>
      </c>
      <c r="L98" s="559">
        <v>0</v>
      </c>
      <c r="M98" s="571"/>
      <c r="N98" s="472" t="s">
        <v>754</v>
      </c>
      <c r="O98" s="560">
        <v>29</v>
      </c>
      <c r="P98" s="559">
        <v>8</v>
      </c>
      <c r="Q98" s="571"/>
      <c r="R98" s="344" t="s">
        <v>754</v>
      </c>
      <c r="S98" s="591">
        <v>33</v>
      </c>
      <c r="T98" s="344"/>
      <c r="V98" s="344" t="s">
        <v>754</v>
      </c>
      <c r="W98" s="591">
        <f t="shared" ref="W98:W111" si="5">S98</f>
        <v>33</v>
      </c>
      <c r="X98" s="559">
        <f t="shared" si="4"/>
        <v>31.333333333333332</v>
      </c>
    </row>
    <row r="99" spans="2:24">
      <c r="B99" s="472" t="s">
        <v>755</v>
      </c>
      <c r="C99" s="558">
        <v>24.61</v>
      </c>
      <c r="D99" s="559">
        <v>12</v>
      </c>
      <c r="E99" s="571"/>
      <c r="F99" s="472" t="s">
        <v>755</v>
      </c>
      <c r="G99" s="558">
        <v>24.49</v>
      </c>
      <c r="H99" s="559">
        <v>0</v>
      </c>
      <c r="I99" s="571"/>
      <c r="J99" s="472" t="s">
        <v>755</v>
      </c>
      <c r="K99" s="558">
        <v>26</v>
      </c>
      <c r="L99" s="559">
        <v>0</v>
      </c>
      <c r="M99" s="571"/>
      <c r="N99" s="472" t="s">
        <v>755</v>
      </c>
      <c r="O99" s="560">
        <v>29</v>
      </c>
      <c r="P99" s="559">
        <v>4</v>
      </c>
      <c r="Q99" s="571"/>
      <c r="R99" s="344" t="s">
        <v>755</v>
      </c>
      <c r="S99" s="591">
        <v>33</v>
      </c>
      <c r="T99" s="344"/>
      <c r="V99" s="344" t="s">
        <v>755</v>
      </c>
      <c r="W99" s="591">
        <f t="shared" si="5"/>
        <v>33</v>
      </c>
      <c r="X99" s="559">
        <f t="shared" si="4"/>
        <v>1.3333333333333333</v>
      </c>
    </row>
    <row r="100" spans="2:24">
      <c r="B100" s="472" t="s">
        <v>756</v>
      </c>
      <c r="C100" s="558">
        <v>27.8</v>
      </c>
      <c r="D100" s="559">
        <v>49</v>
      </c>
      <c r="E100" s="571"/>
      <c r="F100" s="472" t="s">
        <v>756</v>
      </c>
      <c r="G100" s="558">
        <v>27.66</v>
      </c>
      <c r="H100" s="559">
        <v>50</v>
      </c>
      <c r="I100" s="571"/>
      <c r="J100" s="472" t="s">
        <v>756</v>
      </c>
      <c r="K100" s="558">
        <v>29</v>
      </c>
      <c r="L100" s="559">
        <v>0</v>
      </c>
      <c r="M100" s="571"/>
      <c r="N100" s="472" t="s">
        <v>756</v>
      </c>
      <c r="O100" s="560">
        <v>32.25</v>
      </c>
      <c r="P100" s="559">
        <v>5</v>
      </c>
      <c r="Q100" s="571"/>
      <c r="R100" s="344" t="s">
        <v>756</v>
      </c>
      <c r="S100" s="591">
        <v>36</v>
      </c>
      <c r="T100" s="344"/>
      <c r="V100" s="344" t="s">
        <v>756</v>
      </c>
      <c r="W100" s="591">
        <f t="shared" si="5"/>
        <v>36</v>
      </c>
      <c r="X100" s="559">
        <f t="shared" si="4"/>
        <v>18.333333333333332</v>
      </c>
    </row>
    <row r="101" spans="2:24">
      <c r="B101" s="472" t="s">
        <v>757</v>
      </c>
      <c r="C101" s="558">
        <v>27.8</v>
      </c>
      <c r="D101" s="559">
        <v>20</v>
      </c>
      <c r="E101" s="571"/>
      <c r="F101" s="472" t="s">
        <v>757</v>
      </c>
      <c r="G101" s="558">
        <v>27.66</v>
      </c>
      <c r="H101" s="559">
        <v>14</v>
      </c>
      <c r="I101" s="571"/>
      <c r="J101" s="472" t="s">
        <v>757</v>
      </c>
      <c r="K101" s="558">
        <v>29</v>
      </c>
      <c r="L101" s="559">
        <v>293</v>
      </c>
      <c r="M101" s="571"/>
      <c r="N101" s="472" t="s">
        <v>757</v>
      </c>
      <c r="O101" s="560">
        <v>32.25</v>
      </c>
      <c r="P101" s="559">
        <v>182</v>
      </c>
      <c r="Q101" s="571"/>
      <c r="R101" s="344" t="s">
        <v>757</v>
      </c>
      <c r="S101" s="591">
        <v>36</v>
      </c>
      <c r="T101" s="344"/>
      <c r="V101" s="344" t="s">
        <v>757</v>
      </c>
      <c r="W101" s="591">
        <f t="shared" si="5"/>
        <v>36</v>
      </c>
      <c r="X101" s="559">
        <f t="shared" si="4"/>
        <v>163</v>
      </c>
    </row>
    <row r="102" spans="2:24">
      <c r="B102" s="472" t="s">
        <v>758</v>
      </c>
      <c r="C102" s="561">
        <v>32.11</v>
      </c>
      <c r="D102" s="562"/>
      <c r="E102" s="571"/>
      <c r="F102" s="472" t="s">
        <v>758</v>
      </c>
      <c r="G102" s="561">
        <v>31.95</v>
      </c>
      <c r="H102" s="562">
        <v>0</v>
      </c>
      <c r="I102" s="571"/>
      <c r="J102" s="472" t="s">
        <v>758</v>
      </c>
      <c r="K102" s="561">
        <v>34</v>
      </c>
      <c r="L102" s="562">
        <v>0</v>
      </c>
      <c r="M102" s="571"/>
      <c r="N102" s="472" t="s">
        <v>758</v>
      </c>
      <c r="O102" s="563">
        <v>37.75</v>
      </c>
      <c r="P102" s="562">
        <v>0</v>
      </c>
      <c r="Q102" s="571"/>
      <c r="R102" s="344" t="s">
        <v>758</v>
      </c>
      <c r="S102" s="592">
        <v>44.5</v>
      </c>
      <c r="T102" s="344"/>
      <c r="V102" s="344" t="s">
        <v>758</v>
      </c>
      <c r="W102" s="592">
        <f t="shared" si="5"/>
        <v>44.5</v>
      </c>
      <c r="X102" s="562">
        <f t="shared" si="4"/>
        <v>0</v>
      </c>
    </row>
    <row r="103" spans="2:24">
      <c r="B103" s="472" t="s">
        <v>759</v>
      </c>
      <c r="C103" s="561">
        <v>32.11</v>
      </c>
      <c r="D103" s="562">
        <v>336</v>
      </c>
      <c r="E103" s="571"/>
      <c r="F103" s="472" t="s">
        <v>759</v>
      </c>
      <c r="G103" s="561">
        <v>31.95</v>
      </c>
      <c r="H103" s="562">
        <v>213</v>
      </c>
      <c r="I103" s="571"/>
      <c r="J103" s="472" t="s">
        <v>759</v>
      </c>
      <c r="K103" s="561">
        <v>32.049999999999997</v>
      </c>
      <c r="L103" s="562">
        <v>289</v>
      </c>
      <c r="M103" s="571"/>
      <c r="N103" s="472" t="s">
        <v>759</v>
      </c>
      <c r="O103" s="563">
        <v>37.75</v>
      </c>
      <c r="P103" s="562">
        <v>101</v>
      </c>
      <c r="Q103" s="571"/>
      <c r="R103" s="344" t="s">
        <v>759</v>
      </c>
      <c r="S103" s="592">
        <v>44.5</v>
      </c>
      <c r="T103" s="344"/>
      <c r="V103" s="344" t="s">
        <v>759</v>
      </c>
      <c r="W103" s="592">
        <f t="shared" si="5"/>
        <v>44.5</v>
      </c>
      <c r="X103" s="562">
        <f t="shared" si="4"/>
        <v>201</v>
      </c>
    </row>
    <row r="104" spans="2:24">
      <c r="B104" s="472" t="s">
        <v>760</v>
      </c>
      <c r="C104" s="561">
        <v>37.479999999999997</v>
      </c>
      <c r="D104" s="562">
        <v>440</v>
      </c>
      <c r="E104" s="571"/>
      <c r="F104" s="472" t="s">
        <v>760</v>
      </c>
      <c r="G104" s="561">
        <v>37.29</v>
      </c>
      <c r="H104" s="562">
        <v>0</v>
      </c>
      <c r="I104" s="571"/>
      <c r="J104" s="472" t="s">
        <v>760</v>
      </c>
      <c r="K104" s="561">
        <v>37.950000000000003</v>
      </c>
      <c r="L104" s="562">
        <v>449</v>
      </c>
      <c r="M104" s="571"/>
      <c r="N104" s="472" t="s">
        <v>760</v>
      </c>
      <c r="O104" s="563">
        <v>44.5</v>
      </c>
      <c r="P104" s="562">
        <v>70</v>
      </c>
      <c r="Q104" s="571"/>
      <c r="R104" s="344" t="s">
        <v>760</v>
      </c>
      <c r="S104" s="592">
        <v>51</v>
      </c>
      <c r="T104" s="344"/>
      <c r="V104" s="344" t="s">
        <v>760</v>
      </c>
      <c r="W104" s="592">
        <f t="shared" si="5"/>
        <v>51</v>
      </c>
      <c r="X104" s="562">
        <f t="shared" si="4"/>
        <v>173</v>
      </c>
    </row>
    <row r="105" spans="2:24">
      <c r="B105" s="472" t="s">
        <v>761</v>
      </c>
      <c r="C105" s="561">
        <v>37.479999999999997</v>
      </c>
      <c r="D105" s="562">
        <v>345</v>
      </c>
      <c r="E105" s="571"/>
      <c r="F105" s="472" t="s">
        <v>761</v>
      </c>
      <c r="G105" s="561">
        <v>37.29</v>
      </c>
      <c r="H105" s="562">
        <v>236</v>
      </c>
      <c r="I105" s="571"/>
      <c r="J105" s="472" t="s">
        <v>761</v>
      </c>
      <c r="K105" s="561">
        <v>40</v>
      </c>
      <c r="L105" s="562">
        <v>153</v>
      </c>
      <c r="M105" s="571"/>
      <c r="N105" s="472" t="s">
        <v>761</v>
      </c>
      <c r="O105" s="563">
        <v>44.5</v>
      </c>
      <c r="P105" s="562">
        <v>0</v>
      </c>
      <c r="Q105" s="571"/>
      <c r="R105" s="344" t="s">
        <v>761</v>
      </c>
      <c r="S105" s="592">
        <v>51</v>
      </c>
      <c r="T105" s="344"/>
      <c r="V105" s="344" t="s">
        <v>761</v>
      </c>
      <c r="W105" s="592">
        <f t="shared" si="5"/>
        <v>51</v>
      </c>
      <c r="X105" s="562">
        <f t="shared" si="4"/>
        <v>129.66666666666666</v>
      </c>
    </row>
    <row r="106" spans="2:24">
      <c r="B106" s="472" t="s">
        <v>762</v>
      </c>
      <c r="C106" s="561">
        <v>53.48</v>
      </c>
      <c r="D106" s="562">
        <v>85</v>
      </c>
      <c r="E106" s="571"/>
      <c r="F106" s="472" t="s">
        <v>762</v>
      </c>
      <c r="G106" s="561">
        <v>53.21</v>
      </c>
      <c r="H106" s="562">
        <v>190</v>
      </c>
      <c r="I106" s="571"/>
      <c r="J106" s="472" t="s">
        <v>762</v>
      </c>
      <c r="K106" s="561">
        <v>56.87</v>
      </c>
      <c r="L106" s="562">
        <v>442</v>
      </c>
      <c r="M106" s="571"/>
      <c r="N106" s="472" t="s">
        <v>762</v>
      </c>
      <c r="O106" s="563">
        <v>63.5</v>
      </c>
      <c r="P106" s="562">
        <v>662</v>
      </c>
      <c r="Q106" s="571"/>
      <c r="R106" s="344" t="s">
        <v>762</v>
      </c>
      <c r="S106" s="592">
        <v>70.5</v>
      </c>
      <c r="T106" s="344"/>
      <c r="V106" s="344" t="s">
        <v>762</v>
      </c>
      <c r="W106" s="592">
        <f t="shared" si="5"/>
        <v>70.5</v>
      </c>
      <c r="X106" s="562">
        <f t="shared" si="4"/>
        <v>431.33333333333331</v>
      </c>
    </row>
    <row r="107" spans="2:24">
      <c r="B107" s="472" t="s">
        <v>763</v>
      </c>
      <c r="C107" s="561">
        <v>101.75</v>
      </c>
      <c r="D107" s="562">
        <v>180</v>
      </c>
      <c r="E107" s="571"/>
      <c r="F107" s="472" t="s">
        <v>763</v>
      </c>
      <c r="G107" s="561">
        <v>101.24</v>
      </c>
      <c r="H107" s="562">
        <v>60</v>
      </c>
      <c r="I107" s="571"/>
      <c r="J107" s="472" t="s">
        <v>763</v>
      </c>
      <c r="K107" s="561">
        <v>109</v>
      </c>
      <c r="L107" s="562">
        <v>0</v>
      </c>
      <c r="M107" s="571"/>
      <c r="N107" s="472" t="s">
        <v>763</v>
      </c>
      <c r="O107" s="561">
        <v>121</v>
      </c>
      <c r="P107" s="562">
        <v>0</v>
      </c>
      <c r="Q107" s="571"/>
      <c r="R107" s="344" t="s">
        <v>763</v>
      </c>
      <c r="S107" s="592">
        <v>133.69999999999999</v>
      </c>
      <c r="T107" s="344"/>
      <c r="V107" s="344" t="s">
        <v>763</v>
      </c>
      <c r="W107" s="592">
        <f t="shared" si="5"/>
        <v>133.69999999999999</v>
      </c>
      <c r="X107" s="562">
        <f t="shared" si="4"/>
        <v>20</v>
      </c>
    </row>
    <row r="108" spans="2:24">
      <c r="B108" s="472" t="s">
        <v>764</v>
      </c>
      <c r="C108" s="564">
        <v>101.75</v>
      </c>
      <c r="D108" s="565">
        <v>0</v>
      </c>
      <c r="E108" s="571"/>
      <c r="F108" s="472" t="s">
        <v>764</v>
      </c>
      <c r="G108" s="564">
        <v>101.24</v>
      </c>
      <c r="H108" s="565">
        <v>0</v>
      </c>
      <c r="I108" s="571"/>
      <c r="J108" s="472" t="s">
        <v>764</v>
      </c>
      <c r="K108" s="564">
        <v>109</v>
      </c>
      <c r="L108" s="565">
        <v>0</v>
      </c>
      <c r="M108" s="571"/>
      <c r="N108" s="472" t="s">
        <v>764</v>
      </c>
      <c r="O108" s="564">
        <v>121</v>
      </c>
      <c r="P108" s="565">
        <v>0</v>
      </c>
      <c r="Q108" s="571"/>
      <c r="R108" s="344" t="s">
        <v>764</v>
      </c>
      <c r="S108" s="593">
        <v>133.69999999999999</v>
      </c>
      <c r="T108" s="344"/>
      <c r="V108" s="344" t="s">
        <v>764</v>
      </c>
      <c r="W108" s="593">
        <f t="shared" si="5"/>
        <v>133.69999999999999</v>
      </c>
      <c r="X108" s="565">
        <f t="shared" si="4"/>
        <v>0</v>
      </c>
    </row>
    <row r="109" spans="2:24">
      <c r="B109" s="483" t="s">
        <v>765</v>
      </c>
      <c r="C109" s="594">
        <v>101.75</v>
      </c>
      <c r="D109" s="568">
        <v>0</v>
      </c>
      <c r="E109" s="571"/>
      <c r="F109" s="472" t="s">
        <v>765</v>
      </c>
      <c r="G109" s="564">
        <v>101.24</v>
      </c>
      <c r="H109" s="565">
        <v>1400</v>
      </c>
      <c r="I109" s="571"/>
      <c r="J109" s="472" t="s">
        <v>765</v>
      </c>
      <c r="K109" s="564">
        <v>109</v>
      </c>
      <c r="L109" s="565">
        <v>0</v>
      </c>
      <c r="M109" s="571"/>
      <c r="N109" s="472" t="s">
        <v>765</v>
      </c>
      <c r="O109" s="564">
        <v>121</v>
      </c>
      <c r="P109" s="565">
        <v>0</v>
      </c>
      <c r="Q109" s="571"/>
      <c r="R109" s="344" t="s">
        <v>765</v>
      </c>
      <c r="S109" s="593">
        <v>133.69999999999999</v>
      </c>
      <c r="T109" s="344"/>
      <c r="V109" s="344" t="s">
        <v>765</v>
      </c>
      <c r="W109" s="593">
        <f t="shared" si="5"/>
        <v>133.69999999999999</v>
      </c>
      <c r="X109" s="565">
        <f t="shared" si="4"/>
        <v>466.66666666666669</v>
      </c>
    </row>
    <row r="110" spans="2:24">
      <c r="B110" s="571"/>
      <c r="C110" s="545"/>
      <c r="D110" s="391"/>
      <c r="E110" s="631"/>
      <c r="F110" s="571" t="s">
        <v>766</v>
      </c>
      <c r="G110" s="564">
        <v>177.1</v>
      </c>
      <c r="H110" s="565">
        <v>0</v>
      </c>
      <c r="I110" s="571"/>
      <c r="J110" s="472" t="s">
        <v>766</v>
      </c>
      <c r="K110" s="564">
        <v>191</v>
      </c>
      <c r="L110" s="565">
        <v>0</v>
      </c>
      <c r="M110" s="571"/>
      <c r="N110" s="472" t="s">
        <v>766</v>
      </c>
      <c r="O110" s="564">
        <v>213</v>
      </c>
      <c r="P110" s="565">
        <v>0</v>
      </c>
      <c r="Q110" s="571"/>
      <c r="R110" s="344" t="s">
        <v>766</v>
      </c>
      <c r="S110" s="593">
        <v>236</v>
      </c>
      <c r="T110" s="344"/>
      <c r="V110" s="344" t="s">
        <v>766</v>
      </c>
      <c r="W110" s="593">
        <f t="shared" si="5"/>
        <v>236</v>
      </c>
      <c r="X110" s="565">
        <f t="shared" si="4"/>
        <v>0</v>
      </c>
    </row>
    <row r="111" spans="2:24">
      <c r="B111" s="571"/>
      <c r="C111" s="545"/>
      <c r="D111" s="391"/>
      <c r="E111" s="631"/>
      <c r="F111" s="632" t="s">
        <v>767</v>
      </c>
      <c r="G111" s="594">
        <v>224.76</v>
      </c>
      <c r="H111" s="568">
        <v>0</v>
      </c>
      <c r="I111" s="571"/>
      <c r="J111" s="483" t="s">
        <v>767</v>
      </c>
      <c r="K111" s="594">
        <v>242</v>
      </c>
      <c r="L111" s="568">
        <v>0</v>
      </c>
      <c r="M111" s="571"/>
      <c r="N111" s="483" t="s">
        <v>767</v>
      </c>
      <c r="O111" s="594">
        <v>269</v>
      </c>
      <c r="P111" s="568">
        <v>0</v>
      </c>
      <c r="Q111" s="571"/>
      <c r="R111" s="486" t="s">
        <v>767</v>
      </c>
      <c r="S111" s="595">
        <v>297</v>
      </c>
      <c r="T111" s="486"/>
      <c r="V111" s="486" t="s">
        <v>767</v>
      </c>
      <c r="W111" s="595">
        <f t="shared" si="5"/>
        <v>297</v>
      </c>
      <c r="X111" s="568">
        <f t="shared" si="4"/>
        <v>0</v>
      </c>
    </row>
    <row r="112" spans="2:24">
      <c r="B112" s="596"/>
      <c r="C112" s="536"/>
      <c r="D112" s="401"/>
      <c r="E112" s="316"/>
      <c r="F112" s="596"/>
      <c r="G112" s="536"/>
      <c r="H112" s="401"/>
      <c r="I112" s="316"/>
      <c r="J112" s="596"/>
      <c r="K112" s="536"/>
      <c r="L112" s="401"/>
      <c r="M112" s="316"/>
      <c r="N112" s="573"/>
      <c r="O112" s="536"/>
      <c r="P112" s="401"/>
      <c r="Q112" s="597"/>
      <c r="R112" s="573"/>
      <c r="S112" s="536"/>
      <c r="T112" s="574"/>
      <c r="U112" s="209"/>
      <c r="V112" s="573"/>
      <c r="W112" s="536"/>
      <c r="X112" s="401"/>
    </row>
    <row r="113" spans="2:24">
      <c r="B113" s="508"/>
      <c r="C113" s="507"/>
      <c r="D113" s="622"/>
      <c r="E113" s="316"/>
      <c r="F113" s="508"/>
      <c r="G113" s="507"/>
      <c r="H113" s="622"/>
      <c r="I113" s="316"/>
      <c r="J113" s="508"/>
      <c r="K113" s="507"/>
      <c r="L113" s="622"/>
      <c r="M113" s="316"/>
      <c r="N113" s="508"/>
      <c r="O113" s="507"/>
      <c r="P113" s="622"/>
      <c r="Q113" s="316"/>
      <c r="R113" s="596"/>
      <c r="S113" s="614"/>
      <c r="T113" s="596"/>
      <c r="U113" s="209"/>
      <c r="V113" s="596"/>
      <c r="W113" s="614"/>
      <c r="X113" s="615"/>
    </row>
    <row r="114" spans="2:24" ht="25.5">
      <c r="B114" s="633" t="s">
        <v>707</v>
      </c>
      <c r="C114" s="509" t="s">
        <v>682</v>
      </c>
      <c r="D114" s="634" t="s">
        <v>683</v>
      </c>
      <c r="E114" s="434"/>
      <c r="F114" s="633" t="s">
        <v>707</v>
      </c>
      <c r="G114" s="509" t="s">
        <v>682</v>
      </c>
      <c r="H114" s="634" t="s">
        <v>683</v>
      </c>
      <c r="I114" s="434"/>
      <c r="J114" s="633" t="s">
        <v>707</v>
      </c>
      <c r="K114" s="509" t="s">
        <v>682</v>
      </c>
      <c r="L114" s="634" t="s">
        <v>683</v>
      </c>
      <c r="M114" s="434"/>
      <c r="N114" s="633" t="s">
        <v>707</v>
      </c>
      <c r="O114" s="509" t="s">
        <v>682</v>
      </c>
      <c r="P114" s="634" t="s">
        <v>683</v>
      </c>
      <c r="Q114" s="434"/>
      <c r="R114" s="599"/>
      <c r="S114" s="578"/>
      <c r="T114" s="503"/>
      <c r="V114" s="600" t="s">
        <v>707</v>
      </c>
      <c r="W114" s="393" t="s">
        <v>682</v>
      </c>
      <c r="X114" s="397" t="s">
        <v>683</v>
      </c>
    </row>
    <row r="115" spans="2:24" s="359" customFormat="1" ht="11.25">
      <c r="B115" s="438" t="s">
        <v>251</v>
      </c>
      <c r="C115" s="249">
        <f>C96</f>
        <v>18.18</v>
      </c>
      <c r="D115" s="250">
        <f>D96</f>
        <v>261</v>
      </c>
      <c r="E115" s="443"/>
      <c r="F115" s="438" t="s">
        <v>251</v>
      </c>
      <c r="G115" s="249">
        <f>G96</f>
        <v>18.09</v>
      </c>
      <c r="H115" s="250">
        <f>H96</f>
        <v>169</v>
      </c>
      <c r="I115" s="443"/>
      <c r="J115" s="438" t="s">
        <v>251</v>
      </c>
      <c r="K115" s="249">
        <f>K96</f>
        <v>18.25</v>
      </c>
      <c r="L115" s="250">
        <f>L96</f>
        <v>648</v>
      </c>
      <c r="M115" s="443"/>
      <c r="N115" s="438" t="s">
        <v>251</v>
      </c>
      <c r="O115" s="249">
        <f>O96</f>
        <v>21.25</v>
      </c>
      <c r="P115" s="250">
        <f>P96</f>
        <v>89</v>
      </c>
      <c r="Q115" s="443"/>
      <c r="R115" s="271"/>
      <c r="S115" s="280"/>
      <c r="T115" s="443"/>
      <c r="V115" s="441" t="s">
        <v>251</v>
      </c>
      <c r="W115" s="249">
        <f>W96</f>
        <v>23.5</v>
      </c>
      <c r="X115" s="250">
        <f>X96</f>
        <v>302</v>
      </c>
    </row>
    <row r="116" spans="2:24" s="359" customFormat="1" ht="11.25">
      <c r="B116" s="438" t="s">
        <v>252</v>
      </c>
      <c r="C116" s="252">
        <f>C97</f>
        <v>21.31</v>
      </c>
      <c r="D116" s="253">
        <f>D97</f>
        <v>583</v>
      </c>
      <c r="E116" s="443"/>
      <c r="F116" s="438" t="s">
        <v>252</v>
      </c>
      <c r="G116" s="252">
        <f>G97</f>
        <v>21.2</v>
      </c>
      <c r="H116" s="253">
        <f>H97</f>
        <v>487</v>
      </c>
      <c r="I116" s="443"/>
      <c r="J116" s="438" t="s">
        <v>252</v>
      </c>
      <c r="K116" s="252">
        <f>K97</f>
        <v>21.8</v>
      </c>
      <c r="L116" s="253">
        <f>L97</f>
        <v>420</v>
      </c>
      <c r="M116" s="443"/>
      <c r="N116" s="438" t="s">
        <v>252</v>
      </c>
      <c r="O116" s="252">
        <f>O97</f>
        <v>24.5</v>
      </c>
      <c r="P116" s="253">
        <f>P97</f>
        <v>447</v>
      </c>
      <c r="Q116" s="443"/>
      <c r="R116" s="271"/>
      <c r="S116" s="280"/>
      <c r="T116" s="443"/>
      <c r="V116" s="441" t="s">
        <v>252</v>
      </c>
      <c r="W116" s="252">
        <f>W97</f>
        <v>27.5</v>
      </c>
      <c r="X116" s="253">
        <f>X97</f>
        <v>451.33333333333331</v>
      </c>
    </row>
    <row r="117" spans="2:24" s="359" customFormat="1" ht="11.25">
      <c r="B117" s="438" t="s">
        <v>253</v>
      </c>
      <c r="C117" s="254">
        <f>SUMPRODUCT(C98:C101,D98:D101)/SUM(D98:D101)</f>
        <v>27.327407407407406</v>
      </c>
      <c r="D117" s="255">
        <f>SUM(D98:D101)</f>
        <v>81</v>
      </c>
      <c r="E117" s="443"/>
      <c r="F117" s="438" t="s">
        <v>253</v>
      </c>
      <c r="G117" s="254">
        <f>SUMPRODUCT(G98:G101,H98:H101)/SUM(H98:H101)</f>
        <v>25.842533333333336</v>
      </c>
      <c r="H117" s="255">
        <f>SUM(H98:H101)</f>
        <v>150</v>
      </c>
      <c r="I117" s="443"/>
      <c r="J117" s="438" t="s">
        <v>253</v>
      </c>
      <c r="K117" s="254">
        <f>SUMPRODUCT(K98:K101,L98:L101)/SUM(L98:L101)</f>
        <v>29</v>
      </c>
      <c r="L117" s="255">
        <f>SUM(L98:L101)</f>
        <v>293</v>
      </c>
      <c r="M117" s="443"/>
      <c r="N117" s="438" t="s">
        <v>253</v>
      </c>
      <c r="O117" s="254">
        <f>SUMPRODUCT(O98:O101,P98:P101)/SUM(P98:P101)</f>
        <v>32.054020100502512</v>
      </c>
      <c r="P117" s="255">
        <f>SUM(P98:P101)</f>
        <v>199</v>
      </c>
      <c r="Q117" s="443"/>
      <c r="R117" s="271"/>
      <c r="S117" s="623"/>
      <c r="T117" s="443"/>
      <c r="V117" s="441" t="s">
        <v>253</v>
      </c>
      <c r="W117" s="254">
        <f>SUMPRODUCT(W98:W101,X98:X101)/SUM(X98:X101)</f>
        <v>35.542056074766357</v>
      </c>
      <c r="X117" s="255">
        <f>SUM(X98:X101)</f>
        <v>214</v>
      </c>
    </row>
    <row r="118" spans="2:24" s="359" customFormat="1" ht="11.25">
      <c r="B118" s="438" t="s">
        <v>255</v>
      </c>
      <c r="C118" s="256">
        <f>SUMPRODUCT(C102:C107,D102:D107)/SUM(D102:D107)</f>
        <v>45.506176046176044</v>
      </c>
      <c r="D118" s="257">
        <f>SUM(D102:D107)</f>
        <v>1386</v>
      </c>
      <c r="E118" s="443"/>
      <c r="F118" s="438" t="s">
        <v>255</v>
      </c>
      <c r="G118" s="256">
        <f>SUMPRODUCT(G102:G107,H102:H107)/SUM(H102:H107)</f>
        <v>45.479384835479259</v>
      </c>
      <c r="H118" s="257">
        <f>SUM(H102:H107)</f>
        <v>699</v>
      </c>
      <c r="I118" s="443"/>
      <c r="J118" s="438" t="s">
        <v>255</v>
      </c>
      <c r="K118" s="256">
        <f>SUMPRODUCT(K102:K107,L102:L107)/SUM(L102:L107)</f>
        <v>43.179699924981243</v>
      </c>
      <c r="L118" s="257">
        <f>SUM(L102:L107)</f>
        <v>1333</v>
      </c>
      <c r="M118" s="443"/>
      <c r="N118" s="438" t="s">
        <v>255</v>
      </c>
      <c r="O118" s="256">
        <f>SUMPRODUCT(O102:O107,P102:P107)/SUM(P102:P107)</f>
        <v>58.781212484994001</v>
      </c>
      <c r="P118" s="257">
        <f>SUM(P102:P107)</f>
        <v>833</v>
      </c>
      <c r="Q118" s="443"/>
      <c r="R118" s="271"/>
      <c r="S118" s="623"/>
      <c r="T118" s="443"/>
      <c r="V118" s="441" t="s">
        <v>255</v>
      </c>
      <c r="W118" s="256">
        <f>SUMPRODUCT(W102:W107,X102:X107)/SUM(X102:X107)</f>
        <v>60.171204188481674</v>
      </c>
      <c r="X118" s="257">
        <f>SUM(X102:X107)</f>
        <v>955</v>
      </c>
    </row>
    <row r="119" spans="2:24" s="359" customFormat="1" ht="11.25">
      <c r="B119" s="438" t="s">
        <v>254</v>
      </c>
      <c r="C119" s="630" t="e">
        <f>SUMPRODUCT(C108:C109,D108:D109)/SUM(D108:D109)</f>
        <v>#DIV/0!</v>
      </c>
      <c r="D119" s="268">
        <f>SUM(D108:D109)</f>
        <v>0</v>
      </c>
      <c r="E119" s="443"/>
      <c r="F119" s="438" t="s">
        <v>254</v>
      </c>
      <c r="G119" s="258">
        <f>SUMPRODUCT(G108:G111,H108:H111)/SUM(H108:H111)</f>
        <v>101.24</v>
      </c>
      <c r="H119" s="268">
        <f>SUM(H108:H111)</f>
        <v>1400</v>
      </c>
      <c r="I119" s="443"/>
      <c r="J119" s="438" t="s">
        <v>254</v>
      </c>
      <c r="K119" s="630" t="e">
        <f>SUMPRODUCT(K108:K111,L108:L111)/SUM(L108:L111)</f>
        <v>#DIV/0!</v>
      </c>
      <c r="L119" s="268">
        <f>SUM(L108:L111)</f>
        <v>0</v>
      </c>
      <c r="M119" s="443"/>
      <c r="N119" s="438" t="s">
        <v>254</v>
      </c>
      <c r="O119" s="630" t="e">
        <f>SUMPRODUCT(O108:O111,P108:P111)/SUM(P108:P111)</f>
        <v>#DIV/0!</v>
      </c>
      <c r="P119" s="268">
        <f>SUM(P108:P111)</f>
        <v>0</v>
      </c>
      <c r="Q119" s="443"/>
      <c r="R119" s="271"/>
      <c r="S119" s="623"/>
      <c r="T119" s="443"/>
      <c r="V119" s="441" t="s">
        <v>254</v>
      </c>
      <c r="W119" s="290">
        <f>SUMPRODUCT(W108:W111,X108:X111)/SUM(X108:X111)</f>
        <v>133.69999999999999</v>
      </c>
      <c r="X119" s="268">
        <f>SUM(X108:X111)</f>
        <v>466.66666666666669</v>
      </c>
    </row>
    <row r="120" spans="2:24">
      <c r="B120" s="450" t="s">
        <v>680</v>
      </c>
      <c r="C120" s="451" t="e">
        <f>SUMPRODUCT(C115:C119,D115:D119)</f>
        <v>#DIV/0!</v>
      </c>
      <c r="D120" s="604"/>
      <c r="E120" s="443"/>
      <c r="F120" s="450" t="s">
        <v>680</v>
      </c>
      <c r="G120" s="451">
        <f>SUMPRODUCT(G115:G119,H115:H119)</f>
        <v>190784.08000000002</v>
      </c>
      <c r="H120" s="604"/>
      <c r="I120" s="443"/>
      <c r="J120" s="450" t="s">
        <v>680</v>
      </c>
      <c r="K120" s="451" t="e">
        <f>SUMPRODUCT(K115:K119,L115:L119)</f>
        <v>#DIV/0!</v>
      </c>
      <c r="L120" s="604"/>
      <c r="M120" s="443"/>
      <c r="N120" s="450" t="s">
        <v>680</v>
      </c>
      <c r="O120" s="451" t="e">
        <f>SUMPRODUCT(O115:O119,P115:P119)</f>
        <v>#DIV/0!</v>
      </c>
      <c r="P120" s="604"/>
      <c r="Q120" s="443"/>
      <c r="R120" s="543"/>
      <c r="S120" s="443"/>
      <c r="T120" s="443"/>
      <c r="V120" s="450" t="s">
        <v>680</v>
      </c>
      <c r="W120" s="451">
        <f>SUMPRODUCT(W115:W119,X115:X119)</f>
        <v>146971.5</v>
      </c>
      <c r="X120" s="635"/>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0">
    <tabColor rgb="FFDBE91F"/>
  </sheetPr>
  <dimension ref="B1:AC144"/>
  <sheetViews>
    <sheetView showGridLines="0" zoomScale="85" zoomScaleNormal="85" workbookViewId="0"/>
  </sheetViews>
  <sheetFormatPr defaultRowHeight="12.75"/>
  <cols>
    <col min="1" max="1" width="9.140625" style="210"/>
    <col min="2" max="2" width="47.7109375" style="210" bestFit="1" customWidth="1"/>
    <col min="3" max="4" width="13.28515625" style="210" customWidth="1"/>
    <col min="5" max="5" width="8.28515625" style="238" customWidth="1"/>
    <col min="6" max="6" width="44.85546875" style="210" bestFit="1" customWidth="1"/>
    <col min="7" max="7" width="13.140625" style="210" customWidth="1"/>
    <col min="8" max="8" width="11.140625" style="210" bestFit="1" customWidth="1"/>
    <col min="9" max="9" width="8.7109375" style="238" customWidth="1"/>
    <col min="10" max="10" width="44.85546875" style="210" bestFit="1" customWidth="1"/>
    <col min="11" max="11" width="13.140625" style="210" customWidth="1"/>
    <col min="12" max="12" width="11.140625" style="210" bestFit="1" customWidth="1"/>
    <col min="13" max="13" width="8.28515625" style="238" customWidth="1"/>
    <col min="14" max="14" width="47.5703125" style="210" bestFit="1" customWidth="1"/>
    <col min="15" max="15" width="12" style="210" bestFit="1" customWidth="1"/>
    <col min="16" max="16" width="11.140625" style="210" bestFit="1" customWidth="1"/>
    <col min="17" max="17" width="8.140625" style="238" customWidth="1"/>
    <col min="18" max="18" width="47.5703125" style="210" bestFit="1" customWidth="1"/>
    <col min="19" max="19" width="12" style="210" bestFit="1" customWidth="1"/>
    <col min="20" max="20" width="8.140625" style="210" bestFit="1" customWidth="1"/>
    <col min="21" max="21" width="9.140625" style="210"/>
    <col min="22" max="22" width="28.85546875" style="210" bestFit="1" customWidth="1"/>
    <col min="23" max="23" width="12" style="210" bestFit="1" customWidth="1"/>
    <col min="24" max="24" width="11.140625" style="210" bestFit="1" customWidth="1"/>
    <col min="25" max="16384" width="9.140625" style="210"/>
  </cols>
  <sheetData>
    <row r="1" spans="2:24">
      <c r="B1" s="513" t="s">
        <v>708</v>
      </c>
      <c r="C1" s="513" t="s">
        <v>650</v>
      </c>
      <c r="D1" s="513" t="s">
        <v>325</v>
      </c>
    </row>
    <row r="2" spans="2:24" ht="15.75">
      <c r="B2" s="240" t="str">
        <f>B1</f>
        <v>NE6R Stedin</v>
      </c>
      <c r="C2" s="240" t="str">
        <f>C1</f>
        <v>Standaardisatie</v>
      </c>
      <c r="D2" s="240"/>
      <c r="E2" s="240"/>
      <c r="F2" s="240" t="str">
        <f>D1</f>
        <v>PAV</v>
      </c>
      <c r="G2" s="291"/>
      <c r="H2" s="292"/>
      <c r="I2" s="293"/>
      <c r="J2" s="293"/>
      <c r="K2" s="291"/>
      <c r="L2" s="292"/>
      <c r="M2" s="293"/>
      <c r="N2" s="293"/>
      <c r="O2" s="293"/>
      <c r="P2" s="293"/>
      <c r="Q2" s="293"/>
      <c r="R2" s="293"/>
      <c r="S2" s="293"/>
      <c r="T2" s="293"/>
      <c r="V2" s="294" t="s">
        <v>651</v>
      </c>
      <c r="W2" s="295"/>
      <c r="X2" s="295"/>
    </row>
    <row r="3" spans="2:24">
      <c r="B3" s="359"/>
      <c r="C3" s="359"/>
      <c r="D3" s="359"/>
      <c r="E3" s="316"/>
      <c r="F3" s="359"/>
      <c r="G3" s="359"/>
      <c r="H3" s="359"/>
      <c r="I3" s="316"/>
      <c r="J3" s="359"/>
      <c r="K3" s="359"/>
      <c r="L3" s="359"/>
      <c r="M3" s="316"/>
      <c r="N3" s="359"/>
      <c r="O3" s="359"/>
      <c r="P3" s="359"/>
      <c r="Q3" s="316"/>
      <c r="R3" s="359"/>
      <c r="S3" s="359"/>
      <c r="T3" s="359"/>
    </row>
    <row r="4" spans="2:24">
      <c r="B4" s="296" t="s">
        <v>1403</v>
      </c>
      <c r="C4" s="297" t="s">
        <v>1404</v>
      </c>
      <c r="D4" s="297"/>
      <c r="E4" s="297"/>
      <c r="F4" s="297"/>
      <c r="G4" s="297"/>
      <c r="H4" s="297"/>
      <c r="I4" s="297"/>
      <c r="J4" s="298"/>
      <c r="K4" s="359"/>
      <c r="L4" s="359"/>
      <c r="M4" s="316"/>
      <c r="N4" s="359"/>
      <c r="O4" s="359"/>
      <c r="P4" s="359"/>
      <c r="Q4" s="316"/>
      <c r="R4" s="359"/>
      <c r="S4" s="359"/>
      <c r="T4" s="359"/>
    </row>
    <row r="5" spans="2:24">
      <c r="B5" s="299" t="s">
        <v>1405</v>
      </c>
      <c r="C5" s="300" t="s">
        <v>1406</v>
      </c>
      <c r="D5" s="300"/>
      <c r="E5" s="300"/>
      <c r="F5" s="300"/>
      <c r="G5" s="300"/>
      <c r="H5" s="300"/>
      <c r="I5" s="300"/>
      <c r="J5" s="301"/>
      <c r="K5" s="359"/>
      <c r="L5" s="359"/>
      <c r="M5" s="316"/>
      <c r="N5" s="359"/>
      <c r="O5" s="359"/>
      <c r="P5" s="359"/>
      <c r="Q5" s="316"/>
      <c r="R5" s="359"/>
      <c r="S5" s="359"/>
      <c r="T5" s="359"/>
    </row>
    <row r="6" spans="2:24">
      <c r="B6" s="302" t="s">
        <v>1407</v>
      </c>
      <c r="C6" s="303" t="s">
        <v>1408</v>
      </c>
      <c r="D6" s="303"/>
      <c r="E6" s="303"/>
      <c r="F6" s="303"/>
      <c r="G6" s="303"/>
      <c r="H6" s="303"/>
      <c r="I6" s="303"/>
      <c r="J6" s="304"/>
      <c r="K6" s="359"/>
      <c r="L6" s="359"/>
      <c r="M6" s="316"/>
      <c r="N6" s="359"/>
      <c r="O6" s="359"/>
      <c r="P6" s="359"/>
      <c r="Q6" s="316"/>
      <c r="R6" s="359"/>
      <c r="S6" s="359"/>
      <c r="T6" s="359"/>
    </row>
    <row r="7" spans="2:24">
      <c r="B7" s="305" t="s">
        <v>1409</v>
      </c>
      <c r="C7" s="306" t="s">
        <v>1410</v>
      </c>
      <c r="D7" s="306"/>
      <c r="E7" s="306"/>
      <c r="F7" s="306"/>
      <c r="G7" s="306"/>
      <c r="H7" s="306"/>
      <c r="I7" s="306"/>
      <c r="J7" s="307"/>
      <c r="K7" s="359"/>
      <c r="L7" s="359"/>
      <c r="M7" s="316"/>
      <c r="N7" s="359"/>
      <c r="O7" s="359"/>
      <c r="P7" s="359"/>
      <c r="Q7" s="316"/>
      <c r="R7" s="359"/>
      <c r="S7" s="359"/>
      <c r="T7" s="359"/>
    </row>
    <row r="8" spans="2:24" ht="11.25" customHeight="1">
      <c r="B8" s="1105" t="s">
        <v>1411</v>
      </c>
      <c r="C8" s="308" t="s">
        <v>1438</v>
      </c>
      <c r="D8" s="308"/>
      <c r="E8" s="308"/>
      <c r="F8" s="308"/>
      <c r="G8" s="308"/>
      <c r="H8" s="308"/>
      <c r="I8" s="308"/>
      <c r="J8" s="309"/>
      <c r="K8" s="359"/>
      <c r="L8" s="359"/>
      <c r="M8" s="316"/>
      <c r="N8" s="359"/>
      <c r="O8" s="359"/>
      <c r="P8" s="359"/>
      <c r="Q8" s="316"/>
      <c r="R8" s="359"/>
      <c r="S8" s="359"/>
      <c r="T8" s="359"/>
    </row>
    <row r="9" spans="2:24">
      <c r="B9" s="310" t="s">
        <v>1415</v>
      </c>
      <c r="C9" s="311" t="s">
        <v>1416</v>
      </c>
      <c r="D9" s="311"/>
      <c r="E9" s="311"/>
      <c r="F9" s="311"/>
      <c r="G9" s="311"/>
      <c r="H9" s="311"/>
      <c r="I9" s="311"/>
      <c r="J9" s="312"/>
      <c r="K9" s="359"/>
      <c r="L9" s="359"/>
      <c r="M9" s="316"/>
      <c r="N9" s="359"/>
      <c r="O9" s="359"/>
      <c r="P9" s="359"/>
      <c r="Q9" s="316"/>
      <c r="R9" s="359"/>
      <c r="S9" s="359"/>
      <c r="T9" s="359"/>
    </row>
    <row r="12" spans="2:24" ht="15.75">
      <c r="B12" s="463" t="s">
        <v>709</v>
      </c>
      <c r="C12" s="464"/>
      <c r="D12" s="465"/>
      <c r="E12" s="359"/>
      <c r="F12" s="359"/>
      <c r="G12" s="359"/>
      <c r="H12" s="359"/>
      <c r="I12" s="359"/>
      <c r="J12" s="359"/>
      <c r="K12" s="359"/>
      <c r="L12" s="359"/>
      <c r="M12" s="359"/>
      <c r="N12" s="359"/>
      <c r="O12" s="359"/>
      <c r="P12" s="359"/>
      <c r="Q12" s="359"/>
      <c r="R12" s="359"/>
      <c r="S12" s="359"/>
      <c r="T12" s="359"/>
      <c r="U12" s="359"/>
      <c r="V12" s="359"/>
    </row>
    <row r="13" spans="2:24">
      <c r="B13" s="317"/>
      <c r="C13" s="1190">
        <v>2009</v>
      </c>
      <c r="D13" s="1189"/>
      <c r="E13" s="321"/>
      <c r="F13" s="320"/>
      <c r="G13" s="1192">
        <v>2010</v>
      </c>
      <c r="H13" s="1189"/>
      <c r="I13" s="321"/>
      <c r="J13" s="514"/>
      <c r="K13" s="1188">
        <v>2011</v>
      </c>
      <c r="L13" s="1189"/>
      <c r="M13" s="321"/>
      <c r="N13" s="514"/>
      <c r="O13" s="1188">
        <v>2012</v>
      </c>
      <c r="P13" s="1189"/>
      <c r="Q13" s="321"/>
      <c r="R13" s="514"/>
      <c r="S13" s="1188">
        <v>2013</v>
      </c>
      <c r="T13" s="1189"/>
      <c r="V13" s="514" t="s">
        <v>656</v>
      </c>
      <c r="W13" s="1188" t="s">
        <v>657</v>
      </c>
      <c r="X13" s="1189"/>
    </row>
    <row r="14" spans="2:24">
      <c r="B14" s="325" t="s">
        <v>658</v>
      </c>
      <c r="C14" s="325" t="s">
        <v>632</v>
      </c>
      <c r="D14" s="470" t="s">
        <v>633</v>
      </c>
      <c r="E14" s="324"/>
      <c r="F14" s="470" t="s">
        <v>658</v>
      </c>
      <c r="G14" s="515" t="s">
        <v>632</v>
      </c>
      <c r="H14" s="470" t="s">
        <v>633</v>
      </c>
      <c r="I14" s="324"/>
      <c r="J14" s="325" t="s">
        <v>658</v>
      </c>
      <c r="K14" s="470" t="s">
        <v>632</v>
      </c>
      <c r="L14" s="471" t="s">
        <v>633</v>
      </c>
      <c r="M14" s="324"/>
      <c r="N14" s="322" t="s">
        <v>658</v>
      </c>
      <c r="O14" s="325" t="s">
        <v>632</v>
      </c>
      <c r="P14" s="470" t="s">
        <v>633</v>
      </c>
      <c r="Q14" s="324"/>
      <c r="R14" s="322" t="s">
        <v>658</v>
      </c>
      <c r="S14" s="516" t="s">
        <v>710</v>
      </c>
      <c r="T14" s="517" t="s">
        <v>633</v>
      </c>
      <c r="V14" s="322" t="s">
        <v>658</v>
      </c>
      <c r="W14" s="516" t="s">
        <v>710</v>
      </c>
      <c r="X14" s="517" t="s">
        <v>633</v>
      </c>
    </row>
    <row r="15" spans="2:24" s="359" customFormat="1" ht="11.25">
      <c r="B15" s="337" t="s">
        <v>711</v>
      </c>
      <c r="C15" s="473">
        <v>6.84</v>
      </c>
      <c r="D15" s="474">
        <v>569974.51022146514</v>
      </c>
      <c r="E15" s="329"/>
      <c r="F15" s="337" t="s">
        <v>711</v>
      </c>
      <c r="G15" s="473">
        <v>6.24</v>
      </c>
      <c r="H15" s="474">
        <v>579156.588444066</v>
      </c>
      <c r="I15" s="329"/>
      <c r="J15" s="330" t="s">
        <v>711</v>
      </c>
      <c r="K15" s="518">
        <v>6.8</v>
      </c>
      <c r="L15" s="519">
        <v>588338.66666666698</v>
      </c>
      <c r="M15" s="329"/>
      <c r="N15" s="326" t="s">
        <v>711</v>
      </c>
      <c r="O15" s="473">
        <v>7.5</v>
      </c>
      <c r="P15" s="474">
        <v>588773.54166666663</v>
      </c>
      <c r="Q15" s="329"/>
      <c r="R15" s="326" t="s">
        <v>711</v>
      </c>
      <c r="S15" s="473">
        <v>8.5400000000000009</v>
      </c>
      <c r="T15" s="338"/>
      <c r="V15" s="326" t="s">
        <v>711</v>
      </c>
      <c r="W15" s="473">
        <f>S15</f>
        <v>8.5400000000000009</v>
      </c>
      <c r="X15" s="474">
        <f>(H15+L15+P15)/3</f>
        <v>585422.9322591332</v>
      </c>
    </row>
    <row r="16" spans="2:24" s="359" customFormat="1" ht="11.25">
      <c r="B16" s="326" t="s">
        <v>712</v>
      </c>
      <c r="C16" s="372">
        <v>17.760000000000002</v>
      </c>
      <c r="D16" s="373">
        <v>1855895.1818693695</v>
      </c>
      <c r="E16" s="329"/>
      <c r="F16" s="326" t="s">
        <v>712</v>
      </c>
      <c r="G16" s="372">
        <v>16.559999999999999</v>
      </c>
      <c r="H16" s="373">
        <v>1879442.75</v>
      </c>
      <c r="I16" s="329"/>
      <c r="J16" s="342" t="s">
        <v>713</v>
      </c>
      <c r="K16" s="371">
        <v>16.3</v>
      </c>
      <c r="L16" s="373">
        <v>1899622.3699386499</v>
      </c>
      <c r="M16" s="329"/>
      <c r="N16" s="326" t="s">
        <v>713</v>
      </c>
      <c r="O16" s="372">
        <v>18.5</v>
      </c>
      <c r="P16" s="373">
        <v>1905963.1156265354</v>
      </c>
      <c r="Q16" s="329"/>
      <c r="R16" s="326" t="s">
        <v>713</v>
      </c>
      <c r="S16" s="372">
        <v>19.630000000000003</v>
      </c>
      <c r="T16" s="347"/>
      <c r="V16" s="326" t="s">
        <v>713</v>
      </c>
      <c r="W16" s="372">
        <f t="shared" ref="W16:W21" si="0">S16</f>
        <v>19.630000000000003</v>
      </c>
      <c r="X16" s="373">
        <f>(H16+L16+P16)/3</f>
        <v>1895009.4118550618</v>
      </c>
    </row>
    <row r="17" spans="2:24" s="359" customFormat="1" ht="11.25">
      <c r="B17" s="326" t="s">
        <v>714</v>
      </c>
      <c r="C17" s="364">
        <v>36.24</v>
      </c>
      <c r="D17" s="365">
        <v>74269.999999999985</v>
      </c>
      <c r="E17" s="329"/>
      <c r="F17" s="326" t="s">
        <v>714</v>
      </c>
      <c r="G17" s="364">
        <v>32.880000000000003</v>
      </c>
      <c r="H17" s="365">
        <v>75663</v>
      </c>
      <c r="I17" s="329"/>
      <c r="J17" s="342" t="s">
        <v>715</v>
      </c>
      <c r="K17" s="363">
        <v>32.4</v>
      </c>
      <c r="L17" s="365">
        <v>82791.946913580265</v>
      </c>
      <c r="M17" s="329"/>
      <c r="N17" s="326" t="s">
        <v>715</v>
      </c>
      <c r="O17" s="364">
        <v>36.799999999999997</v>
      </c>
      <c r="P17" s="365">
        <v>82853.583333333328</v>
      </c>
      <c r="Q17" s="329"/>
      <c r="R17" s="326" t="s">
        <v>715</v>
      </c>
      <c r="S17" s="364">
        <v>39.050000000000004</v>
      </c>
      <c r="T17" s="347"/>
      <c r="V17" s="326" t="s">
        <v>715</v>
      </c>
      <c r="W17" s="364">
        <f t="shared" si="0"/>
        <v>39.050000000000004</v>
      </c>
      <c r="X17" s="365">
        <f>(H17+H18+L17+P17)/3</f>
        <v>82451.631432669485</v>
      </c>
    </row>
    <row r="18" spans="2:24" s="359" customFormat="1" ht="11.25">
      <c r="B18" s="326" t="s">
        <v>716</v>
      </c>
      <c r="C18" s="364">
        <v>36.24</v>
      </c>
      <c r="D18" s="365">
        <v>6152.6363134657831</v>
      </c>
      <c r="E18" s="329"/>
      <c r="F18" s="326" t="s">
        <v>716</v>
      </c>
      <c r="G18" s="364">
        <v>32.880000000000003</v>
      </c>
      <c r="H18" s="365">
        <v>6046.3640510948899</v>
      </c>
      <c r="I18" s="329"/>
      <c r="J18" s="342" t="s">
        <v>717</v>
      </c>
      <c r="K18" s="356">
        <v>53.8</v>
      </c>
      <c r="L18" s="358">
        <v>10036</v>
      </c>
      <c r="M18" s="329"/>
      <c r="N18" s="326" t="s">
        <v>717</v>
      </c>
      <c r="O18" s="357">
        <v>63.2</v>
      </c>
      <c r="P18" s="358">
        <v>10321.181818181818</v>
      </c>
      <c r="Q18" s="329"/>
      <c r="R18" s="326" t="s">
        <v>717</v>
      </c>
      <c r="S18" s="357">
        <v>72</v>
      </c>
      <c r="T18" s="347"/>
      <c r="V18" s="326" t="s">
        <v>717</v>
      </c>
      <c r="W18" s="357">
        <f t="shared" si="0"/>
        <v>72</v>
      </c>
      <c r="X18" s="358">
        <f>(H19+L18+P18)/3</f>
        <v>10029.616161616163</v>
      </c>
    </row>
    <row r="19" spans="2:24" s="359" customFormat="1" ht="11.25">
      <c r="B19" s="326" t="s">
        <v>717</v>
      </c>
      <c r="C19" s="357">
        <v>51.6</v>
      </c>
      <c r="D19" s="358">
        <v>9659.6666666666661</v>
      </c>
      <c r="E19" s="329"/>
      <c r="F19" s="326" t="s">
        <v>717</v>
      </c>
      <c r="G19" s="357">
        <v>46.8</v>
      </c>
      <c r="H19" s="358">
        <v>9731.6666666666697</v>
      </c>
      <c r="I19" s="329"/>
      <c r="J19" s="342" t="s">
        <v>718</v>
      </c>
      <c r="K19" s="520">
        <v>487.4</v>
      </c>
      <c r="L19" s="348">
        <v>3762</v>
      </c>
      <c r="M19" s="329"/>
      <c r="N19" s="326" t="s">
        <v>718</v>
      </c>
      <c r="O19" s="480">
        <v>565.95000000000005</v>
      </c>
      <c r="P19" s="348">
        <v>3750</v>
      </c>
      <c r="Q19" s="329"/>
      <c r="R19" s="326" t="s">
        <v>718</v>
      </c>
      <c r="S19" s="480">
        <v>644.5</v>
      </c>
      <c r="T19" s="347"/>
      <c r="V19" s="326" t="s">
        <v>718</v>
      </c>
      <c r="W19" s="480">
        <f t="shared" si="0"/>
        <v>644.5</v>
      </c>
      <c r="X19" s="348">
        <f>(H20+L19+P19)/3</f>
        <v>3729.2777777777769</v>
      </c>
    </row>
    <row r="20" spans="2:24" s="359" customFormat="1" ht="11.25">
      <c r="B20" s="326" t="s">
        <v>718</v>
      </c>
      <c r="C20" s="480">
        <v>463.92</v>
      </c>
      <c r="D20" s="348">
        <v>3828.75</v>
      </c>
      <c r="E20" s="329"/>
      <c r="F20" s="326" t="s">
        <v>718</v>
      </c>
      <c r="G20" s="480">
        <v>423.96</v>
      </c>
      <c r="H20" s="348">
        <v>3675.8333333333298</v>
      </c>
      <c r="I20" s="329"/>
      <c r="J20" s="1102" t="s">
        <v>719</v>
      </c>
      <c r="K20" s="1131">
        <v>1110.5</v>
      </c>
      <c r="L20" s="1130">
        <v>33</v>
      </c>
      <c r="M20" s="329"/>
      <c r="N20" s="1101" t="s">
        <v>719</v>
      </c>
      <c r="O20" s="1129">
        <v>1291.7</v>
      </c>
      <c r="P20" s="1130">
        <v>30</v>
      </c>
      <c r="Q20" s="329"/>
      <c r="R20" s="1101" t="s">
        <v>719</v>
      </c>
      <c r="S20" s="1129">
        <v>1471.5</v>
      </c>
      <c r="T20" s="347"/>
      <c r="V20" s="1101" t="s">
        <v>719</v>
      </c>
      <c r="W20" s="1129">
        <f t="shared" si="0"/>
        <v>1471.5</v>
      </c>
      <c r="X20" s="1130">
        <f>(H21+L20+P20)/3</f>
        <v>33.369103370641135</v>
      </c>
    </row>
    <row r="21" spans="2:24" s="359" customFormat="1" ht="11.25">
      <c r="B21" s="1101" t="s">
        <v>719</v>
      </c>
      <c r="C21" s="1129">
        <v>1100.28</v>
      </c>
      <c r="D21" s="1130">
        <v>35.665562542674948</v>
      </c>
      <c r="E21" s="329"/>
      <c r="F21" s="1101" t="s">
        <v>719</v>
      </c>
      <c r="G21" s="1129">
        <v>1014.36</v>
      </c>
      <c r="H21" s="1130">
        <v>37.107310111923397</v>
      </c>
      <c r="I21" s="329"/>
      <c r="J21" s="521" t="s">
        <v>720</v>
      </c>
      <c r="K21" s="522">
        <v>6312.6</v>
      </c>
      <c r="L21" s="1132">
        <v>132</v>
      </c>
      <c r="M21" s="329"/>
      <c r="N21" s="523" t="s">
        <v>720</v>
      </c>
      <c r="O21" s="524">
        <v>7172.44</v>
      </c>
      <c r="P21" s="525">
        <v>126</v>
      </c>
      <c r="Q21" s="329"/>
      <c r="R21" s="523" t="s">
        <v>720</v>
      </c>
      <c r="S21" s="524">
        <v>8166</v>
      </c>
      <c r="T21" s="381"/>
      <c r="V21" s="523" t="s">
        <v>720</v>
      </c>
      <c r="W21" s="524">
        <f t="shared" si="0"/>
        <v>8166</v>
      </c>
      <c r="X21" s="525">
        <f>(H22+L21+P21)/3</f>
        <v>142.04749964821767</v>
      </c>
    </row>
    <row r="22" spans="2:24" s="359" customFormat="1" ht="11.25">
      <c r="B22" s="379" t="s">
        <v>720</v>
      </c>
      <c r="C22" s="524">
        <v>6201.6</v>
      </c>
      <c r="D22" s="525">
        <v>152.69318963582714</v>
      </c>
      <c r="E22" s="417"/>
      <c r="F22" s="379" t="s">
        <v>720</v>
      </c>
      <c r="G22" s="524">
        <v>5766</v>
      </c>
      <c r="H22" s="525">
        <v>168.142498944653</v>
      </c>
      <c r="I22" s="329"/>
      <c r="J22" s="526"/>
      <c r="K22" s="527"/>
      <c r="L22" s="528"/>
      <c r="M22" s="329"/>
      <c r="N22" s="529"/>
      <c r="O22" s="527"/>
      <c r="P22" s="528"/>
      <c r="Q22" s="329"/>
      <c r="R22" s="529"/>
      <c r="S22" s="527"/>
      <c r="T22" s="329"/>
      <c r="V22" s="529"/>
      <c r="W22" s="527"/>
      <c r="X22" s="528"/>
    </row>
    <row r="23" spans="2:24" s="465" customFormat="1">
      <c r="B23" s="530"/>
      <c r="C23" s="527"/>
      <c r="D23" s="528"/>
      <c r="E23" s="329"/>
      <c r="F23" s="529"/>
      <c r="G23" s="527"/>
      <c r="H23" s="528"/>
      <c r="I23" s="329"/>
      <c r="J23" s="529"/>
      <c r="K23" s="527"/>
      <c r="L23" s="528"/>
      <c r="M23" s="329"/>
      <c r="N23" s="529"/>
      <c r="O23" s="527"/>
      <c r="P23" s="528"/>
      <c r="Q23" s="329"/>
      <c r="R23" s="529"/>
      <c r="S23" s="527"/>
      <c r="T23" s="329"/>
      <c r="V23" s="529"/>
      <c r="W23" s="527"/>
      <c r="X23" s="528"/>
    </row>
    <row r="24" spans="2:24" s="465" customFormat="1">
      <c r="B24" s="530"/>
      <c r="C24" s="527"/>
      <c r="D24" s="528"/>
      <c r="E24" s="329"/>
      <c r="F24" s="529"/>
      <c r="G24" s="527"/>
      <c r="H24" s="528"/>
      <c r="I24" s="329"/>
      <c r="J24" s="529"/>
      <c r="K24" s="527"/>
      <c r="L24" s="528"/>
      <c r="M24" s="329"/>
      <c r="N24" s="529"/>
      <c r="O24" s="527"/>
      <c r="P24" s="528"/>
      <c r="Q24" s="329"/>
      <c r="R24" s="529"/>
      <c r="S24" s="527"/>
      <c r="T24" s="329"/>
      <c r="V24" s="529"/>
      <c r="W24" s="527"/>
      <c r="X24" s="528"/>
    </row>
    <row r="25" spans="2:24" s="465" customFormat="1">
      <c r="B25" s="530"/>
      <c r="C25" s="527"/>
      <c r="D25" s="528"/>
      <c r="E25" s="329"/>
      <c r="F25" s="529"/>
      <c r="G25" s="527"/>
      <c r="H25" s="528"/>
      <c r="I25" s="329"/>
      <c r="J25" s="529"/>
      <c r="K25" s="527"/>
      <c r="L25" s="528"/>
      <c r="M25" s="329"/>
      <c r="N25" s="529"/>
      <c r="O25" s="527"/>
      <c r="P25" s="528"/>
      <c r="Q25" s="329"/>
      <c r="R25" s="529"/>
      <c r="S25" s="527"/>
      <c r="T25" s="329"/>
      <c r="V25" s="529"/>
      <c r="W25" s="527"/>
      <c r="X25" s="528"/>
    </row>
    <row r="26" spans="2:24" s="465" customFormat="1">
      <c r="B26" s="530"/>
      <c r="C26" s="527"/>
      <c r="D26" s="528"/>
      <c r="E26" s="329"/>
      <c r="F26" s="529"/>
      <c r="G26" s="527"/>
      <c r="H26" s="528"/>
      <c r="I26" s="329"/>
      <c r="J26" s="529"/>
      <c r="K26" s="527"/>
      <c r="L26" s="528"/>
      <c r="M26" s="329"/>
      <c r="N26" s="529"/>
      <c r="O26" s="527"/>
      <c r="P26" s="528"/>
      <c r="Q26" s="329"/>
      <c r="R26" s="529"/>
      <c r="S26" s="527"/>
      <c r="T26" s="329"/>
      <c r="V26" s="529"/>
      <c r="W26" s="527"/>
      <c r="X26" s="528"/>
    </row>
    <row r="27" spans="2:24" s="465" customFormat="1">
      <c r="B27" s="531"/>
      <c r="C27" s="532"/>
      <c r="D27" s="533"/>
      <c r="E27" s="417"/>
      <c r="F27" s="529"/>
      <c r="G27" s="527"/>
      <c r="H27" s="528"/>
      <c r="I27" s="329"/>
      <c r="J27" s="466"/>
      <c r="K27" s="534"/>
      <c r="L27" s="535"/>
      <c r="M27" s="316"/>
      <c r="N27" s="466"/>
      <c r="O27" s="534"/>
      <c r="P27" s="535"/>
      <c r="Q27" s="316"/>
      <c r="R27" s="316"/>
      <c r="S27" s="536"/>
      <c r="T27" s="316"/>
      <c r="V27" s="316"/>
      <c r="W27" s="536"/>
      <c r="X27" s="401"/>
    </row>
    <row r="28" spans="2:24">
      <c r="B28" s="388" t="s">
        <v>680</v>
      </c>
      <c r="C28" s="537">
        <f>SUMPRODUCT(C15:C22,D15:D22)</f>
        <v>43034697.109914817</v>
      </c>
      <c r="D28" s="389"/>
      <c r="E28" s="386"/>
      <c r="F28" s="423" t="s">
        <v>680</v>
      </c>
      <c r="G28" s="491">
        <f>SUMPRODUCT(G15:G22,H15:H22)</f>
        <v>40445111.061890967</v>
      </c>
      <c r="H28" s="424"/>
      <c r="I28" s="386"/>
      <c r="J28" s="388" t="s">
        <v>680</v>
      </c>
      <c r="K28" s="491">
        <f>SUMPRODUCT(K15:K21,L15:L21)</f>
        <v>40890451.943333328</v>
      </c>
      <c r="L28" s="389"/>
      <c r="M28" s="386"/>
      <c r="N28" s="388" t="s">
        <v>680</v>
      </c>
      <c r="O28" s="491">
        <f>SUMPRODUCT(O15:O21,P15:P21)</f>
        <v>46442220.699166656</v>
      </c>
      <c r="P28" s="389"/>
      <c r="Q28" s="386"/>
      <c r="R28" s="383" t="s">
        <v>680</v>
      </c>
      <c r="S28" s="491">
        <f>SUMPRODUCT(S15:S21,T15:T21)</f>
        <v>0</v>
      </c>
      <c r="T28" s="422"/>
      <c r="V28" s="383" t="s">
        <v>680</v>
      </c>
      <c r="W28" s="491">
        <f>SUMPRODUCT(W15:W21,X15:X21)</f>
        <v>49752997.212804988</v>
      </c>
      <c r="X28" s="424"/>
    </row>
    <row r="29" spans="2:24">
      <c r="B29" s="390"/>
      <c r="C29" s="455"/>
      <c r="D29" s="391"/>
      <c r="E29" s="386"/>
      <c r="F29" s="390"/>
      <c r="G29" s="455"/>
      <c r="H29" s="391"/>
      <c r="I29" s="386"/>
      <c r="J29" s="390"/>
      <c r="K29" s="455"/>
      <c r="L29" s="391"/>
      <c r="M29" s="386"/>
      <c r="N29" s="390"/>
      <c r="O29" s="455"/>
      <c r="P29" s="391"/>
      <c r="Q29" s="386"/>
      <c r="R29" s="390"/>
      <c r="S29" s="455"/>
      <c r="T29" s="386"/>
      <c r="V29" s="390"/>
      <c r="W29" s="455"/>
      <c r="X29" s="391"/>
    </row>
    <row r="30" spans="2:24">
      <c r="B30" s="392" t="s">
        <v>681</v>
      </c>
      <c r="C30" s="393" t="s">
        <v>682</v>
      </c>
      <c r="D30" s="397" t="s">
        <v>683</v>
      </c>
      <c r="E30" s="395"/>
      <c r="F30" s="394" t="s">
        <v>681</v>
      </c>
      <c r="G30" s="396" t="s">
        <v>682</v>
      </c>
      <c r="H30" s="397" t="s">
        <v>683</v>
      </c>
      <c r="I30" s="395"/>
      <c r="J30" s="392" t="s">
        <v>681</v>
      </c>
      <c r="K30" s="393" t="s">
        <v>682</v>
      </c>
      <c r="L30" s="397" t="s">
        <v>683</v>
      </c>
      <c r="M30" s="395"/>
      <c r="N30" s="392" t="s">
        <v>681</v>
      </c>
      <c r="O30" s="393" t="s">
        <v>682</v>
      </c>
      <c r="P30" s="397" t="s">
        <v>683</v>
      </c>
      <c r="Q30" s="395"/>
      <c r="R30" s="392" t="s">
        <v>681</v>
      </c>
      <c r="S30" s="393" t="s">
        <v>682</v>
      </c>
      <c r="T30" s="394" t="s">
        <v>683</v>
      </c>
      <c r="V30" s="392" t="s">
        <v>681</v>
      </c>
      <c r="W30" s="393" t="s">
        <v>682</v>
      </c>
      <c r="X30" s="397" t="s">
        <v>683</v>
      </c>
    </row>
    <row r="31" spans="2:24">
      <c r="B31" s="398" t="s">
        <v>721</v>
      </c>
      <c r="C31" s="538">
        <v>5.85</v>
      </c>
      <c r="D31" s="1041">
        <v>139095</v>
      </c>
      <c r="E31" s="401"/>
      <c r="F31" s="402" t="s">
        <v>684</v>
      </c>
      <c r="G31" s="403">
        <v>5.28</v>
      </c>
      <c r="H31" s="539">
        <v>178593.426136364</v>
      </c>
      <c r="I31" s="401"/>
      <c r="J31" s="398" t="s">
        <v>684</v>
      </c>
      <c r="K31" s="399">
        <v>5.2</v>
      </c>
      <c r="L31" s="400">
        <v>203362.21923076923</v>
      </c>
      <c r="M31" s="405"/>
      <c r="N31" s="398" t="s">
        <v>684</v>
      </c>
      <c r="O31" s="399">
        <v>5.9</v>
      </c>
      <c r="P31" s="400">
        <v>239187.68690292738</v>
      </c>
      <c r="Q31" s="405"/>
      <c r="R31" s="398" t="s">
        <v>684</v>
      </c>
      <c r="S31" s="399">
        <v>6.7</v>
      </c>
      <c r="T31" s="406"/>
      <c r="V31" s="398" t="s">
        <v>684</v>
      </c>
      <c r="W31" s="399">
        <v>6.7</v>
      </c>
      <c r="X31" s="400">
        <f>(H31+L31+P31)/3</f>
        <v>207047.77742335352</v>
      </c>
    </row>
    <row r="32" spans="2:24">
      <c r="B32" s="407"/>
      <c r="C32" s="408"/>
      <c r="D32" s="413"/>
      <c r="E32" s="405"/>
      <c r="F32" s="410"/>
      <c r="G32" s="411"/>
      <c r="H32" s="413"/>
      <c r="I32" s="405"/>
      <c r="J32" s="407"/>
      <c r="K32" s="408"/>
      <c r="L32" s="413"/>
      <c r="M32" s="405"/>
      <c r="N32" s="407"/>
      <c r="O32" s="408"/>
      <c r="P32" s="413"/>
      <c r="Q32" s="405"/>
      <c r="R32" s="407"/>
      <c r="S32" s="408"/>
      <c r="T32" s="412"/>
      <c r="V32" s="407"/>
      <c r="W32" s="408"/>
      <c r="X32" s="413"/>
    </row>
    <row r="33" spans="2:24">
      <c r="B33" s="414"/>
      <c r="C33" s="415"/>
      <c r="D33" s="420"/>
      <c r="E33" s="417"/>
      <c r="F33" s="418"/>
      <c r="G33" s="419"/>
      <c r="H33" s="420"/>
      <c r="I33" s="417"/>
      <c r="J33" s="414"/>
      <c r="K33" s="415"/>
      <c r="L33" s="420"/>
      <c r="M33" s="417"/>
      <c r="N33" s="414"/>
      <c r="O33" s="415"/>
      <c r="P33" s="420"/>
      <c r="Q33" s="417"/>
      <c r="R33" s="414"/>
      <c r="S33" s="415"/>
      <c r="T33" s="416"/>
      <c r="V33" s="414"/>
      <c r="W33" s="415"/>
      <c r="X33" s="420"/>
    </row>
    <row r="34" spans="2:24" s="359" customFormat="1" ht="11.25">
      <c r="B34" s="383" t="s">
        <v>680</v>
      </c>
      <c r="C34" s="421">
        <f>SUMPRODUCT(C31:C32,D31:D32)</f>
        <v>813705.75</v>
      </c>
      <c r="D34" s="424"/>
      <c r="E34" s="386"/>
      <c r="F34" s="423" t="s">
        <v>680</v>
      </c>
      <c r="G34" s="421">
        <f>SUMPRODUCT(G31:G32,H31:H32)</f>
        <v>942973.2900000019</v>
      </c>
      <c r="H34" s="424"/>
      <c r="I34" s="386"/>
      <c r="J34" s="383" t="s">
        <v>680</v>
      </c>
      <c r="K34" s="421">
        <f>SUMPRODUCT(K31:K32,L31:L32)</f>
        <v>1057483.54</v>
      </c>
      <c r="L34" s="424"/>
      <c r="M34" s="386"/>
      <c r="N34" s="383" t="s">
        <v>680</v>
      </c>
      <c r="O34" s="421">
        <f>SUMPRODUCT(O31:O32,P31:P32)</f>
        <v>1411207.3527272716</v>
      </c>
      <c r="P34" s="424"/>
      <c r="Q34" s="386"/>
      <c r="R34" s="383" t="s">
        <v>680</v>
      </c>
      <c r="S34" s="421">
        <f>SUMPRODUCT(S31:S32,T31:T32)</f>
        <v>0</v>
      </c>
      <c r="T34" s="422"/>
      <c r="V34" s="383" t="s">
        <v>680</v>
      </c>
      <c r="W34" s="421">
        <f>SUMPRODUCT(W31:W32,X31:X32)</f>
        <v>1387220.1087364687</v>
      </c>
      <c r="X34" s="424"/>
    </row>
    <row r="35" spans="2:24">
      <c r="B35" s="359"/>
      <c r="C35" s="425"/>
      <c r="D35" s="426"/>
      <c r="E35" s="316"/>
      <c r="F35" s="359"/>
      <c r="G35" s="425"/>
      <c r="H35" s="426"/>
      <c r="I35" s="316"/>
      <c r="J35" s="359"/>
      <c r="K35" s="425"/>
      <c r="L35" s="426"/>
      <c r="M35" s="316"/>
      <c r="N35" s="359"/>
      <c r="O35" s="425"/>
      <c r="P35" s="426"/>
      <c r="Q35" s="316"/>
      <c r="R35" s="359"/>
      <c r="S35" s="425"/>
      <c r="T35" s="359"/>
      <c r="V35" s="359"/>
      <c r="W35" s="425"/>
      <c r="X35" s="426"/>
    </row>
    <row r="36" spans="2:24">
      <c r="B36" s="359"/>
      <c r="C36" s="425"/>
      <c r="D36" s="426"/>
      <c r="E36" s="316"/>
      <c r="F36" s="359"/>
      <c r="G36" s="425"/>
      <c r="H36" s="426"/>
      <c r="I36" s="316"/>
      <c r="J36" s="359"/>
      <c r="K36" s="425"/>
      <c r="L36" s="426"/>
      <c r="M36" s="316"/>
      <c r="N36" s="359"/>
      <c r="O36" s="425"/>
      <c r="P36" s="426"/>
      <c r="Q36" s="316"/>
      <c r="R36" s="316"/>
      <c r="S36" s="536"/>
      <c r="T36" s="316"/>
      <c r="V36" s="359"/>
      <c r="W36" s="425"/>
      <c r="X36" s="426"/>
    </row>
    <row r="37" spans="2:24">
      <c r="B37" s="427"/>
      <c r="C37" s="428"/>
      <c r="D37" s="540"/>
      <c r="E37" s="430"/>
      <c r="F37" s="429"/>
      <c r="G37" s="425"/>
      <c r="H37" s="426"/>
      <c r="I37" s="316"/>
      <c r="J37" s="359"/>
      <c r="K37" s="425"/>
      <c r="L37" s="426"/>
      <c r="M37" s="316"/>
      <c r="N37" s="359"/>
      <c r="O37" s="425"/>
      <c r="P37" s="426"/>
      <c r="Q37" s="316"/>
      <c r="R37" s="316"/>
      <c r="S37" s="536"/>
      <c r="T37" s="316"/>
      <c r="V37" s="359"/>
      <c r="W37" s="425"/>
      <c r="X37" s="426"/>
    </row>
    <row r="38" spans="2:24">
      <c r="B38" s="431" t="s">
        <v>686</v>
      </c>
      <c r="C38" s="432"/>
      <c r="D38" s="541"/>
      <c r="E38" s="434"/>
      <c r="F38" s="435" t="s">
        <v>686</v>
      </c>
      <c r="G38" s="432"/>
      <c r="H38" s="541"/>
      <c r="I38" s="434"/>
      <c r="J38" s="431" t="s">
        <v>686</v>
      </c>
      <c r="K38" s="432"/>
      <c r="L38" s="437"/>
      <c r="M38" s="434"/>
      <c r="N38" s="431" t="s">
        <v>686</v>
      </c>
      <c r="O38" s="432"/>
      <c r="P38" s="437"/>
      <c r="Q38" s="434"/>
      <c r="R38" s="542"/>
      <c r="S38" s="500"/>
      <c r="T38" s="434"/>
      <c r="V38" s="431" t="s">
        <v>686</v>
      </c>
      <c r="W38" s="432"/>
      <c r="X38" s="437"/>
    </row>
    <row r="39" spans="2:24" s="359" customFormat="1" ht="11.25">
      <c r="B39" s="441" t="s">
        <v>1403</v>
      </c>
      <c r="C39" s="249">
        <f>SUMPRODUCT(C15,D15)/SUM(D15)</f>
        <v>6.84</v>
      </c>
      <c r="D39" s="250">
        <f>SUM(D15)</f>
        <v>569974.51022146514</v>
      </c>
      <c r="E39" s="440"/>
      <c r="F39" s="441" t="s">
        <v>1403</v>
      </c>
      <c r="G39" s="249">
        <f>SUMPRODUCT(G15,H15)/SUM(H15)</f>
        <v>6.24</v>
      </c>
      <c r="H39" s="250">
        <f>SUM(H15)</f>
        <v>579156.588444066</v>
      </c>
      <c r="I39" s="440"/>
      <c r="J39" s="441" t="s">
        <v>1403</v>
      </c>
      <c r="K39" s="249">
        <f>SUMPRODUCT(K15,L15)/SUM(L15)</f>
        <v>6.8</v>
      </c>
      <c r="L39" s="250">
        <f>SUM(L15)</f>
        <v>588338.66666666698</v>
      </c>
      <c r="M39" s="440"/>
      <c r="N39" s="441" t="s">
        <v>1403</v>
      </c>
      <c r="O39" s="249">
        <f>SUMPRODUCT(O15,P15)/SUM(P15)</f>
        <v>7.5000000000000009</v>
      </c>
      <c r="P39" s="250">
        <f>SUM(P15)</f>
        <v>588773.54166666663</v>
      </c>
      <c r="Q39" s="440"/>
      <c r="R39" s="271"/>
      <c r="S39" s="280"/>
      <c r="T39" s="440"/>
      <c r="V39" s="441" t="s">
        <v>1403</v>
      </c>
      <c r="W39" s="249">
        <f>SUMPRODUCT(W15,X15)/SUM(X15)</f>
        <v>8.5400000000000009</v>
      </c>
      <c r="X39" s="250">
        <f>SUM(X15)</f>
        <v>585422.9322591332</v>
      </c>
    </row>
    <row r="40" spans="2:24" s="359" customFormat="1" ht="11.25">
      <c r="B40" s="441" t="s">
        <v>1405</v>
      </c>
      <c r="C40" s="252">
        <f>SUMPRODUCT(C16,D16)/SUM(D16)</f>
        <v>17.760000000000002</v>
      </c>
      <c r="D40" s="253">
        <f>SUM(D16)</f>
        <v>1855895.1818693695</v>
      </c>
      <c r="E40" s="443"/>
      <c r="F40" s="441" t="s">
        <v>1405</v>
      </c>
      <c r="G40" s="252">
        <f>SUMPRODUCT(G16,H16)/SUM(H16)</f>
        <v>16.559999999999999</v>
      </c>
      <c r="H40" s="253">
        <f>SUM(H16)</f>
        <v>1879442.75</v>
      </c>
      <c r="I40" s="443"/>
      <c r="J40" s="441" t="s">
        <v>1405</v>
      </c>
      <c r="K40" s="252">
        <f>SUMPRODUCT(K16,L16)/SUM(L16)</f>
        <v>16.3</v>
      </c>
      <c r="L40" s="253">
        <f>SUM(L16)</f>
        <v>1899622.3699386499</v>
      </c>
      <c r="M40" s="443"/>
      <c r="N40" s="441" t="s">
        <v>1405</v>
      </c>
      <c r="O40" s="252">
        <f>SUMPRODUCT(O16,P16)/SUM(P16)</f>
        <v>18.5</v>
      </c>
      <c r="P40" s="253">
        <f>SUM(P16)</f>
        <v>1905963.1156265354</v>
      </c>
      <c r="Q40" s="443"/>
      <c r="R40" s="271"/>
      <c r="S40" s="280"/>
      <c r="T40" s="443"/>
      <c r="V40" s="441" t="s">
        <v>1405</v>
      </c>
      <c r="W40" s="252">
        <f>SUMPRODUCT(W16,X16)/SUM(X16)</f>
        <v>19.630000000000003</v>
      </c>
      <c r="X40" s="253">
        <f>SUM(X16)</f>
        <v>1895009.4118550618</v>
      </c>
    </row>
    <row r="41" spans="2:24" s="359" customFormat="1" ht="11.25">
      <c r="B41" s="441" t="s">
        <v>1407</v>
      </c>
      <c r="C41" s="254">
        <f>SUMPRODUCT(C17:C18,D17:D18)/SUM(D17:D18)</f>
        <v>36.24</v>
      </c>
      <c r="D41" s="255">
        <f>SUM(D17:D18)</f>
        <v>80422.636313465773</v>
      </c>
      <c r="E41" s="443"/>
      <c r="F41" s="441" t="s">
        <v>1407</v>
      </c>
      <c r="G41" s="254">
        <f>SUMPRODUCT(G17:G18,H17:H18)/SUM(H17:H18)</f>
        <v>32.88000000000001</v>
      </c>
      <c r="H41" s="255">
        <f>SUM(H17:H18)</f>
        <v>81709.36405109489</v>
      </c>
      <c r="I41" s="443"/>
      <c r="J41" s="441" t="s">
        <v>1407</v>
      </c>
      <c r="K41" s="254">
        <f>SUMPRODUCT(K17,L17)/SUM(L17)</f>
        <v>32.4</v>
      </c>
      <c r="L41" s="255">
        <f>SUM(L17)</f>
        <v>82791.946913580265</v>
      </c>
      <c r="M41" s="443"/>
      <c r="N41" s="441" t="s">
        <v>1407</v>
      </c>
      <c r="O41" s="254">
        <f>SUMPRODUCT(O17,P17)/SUM(P17)</f>
        <v>36.799999999999997</v>
      </c>
      <c r="P41" s="255">
        <f>SUM(P17)</f>
        <v>82853.583333333328</v>
      </c>
      <c r="Q41" s="443"/>
      <c r="R41" s="271"/>
      <c r="S41" s="280"/>
      <c r="T41" s="443"/>
      <c r="V41" s="441" t="s">
        <v>1407</v>
      </c>
      <c r="W41" s="254">
        <f>SUMPRODUCT(W17,X17)/SUM(X17)</f>
        <v>39.050000000000004</v>
      </c>
      <c r="X41" s="255">
        <f>SUM(X17)</f>
        <v>82451.631432669485</v>
      </c>
    </row>
    <row r="42" spans="2:24" s="359" customFormat="1" ht="11.25">
      <c r="B42" s="616" t="s">
        <v>1409</v>
      </c>
      <c r="C42" s="256">
        <f>SUMPRODUCT(C19,D19)/SUM(D19)</f>
        <v>51.6</v>
      </c>
      <c r="D42" s="257">
        <f>SUM(D19)</f>
        <v>9659.6666666666661</v>
      </c>
      <c r="E42" s="443"/>
      <c r="F42" s="616" t="s">
        <v>1409</v>
      </c>
      <c r="G42" s="256">
        <f>SUMPRODUCT(G19,H19)/SUM(H19)</f>
        <v>46.8</v>
      </c>
      <c r="H42" s="257">
        <f>SUM(H19)</f>
        <v>9731.6666666666697</v>
      </c>
      <c r="I42" s="443"/>
      <c r="J42" s="616" t="s">
        <v>1409</v>
      </c>
      <c r="K42" s="256">
        <f>SUMPRODUCT(K18,L18)/SUM(L18)</f>
        <v>53.79999999999999</v>
      </c>
      <c r="L42" s="257">
        <f>SUM(L18)</f>
        <v>10036</v>
      </c>
      <c r="M42" s="443"/>
      <c r="N42" s="616" t="s">
        <v>1409</v>
      </c>
      <c r="O42" s="256">
        <f>SUMPRODUCT(O18,P18)/SUM(P18)</f>
        <v>63.2</v>
      </c>
      <c r="P42" s="257">
        <f>SUM(P18)</f>
        <v>10321.181818181818</v>
      </c>
      <c r="Q42" s="443"/>
      <c r="R42" s="271"/>
      <c r="S42" s="280"/>
      <c r="T42" s="443"/>
      <c r="V42" s="616" t="s">
        <v>1409</v>
      </c>
      <c r="W42" s="256">
        <f>SUMPRODUCT(W18,X18)/SUM(X18)</f>
        <v>72</v>
      </c>
      <c r="X42" s="257">
        <f>SUM(X18)</f>
        <v>10029.616161616163</v>
      </c>
    </row>
    <row r="43" spans="2:24" s="359" customFormat="1" ht="11.25">
      <c r="B43" s="1113" t="s">
        <v>1411</v>
      </c>
      <c r="C43" s="258">
        <f>SUMPRODUCT(C20,D20)/SUM(D20)</f>
        <v>463.92</v>
      </c>
      <c r="D43" s="259">
        <f>SUM(D20)</f>
        <v>3828.75</v>
      </c>
      <c r="E43" s="440"/>
      <c r="F43" s="1113" t="s">
        <v>1411</v>
      </c>
      <c r="G43" s="258">
        <f>SUMPRODUCT(G20,H20)/SUM(H20)</f>
        <v>423.96</v>
      </c>
      <c r="H43" s="259">
        <f>SUM(H20)</f>
        <v>3675.8333333333298</v>
      </c>
      <c r="I43" s="440"/>
      <c r="J43" s="1113" t="s">
        <v>1411</v>
      </c>
      <c r="K43" s="258">
        <f>SUMPRODUCT(K19,L19)/SUM(L19)</f>
        <v>487.4</v>
      </c>
      <c r="L43" s="259">
        <f>SUM(L19)</f>
        <v>3762</v>
      </c>
      <c r="M43" s="440"/>
      <c r="N43" s="1113" t="s">
        <v>1411</v>
      </c>
      <c r="O43" s="258">
        <f>SUMPRODUCT(O19,P19)/SUM(P19)</f>
        <v>565.95000000000005</v>
      </c>
      <c r="P43" s="259">
        <f>SUM(P19)</f>
        <v>3750</v>
      </c>
      <c r="Q43" s="440"/>
      <c r="R43" s="271"/>
      <c r="S43" s="280"/>
      <c r="T43" s="440"/>
      <c r="V43" s="1113" t="s">
        <v>1411</v>
      </c>
      <c r="W43" s="258">
        <f>SUMPRODUCT(W19,X19)/SUM(X19)</f>
        <v>644.5</v>
      </c>
      <c r="X43" s="259">
        <f>SUM(X19)</f>
        <v>3729.2777777777769</v>
      </c>
    </row>
    <row r="44" spans="2:24" s="359" customFormat="1" ht="11.25">
      <c r="B44" s="1125" t="s">
        <v>1415</v>
      </c>
      <c r="C44" s="261">
        <f>SUMPRODUCT(C21:C22,D21:D22)/SUM(D21:D22)</f>
        <v>5235.669585798817</v>
      </c>
      <c r="D44" s="262">
        <f>SUM(D21:D22)</f>
        <v>188.35875217850207</v>
      </c>
      <c r="E44" s="440"/>
      <c r="F44" s="1125" t="s">
        <v>1415</v>
      </c>
      <c r="G44" s="261">
        <f>SUMPRODUCT(G21:G22,H21:H22)/SUM(H21:H22)</f>
        <v>4906.9464406779671</v>
      </c>
      <c r="H44" s="262">
        <f>SUM(H21:H22)</f>
        <v>205.2498090565764</v>
      </c>
      <c r="I44" s="440"/>
      <c r="J44" s="1125" t="s">
        <v>1415</v>
      </c>
      <c r="K44" s="261">
        <f>SUMPRODUCT(K20:K21,L20:L21)/SUM(L20:L21)</f>
        <v>5272.18</v>
      </c>
      <c r="L44" s="262">
        <f>SUM(L20:L21)</f>
        <v>165</v>
      </c>
      <c r="M44" s="440"/>
      <c r="N44" s="1125" t="s">
        <v>1415</v>
      </c>
      <c r="O44" s="261">
        <f>SUMPRODUCT(O20:O21,P20:P21)/SUM(P20:P21)</f>
        <v>6041.5284615384608</v>
      </c>
      <c r="P44" s="262">
        <f>SUM(P20:P21)</f>
        <v>156</v>
      </c>
      <c r="Q44" s="440"/>
      <c r="R44" s="271"/>
      <c r="S44" s="280"/>
      <c r="T44" s="440"/>
      <c r="V44" s="1125" t="s">
        <v>1415</v>
      </c>
      <c r="W44" s="261">
        <f>SUMPRODUCT(W20:W21,X20:X21)/SUM(X20:X21)</f>
        <v>6892.520416709126</v>
      </c>
      <c r="X44" s="262">
        <f>SUM(X20:X21)</f>
        <v>175.41660301885881</v>
      </c>
    </row>
    <row r="45" spans="2:24">
      <c r="B45" s="450" t="s">
        <v>680</v>
      </c>
      <c r="C45" s="451">
        <f>SUMPRODUCT(C39:C44,D39:D44)</f>
        <v>43034697.109914824</v>
      </c>
      <c r="D45" s="454"/>
      <c r="E45" s="443"/>
      <c r="F45" s="453" t="s">
        <v>680</v>
      </c>
      <c r="G45" s="451">
        <f>SUMPRODUCT(G39:G44,H39:H44)</f>
        <v>40445111.061890967</v>
      </c>
      <c r="H45" s="454"/>
      <c r="I45" s="443"/>
      <c r="J45" s="450" t="s">
        <v>680</v>
      </c>
      <c r="K45" s="451">
        <f>SUMPRODUCT(K39:K44,L39:L44)</f>
        <v>40890451.943333328</v>
      </c>
      <c r="L45" s="454"/>
      <c r="M45" s="443"/>
      <c r="N45" s="450" t="s">
        <v>680</v>
      </c>
      <c r="O45" s="451">
        <f>SUMPRODUCT(O39:O44,P39:P44)</f>
        <v>46442220.699166656</v>
      </c>
      <c r="P45" s="454"/>
      <c r="Q45" s="443"/>
      <c r="R45" s="543"/>
      <c r="S45" s="443"/>
      <c r="T45" s="443"/>
      <c r="V45" s="450" t="s">
        <v>680</v>
      </c>
      <c r="W45" s="451">
        <f>SUMPRODUCT(W39:W44,X39:X44)</f>
        <v>49752997.212804995</v>
      </c>
      <c r="X45" s="454"/>
    </row>
    <row r="46" spans="2:24">
      <c r="B46" s="390"/>
      <c r="C46" s="455"/>
      <c r="D46" s="391"/>
      <c r="E46" s="386"/>
      <c r="F46" s="390"/>
      <c r="G46" s="455"/>
      <c r="H46" s="391"/>
      <c r="I46" s="386"/>
      <c r="J46" s="390"/>
      <c r="K46" s="455"/>
      <c r="L46" s="391"/>
      <c r="M46" s="386"/>
      <c r="N46" s="390"/>
      <c r="O46" s="455"/>
      <c r="P46" s="391"/>
      <c r="Q46" s="386"/>
      <c r="R46" s="390"/>
      <c r="S46" s="500"/>
      <c r="T46" s="386"/>
      <c r="V46" s="390"/>
      <c r="W46" s="455"/>
      <c r="X46" s="391"/>
    </row>
    <row r="47" spans="2:24">
      <c r="B47" s="392" t="s">
        <v>681</v>
      </c>
      <c r="C47" s="456"/>
      <c r="D47" s="397"/>
      <c r="E47" s="395"/>
      <c r="F47" s="392" t="s">
        <v>681</v>
      </c>
      <c r="G47" s="456"/>
      <c r="H47" s="397"/>
      <c r="I47" s="395"/>
      <c r="J47" s="392" t="s">
        <v>681</v>
      </c>
      <c r="K47" s="456"/>
      <c r="L47" s="397"/>
      <c r="M47" s="395"/>
      <c r="N47" s="392" t="s">
        <v>681</v>
      </c>
      <c r="O47" s="456"/>
      <c r="P47" s="397"/>
      <c r="Q47" s="395"/>
      <c r="R47" s="395"/>
      <c r="S47" s="544"/>
      <c r="T47" s="395"/>
      <c r="V47" s="392" t="s">
        <v>681</v>
      </c>
      <c r="W47" s="456"/>
      <c r="X47" s="397"/>
    </row>
    <row r="48" spans="2:24">
      <c r="B48" s="398"/>
      <c r="C48" s="399">
        <f>SUMPRODUCT(C31:C32,D31:D32)/SUM(D31:D32)</f>
        <v>5.85</v>
      </c>
      <c r="D48" s="400">
        <f>SUM(D31:D32)</f>
        <v>139095</v>
      </c>
      <c r="E48" s="405"/>
      <c r="F48" s="398"/>
      <c r="G48" s="399">
        <f>SUMPRODUCT(G31:G32,H31:H32)/SUM(H31:H32)</f>
        <v>5.28</v>
      </c>
      <c r="H48" s="400">
        <f>SUM(H31:H32)</f>
        <v>178593.426136364</v>
      </c>
      <c r="I48" s="405"/>
      <c r="J48" s="398"/>
      <c r="K48" s="399">
        <f>SUMPRODUCT(K31:K32,L31:L32)/SUM(L31:L32)</f>
        <v>5.2</v>
      </c>
      <c r="L48" s="400">
        <f>SUM(L31:L32)</f>
        <v>203362.21923076923</v>
      </c>
      <c r="M48" s="405"/>
      <c r="N48" s="398"/>
      <c r="O48" s="399">
        <f>SUMPRODUCT(O31:O32,P31:P32)/SUM(P31:P32)</f>
        <v>5.9</v>
      </c>
      <c r="P48" s="400">
        <f>SUM(P31:P32)</f>
        <v>239187.68690292738</v>
      </c>
      <c r="Q48" s="405"/>
      <c r="R48" s="529"/>
      <c r="S48" s="536"/>
      <c r="T48" s="405"/>
      <c r="V48" s="398"/>
      <c r="W48" s="399">
        <f>SUMPRODUCT(W31:W32,X31:X32)/SUM(X31:X32)</f>
        <v>6.7000000000000011</v>
      </c>
      <c r="X48" s="400">
        <f>SUM(X31:X32)</f>
        <v>207047.77742335352</v>
      </c>
    </row>
    <row r="49" spans="2:29">
      <c r="B49" s="414"/>
      <c r="C49" s="415"/>
      <c r="D49" s="420"/>
      <c r="E49" s="417"/>
      <c r="F49" s="414"/>
      <c r="G49" s="415"/>
      <c r="H49" s="420"/>
      <c r="I49" s="417"/>
      <c r="J49" s="414"/>
      <c r="K49" s="415"/>
      <c r="L49" s="420"/>
      <c r="M49" s="417"/>
      <c r="N49" s="414"/>
      <c r="O49" s="415"/>
      <c r="P49" s="420"/>
      <c r="Q49" s="417"/>
      <c r="R49" s="529"/>
      <c r="S49" s="545"/>
      <c r="T49" s="417"/>
      <c r="V49" s="414"/>
      <c r="W49" s="415"/>
      <c r="X49" s="420"/>
    </row>
    <row r="50" spans="2:29">
      <c r="B50" s="383" t="s">
        <v>680</v>
      </c>
      <c r="C50" s="432"/>
      <c r="D50" s="424"/>
      <c r="E50" s="386"/>
      <c r="F50" s="383" t="s">
        <v>680</v>
      </c>
      <c r="G50" s="432"/>
      <c r="H50" s="424"/>
      <c r="I50" s="386"/>
      <c r="J50" s="383" t="s">
        <v>680</v>
      </c>
      <c r="K50" s="432"/>
      <c r="L50" s="424"/>
      <c r="M50" s="386"/>
      <c r="N50" s="383" t="s">
        <v>680</v>
      </c>
      <c r="O50" s="432"/>
      <c r="P50" s="424"/>
      <c r="Q50" s="386"/>
      <c r="R50" s="390"/>
      <c r="S50" s="500"/>
      <c r="T50" s="386"/>
      <c r="V50" s="383" t="s">
        <v>680</v>
      </c>
      <c r="W50" s="432"/>
      <c r="X50" s="424"/>
    </row>
    <row r="51" spans="2:29">
      <c r="B51" s="390"/>
      <c r="C51" s="458"/>
      <c r="D51" s="386"/>
      <c r="E51" s="386"/>
      <c r="F51" s="390"/>
      <c r="G51" s="458"/>
      <c r="H51" s="386"/>
      <c r="I51" s="386"/>
      <c r="J51" s="390"/>
      <c r="K51" s="458"/>
      <c r="L51" s="391"/>
      <c r="M51" s="386"/>
      <c r="N51" s="390"/>
      <c r="O51" s="458"/>
      <c r="P51" s="386"/>
      <c r="Q51" s="386"/>
      <c r="R51" s="390"/>
      <c r="S51" s="430"/>
      <c r="T51" s="386"/>
      <c r="X51" s="118"/>
    </row>
    <row r="52" spans="2:29">
      <c r="B52" s="390"/>
      <c r="C52" s="458"/>
      <c r="D52" s="386"/>
      <c r="E52" s="386"/>
      <c r="F52" s="390"/>
      <c r="G52" s="458"/>
      <c r="H52" s="386"/>
      <c r="I52" s="386"/>
      <c r="J52" s="390"/>
      <c r="K52" s="458"/>
      <c r="L52" s="386"/>
      <c r="M52" s="386"/>
      <c r="N52" s="390"/>
      <c r="O52" s="458"/>
      <c r="P52" s="386"/>
      <c r="Q52" s="386"/>
      <c r="R52" s="390"/>
      <c r="S52" s="430"/>
      <c r="T52" s="386"/>
    </row>
    <row r="53" spans="2:29">
      <c r="B53" s="390"/>
      <c r="C53" s="458"/>
      <c r="D53" s="386"/>
      <c r="E53" s="386"/>
      <c r="F53" s="390"/>
      <c r="G53" s="458"/>
      <c r="H53" s="386"/>
      <c r="I53" s="386"/>
      <c r="J53" s="390"/>
      <c r="K53" s="458"/>
      <c r="L53" s="386"/>
      <c r="M53" s="386"/>
      <c r="N53" s="390"/>
      <c r="O53" s="458"/>
      <c r="P53" s="386"/>
      <c r="Q53" s="386"/>
      <c r="R53" s="390"/>
      <c r="S53" s="458"/>
      <c r="T53" s="386"/>
    </row>
    <row r="54" spans="2:29" ht="15.75">
      <c r="B54" s="240" t="str">
        <f>B1</f>
        <v>NE6R Stedin</v>
      </c>
      <c r="C54" s="240" t="s">
        <v>722</v>
      </c>
      <c r="D54" s="546"/>
      <c r="E54" s="293"/>
      <c r="F54" s="293"/>
      <c r="G54" s="291"/>
      <c r="H54" s="292"/>
      <c r="I54" s="293"/>
      <c r="J54" s="293"/>
      <c r="K54" s="291"/>
      <c r="L54" s="292"/>
      <c r="M54" s="293"/>
      <c r="N54" s="293"/>
      <c r="O54" s="293"/>
      <c r="P54" s="293"/>
      <c r="Q54" s="293"/>
      <c r="R54" s="293"/>
      <c r="S54" s="293"/>
      <c r="T54" s="293"/>
      <c r="V54" s="294" t="s">
        <v>651</v>
      </c>
      <c r="W54" s="295"/>
      <c r="X54" s="295"/>
    </row>
    <row r="55" spans="2:29">
      <c r="B55" s="390"/>
      <c r="C55" s="458"/>
      <c r="D55" s="386"/>
      <c r="E55" s="386"/>
      <c r="F55" s="390"/>
      <c r="G55" s="458"/>
      <c r="H55" s="386"/>
      <c r="I55" s="386"/>
      <c r="J55" s="390"/>
      <c r="K55" s="458"/>
      <c r="L55" s="386"/>
      <c r="M55" s="386"/>
      <c r="N55" s="390"/>
      <c r="O55" s="458"/>
      <c r="P55" s="386"/>
      <c r="Q55" s="386"/>
      <c r="R55" s="390"/>
      <c r="S55" s="458"/>
      <c r="T55" s="386"/>
    </row>
    <row r="56" spans="2:29">
      <c r="B56" s="296" t="s">
        <v>251</v>
      </c>
      <c r="C56" s="297" t="s">
        <v>652</v>
      </c>
      <c r="D56" s="297"/>
      <c r="E56" s="298"/>
      <c r="F56" s="297"/>
      <c r="G56" s="298"/>
      <c r="H56" s="386"/>
      <c r="I56" s="386"/>
      <c r="J56" s="390"/>
      <c r="K56" s="458"/>
      <c r="L56" s="386"/>
      <c r="M56" s="386"/>
      <c r="N56" s="390"/>
      <c r="O56" s="458"/>
      <c r="P56" s="386"/>
      <c r="Q56" s="386"/>
      <c r="R56" s="390"/>
      <c r="S56" s="458"/>
      <c r="T56" s="386"/>
    </row>
    <row r="57" spans="2:29">
      <c r="B57" s="299" t="s">
        <v>252</v>
      </c>
      <c r="C57" s="300" t="s">
        <v>652</v>
      </c>
      <c r="D57" s="300"/>
      <c r="E57" s="301"/>
      <c r="F57" s="300"/>
      <c r="G57" s="301"/>
      <c r="H57" s="386"/>
      <c r="I57" s="386"/>
      <c r="J57" s="390"/>
      <c r="K57" s="458"/>
      <c r="L57" s="386"/>
      <c r="M57" s="386"/>
      <c r="N57" s="390"/>
      <c r="O57" s="458"/>
      <c r="P57" s="386"/>
      <c r="Q57" s="386"/>
      <c r="R57" s="390"/>
      <c r="S57" s="458"/>
      <c r="T57" s="386"/>
    </row>
    <row r="58" spans="2:29">
      <c r="B58" s="302" t="s">
        <v>253</v>
      </c>
      <c r="C58" s="303" t="s">
        <v>653</v>
      </c>
      <c r="D58" s="303"/>
      <c r="E58" s="304"/>
      <c r="F58" s="303"/>
      <c r="G58" s="304"/>
      <c r="H58" s="386"/>
      <c r="I58" s="386"/>
      <c r="J58" s="390"/>
      <c r="K58" s="458"/>
      <c r="L58" s="386"/>
      <c r="M58" s="386"/>
      <c r="N58" s="390"/>
      <c r="O58" s="458"/>
      <c r="P58" s="386"/>
      <c r="Q58" s="386"/>
      <c r="R58" s="390"/>
      <c r="S58" s="458"/>
      <c r="T58" s="386"/>
    </row>
    <row r="59" spans="2:29">
      <c r="B59" s="305" t="s">
        <v>654</v>
      </c>
      <c r="C59" s="306" t="s">
        <v>653</v>
      </c>
      <c r="D59" s="306"/>
      <c r="E59" s="307"/>
      <c r="F59" s="306"/>
      <c r="G59" s="307"/>
      <c r="H59" s="386"/>
      <c r="I59" s="386"/>
      <c r="J59" s="390"/>
      <c r="K59" s="458"/>
      <c r="L59" s="386"/>
      <c r="M59" s="386"/>
      <c r="N59" s="390"/>
      <c r="O59" s="458"/>
      <c r="P59" s="386"/>
      <c r="Q59" s="386"/>
      <c r="R59" s="390"/>
      <c r="S59" s="458"/>
      <c r="T59" s="386"/>
    </row>
    <row r="60" spans="2:29">
      <c r="B60" s="460" t="s">
        <v>254</v>
      </c>
      <c r="C60" s="461" t="s">
        <v>688</v>
      </c>
      <c r="D60" s="461"/>
      <c r="E60" s="462"/>
      <c r="F60" s="461"/>
      <c r="G60" s="462"/>
      <c r="H60" s="386"/>
      <c r="I60" s="386"/>
      <c r="J60" s="390"/>
      <c r="K60" s="458"/>
      <c r="L60" s="386"/>
      <c r="M60" s="386"/>
      <c r="N60" s="390"/>
      <c r="O60" s="458"/>
      <c r="P60" s="386"/>
      <c r="Q60" s="386"/>
      <c r="R60" s="390"/>
      <c r="S60" s="458"/>
      <c r="T60" s="386"/>
    </row>
    <row r="61" spans="2:29">
      <c r="B61" s="390"/>
      <c r="C61" s="458"/>
      <c r="D61" s="386"/>
      <c r="E61" s="386"/>
      <c r="F61" s="390"/>
      <c r="G61" s="458"/>
      <c r="H61" s="386"/>
      <c r="I61" s="386"/>
      <c r="J61" s="390"/>
      <c r="K61" s="458"/>
      <c r="L61" s="386"/>
      <c r="M61" s="386"/>
      <c r="N61" s="390"/>
      <c r="O61" s="458"/>
      <c r="P61" s="386"/>
      <c r="Q61" s="386"/>
      <c r="R61" s="390"/>
      <c r="S61" s="458"/>
      <c r="T61" s="386"/>
    </row>
    <row r="62" spans="2:29">
      <c r="B62" s="359"/>
      <c r="C62" s="359"/>
      <c r="D62" s="359"/>
      <c r="E62" s="316"/>
      <c r="F62" s="359"/>
      <c r="G62" s="359"/>
      <c r="H62" s="359"/>
      <c r="I62" s="316"/>
      <c r="J62" s="359"/>
      <c r="K62" s="359"/>
      <c r="L62" s="359"/>
      <c r="M62" s="316"/>
      <c r="N62" s="359"/>
      <c r="O62" s="359"/>
      <c r="P62" s="359"/>
      <c r="Q62" s="316"/>
      <c r="R62" s="359"/>
      <c r="S62" s="359"/>
      <c r="T62" s="359"/>
    </row>
    <row r="63" spans="2:29">
      <c r="B63" s="359"/>
      <c r="C63" s="359"/>
      <c r="D63" s="359"/>
      <c r="E63" s="316"/>
      <c r="F63" s="359"/>
      <c r="G63" s="359"/>
      <c r="H63" s="359"/>
      <c r="I63" s="316"/>
      <c r="J63" s="359"/>
      <c r="K63" s="359"/>
      <c r="L63" s="359"/>
      <c r="M63" s="316"/>
      <c r="N63" s="359"/>
      <c r="O63" s="359"/>
      <c r="P63" s="359"/>
      <c r="Q63" s="316"/>
      <c r="R63" s="359"/>
      <c r="S63" s="359"/>
      <c r="T63" s="359"/>
    </row>
    <row r="64" spans="2:29" ht="15.75">
      <c r="B64" s="463" t="s">
        <v>723</v>
      </c>
      <c r="C64" s="464"/>
      <c r="D64" s="465"/>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row>
    <row r="65" spans="2:24">
      <c r="B65" s="317"/>
      <c r="C65" s="1190">
        <v>2009</v>
      </c>
      <c r="D65" s="1194"/>
      <c r="E65" s="321"/>
      <c r="F65" s="319"/>
      <c r="G65" s="1190">
        <v>2010</v>
      </c>
      <c r="H65" s="1194"/>
      <c r="I65" s="321"/>
      <c r="J65" s="320"/>
      <c r="K65" s="1190">
        <v>2011</v>
      </c>
      <c r="L65" s="1194"/>
      <c r="M65" s="321"/>
      <c r="N65" s="320"/>
      <c r="O65" s="1190">
        <v>2012</v>
      </c>
      <c r="P65" s="1194"/>
      <c r="Q65" s="321"/>
      <c r="R65" s="319"/>
      <c r="S65" s="1190">
        <v>2013</v>
      </c>
      <c r="T65" s="1194"/>
      <c r="V65" s="319" t="s">
        <v>656</v>
      </c>
      <c r="W65" s="1190" t="s">
        <v>657</v>
      </c>
      <c r="X65" s="1194"/>
    </row>
    <row r="66" spans="2:24">
      <c r="B66" s="325" t="s">
        <v>690</v>
      </c>
      <c r="C66" s="470" t="s">
        <v>632</v>
      </c>
      <c r="D66" s="470" t="s">
        <v>633</v>
      </c>
      <c r="E66" s="324"/>
      <c r="F66" s="323" t="s">
        <v>690</v>
      </c>
      <c r="G66" s="470" t="s">
        <v>632</v>
      </c>
      <c r="H66" s="470" t="s">
        <v>633</v>
      </c>
      <c r="I66" s="324"/>
      <c r="J66" s="323" t="s">
        <v>690</v>
      </c>
      <c r="K66" s="470" t="s">
        <v>632</v>
      </c>
      <c r="L66" s="471" t="s">
        <v>633</v>
      </c>
      <c r="M66" s="324"/>
      <c r="N66" s="323" t="s">
        <v>690</v>
      </c>
      <c r="O66" s="325" t="s">
        <v>632</v>
      </c>
      <c r="P66" s="470" t="s">
        <v>633</v>
      </c>
      <c r="Q66" s="324"/>
      <c r="R66" s="323" t="s">
        <v>690</v>
      </c>
      <c r="S66" s="547" t="s">
        <v>710</v>
      </c>
      <c r="T66" s="548" t="s">
        <v>633</v>
      </c>
      <c r="V66" s="323" t="s">
        <v>690</v>
      </c>
      <c r="W66" s="547" t="s">
        <v>710</v>
      </c>
      <c r="X66" s="548" t="s">
        <v>633</v>
      </c>
    </row>
    <row r="67" spans="2:24">
      <c r="B67" s="504" t="s">
        <v>711</v>
      </c>
      <c r="C67" s="549">
        <v>348.79</v>
      </c>
      <c r="D67" s="550">
        <v>16420.881275265918</v>
      </c>
      <c r="E67" s="551"/>
      <c r="F67" s="504" t="s">
        <v>711</v>
      </c>
      <c r="G67" s="552">
        <v>327.86</v>
      </c>
      <c r="H67" s="550">
        <v>6738.97322460328</v>
      </c>
      <c r="I67" s="551"/>
      <c r="J67" s="504" t="s">
        <v>711</v>
      </c>
      <c r="K67" s="552">
        <v>366.1</v>
      </c>
      <c r="L67" s="550">
        <v>7599.20035509424</v>
      </c>
      <c r="M67" s="551"/>
      <c r="N67" s="504" t="s">
        <v>724</v>
      </c>
      <c r="O67" s="549">
        <v>402</v>
      </c>
      <c r="P67" s="550">
        <v>7318.2568656716412</v>
      </c>
      <c r="Q67" s="551"/>
      <c r="R67" s="504" t="s">
        <v>724</v>
      </c>
      <c r="S67" s="549">
        <v>430</v>
      </c>
      <c r="T67" s="553"/>
      <c r="V67" s="504" t="s">
        <v>724</v>
      </c>
      <c r="W67" s="549">
        <f>S67</f>
        <v>430</v>
      </c>
      <c r="X67" s="550">
        <f t="shared" ref="X67:X78" si="1">(H67+L67+P67)/3</f>
        <v>7218.8101484563858</v>
      </c>
    </row>
    <row r="68" spans="2:24">
      <c r="B68" s="472" t="s">
        <v>713</v>
      </c>
      <c r="C68" s="554">
        <v>510.18</v>
      </c>
      <c r="D68" s="555">
        <v>32022.209984711284</v>
      </c>
      <c r="E68" s="551"/>
      <c r="F68" s="472" t="s">
        <v>713</v>
      </c>
      <c r="G68" s="556">
        <v>479.57</v>
      </c>
      <c r="H68" s="555">
        <v>21771.6470328408</v>
      </c>
      <c r="I68" s="551"/>
      <c r="J68" s="472" t="s">
        <v>713</v>
      </c>
      <c r="K68" s="556">
        <v>500</v>
      </c>
      <c r="L68" s="555">
        <v>13145.23366</v>
      </c>
      <c r="M68" s="551"/>
      <c r="N68" s="472" t="s">
        <v>725</v>
      </c>
      <c r="O68" s="554">
        <v>579</v>
      </c>
      <c r="P68" s="555">
        <v>14450.064404145078</v>
      </c>
      <c r="Q68" s="551"/>
      <c r="R68" s="472" t="s">
        <v>725</v>
      </c>
      <c r="S68" s="554">
        <v>616</v>
      </c>
      <c r="T68" s="557"/>
      <c r="V68" s="472" t="s">
        <v>725</v>
      </c>
      <c r="W68" s="554">
        <f t="shared" ref="W68:W78" si="2">S68</f>
        <v>616</v>
      </c>
      <c r="X68" s="555">
        <f t="shared" si="1"/>
        <v>16455.64836566196</v>
      </c>
    </row>
    <row r="69" spans="2:24">
      <c r="B69" s="472" t="s">
        <v>236</v>
      </c>
      <c r="C69" s="558">
        <v>767.3</v>
      </c>
      <c r="D69" s="559">
        <v>1156.3193666101915</v>
      </c>
      <c r="E69" s="551"/>
      <c r="F69" s="472" t="s">
        <v>236</v>
      </c>
      <c r="G69" s="560">
        <v>721.26</v>
      </c>
      <c r="H69" s="559">
        <v>741.37302767496305</v>
      </c>
      <c r="I69" s="551"/>
      <c r="J69" s="472" t="s">
        <v>236</v>
      </c>
      <c r="K69" s="560">
        <v>789.6</v>
      </c>
      <c r="L69" s="559">
        <v>977.23408054711297</v>
      </c>
      <c r="M69" s="551"/>
      <c r="N69" s="472" t="s">
        <v>677</v>
      </c>
      <c r="O69" s="558">
        <v>922</v>
      </c>
      <c r="P69" s="559">
        <v>872.02164859002164</v>
      </c>
      <c r="Q69" s="551"/>
      <c r="R69" s="472" t="s">
        <v>677</v>
      </c>
      <c r="S69" s="558">
        <v>990</v>
      </c>
      <c r="T69" s="557"/>
      <c r="V69" s="472" t="s">
        <v>677</v>
      </c>
      <c r="W69" s="558">
        <f t="shared" si="2"/>
        <v>990</v>
      </c>
      <c r="X69" s="559">
        <f t="shared" si="1"/>
        <v>863.54291893736593</v>
      </c>
    </row>
    <row r="70" spans="2:24">
      <c r="B70" s="472" t="s">
        <v>726</v>
      </c>
      <c r="C70" s="558">
        <v>767.3</v>
      </c>
      <c r="D70" s="559">
        <v>1162.1068161084322</v>
      </c>
      <c r="E70" s="551"/>
      <c r="F70" s="472" t="s">
        <v>726</v>
      </c>
      <c r="G70" s="560">
        <v>721.26</v>
      </c>
      <c r="H70" s="559">
        <v>677.46311540533395</v>
      </c>
      <c r="I70" s="551"/>
      <c r="J70" s="472" t="s">
        <v>726</v>
      </c>
      <c r="K70" s="560">
        <v>771.7</v>
      </c>
      <c r="L70" s="559">
        <v>912.09344304781598</v>
      </c>
      <c r="M70" s="551"/>
      <c r="N70" s="472" t="s">
        <v>727</v>
      </c>
      <c r="O70" s="558">
        <v>906</v>
      </c>
      <c r="P70" s="559">
        <v>695.01756070640181</v>
      </c>
      <c r="Q70" s="551"/>
      <c r="R70" s="472" t="s">
        <v>727</v>
      </c>
      <c r="S70" s="558">
        <v>990</v>
      </c>
      <c r="T70" s="557"/>
      <c r="V70" s="472" t="s">
        <v>727</v>
      </c>
      <c r="W70" s="558">
        <f t="shared" si="2"/>
        <v>990</v>
      </c>
      <c r="X70" s="559">
        <f t="shared" si="1"/>
        <v>761.52470638651721</v>
      </c>
    </row>
    <row r="71" spans="2:24">
      <c r="B71" s="472" t="s">
        <v>233</v>
      </c>
      <c r="C71" s="558">
        <v>1252</v>
      </c>
      <c r="D71" s="559">
        <v>487.95044728434505</v>
      </c>
      <c r="E71" s="551"/>
      <c r="F71" s="472" t="s">
        <v>233</v>
      </c>
      <c r="G71" s="560">
        <v>1176.8800000000001</v>
      </c>
      <c r="H71" s="559">
        <v>414.646922336854</v>
      </c>
      <c r="I71" s="551"/>
      <c r="J71" s="472" t="s">
        <v>233</v>
      </c>
      <c r="K71" s="560">
        <v>1159.7</v>
      </c>
      <c r="L71" s="559">
        <v>541.58241786668998</v>
      </c>
      <c r="M71" s="551"/>
      <c r="N71" s="472" t="s">
        <v>728</v>
      </c>
      <c r="O71" s="558">
        <v>1357</v>
      </c>
      <c r="P71" s="559">
        <v>451.85109801031683</v>
      </c>
      <c r="Q71" s="551"/>
      <c r="R71" s="472" t="s">
        <v>728</v>
      </c>
      <c r="S71" s="558">
        <v>1439</v>
      </c>
      <c r="T71" s="557"/>
      <c r="V71" s="472" t="s">
        <v>728</v>
      </c>
      <c r="W71" s="558">
        <f t="shared" si="2"/>
        <v>1439</v>
      </c>
      <c r="X71" s="559">
        <f t="shared" si="1"/>
        <v>469.36014607128692</v>
      </c>
    </row>
    <row r="72" spans="2:24">
      <c r="B72" s="472" t="s">
        <v>729</v>
      </c>
      <c r="C72" s="561">
        <v>2634</v>
      </c>
      <c r="D72" s="562">
        <v>207.49563781321186</v>
      </c>
      <c r="E72" s="551"/>
      <c r="F72" s="472" t="s">
        <v>729</v>
      </c>
      <c r="G72" s="563">
        <v>2475.96</v>
      </c>
      <c r="H72" s="562">
        <v>100.89580476204399</v>
      </c>
      <c r="I72" s="551"/>
      <c r="J72" s="472" t="s">
        <v>729</v>
      </c>
      <c r="K72" s="563">
        <v>2765</v>
      </c>
      <c r="L72" s="562">
        <v>136.653037974684</v>
      </c>
      <c r="M72" s="551"/>
      <c r="N72" s="472" t="s">
        <v>730</v>
      </c>
      <c r="O72" s="561">
        <v>3251</v>
      </c>
      <c r="P72" s="562">
        <v>101.50868963395878</v>
      </c>
      <c r="Q72" s="551"/>
      <c r="R72" s="472" t="s">
        <v>730</v>
      </c>
      <c r="S72" s="561">
        <v>3470</v>
      </c>
      <c r="T72" s="557"/>
      <c r="V72" s="472" t="s">
        <v>730</v>
      </c>
      <c r="W72" s="561">
        <f t="shared" si="2"/>
        <v>3470</v>
      </c>
      <c r="X72" s="562">
        <f t="shared" si="1"/>
        <v>113.01917745689559</v>
      </c>
    </row>
    <row r="73" spans="2:24">
      <c r="B73" s="472" t="s">
        <v>731</v>
      </c>
      <c r="C73" s="561">
        <v>3141</v>
      </c>
      <c r="D73" s="562">
        <v>521.18516396052212</v>
      </c>
      <c r="E73" s="551"/>
      <c r="F73" s="472" t="s">
        <v>731</v>
      </c>
      <c r="G73" s="563">
        <v>2952.54</v>
      </c>
      <c r="H73" s="562">
        <v>253.83867258312799</v>
      </c>
      <c r="I73" s="551"/>
      <c r="J73" s="472" t="s">
        <v>731</v>
      </c>
      <c r="K73" s="563">
        <v>3297.1</v>
      </c>
      <c r="L73" s="562">
        <v>293.45078098935397</v>
      </c>
      <c r="M73" s="551"/>
      <c r="N73" s="472" t="s">
        <v>732</v>
      </c>
      <c r="O73" s="561">
        <v>3876</v>
      </c>
      <c r="P73" s="562">
        <v>263.63628482972138</v>
      </c>
      <c r="Q73" s="551"/>
      <c r="R73" s="472" t="s">
        <v>732</v>
      </c>
      <c r="S73" s="561">
        <v>4360.0000000000009</v>
      </c>
      <c r="T73" s="557"/>
      <c r="V73" s="472" t="s">
        <v>732</v>
      </c>
      <c r="W73" s="561">
        <f t="shared" si="2"/>
        <v>4360.0000000000009</v>
      </c>
      <c r="X73" s="562">
        <f t="shared" si="1"/>
        <v>270.3085794674011</v>
      </c>
    </row>
    <row r="74" spans="2:24">
      <c r="B74" s="472" t="s">
        <v>733</v>
      </c>
      <c r="C74" s="561">
        <v>31488</v>
      </c>
      <c r="D74" s="562">
        <v>141.98238027184959</v>
      </c>
      <c r="E74" s="551"/>
      <c r="F74" s="472" t="s">
        <v>733</v>
      </c>
      <c r="G74" s="563">
        <v>29598.720000000001</v>
      </c>
      <c r="H74" s="562">
        <v>62.463134711217201</v>
      </c>
      <c r="I74" s="551"/>
      <c r="J74" s="472" t="s">
        <v>733</v>
      </c>
      <c r="K74" s="563">
        <v>33052.800000000003</v>
      </c>
      <c r="L74" s="562">
        <v>62.6495688716236</v>
      </c>
      <c r="M74" s="551"/>
      <c r="N74" s="472" t="s">
        <v>733</v>
      </c>
      <c r="O74" s="561">
        <v>36432</v>
      </c>
      <c r="P74" s="562">
        <v>57.787680061484402</v>
      </c>
      <c r="Q74" s="551"/>
      <c r="R74" s="472" t="s">
        <v>733</v>
      </c>
      <c r="S74" s="561">
        <v>39000</v>
      </c>
      <c r="T74" s="557"/>
      <c r="V74" s="472" t="s">
        <v>733</v>
      </c>
      <c r="W74" s="561">
        <f t="shared" si="2"/>
        <v>39000</v>
      </c>
      <c r="X74" s="562">
        <f t="shared" si="1"/>
        <v>60.966794548108396</v>
      </c>
    </row>
    <row r="75" spans="2:24">
      <c r="B75" s="472" t="s">
        <v>734</v>
      </c>
      <c r="C75" s="564">
        <v>39339</v>
      </c>
      <c r="D75" s="565">
        <v>23.655752815272375</v>
      </c>
      <c r="E75" s="551"/>
      <c r="F75" s="472" t="s">
        <v>734</v>
      </c>
      <c r="G75" s="566">
        <v>36978.660000000003</v>
      </c>
      <c r="H75" s="565">
        <v>13.932146921323501</v>
      </c>
      <c r="I75" s="551"/>
      <c r="J75" s="472" t="s">
        <v>734</v>
      </c>
      <c r="K75" s="566">
        <v>36435.800000000003</v>
      </c>
      <c r="L75" s="565">
        <v>23.603861312225899</v>
      </c>
      <c r="M75" s="551"/>
      <c r="N75" s="472" t="s">
        <v>734</v>
      </c>
      <c r="O75" s="564">
        <v>41397</v>
      </c>
      <c r="P75" s="565">
        <v>17.453661859555041</v>
      </c>
      <c r="Q75" s="551"/>
      <c r="R75" s="472" t="s">
        <v>734</v>
      </c>
      <c r="S75" s="564">
        <v>44000</v>
      </c>
      <c r="T75" s="557"/>
      <c r="V75" s="472" t="s">
        <v>734</v>
      </c>
      <c r="W75" s="564">
        <f t="shared" si="2"/>
        <v>44000</v>
      </c>
      <c r="X75" s="565">
        <f t="shared" si="1"/>
        <v>18.329890031034811</v>
      </c>
    </row>
    <row r="76" spans="2:24">
      <c r="B76" s="472" t="s">
        <v>735</v>
      </c>
      <c r="C76" s="564">
        <v>39339</v>
      </c>
      <c r="D76" s="565">
        <v>65.783832075040038</v>
      </c>
      <c r="E76" s="551"/>
      <c r="F76" s="472" t="s">
        <v>735</v>
      </c>
      <c r="G76" s="566">
        <v>36978.660000000003</v>
      </c>
      <c r="H76" s="565">
        <v>29.7770364616111</v>
      </c>
      <c r="I76" s="551"/>
      <c r="J76" s="472" t="s">
        <v>735</v>
      </c>
      <c r="K76" s="566">
        <v>40484</v>
      </c>
      <c r="L76" s="565">
        <v>23.2778248196819</v>
      </c>
      <c r="M76" s="551"/>
      <c r="N76" s="472" t="s">
        <v>735</v>
      </c>
      <c r="O76" s="564">
        <v>46646</v>
      </c>
      <c r="P76" s="565">
        <v>21.885752904857863</v>
      </c>
      <c r="Q76" s="551"/>
      <c r="R76" s="472" t="s">
        <v>735</v>
      </c>
      <c r="S76" s="564">
        <v>49774</v>
      </c>
      <c r="T76" s="557"/>
      <c r="V76" s="472" t="s">
        <v>735</v>
      </c>
      <c r="W76" s="564">
        <f t="shared" si="2"/>
        <v>49774</v>
      </c>
      <c r="X76" s="565">
        <f t="shared" si="1"/>
        <v>24.980204728716956</v>
      </c>
    </row>
    <row r="77" spans="2:24">
      <c r="B77" s="472" t="s">
        <v>719</v>
      </c>
      <c r="C77" s="564">
        <v>183873</v>
      </c>
      <c r="D77" s="565">
        <v>9.87275032223328</v>
      </c>
      <c r="E77" s="551"/>
      <c r="F77" s="472" t="s">
        <v>719</v>
      </c>
      <c r="G77" s="566">
        <v>172840.62</v>
      </c>
      <c r="H77" s="565">
        <v>2.9410358093581301</v>
      </c>
      <c r="I77" s="551"/>
      <c r="J77" s="472" t="s">
        <v>719</v>
      </c>
      <c r="K77" s="566">
        <v>189225</v>
      </c>
      <c r="L77" s="565">
        <v>3.2725804729818999</v>
      </c>
      <c r="M77" s="551"/>
      <c r="N77" s="472" t="s">
        <v>719</v>
      </c>
      <c r="O77" s="564">
        <v>214923</v>
      </c>
      <c r="P77" s="565">
        <v>3.1291468572465488</v>
      </c>
      <c r="Q77" s="551"/>
      <c r="R77" s="472" t="s">
        <v>719</v>
      </c>
      <c r="S77" s="564">
        <v>228800</v>
      </c>
      <c r="T77" s="557"/>
      <c r="V77" s="472" t="s">
        <v>719</v>
      </c>
      <c r="W77" s="564">
        <f t="shared" si="2"/>
        <v>228800</v>
      </c>
      <c r="X77" s="565">
        <f t="shared" si="1"/>
        <v>3.1142543798621936</v>
      </c>
    </row>
    <row r="78" spans="2:24">
      <c r="B78" s="486" t="s">
        <v>720</v>
      </c>
      <c r="C78" s="567">
        <v>236105</v>
      </c>
      <c r="D78" s="568">
        <v>17.468943605599204</v>
      </c>
      <c r="E78" s="551"/>
      <c r="F78" s="486" t="s">
        <v>720</v>
      </c>
      <c r="G78" s="567">
        <v>221938.7</v>
      </c>
      <c r="H78" s="568">
        <v>6.3645898756100996</v>
      </c>
      <c r="I78" s="551"/>
      <c r="J78" s="486" t="s">
        <v>720</v>
      </c>
      <c r="K78" s="567">
        <v>242978</v>
      </c>
      <c r="L78" s="568">
        <v>5.7898133164319399</v>
      </c>
      <c r="M78" s="551"/>
      <c r="N78" s="486" t="s">
        <v>720</v>
      </c>
      <c r="O78" s="567">
        <v>276069</v>
      </c>
      <c r="P78" s="568">
        <v>3.7787200663602216</v>
      </c>
      <c r="Q78" s="551"/>
      <c r="R78" s="486" t="s">
        <v>720</v>
      </c>
      <c r="S78" s="567">
        <v>293500.00000000006</v>
      </c>
      <c r="T78" s="569"/>
      <c r="V78" s="486" t="s">
        <v>720</v>
      </c>
      <c r="W78" s="567">
        <f t="shared" si="2"/>
        <v>293500.00000000006</v>
      </c>
      <c r="X78" s="568">
        <f t="shared" si="1"/>
        <v>5.3110410861340869</v>
      </c>
    </row>
    <row r="79" spans="2:24">
      <c r="B79" s="526"/>
      <c r="C79" s="280"/>
      <c r="D79" s="570"/>
      <c r="E79" s="570"/>
      <c r="F79" s="526"/>
      <c r="G79" s="280"/>
      <c r="H79" s="570"/>
      <c r="I79" s="570"/>
      <c r="J79" s="526"/>
      <c r="K79" s="280"/>
      <c r="L79" s="570"/>
      <c r="M79" s="570"/>
      <c r="N79" s="571"/>
      <c r="O79" s="280"/>
      <c r="P79" s="281"/>
      <c r="Q79" s="570"/>
      <c r="R79" s="571"/>
      <c r="S79" s="536"/>
      <c r="T79" s="572"/>
      <c r="V79" s="571"/>
      <c r="W79" s="536"/>
      <c r="X79" s="401"/>
    </row>
    <row r="80" spans="2:24">
      <c r="B80" s="526"/>
      <c r="C80" s="280"/>
      <c r="D80" s="570"/>
      <c r="E80" s="570"/>
      <c r="F80" s="526"/>
      <c r="G80" s="280"/>
      <c r="H80" s="570"/>
      <c r="I80" s="570"/>
      <c r="J80" s="526"/>
      <c r="K80" s="1022"/>
      <c r="L80" s="570"/>
      <c r="M80" s="570"/>
      <c r="N80" s="571"/>
      <c r="O80" s="280"/>
      <c r="P80" s="281"/>
      <c r="Q80" s="570"/>
      <c r="R80" s="571"/>
      <c r="S80" s="536"/>
      <c r="T80" s="572"/>
      <c r="V80" s="571"/>
      <c r="W80" s="536"/>
      <c r="X80" s="401"/>
    </row>
    <row r="81" spans="2:24">
      <c r="B81" s="526"/>
      <c r="C81" s="280"/>
      <c r="D81" s="570"/>
      <c r="E81" s="570"/>
      <c r="F81" s="526"/>
      <c r="G81" s="280"/>
      <c r="H81" s="570"/>
      <c r="I81" s="570"/>
      <c r="J81" s="526"/>
      <c r="K81" s="280"/>
      <c r="L81" s="570"/>
      <c r="M81" s="570"/>
      <c r="N81" s="571"/>
      <c r="O81" s="280"/>
      <c r="P81" s="281"/>
      <c r="Q81" s="570"/>
      <c r="R81" s="571"/>
      <c r="S81" s="536"/>
      <c r="T81" s="572"/>
      <c r="V81" s="571"/>
      <c r="W81" s="536"/>
      <c r="X81" s="401"/>
    </row>
    <row r="82" spans="2:24">
      <c r="B82" s="526"/>
      <c r="C82" s="280"/>
      <c r="D82" s="570"/>
      <c r="E82" s="570"/>
      <c r="F82" s="526"/>
      <c r="G82" s="280"/>
      <c r="H82" s="570"/>
      <c r="I82" s="570"/>
      <c r="J82" s="526"/>
      <c r="K82" s="280"/>
      <c r="L82" s="570"/>
      <c r="M82" s="570"/>
      <c r="N82" s="571"/>
      <c r="O82" s="280"/>
      <c r="P82" s="281"/>
      <c r="Q82" s="570"/>
      <c r="R82" s="571"/>
      <c r="S82" s="536"/>
      <c r="T82" s="572"/>
      <c r="V82" s="571"/>
      <c r="W82" s="536"/>
      <c r="X82" s="401"/>
    </row>
    <row r="83" spans="2:24">
      <c r="B83" s="390"/>
      <c r="C83" s="488"/>
      <c r="D83" s="390"/>
      <c r="E83" s="390"/>
      <c r="F83" s="489"/>
      <c r="G83" s="488"/>
      <c r="H83" s="390"/>
      <c r="I83" s="390"/>
      <c r="J83" s="390"/>
      <c r="K83" s="488"/>
      <c r="L83" s="390"/>
      <c r="M83" s="390"/>
      <c r="N83" s="573"/>
      <c r="O83" s="280"/>
      <c r="P83" s="281"/>
      <c r="Q83" s="570"/>
      <c r="R83" s="574"/>
      <c r="S83" s="536"/>
      <c r="T83" s="574"/>
      <c r="V83" s="574"/>
      <c r="W83" s="536"/>
      <c r="X83" s="401"/>
    </row>
    <row r="84" spans="2:24">
      <c r="B84" s="390"/>
      <c r="C84" s="488"/>
      <c r="D84" s="390"/>
      <c r="E84" s="390"/>
      <c r="F84" s="489"/>
      <c r="G84" s="488"/>
      <c r="H84" s="390"/>
      <c r="I84" s="390"/>
      <c r="J84" s="390"/>
      <c r="K84" s="488"/>
      <c r="L84" s="390"/>
      <c r="M84" s="390"/>
      <c r="N84" s="575"/>
      <c r="O84" s="576"/>
      <c r="P84" s="490"/>
      <c r="Q84" s="390"/>
      <c r="R84" s="390"/>
      <c r="S84" s="488"/>
      <c r="T84" s="390"/>
      <c r="V84" s="390"/>
      <c r="W84" s="488"/>
      <c r="X84" s="490"/>
    </row>
    <row r="85" spans="2:24">
      <c r="B85" s="383" t="s">
        <v>680</v>
      </c>
      <c r="C85" s="491">
        <f>SUMPRODUCT(C67:C78,D67:D78)</f>
        <v>40567000.920000009</v>
      </c>
      <c r="D85" s="422"/>
      <c r="E85" s="386"/>
      <c r="F85" s="492" t="s">
        <v>680</v>
      </c>
      <c r="G85" s="491">
        <f>SUMPRODUCT(G67:G78,H67:H78)</f>
        <v>20547105.888175525</v>
      </c>
      <c r="H85" s="422"/>
      <c r="I85" s="386"/>
      <c r="J85" s="383" t="s">
        <v>680</v>
      </c>
      <c r="K85" s="491">
        <f>SUMPRODUCT(K67:K78,L67:L78)</f>
        <v>18702825.970000006</v>
      </c>
      <c r="L85" s="422"/>
      <c r="M85" s="386"/>
      <c r="N85" s="388" t="s">
        <v>680</v>
      </c>
      <c r="O85" s="491">
        <f>SUMPRODUCT(O67:O78,P67:P78)</f>
        <v>20271683.279999994</v>
      </c>
      <c r="P85" s="424"/>
      <c r="Q85" s="386"/>
      <c r="R85" s="383" t="s">
        <v>680</v>
      </c>
      <c r="S85" s="491">
        <f>SUMPRODUCT(S67:S78,T67:T78)</f>
        <v>0</v>
      </c>
      <c r="T85" s="422"/>
      <c r="V85" s="383" t="s">
        <v>680</v>
      </c>
      <c r="W85" s="491">
        <f>SUMPRODUCT(W67:W78,X67:X78)</f>
        <v>23794632.728406277</v>
      </c>
      <c r="X85" s="424"/>
    </row>
    <row r="86" spans="2:24">
      <c r="B86" s="390"/>
      <c r="C86" s="269"/>
      <c r="D86" s="386"/>
      <c r="E86" s="386"/>
      <c r="F86" s="489"/>
      <c r="G86" s="493"/>
      <c r="H86" s="386"/>
      <c r="I86" s="386"/>
      <c r="J86" s="390"/>
      <c r="K86" s="269"/>
      <c r="L86" s="386"/>
      <c r="M86" s="386"/>
      <c r="N86" s="390"/>
      <c r="O86" s="269"/>
      <c r="P86" s="391"/>
      <c r="Q86" s="386"/>
      <c r="R86" s="390"/>
      <c r="S86" s="269"/>
      <c r="T86" s="386"/>
      <c r="V86" s="390"/>
      <c r="W86" s="269"/>
      <c r="X86" s="391"/>
    </row>
    <row r="87" spans="2:24" ht="22.5">
      <c r="B87" s="494" t="s">
        <v>704</v>
      </c>
      <c r="C87" s="495" t="s">
        <v>682</v>
      </c>
      <c r="D87" s="433" t="s">
        <v>683</v>
      </c>
      <c r="E87" s="434"/>
      <c r="F87" s="494" t="s">
        <v>705</v>
      </c>
      <c r="G87" s="393" t="s">
        <v>682</v>
      </c>
      <c r="H87" s="496" t="s">
        <v>683</v>
      </c>
      <c r="I87" s="434"/>
      <c r="J87" s="494" t="s">
        <v>705</v>
      </c>
      <c r="K87" s="393" t="s">
        <v>682</v>
      </c>
      <c r="L87" s="496" t="s">
        <v>683</v>
      </c>
      <c r="M87" s="434"/>
      <c r="N87" s="494" t="s">
        <v>705</v>
      </c>
      <c r="O87" s="393" t="s">
        <v>682</v>
      </c>
      <c r="P87" s="497" t="s">
        <v>683</v>
      </c>
      <c r="Q87" s="434"/>
      <c r="R87" s="577"/>
      <c r="S87" s="578"/>
      <c r="T87" s="503"/>
      <c r="V87" s="579" t="s">
        <v>705</v>
      </c>
      <c r="W87" s="393" t="s">
        <v>682</v>
      </c>
      <c r="X87" s="497" t="s">
        <v>683</v>
      </c>
    </row>
    <row r="88" spans="2:24" s="359" customFormat="1" ht="11.25">
      <c r="B88" s="438" t="s">
        <v>251</v>
      </c>
      <c r="C88" s="249">
        <f>C67</f>
        <v>348.79</v>
      </c>
      <c r="D88" s="498">
        <f>D67</f>
        <v>16420.881275265918</v>
      </c>
      <c r="E88" s="443"/>
      <c r="F88" s="438" t="s">
        <v>251</v>
      </c>
      <c r="G88" s="249">
        <f>G67</f>
        <v>327.86</v>
      </c>
      <c r="H88" s="498">
        <f>H67</f>
        <v>6738.97322460328</v>
      </c>
      <c r="I88" s="443"/>
      <c r="J88" s="438" t="s">
        <v>251</v>
      </c>
      <c r="K88" s="249">
        <f>K67</f>
        <v>366.1</v>
      </c>
      <c r="L88" s="498">
        <f>L67</f>
        <v>7599.20035509424</v>
      </c>
      <c r="M88" s="443"/>
      <c r="N88" s="438" t="s">
        <v>251</v>
      </c>
      <c r="O88" s="249">
        <f>O67</f>
        <v>402</v>
      </c>
      <c r="P88" s="250">
        <f>P67</f>
        <v>7318.2568656716412</v>
      </c>
      <c r="Q88" s="443"/>
      <c r="R88" s="271"/>
      <c r="S88" s="280"/>
      <c r="T88" s="443"/>
      <c r="V88" s="580" t="s">
        <v>251</v>
      </c>
      <c r="W88" s="581">
        <f>W67</f>
        <v>430</v>
      </c>
      <c r="X88" s="250">
        <f>X67</f>
        <v>7218.8101484563858</v>
      </c>
    </row>
    <row r="89" spans="2:24" s="359" customFormat="1" ht="11.25">
      <c r="B89" s="438" t="s">
        <v>252</v>
      </c>
      <c r="C89" s="252">
        <f>SUMPRODUCT(C68,D68)/SUM(D68)</f>
        <v>510.18</v>
      </c>
      <c r="D89" s="442">
        <f>SUM(D68)</f>
        <v>32022.209984711284</v>
      </c>
      <c r="E89" s="443"/>
      <c r="F89" s="438" t="s">
        <v>252</v>
      </c>
      <c r="G89" s="252">
        <f>SUMPRODUCT(G68,H68)/SUM(H68)</f>
        <v>479.57</v>
      </c>
      <c r="H89" s="442">
        <f>SUM(H68)</f>
        <v>21771.6470328408</v>
      </c>
      <c r="I89" s="443"/>
      <c r="J89" s="438" t="s">
        <v>252</v>
      </c>
      <c r="K89" s="252">
        <f>SUMPRODUCT(K68,L68)/SUM(L68)</f>
        <v>500</v>
      </c>
      <c r="L89" s="442">
        <f>SUM(L68)</f>
        <v>13145.23366</v>
      </c>
      <c r="M89" s="443"/>
      <c r="N89" s="438" t="s">
        <v>252</v>
      </c>
      <c r="O89" s="252">
        <f>SUMPRODUCT(O68,P68)/SUM(P68)</f>
        <v>579</v>
      </c>
      <c r="P89" s="253">
        <f>SUM(P68)</f>
        <v>14450.064404145078</v>
      </c>
      <c r="Q89" s="443"/>
      <c r="R89" s="271"/>
      <c r="S89" s="280"/>
      <c r="T89" s="443"/>
      <c r="V89" s="441" t="s">
        <v>252</v>
      </c>
      <c r="W89" s="582">
        <f>SUMPRODUCT(W68,X68)/SUM(X68)</f>
        <v>616</v>
      </c>
      <c r="X89" s="253">
        <f>SUM(X68)</f>
        <v>16455.64836566196</v>
      </c>
    </row>
    <row r="90" spans="2:24" s="359" customFormat="1" ht="11.25">
      <c r="B90" s="438" t="s">
        <v>253</v>
      </c>
      <c r="C90" s="254">
        <f>SUMPRODUCT(C69:C71,D69:D71)/SUM(D69:D71)</f>
        <v>851.57578083076874</v>
      </c>
      <c r="D90" s="444">
        <f>SUM(D69:D71)</f>
        <v>2806.3766300029688</v>
      </c>
      <c r="E90" s="443"/>
      <c r="F90" s="438" t="s">
        <v>253</v>
      </c>
      <c r="G90" s="254">
        <f>SUMPRODUCT(G69:G71,H69:H71)/SUM(H69:H71)</f>
        <v>824.29963768115556</v>
      </c>
      <c r="H90" s="444">
        <f>SUM(H69:H71)</f>
        <v>1833.483065417151</v>
      </c>
      <c r="I90" s="443"/>
      <c r="J90" s="438" t="s">
        <v>253</v>
      </c>
      <c r="K90" s="254">
        <f>SUMPRODUCT(K69:K71,L69:L71)/SUM(L69:L71)</f>
        <v>865.33837972426306</v>
      </c>
      <c r="L90" s="444">
        <f>SUM(L69:L71)</f>
        <v>2430.9099414616189</v>
      </c>
      <c r="M90" s="443"/>
      <c r="N90" s="438" t="s">
        <v>253</v>
      </c>
      <c r="O90" s="254">
        <f>SUMPRODUCT(O69:O71,P69:P71)/SUM(P69:P71)</f>
        <v>1013.8499365676589</v>
      </c>
      <c r="P90" s="255">
        <f>SUM(P69:P71)</f>
        <v>2018.8903073067404</v>
      </c>
      <c r="Q90" s="443"/>
      <c r="R90" s="271"/>
      <c r="S90" s="280"/>
      <c r="T90" s="443"/>
      <c r="V90" s="441" t="s">
        <v>253</v>
      </c>
      <c r="W90" s="583">
        <f>SUMPRODUCT(W69:W71,X69:X71)/SUM(X69:X71)</f>
        <v>1090.6206604325271</v>
      </c>
      <c r="X90" s="255">
        <f>SUM(X69:X71)</f>
        <v>2094.4277713951701</v>
      </c>
    </row>
    <row r="91" spans="2:24" s="359" customFormat="1" ht="11.25">
      <c r="B91" s="438" t="s">
        <v>255</v>
      </c>
      <c r="C91" s="256">
        <f>SUMPRODUCT(C72:C74,D72:D74)/SUM(D72:D74)</f>
        <v>7642.8261091343747</v>
      </c>
      <c r="D91" s="445">
        <f>SUM(D72:D74)</f>
        <v>870.66318204558354</v>
      </c>
      <c r="E91" s="443"/>
      <c r="F91" s="438" t="s">
        <v>255</v>
      </c>
      <c r="G91" s="256">
        <f>SUMPRODUCT(G72:G74,H72:H74)/SUM(H72:H74)</f>
        <v>6826.7688103686032</v>
      </c>
      <c r="H91" s="445">
        <f>SUM(H72:H74)</f>
        <v>417.19761205638918</v>
      </c>
      <c r="I91" s="443"/>
      <c r="J91" s="438" t="s">
        <v>255</v>
      </c>
      <c r="K91" s="256">
        <f>SUMPRODUCT(K72:K74,L72:L74)/SUM(L72:L74)</f>
        <v>6932.729382145445</v>
      </c>
      <c r="L91" s="445">
        <f>SUM(L72:L74)</f>
        <v>492.75338783566156</v>
      </c>
      <c r="M91" s="443"/>
      <c r="N91" s="438" t="s">
        <v>255</v>
      </c>
      <c r="O91" s="256">
        <f>SUMPRODUCT(O72:O74,P72:P74)/SUM(P72:P74)</f>
        <v>8174.3031969982276</v>
      </c>
      <c r="P91" s="257">
        <f>SUM(P72:P74)</f>
        <v>422.93265452516459</v>
      </c>
      <c r="Q91" s="443"/>
      <c r="R91" s="271"/>
      <c r="S91" s="280"/>
      <c r="T91" s="443"/>
      <c r="V91" s="441" t="s">
        <v>255</v>
      </c>
      <c r="W91" s="584">
        <f>SUMPRODUCT(W72:W74,X72:X74)/SUM(X72:X74)</f>
        <v>8886.957822337281</v>
      </c>
      <c r="X91" s="257">
        <f>SUM(X72:X74)</f>
        <v>444.29455147240509</v>
      </c>
    </row>
    <row r="92" spans="2:24" s="359" customFormat="1" ht="11.25">
      <c r="B92" s="438" t="s">
        <v>254</v>
      </c>
      <c r="C92" s="258">
        <f>SUMPRODUCT(C75:C78,D75:D78)/SUM(D75:D78)</f>
        <v>80991.585943571772</v>
      </c>
      <c r="D92" s="1021">
        <f>SUM(D75:D78)</f>
        <v>116.7812788181449</v>
      </c>
      <c r="E92" s="443"/>
      <c r="F92" s="447" t="s">
        <v>254</v>
      </c>
      <c r="G92" s="267">
        <f>SUMPRODUCT(G75:G78,H75:H78)/SUM(H75:H78)</f>
        <v>66720.72104272584</v>
      </c>
      <c r="H92" s="1021">
        <f>SUM(H75:H78)</f>
        <v>53.014809067902824</v>
      </c>
      <c r="I92" s="443"/>
      <c r="J92" s="438" t="s">
        <v>254</v>
      </c>
      <c r="K92" s="258">
        <f>SUMPRODUCT(K75:K78,L75:L78)/SUM(L75:L78)</f>
        <v>68433.627568533586</v>
      </c>
      <c r="L92" s="1021">
        <f>SUM(L75:L78)</f>
        <v>55.944079921321638</v>
      </c>
      <c r="M92" s="443"/>
      <c r="N92" s="438" t="s">
        <v>254</v>
      </c>
      <c r="O92" s="258">
        <f>SUMPRODUCT(O75:O78,P75:P78)/SUM(P75:P78)</f>
        <v>74796.291668231905</v>
      </c>
      <c r="P92" s="268">
        <f>SUM(P75:P78)</f>
        <v>46.247281688019676</v>
      </c>
      <c r="Q92" s="443"/>
      <c r="R92" s="271"/>
      <c r="S92" s="280"/>
      <c r="T92" s="443"/>
      <c r="V92" s="449" t="s">
        <v>254</v>
      </c>
      <c r="W92" s="585">
        <f>SUMPRODUCT(W75:W78,X75:X78)/SUM(X75:X78)</f>
        <v>83525.258310990801</v>
      </c>
      <c r="X92" s="268">
        <f>SUM(X75:X78)</f>
        <v>51.735390225748048</v>
      </c>
    </row>
    <row r="93" spans="2:24">
      <c r="B93" s="450" t="s">
        <v>680</v>
      </c>
      <c r="C93" s="451">
        <f>SUMPRODUCT(C88:C92,D88:D92)</f>
        <v>40567000.920000002</v>
      </c>
      <c r="D93" s="452"/>
      <c r="E93" s="443"/>
      <c r="F93" s="450" t="s">
        <v>680</v>
      </c>
      <c r="G93" s="451">
        <f>SUMPRODUCT(G88:G92,H88:H92)</f>
        <v>20547105.888175521</v>
      </c>
      <c r="H93" s="452"/>
      <c r="I93" s="443"/>
      <c r="J93" s="450" t="s">
        <v>680</v>
      </c>
      <c r="K93" s="451">
        <f>SUMPRODUCT(K88:K92,L88:L92)</f>
        <v>18702825.970000006</v>
      </c>
      <c r="L93" s="452"/>
      <c r="M93" s="443"/>
      <c r="N93" s="450" t="s">
        <v>680</v>
      </c>
      <c r="O93" s="451">
        <f>SUMPRODUCT(O88:O92,P88:P92)</f>
        <v>20271683.280000001</v>
      </c>
      <c r="P93" s="454"/>
      <c r="Q93" s="443"/>
      <c r="R93" s="543"/>
      <c r="S93" s="443"/>
      <c r="T93" s="443"/>
      <c r="V93" s="586" t="s">
        <v>680</v>
      </c>
      <c r="W93" s="451">
        <f>SUMPRODUCT(W88:W92,X88:X92)</f>
        <v>23794632.72840628</v>
      </c>
      <c r="X93" s="454"/>
    </row>
    <row r="94" spans="2:24">
      <c r="B94" s="390"/>
      <c r="C94" s="500"/>
      <c r="D94" s="386"/>
      <c r="E94" s="386"/>
      <c r="F94" s="489"/>
      <c r="G94" s="455"/>
      <c r="H94" s="386"/>
      <c r="I94" s="386"/>
      <c r="J94" s="390"/>
      <c r="K94" s="455"/>
      <c r="L94" s="386"/>
      <c r="M94" s="386"/>
      <c r="N94" s="390"/>
      <c r="O94" s="455"/>
      <c r="P94" s="391"/>
      <c r="Q94" s="386"/>
      <c r="R94" s="390"/>
      <c r="S94" s="455"/>
      <c r="T94" s="386"/>
      <c r="V94" s="390"/>
      <c r="W94" s="455"/>
      <c r="X94" s="391"/>
    </row>
    <row r="95" spans="2:24">
      <c r="B95" s="501" t="s">
        <v>706</v>
      </c>
      <c r="C95" s="393" t="s">
        <v>682</v>
      </c>
      <c r="D95" s="502" t="s">
        <v>683</v>
      </c>
      <c r="E95" s="503"/>
      <c r="F95" s="501" t="s">
        <v>706</v>
      </c>
      <c r="G95" s="393" t="s">
        <v>682</v>
      </c>
      <c r="H95" s="496" t="s">
        <v>683</v>
      </c>
      <c r="I95" s="503"/>
      <c r="J95" s="501" t="s">
        <v>706</v>
      </c>
      <c r="K95" s="393" t="s">
        <v>682</v>
      </c>
      <c r="L95" s="496" t="s">
        <v>683</v>
      </c>
      <c r="M95" s="503"/>
      <c r="N95" s="501" t="s">
        <v>706</v>
      </c>
      <c r="O95" s="393" t="s">
        <v>682</v>
      </c>
      <c r="P95" s="397" t="s">
        <v>683</v>
      </c>
      <c r="Q95" s="503"/>
      <c r="R95" s="587" t="s">
        <v>706</v>
      </c>
      <c r="S95" s="393" t="s">
        <v>682</v>
      </c>
      <c r="T95" s="502" t="s">
        <v>683</v>
      </c>
      <c r="V95" s="587" t="s">
        <v>706</v>
      </c>
      <c r="W95" s="393" t="s">
        <v>682</v>
      </c>
      <c r="X95" s="397" t="s">
        <v>683</v>
      </c>
    </row>
    <row r="96" spans="2:24">
      <c r="B96" s="504" t="s">
        <v>711</v>
      </c>
      <c r="C96" s="549">
        <v>16.21</v>
      </c>
      <c r="D96" s="550">
        <v>8882.7921036397274</v>
      </c>
      <c r="E96" s="551"/>
      <c r="F96" s="504" t="s">
        <v>711</v>
      </c>
      <c r="G96" s="549">
        <v>15.23</v>
      </c>
      <c r="H96" s="550">
        <v>4151.2407952106396</v>
      </c>
      <c r="I96" s="551"/>
      <c r="J96" s="504" t="s">
        <v>711</v>
      </c>
      <c r="K96" s="549">
        <v>16.7</v>
      </c>
      <c r="L96" s="550">
        <v>4757.2634730538903</v>
      </c>
      <c r="M96" s="551"/>
      <c r="N96" s="504" t="s">
        <v>724</v>
      </c>
      <c r="O96" s="549">
        <v>19.64</v>
      </c>
      <c r="P96" s="588">
        <v>3785.5590631364562</v>
      </c>
      <c r="Q96" s="551"/>
      <c r="R96" s="333" t="s">
        <v>724</v>
      </c>
      <c r="S96" s="589">
        <v>20.9</v>
      </c>
      <c r="T96" s="553"/>
      <c r="V96" s="333" t="s">
        <v>724</v>
      </c>
      <c r="W96" s="589">
        <f>S96</f>
        <v>20.9</v>
      </c>
      <c r="X96" s="550">
        <f t="shared" ref="X96:X107" si="3">(H96+L96+P96)/3</f>
        <v>4231.3544438003282</v>
      </c>
    </row>
    <row r="97" spans="2:24">
      <c r="B97" s="472" t="s">
        <v>713</v>
      </c>
      <c r="C97" s="554">
        <v>22.41</v>
      </c>
      <c r="D97" s="555">
        <v>31081.591700133868</v>
      </c>
      <c r="E97" s="551"/>
      <c r="F97" s="472" t="s">
        <v>713</v>
      </c>
      <c r="G97" s="554">
        <v>21.06</v>
      </c>
      <c r="H97" s="555">
        <v>8050.5254911524798</v>
      </c>
      <c r="I97" s="551"/>
      <c r="J97" s="472" t="s">
        <v>713</v>
      </c>
      <c r="K97" s="554">
        <v>23.5</v>
      </c>
      <c r="L97" s="555">
        <v>16571.597446808501</v>
      </c>
      <c r="M97" s="551"/>
      <c r="N97" s="472" t="s">
        <v>725</v>
      </c>
      <c r="O97" s="554">
        <v>27.64</v>
      </c>
      <c r="P97" s="555">
        <v>16821.488060781474</v>
      </c>
      <c r="Q97" s="551"/>
      <c r="R97" s="344" t="s">
        <v>725</v>
      </c>
      <c r="S97" s="590">
        <v>29.3</v>
      </c>
      <c r="T97" s="557"/>
      <c r="V97" s="344" t="s">
        <v>725</v>
      </c>
      <c r="W97" s="590">
        <f t="shared" ref="W97:W107" si="4">S97</f>
        <v>29.3</v>
      </c>
      <c r="X97" s="555">
        <f t="shared" si="3"/>
        <v>13814.53699958082</v>
      </c>
    </row>
    <row r="98" spans="2:24">
      <c r="B98" s="472" t="s">
        <v>236</v>
      </c>
      <c r="C98" s="558">
        <v>29.21</v>
      </c>
      <c r="D98" s="559">
        <v>7537.7692571037323</v>
      </c>
      <c r="E98" s="551"/>
      <c r="F98" s="472" t="s">
        <v>236</v>
      </c>
      <c r="G98" s="558">
        <v>27.45</v>
      </c>
      <c r="H98" s="559">
        <v>5549.7892566320197</v>
      </c>
      <c r="I98" s="551"/>
      <c r="J98" s="472" t="s">
        <v>236</v>
      </c>
      <c r="K98" s="558">
        <v>30.1</v>
      </c>
      <c r="L98" s="559">
        <v>8596.0186046511608</v>
      </c>
      <c r="M98" s="551"/>
      <c r="N98" s="472" t="s">
        <v>677</v>
      </c>
      <c r="O98" s="558">
        <v>34.1</v>
      </c>
      <c r="P98" s="559">
        <v>5230.9809384164228</v>
      </c>
      <c r="Q98" s="551"/>
      <c r="R98" s="344" t="s">
        <v>677</v>
      </c>
      <c r="S98" s="591">
        <v>36.25</v>
      </c>
      <c r="T98" s="557"/>
      <c r="V98" s="344" t="s">
        <v>677</v>
      </c>
      <c r="W98" s="591">
        <f t="shared" si="4"/>
        <v>36.25</v>
      </c>
      <c r="X98" s="559">
        <f t="shared" si="3"/>
        <v>6458.9295998998678</v>
      </c>
    </row>
    <row r="99" spans="2:24">
      <c r="B99" s="472" t="s">
        <v>726</v>
      </c>
      <c r="C99" s="558">
        <v>29.21</v>
      </c>
      <c r="D99" s="559">
        <v>8840.8137624101328</v>
      </c>
      <c r="E99" s="551"/>
      <c r="F99" s="472" t="s">
        <v>726</v>
      </c>
      <c r="G99" s="558">
        <v>27.45</v>
      </c>
      <c r="H99" s="559">
        <v>7636.6168774499702</v>
      </c>
      <c r="I99" s="551"/>
      <c r="J99" s="472" t="s">
        <v>726</v>
      </c>
      <c r="K99" s="558">
        <v>30.1</v>
      </c>
      <c r="L99" s="559">
        <v>9202.5996677740895</v>
      </c>
      <c r="M99" s="551"/>
      <c r="N99" s="472" t="s">
        <v>727</v>
      </c>
      <c r="O99" s="558">
        <v>34.1</v>
      </c>
      <c r="P99" s="559">
        <v>5305.9340175953075</v>
      </c>
      <c r="Q99" s="551"/>
      <c r="R99" s="344" t="s">
        <v>727</v>
      </c>
      <c r="S99" s="591">
        <v>36.25</v>
      </c>
      <c r="T99" s="557"/>
      <c r="V99" s="344" t="s">
        <v>727</v>
      </c>
      <c r="W99" s="591">
        <f t="shared" si="4"/>
        <v>36.25</v>
      </c>
      <c r="X99" s="559">
        <f t="shared" si="3"/>
        <v>7381.7168542731224</v>
      </c>
    </row>
    <row r="100" spans="2:24">
      <c r="B100" s="472" t="s">
        <v>233</v>
      </c>
      <c r="C100" s="558">
        <v>34.659999999999997</v>
      </c>
      <c r="D100" s="559">
        <v>7236.9624927870755</v>
      </c>
      <c r="E100" s="551"/>
      <c r="F100" s="472" t="s">
        <v>233</v>
      </c>
      <c r="G100" s="558">
        <v>32.58</v>
      </c>
      <c r="H100" s="559">
        <v>6627.7442766426702</v>
      </c>
      <c r="I100" s="551"/>
      <c r="J100" s="472" t="s">
        <v>233</v>
      </c>
      <c r="K100" s="558">
        <v>32.1</v>
      </c>
      <c r="L100" s="559">
        <v>10034.7669781931</v>
      </c>
      <c r="M100" s="551"/>
      <c r="N100" s="472" t="s">
        <v>728</v>
      </c>
      <c r="O100" s="558">
        <v>36.4</v>
      </c>
      <c r="P100" s="559">
        <v>8093.5469780219782</v>
      </c>
      <c r="Q100" s="551"/>
      <c r="R100" s="344" t="s">
        <v>728</v>
      </c>
      <c r="S100" s="591">
        <v>39</v>
      </c>
      <c r="T100" s="557"/>
      <c r="V100" s="344" t="s">
        <v>728</v>
      </c>
      <c r="W100" s="591">
        <f t="shared" si="4"/>
        <v>39</v>
      </c>
      <c r="X100" s="559">
        <f t="shared" si="3"/>
        <v>8252.0194109525837</v>
      </c>
    </row>
    <row r="101" spans="2:24">
      <c r="B101" s="472" t="s">
        <v>729</v>
      </c>
      <c r="C101" s="561">
        <v>48.85</v>
      </c>
      <c r="D101" s="562">
        <v>18989.961310133058</v>
      </c>
      <c r="E101" s="551"/>
      <c r="F101" s="472" t="s">
        <v>729</v>
      </c>
      <c r="G101" s="561">
        <v>45.92</v>
      </c>
      <c r="H101" s="562">
        <v>7408.1851448719299</v>
      </c>
      <c r="I101" s="551"/>
      <c r="J101" s="472" t="s">
        <v>729</v>
      </c>
      <c r="K101" s="561">
        <v>45.2</v>
      </c>
      <c r="L101" s="562">
        <v>15552.9159292035</v>
      </c>
      <c r="M101" s="551"/>
      <c r="N101" s="472" t="s">
        <v>730</v>
      </c>
      <c r="O101" s="561">
        <v>51.3</v>
      </c>
      <c r="P101" s="562">
        <v>11252.748343079922</v>
      </c>
      <c r="Q101" s="551"/>
      <c r="R101" s="344" t="s">
        <v>730</v>
      </c>
      <c r="S101" s="592">
        <v>54.5</v>
      </c>
      <c r="T101" s="557"/>
      <c r="V101" s="344" t="s">
        <v>730</v>
      </c>
      <c r="W101" s="592">
        <f t="shared" si="4"/>
        <v>54.5</v>
      </c>
      <c r="X101" s="562">
        <f t="shared" si="3"/>
        <v>11404.616472385116</v>
      </c>
    </row>
    <row r="102" spans="2:24">
      <c r="B102" s="472" t="s">
        <v>731</v>
      </c>
      <c r="C102" s="561">
        <v>50.18</v>
      </c>
      <c r="D102" s="562">
        <v>52427.041251494622</v>
      </c>
      <c r="E102" s="551"/>
      <c r="F102" s="472" t="s">
        <v>731</v>
      </c>
      <c r="G102" s="561">
        <v>47.17</v>
      </c>
      <c r="H102" s="562">
        <v>21132.296145378401</v>
      </c>
      <c r="I102" s="551"/>
      <c r="J102" s="472" t="s">
        <v>731</v>
      </c>
      <c r="K102" s="561">
        <v>46.5</v>
      </c>
      <c r="L102" s="562">
        <v>40889.813978494603</v>
      </c>
      <c r="M102" s="551"/>
      <c r="N102" s="472" t="s">
        <v>732</v>
      </c>
      <c r="O102" s="561">
        <v>52.8</v>
      </c>
      <c r="P102" s="562">
        <v>32961.855303030301</v>
      </c>
      <c r="Q102" s="551"/>
      <c r="R102" s="344" t="s">
        <v>732</v>
      </c>
      <c r="S102" s="592">
        <v>56.500000000000007</v>
      </c>
      <c r="T102" s="557"/>
      <c r="V102" s="344" t="s">
        <v>732</v>
      </c>
      <c r="W102" s="592">
        <f t="shared" si="4"/>
        <v>56.500000000000007</v>
      </c>
      <c r="X102" s="562">
        <f t="shared" si="3"/>
        <v>31661.321808967768</v>
      </c>
    </row>
    <row r="103" spans="2:24">
      <c r="B103" s="472" t="s">
        <v>733</v>
      </c>
      <c r="C103" s="561">
        <v>87.03</v>
      </c>
      <c r="D103" s="562">
        <v>8575.0448121337467</v>
      </c>
      <c r="E103" s="551"/>
      <c r="F103" s="472" t="s">
        <v>733</v>
      </c>
      <c r="G103" s="561">
        <v>81.81</v>
      </c>
      <c r="H103" s="562">
        <v>9856.4617376195802</v>
      </c>
      <c r="I103" s="551"/>
      <c r="J103" s="472" t="s">
        <v>733</v>
      </c>
      <c r="K103" s="561">
        <v>80.599999999999994</v>
      </c>
      <c r="L103" s="562">
        <v>1732.98325062035</v>
      </c>
      <c r="M103" s="551"/>
      <c r="N103" s="472" t="s">
        <v>733</v>
      </c>
      <c r="O103" s="561">
        <v>88.4</v>
      </c>
      <c r="P103" s="562">
        <v>2608.0099547511309</v>
      </c>
      <c r="Q103" s="551"/>
      <c r="R103" s="344" t="s">
        <v>733</v>
      </c>
      <c r="S103" s="592">
        <v>94</v>
      </c>
      <c r="T103" s="557"/>
      <c r="V103" s="344" t="s">
        <v>733</v>
      </c>
      <c r="W103" s="592">
        <f t="shared" si="4"/>
        <v>94</v>
      </c>
      <c r="X103" s="562">
        <f t="shared" si="3"/>
        <v>4732.4849809970201</v>
      </c>
    </row>
    <row r="104" spans="2:24">
      <c r="B104" s="472" t="s">
        <v>734</v>
      </c>
      <c r="C104" s="564">
        <v>104.93</v>
      </c>
      <c r="D104" s="565">
        <v>803.8218812541694</v>
      </c>
      <c r="E104" s="551"/>
      <c r="F104" s="472" t="s">
        <v>734</v>
      </c>
      <c r="G104" s="564">
        <v>98.63</v>
      </c>
      <c r="H104" s="565">
        <v>2247.4700105636798</v>
      </c>
      <c r="I104" s="551"/>
      <c r="J104" s="472" t="s">
        <v>734</v>
      </c>
      <c r="K104" s="564">
        <v>97.1</v>
      </c>
      <c r="L104" s="565">
        <v>1378.3879505664299</v>
      </c>
      <c r="M104" s="551"/>
      <c r="N104" s="472" t="s">
        <v>734</v>
      </c>
      <c r="O104" s="564">
        <v>106.5</v>
      </c>
      <c r="P104" s="565">
        <v>541.24957746478879</v>
      </c>
      <c r="Q104" s="551"/>
      <c r="R104" s="344" t="s">
        <v>734</v>
      </c>
      <c r="S104" s="593">
        <v>113</v>
      </c>
      <c r="T104" s="557"/>
      <c r="V104" s="344" t="s">
        <v>734</v>
      </c>
      <c r="W104" s="593">
        <f t="shared" si="4"/>
        <v>113</v>
      </c>
      <c r="X104" s="565">
        <f t="shared" si="3"/>
        <v>1389.0358461982996</v>
      </c>
    </row>
    <row r="105" spans="2:24">
      <c r="B105" s="472" t="s">
        <v>735</v>
      </c>
      <c r="C105" s="564">
        <v>110.63</v>
      </c>
      <c r="D105" s="565">
        <v>2049.2547229503753</v>
      </c>
      <c r="E105" s="551"/>
      <c r="F105" s="472" t="s">
        <v>735</v>
      </c>
      <c r="G105" s="564">
        <v>103.99</v>
      </c>
      <c r="H105" s="565">
        <v>990.98259522405999</v>
      </c>
      <c r="I105" s="551"/>
      <c r="J105" s="472" t="s">
        <v>735</v>
      </c>
      <c r="K105" s="564">
        <v>102.5</v>
      </c>
      <c r="L105" s="565">
        <v>913.90068292682895</v>
      </c>
      <c r="M105" s="551"/>
      <c r="N105" s="472" t="s">
        <v>735</v>
      </c>
      <c r="O105" s="564">
        <v>112.4</v>
      </c>
      <c r="P105" s="565">
        <v>975.78443060498216</v>
      </c>
      <c r="Q105" s="551"/>
      <c r="R105" s="344" t="s">
        <v>735</v>
      </c>
      <c r="S105" s="593">
        <v>120.00000000000001</v>
      </c>
      <c r="T105" s="557"/>
      <c r="V105" s="344" t="s">
        <v>735</v>
      </c>
      <c r="W105" s="593">
        <f t="shared" si="4"/>
        <v>120.00000000000001</v>
      </c>
      <c r="X105" s="565">
        <f t="shared" si="3"/>
        <v>960.22256958529033</v>
      </c>
    </row>
    <row r="106" spans="2:24">
      <c r="B106" s="472" t="s">
        <v>719</v>
      </c>
      <c r="C106" s="564">
        <v>148.84</v>
      </c>
      <c r="D106" s="565">
        <v>10550.641023918301</v>
      </c>
      <c r="E106" s="551"/>
      <c r="F106" s="472" t="s">
        <v>719</v>
      </c>
      <c r="G106" s="564">
        <v>139.91</v>
      </c>
      <c r="H106" s="565">
        <v>1999.8074500300099</v>
      </c>
      <c r="I106" s="551"/>
      <c r="J106" s="472" t="s">
        <v>719</v>
      </c>
      <c r="K106" s="564">
        <v>138.1</v>
      </c>
      <c r="L106" s="565">
        <v>238.070963070239</v>
      </c>
      <c r="M106" s="551"/>
      <c r="N106" s="472" t="s">
        <v>719</v>
      </c>
      <c r="O106" s="564">
        <v>151.4</v>
      </c>
      <c r="P106" s="565">
        <v>2923.8490752972257</v>
      </c>
      <c r="Q106" s="551"/>
      <c r="R106" s="344" t="s">
        <v>719</v>
      </c>
      <c r="S106" s="593">
        <v>161.00000000000003</v>
      </c>
      <c r="T106" s="557"/>
      <c r="V106" s="344" t="s">
        <v>719</v>
      </c>
      <c r="W106" s="593">
        <f t="shared" si="4"/>
        <v>161.00000000000003</v>
      </c>
      <c r="X106" s="565">
        <f t="shared" si="3"/>
        <v>1720.5758294658251</v>
      </c>
    </row>
    <row r="107" spans="2:24">
      <c r="B107" s="483" t="s">
        <v>720</v>
      </c>
      <c r="C107" s="594">
        <v>169.64</v>
      </c>
      <c r="D107" s="568">
        <v>4352.4979368073573</v>
      </c>
      <c r="E107" s="551"/>
      <c r="F107" s="483" t="s">
        <v>720</v>
      </c>
      <c r="G107" s="594">
        <v>159.46</v>
      </c>
      <c r="H107" s="568">
        <v>8054.77083543549</v>
      </c>
      <c r="I107" s="551"/>
      <c r="J107" s="483" t="s">
        <v>720</v>
      </c>
      <c r="K107" s="594">
        <v>157</v>
      </c>
      <c r="L107" s="568">
        <v>4829.4717834394896</v>
      </c>
      <c r="M107" s="551"/>
      <c r="N107" s="483" t="s">
        <v>720</v>
      </c>
      <c r="O107" s="594">
        <v>172.1</v>
      </c>
      <c r="P107" s="568">
        <v>7256.5960488088331</v>
      </c>
      <c r="Q107" s="551"/>
      <c r="R107" s="486" t="s">
        <v>720</v>
      </c>
      <c r="S107" s="595">
        <v>183</v>
      </c>
      <c r="T107" s="569"/>
      <c r="V107" s="486" t="s">
        <v>720</v>
      </c>
      <c r="W107" s="595">
        <f t="shared" si="4"/>
        <v>183</v>
      </c>
      <c r="X107" s="568">
        <f t="shared" si="3"/>
        <v>6713.6128892279376</v>
      </c>
    </row>
    <row r="108" spans="2:24">
      <c r="B108" s="571"/>
      <c r="C108" s="280"/>
      <c r="D108" s="570"/>
      <c r="E108" s="570"/>
      <c r="F108" s="571"/>
      <c r="G108" s="280"/>
      <c r="H108" s="570"/>
      <c r="I108" s="570"/>
      <c r="J108" s="571"/>
      <c r="K108" s="280"/>
      <c r="L108" s="570"/>
      <c r="M108" s="570"/>
      <c r="N108" s="571"/>
      <c r="O108" s="280"/>
      <c r="P108" s="570"/>
      <c r="Q108" s="570"/>
      <c r="R108" s="571"/>
      <c r="S108" s="536"/>
      <c r="T108" s="572"/>
      <c r="U108" s="209"/>
      <c r="V108" s="571"/>
      <c r="W108" s="536"/>
      <c r="X108" s="401"/>
    </row>
    <row r="109" spans="2:24">
      <c r="B109" s="571"/>
      <c r="C109" s="280"/>
      <c r="D109" s="570"/>
      <c r="E109" s="570"/>
      <c r="F109" s="571"/>
      <c r="G109" s="280"/>
      <c r="H109" s="570"/>
      <c r="I109" s="570"/>
      <c r="J109" s="571"/>
      <c r="K109" s="280"/>
      <c r="L109" s="570"/>
      <c r="M109" s="570"/>
      <c r="N109" s="571"/>
      <c r="O109" s="280"/>
      <c r="P109" s="570"/>
      <c r="Q109" s="570"/>
      <c r="R109" s="571"/>
      <c r="S109" s="536"/>
      <c r="T109" s="572"/>
      <c r="U109" s="209"/>
      <c r="V109" s="571"/>
      <c r="W109" s="536"/>
      <c r="X109" s="401"/>
    </row>
    <row r="110" spans="2:24">
      <c r="B110" s="571"/>
      <c r="C110" s="280"/>
      <c r="D110" s="570"/>
      <c r="E110" s="570"/>
      <c r="F110" s="571"/>
      <c r="G110" s="280"/>
      <c r="H110" s="570"/>
      <c r="I110" s="570"/>
      <c r="J110" s="571"/>
      <c r="K110" s="280"/>
      <c r="L110" s="570"/>
      <c r="M110" s="570"/>
      <c r="N110" s="571"/>
      <c r="O110" s="280"/>
      <c r="P110" s="570"/>
      <c r="Q110" s="570"/>
      <c r="R110" s="571"/>
      <c r="S110" s="536"/>
      <c r="T110" s="572"/>
      <c r="U110" s="209"/>
      <c r="V110" s="571"/>
      <c r="W110" s="536"/>
      <c r="X110" s="401"/>
    </row>
    <row r="111" spans="2:24">
      <c r="B111" s="571"/>
      <c r="C111" s="280"/>
      <c r="D111" s="570"/>
      <c r="E111" s="570"/>
      <c r="F111" s="571"/>
      <c r="G111" s="280"/>
      <c r="H111" s="570"/>
      <c r="I111" s="570"/>
      <c r="J111" s="571"/>
      <c r="K111" s="280"/>
      <c r="L111" s="570"/>
      <c r="M111" s="570"/>
      <c r="N111" s="571"/>
      <c r="O111" s="280"/>
      <c r="P111" s="570"/>
      <c r="Q111" s="570"/>
      <c r="R111" s="571"/>
      <c r="S111" s="536"/>
      <c r="T111" s="572"/>
      <c r="U111" s="209"/>
      <c r="V111" s="571"/>
      <c r="W111" s="536"/>
      <c r="X111" s="401"/>
    </row>
    <row r="112" spans="2:24">
      <c r="B112" s="596"/>
      <c r="C112" s="536"/>
      <c r="D112" s="316"/>
      <c r="E112" s="316"/>
      <c r="F112" s="596"/>
      <c r="G112" s="536"/>
      <c r="H112" s="316"/>
      <c r="I112" s="316"/>
      <c r="J112" s="596"/>
      <c r="K112" s="536"/>
      <c r="L112" s="316"/>
      <c r="M112" s="316"/>
      <c r="N112" s="573"/>
      <c r="O112" s="536"/>
      <c r="P112" s="597"/>
      <c r="Q112" s="597"/>
      <c r="R112" s="574"/>
      <c r="S112" s="536"/>
      <c r="T112" s="574"/>
      <c r="U112" s="209"/>
      <c r="V112" s="573"/>
      <c r="W112" s="536"/>
      <c r="X112" s="401"/>
    </row>
    <row r="113" spans="2:24">
      <c r="B113" s="359"/>
      <c r="C113" s="507"/>
      <c r="D113" s="508"/>
      <c r="E113" s="316"/>
      <c r="F113" s="359"/>
      <c r="G113" s="425"/>
      <c r="H113" s="359"/>
      <c r="I113" s="316"/>
      <c r="J113" s="359"/>
      <c r="K113" s="425"/>
      <c r="L113" s="359"/>
      <c r="M113" s="316"/>
      <c r="N113" s="359"/>
      <c r="O113" s="425"/>
      <c r="P113" s="359"/>
      <c r="Q113" s="316"/>
      <c r="R113" s="316"/>
      <c r="S113" s="536"/>
      <c r="T113" s="316"/>
      <c r="V113" s="359"/>
      <c r="W113" s="425"/>
      <c r="X113" s="426"/>
    </row>
    <row r="114" spans="2:24" ht="25.5">
      <c r="B114" s="598" t="s">
        <v>707</v>
      </c>
      <c r="C114" s="509" t="s">
        <v>682</v>
      </c>
      <c r="D114" s="510" t="s">
        <v>683</v>
      </c>
      <c r="E114" s="434"/>
      <c r="F114" s="598" t="s">
        <v>707</v>
      </c>
      <c r="G114" s="393" t="s">
        <v>682</v>
      </c>
      <c r="H114" s="496" t="s">
        <v>683</v>
      </c>
      <c r="I114" s="434"/>
      <c r="J114" s="598" t="s">
        <v>707</v>
      </c>
      <c r="K114" s="393" t="s">
        <v>682</v>
      </c>
      <c r="L114" s="496" t="s">
        <v>683</v>
      </c>
      <c r="M114" s="434"/>
      <c r="N114" s="598" t="s">
        <v>707</v>
      </c>
      <c r="O114" s="393" t="s">
        <v>682</v>
      </c>
      <c r="P114" s="496" t="s">
        <v>683</v>
      </c>
      <c r="Q114" s="434"/>
      <c r="R114" s="599"/>
      <c r="S114" s="578"/>
      <c r="T114" s="503"/>
      <c r="V114" s="600" t="s">
        <v>707</v>
      </c>
      <c r="W114" s="393" t="s">
        <v>682</v>
      </c>
      <c r="X114" s="497" t="s">
        <v>683</v>
      </c>
    </row>
    <row r="115" spans="2:24" s="359" customFormat="1" ht="11.25">
      <c r="B115" s="438" t="s">
        <v>251</v>
      </c>
      <c r="C115" s="249">
        <f>C96</f>
        <v>16.21</v>
      </c>
      <c r="D115" s="498">
        <f>D96</f>
        <v>8882.7921036397274</v>
      </c>
      <c r="E115" s="443"/>
      <c r="F115" s="438" t="s">
        <v>251</v>
      </c>
      <c r="G115" s="249">
        <f>G96</f>
        <v>15.23</v>
      </c>
      <c r="H115" s="498">
        <f>H96</f>
        <v>4151.2407952106396</v>
      </c>
      <c r="I115" s="443"/>
      <c r="J115" s="438" t="s">
        <v>251</v>
      </c>
      <c r="K115" s="249">
        <f>K96</f>
        <v>16.7</v>
      </c>
      <c r="L115" s="498">
        <f>L96</f>
        <v>4757.2634730538903</v>
      </c>
      <c r="M115" s="443"/>
      <c r="N115" s="438" t="s">
        <v>251</v>
      </c>
      <c r="O115" s="249">
        <f>O96</f>
        <v>19.64</v>
      </c>
      <c r="P115" s="498">
        <f>P96</f>
        <v>3785.5590631364562</v>
      </c>
      <c r="Q115" s="443"/>
      <c r="R115" s="271"/>
      <c r="S115" s="280"/>
      <c r="T115" s="443"/>
      <c r="V115" s="441" t="s">
        <v>251</v>
      </c>
      <c r="W115" s="249">
        <f>W96</f>
        <v>20.9</v>
      </c>
      <c r="X115" s="250">
        <f>X96</f>
        <v>4231.3544438003282</v>
      </c>
    </row>
    <row r="116" spans="2:24" s="359" customFormat="1" ht="11.25">
      <c r="B116" s="438" t="s">
        <v>252</v>
      </c>
      <c r="C116" s="252">
        <f>SUMPRODUCT(C97,D97)/SUM(D97)</f>
        <v>22.41</v>
      </c>
      <c r="D116" s="442">
        <f>SUM(D97)</f>
        <v>31081.591700133868</v>
      </c>
      <c r="E116" s="443"/>
      <c r="F116" s="438" t="s">
        <v>252</v>
      </c>
      <c r="G116" s="252">
        <f>SUMPRODUCT(G97,H97)/SUM(H97)</f>
        <v>21.06</v>
      </c>
      <c r="H116" s="442">
        <f>SUM(H97)</f>
        <v>8050.5254911524798</v>
      </c>
      <c r="I116" s="443"/>
      <c r="J116" s="438" t="s">
        <v>252</v>
      </c>
      <c r="K116" s="252">
        <f>SUMPRODUCT(K97,L97)/SUM(L97)</f>
        <v>23.5</v>
      </c>
      <c r="L116" s="442">
        <f>SUM(L97)</f>
        <v>16571.597446808501</v>
      </c>
      <c r="M116" s="443"/>
      <c r="N116" s="438" t="s">
        <v>252</v>
      </c>
      <c r="O116" s="252">
        <f>SUMPRODUCT(O97,P97)/SUM(P97)</f>
        <v>27.64</v>
      </c>
      <c r="P116" s="442">
        <f>SUM(P97)</f>
        <v>16821.488060781474</v>
      </c>
      <c r="Q116" s="443"/>
      <c r="R116" s="271"/>
      <c r="S116" s="280"/>
      <c r="T116" s="443"/>
      <c r="V116" s="441" t="s">
        <v>252</v>
      </c>
      <c r="W116" s="252">
        <f>SUMPRODUCT(W97,X97)/SUM(X97)</f>
        <v>29.3</v>
      </c>
      <c r="X116" s="253">
        <f>SUM(X97)</f>
        <v>13814.53699958082</v>
      </c>
    </row>
    <row r="117" spans="2:24" s="359" customFormat="1" ht="11.25">
      <c r="B117" s="438" t="s">
        <v>253</v>
      </c>
      <c r="C117" s="254">
        <f>SUMPRODUCT(C98:C100,D98:D100)/SUM(D98:D100)</f>
        <v>30.880147554505786</v>
      </c>
      <c r="D117" s="444">
        <f>SUM(D98:D100)</f>
        <v>23615.545512300941</v>
      </c>
      <c r="E117" s="443"/>
      <c r="F117" s="438" t="s">
        <v>253</v>
      </c>
      <c r="G117" s="254">
        <f>SUMPRODUCT(G98:G100,H98:H100)/SUM(H98:H100)</f>
        <v>29.16596194812238</v>
      </c>
      <c r="H117" s="444">
        <f>SUM(H98:H100)</f>
        <v>19814.150410724658</v>
      </c>
      <c r="I117" s="443"/>
      <c r="J117" s="438" t="s">
        <v>253</v>
      </c>
      <c r="K117" s="254">
        <f>SUMPRODUCT(K98:K100,L98:L100)/SUM(L98:L100)</f>
        <v>30.821059755242683</v>
      </c>
      <c r="L117" s="444">
        <f>SUM(L98:L100)</f>
        <v>27833.38525061835</v>
      </c>
      <c r="M117" s="443"/>
      <c r="N117" s="438" t="s">
        <v>253</v>
      </c>
      <c r="O117" s="254">
        <f>SUMPRODUCT(O98:O100,P98:P100)/SUM(P98:P100)</f>
        <v>35.099178555816955</v>
      </c>
      <c r="P117" s="444">
        <f>SUM(P98:P100)</f>
        <v>18630.461934033709</v>
      </c>
      <c r="Q117" s="443"/>
      <c r="R117" s="271"/>
      <c r="S117" s="280"/>
      <c r="T117" s="443"/>
      <c r="V117" s="441" t="s">
        <v>253</v>
      </c>
      <c r="W117" s="254">
        <f>SUMPRODUCT(W98:W100,X98:X100)/SUM(X98:X100)</f>
        <v>37.2771758745033</v>
      </c>
      <c r="X117" s="255">
        <f>SUM(X98:X100)</f>
        <v>22092.665865125575</v>
      </c>
    </row>
    <row r="118" spans="2:24" s="359" customFormat="1" ht="11.25">
      <c r="B118" s="438" t="s">
        <v>255</v>
      </c>
      <c r="C118" s="256">
        <f>SUMPRODUCT(C101:C103,D101:D103)/SUM(D101:D103)</f>
        <v>53.814533210860375</v>
      </c>
      <c r="D118" s="445">
        <f>SUM(D101:D103)</f>
        <v>79992.047373761423</v>
      </c>
      <c r="E118" s="443"/>
      <c r="F118" s="438" t="s">
        <v>255</v>
      </c>
      <c r="G118" s="256">
        <f>SUMPRODUCT(G101:G103,H101:H103)/SUM(H101:H103)</f>
        <v>55.820886684363202</v>
      </c>
      <c r="H118" s="445">
        <f>SUM(H101:H103)</f>
        <v>38396.943027869915</v>
      </c>
      <c r="I118" s="443"/>
      <c r="J118" s="438" t="s">
        <v>255</v>
      </c>
      <c r="K118" s="256">
        <f>SUMPRODUCT(K101:K103,L101:L103)/SUM(L101:L103)</f>
        <v>47.168250306315855</v>
      </c>
      <c r="L118" s="445">
        <f>SUM(L101:L103)</f>
        <v>58175.713158318453</v>
      </c>
      <c r="M118" s="443"/>
      <c r="N118" s="438" t="s">
        <v>255</v>
      </c>
      <c r="O118" s="256">
        <f>SUMPRODUCT(O101:O103,P101:P103)/SUM(P101:P103)</f>
        <v>54.42242186055848</v>
      </c>
      <c r="P118" s="445">
        <f>SUM(P101:P103)</f>
        <v>46822.613600861354</v>
      </c>
      <c r="Q118" s="443"/>
      <c r="R118" s="271"/>
      <c r="S118" s="280"/>
      <c r="T118" s="443"/>
      <c r="V118" s="441" t="s">
        <v>255</v>
      </c>
      <c r="W118" s="256">
        <f>SUMPRODUCT(W101:W103,X101:X103)/SUM(X101:X103)</f>
        <v>59.735649699023455</v>
      </c>
      <c r="X118" s="257">
        <f>SUM(X101:X103)</f>
        <v>47798.423262349905</v>
      </c>
    </row>
    <row r="119" spans="2:24" s="359" customFormat="1" ht="11.25">
      <c r="B119" s="438" t="s">
        <v>254</v>
      </c>
      <c r="C119" s="258">
        <f>SUMPRODUCT(C104:C107,D104:D107)/SUM(D104:D107)</f>
        <v>147.54096842427572</v>
      </c>
      <c r="D119" s="499">
        <f>SUM(D104:D107)</f>
        <v>17756.215564930204</v>
      </c>
      <c r="E119" s="443"/>
      <c r="F119" s="438" t="s">
        <v>254</v>
      </c>
      <c r="G119" s="258">
        <f>SUMPRODUCT(G104:G107,H104:H107)/SUM(H104:H107)</f>
        <v>142.09905027862339</v>
      </c>
      <c r="H119" s="499">
        <f>SUM(H104:H107)</f>
        <v>13293.030891253238</v>
      </c>
      <c r="I119" s="443"/>
      <c r="J119" s="438" t="s">
        <v>254</v>
      </c>
      <c r="K119" s="258">
        <f>SUMPRODUCT(K104:K107,L104:L107)/SUM(L104:L107)</f>
        <v>138.40275780877832</v>
      </c>
      <c r="L119" s="499">
        <f>SUM(L104:L107)</f>
        <v>7359.8313800029882</v>
      </c>
      <c r="M119" s="601"/>
      <c r="N119" s="449" t="s">
        <v>254</v>
      </c>
      <c r="O119" s="258">
        <f>SUMPRODUCT(O104:O107,P104:P107)/SUM(P104:P107)</f>
        <v>158.91049336321731</v>
      </c>
      <c r="P119" s="499">
        <f>SUM(P104:P107)</f>
        <v>11697.479132175829</v>
      </c>
      <c r="Q119" s="443"/>
      <c r="R119" s="271"/>
      <c r="S119" s="280"/>
      <c r="T119" s="443"/>
      <c r="V119" s="441" t="s">
        <v>254</v>
      </c>
      <c r="W119" s="258">
        <f>SUMPRODUCT(W104:W107,X104:X107)/SUM(X104:X107)</f>
        <v>164.86301681391964</v>
      </c>
      <c r="X119" s="268">
        <f>SUM(X104:X107)</f>
        <v>10783.447134477352</v>
      </c>
    </row>
    <row r="120" spans="2:24">
      <c r="B120" s="450" t="s">
        <v>680</v>
      </c>
      <c r="C120" s="451">
        <f>SUMPRODUCT(C115:C119,D115:D119)</f>
        <v>8494283.9900000002</v>
      </c>
      <c r="D120" s="511"/>
      <c r="E120" s="443"/>
      <c r="F120" s="450" t="s">
        <v>680</v>
      </c>
      <c r="G120" s="451">
        <f>SUMPRODUCT(G115:G119,H115:H119)</f>
        <v>4842944.6918244623</v>
      </c>
      <c r="H120" s="511"/>
      <c r="I120" s="443"/>
      <c r="J120" s="450" t="s">
        <v>680</v>
      </c>
      <c r="K120" s="451">
        <f>SUMPRODUCT(K115:K119,L115:L119)</f>
        <v>5089400.8299999963</v>
      </c>
      <c r="L120" s="511"/>
      <c r="M120" s="443"/>
      <c r="N120" s="602" t="s">
        <v>680</v>
      </c>
      <c r="O120" s="451">
        <f>SUMPRODUCT(O115:O119,P115:P119)</f>
        <v>5600260.4299999997</v>
      </c>
      <c r="P120" s="511"/>
      <c r="Q120" s="443"/>
      <c r="R120" s="543"/>
      <c r="S120" s="443"/>
      <c r="T120" s="443"/>
      <c r="V120" s="603" t="s">
        <v>680</v>
      </c>
      <c r="W120" s="451">
        <f>SUMPRODUCT(W115:W119,X115:X119)</f>
        <v>5949814.9273628071</v>
      </c>
      <c r="X120" s="604"/>
    </row>
    <row r="121" spans="2:24">
      <c r="R121" s="238"/>
      <c r="S121" s="238"/>
      <c r="T121" s="238"/>
    </row>
    <row r="122" spans="2:24">
      <c r="R122" s="238"/>
      <c r="S122" s="238"/>
      <c r="T122" s="238"/>
    </row>
    <row r="144" spans="6:6">
      <c r="F144" s="605"/>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rgb="FFCCFFCC"/>
  </sheetPr>
  <dimension ref="A2:Y126"/>
  <sheetViews>
    <sheetView showGridLines="0" zoomScale="85" zoomScaleNormal="85" workbookViewId="0"/>
  </sheetViews>
  <sheetFormatPr defaultRowHeight="12.75"/>
  <cols>
    <col min="1" max="1" width="9.140625" style="210"/>
    <col min="2" max="2" width="47.7109375" style="210" bestFit="1" customWidth="1"/>
    <col min="3" max="3" width="11.140625" style="210" bestFit="1" customWidth="1"/>
    <col min="4" max="4" width="8.28515625" style="210" customWidth="1"/>
    <col min="5" max="5" width="8.28515625" style="238" customWidth="1"/>
    <col min="6" max="6" width="44.85546875" style="210" bestFit="1" customWidth="1"/>
    <col min="7" max="7" width="11.140625" style="210" bestFit="1" customWidth="1"/>
    <col min="8" max="8" width="8.7109375" style="210" bestFit="1" customWidth="1"/>
    <col min="9" max="9" width="8.7109375" style="238" customWidth="1"/>
    <col min="10" max="10" width="44.85546875" style="210" bestFit="1" customWidth="1"/>
    <col min="11" max="11" width="11.140625" style="210" bestFit="1" customWidth="1"/>
    <col min="12" max="12" width="8.140625" style="210" bestFit="1" customWidth="1"/>
    <col min="13" max="13" width="8.140625" style="238" customWidth="1"/>
    <col min="14" max="14" width="47.5703125" style="210" bestFit="1" customWidth="1"/>
    <col min="15" max="15" width="11.140625" style="210" bestFit="1" customWidth="1"/>
    <col min="16" max="16" width="8.140625" style="210" bestFit="1" customWidth="1"/>
    <col min="17" max="17" width="8.140625" style="238" customWidth="1"/>
    <col min="18" max="18" width="47.5703125" style="210" bestFit="1" customWidth="1"/>
    <col min="19" max="19" width="9.85546875" style="210" bestFit="1" customWidth="1"/>
    <col min="20" max="20" width="8.140625" style="210" bestFit="1" customWidth="1"/>
    <col min="21" max="21" width="8.140625" style="238" customWidth="1"/>
    <col min="22" max="22" width="36.5703125" style="210" bestFit="1" customWidth="1"/>
    <col min="23" max="23" width="11.140625" style="210" bestFit="1" customWidth="1"/>
    <col min="24" max="24" width="10.42578125" style="210" bestFit="1" customWidth="1"/>
    <col min="25" max="16384" width="9.140625" style="210"/>
  </cols>
  <sheetData>
    <row r="2" spans="1:25" ht="15.75">
      <c r="B2" s="240" t="s">
        <v>649</v>
      </c>
      <c r="C2" s="240" t="s">
        <v>650</v>
      </c>
      <c r="D2" s="240"/>
      <c r="E2" s="240"/>
      <c r="F2" s="240" t="s">
        <v>325</v>
      </c>
      <c r="G2" s="291"/>
      <c r="H2" s="292"/>
      <c r="I2" s="293"/>
      <c r="J2" s="293"/>
      <c r="K2" s="291"/>
      <c r="L2" s="292"/>
      <c r="M2" s="293"/>
      <c r="N2" s="293"/>
      <c r="O2" s="293"/>
      <c r="P2" s="293"/>
      <c r="Q2" s="293"/>
      <c r="R2" s="293"/>
      <c r="S2" s="293"/>
      <c r="T2" s="293"/>
      <c r="U2" s="210"/>
      <c r="V2" s="294" t="s">
        <v>651</v>
      </c>
      <c r="W2" s="295"/>
      <c r="X2" s="295"/>
    </row>
    <row r="4" spans="1:25">
      <c r="B4" s="296" t="s">
        <v>1403</v>
      </c>
      <c r="C4" s="297" t="s">
        <v>1404</v>
      </c>
      <c r="D4" s="297"/>
      <c r="E4" s="297"/>
      <c r="F4" s="297"/>
      <c r="G4" s="297"/>
      <c r="H4" s="297"/>
      <c r="I4" s="297"/>
      <c r="J4" s="298"/>
      <c r="M4" s="210"/>
      <c r="Q4" s="210"/>
      <c r="U4" s="210"/>
    </row>
    <row r="5" spans="1:25">
      <c r="B5" s="299" t="s">
        <v>1405</v>
      </c>
      <c r="C5" s="300" t="s">
        <v>1406</v>
      </c>
      <c r="D5" s="300"/>
      <c r="E5" s="300"/>
      <c r="F5" s="300"/>
      <c r="G5" s="300"/>
      <c r="H5" s="300"/>
      <c r="I5" s="300"/>
      <c r="J5" s="301"/>
      <c r="M5" s="210"/>
      <c r="Q5" s="210"/>
      <c r="U5" s="210"/>
    </row>
    <row r="6" spans="1:25">
      <c r="B6" s="302" t="s">
        <v>1407</v>
      </c>
      <c r="C6" s="303" t="s">
        <v>1408</v>
      </c>
      <c r="D6" s="303"/>
      <c r="E6" s="303"/>
      <c r="F6" s="303"/>
      <c r="G6" s="303"/>
      <c r="H6" s="303"/>
      <c r="I6" s="303"/>
      <c r="J6" s="304"/>
    </row>
    <row r="7" spans="1:25">
      <c r="B7" s="305" t="s">
        <v>1409</v>
      </c>
      <c r="C7" s="306" t="s">
        <v>1410</v>
      </c>
      <c r="D7" s="306"/>
      <c r="E7" s="306"/>
      <c r="F7" s="306"/>
      <c r="G7" s="306"/>
      <c r="H7" s="306"/>
      <c r="I7" s="306"/>
      <c r="J7" s="307"/>
    </row>
    <row r="8" spans="1:25">
      <c r="B8" s="1105" t="s">
        <v>1411</v>
      </c>
      <c r="C8" s="308" t="s">
        <v>1438</v>
      </c>
      <c r="D8" s="308"/>
      <c r="E8" s="308"/>
      <c r="F8" s="308"/>
      <c r="G8" s="308"/>
      <c r="H8" s="308"/>
      <c r="I8" s="308"/>
      <c r="J8" s="309"/>
    </row>
    <row r="9" spans="1:25">
      <c r="B9" s="310" t="s">
        <v>1415</v>
      </c>
      <c r="C9" s="311" t="s">
        <v>1416</v>
      </c>
      <c r="D9" s="311"/>
      <c r="E9" s="311"/>
      <c r="F9" s="311"/>
      <c r="G9" s="311"/>
      <c r="H9" s="311"/>
      <c r="I9" s="311"/>
      <c r="J9" s="312"/>
    </row>
    <row r="10" spans="1:25">
      <c r="A10" s="209"/>
      <c r="B10" s="209"/>
      <c r="C10" s="209"/>
      <c r="D10" s="209"/>
      <c r="F10" s="209"/>
      <c r="G10" s="209"/>
      <c r="H10" s="209"/>
      <c r="J10" s="209"/>
      <c r="K10" s="209"/>
    </row>
    <row r="11" spans="1:25" s="209" customFormat="1" ht="15.75">
      <c r="A11" s="313"/>
      <c r="B11" s="314" t="s">
        <v>655</v>
      </c>
      <c r="C11" s="315"/>
      <c r="D11" s="316"/>
      <c r="E11" s="316"/>
      <c r="F11" s="316"/>
      <c r="G11" s="316"/>
      <c r="H11" s="316"/>
      <c r="I11" s="316"/>
      <c r="J11" s="316"/>
      <c r="K11" s="316"/>
      <c r="L11" s="316"/>
      <c r="M11" s="316"/>
      <c r="N11" s="316"/>
      <c r="O11" s="316"/>
      <c r="P11" s="316"/>
      <c r="Q11" s="316"/>
      <c r="R11" s="316"/>
      <c r="S11" s="316"/>
      <c r="T11" s="316"/>
      <c r="U11" s="316"/>
      <c r="V11" s="313"/>
      <c r="W11" s="313"/>
    </row>
    <row r="12" spans="1:25">
      <c r="B12" s="317"/>
      <c r="C12" s="1192">
        <v>2009</v>
      </c>
      <c r="D12" s="1194"/>
      <c r="E12" s="318"/>
      <c r="F12" s="319"/>
      <c r="G12" s="1192">
        <v>2010</v>
      </c>
      <c r="H12" s="1194"/>
      <c r="I12" s="318"/>
      <c r="J12" s="320"/>
      <c r="K12" s="1192">
        <v>2011</v>
      </c>
      <c r="L12" s="1194"/>
      <c r="M12" s="321"/>
      <c r="N12" s="319"/>
      <c r="O12" s="1190">
        <v>2012</v>
      </c>
      <c r="P12" s="1194"/>
      <c r="Q12" s="321"/>
      <c r="R12" s="319"/>
      <c r="S12" s="1190">
        <v>2013</v>
      </c>
      <c r="T12" s="1194"/>
      <c r="U12" s="321"/>
      <c r="V12" s="319" t="s">
        <v>656</v>
      </c>
      <c r="W12" s="1190" t="s">
        <v>657</v>
      </c>
      <c r="X12" s="1194"/>
    </row>
    <row r="13" spans="1:25">
      <c r="B13" s="322" t="s">
        <v>658</v>
      </c>
      <c r="C13" s="322" t="s">
        <v>632</v>
      </c>
      <c r="D13" s="323" t="s">
        <v>633</v>
      </c>
      <c r="E13" s="324"/>
      <c r="F13" s="322" t="s">
        <v>658</v>
      </c>
      <c r="G13" s="323" t="s">
        <v>632</v>
      </c>
      <c r="H13" s="323" t="s">
        <v>633</v>
      </c>
      <c r="I13" s="324"/>
      <c r="J13" s="322" t="s">
        <v>658</v>
      </c>
      <c r="K13" s="323" t="s">
        <v>632</v>
      </c>
      <c r="L13" s="323" t="s">
        <v>633</v>
      </c>
      <c r="M13" s="324"/>
      <c r="N13" s="323" t="s">
        <v>658</v>
      </c>
      <c r="O13" s="325" t="s">
        <v>632</v>
      </c>
      <c r="P13" s="323" t="s">
        <v>633</v>
      </c>
      <c r="Q13" s="324"/>
      <c r="R13" s="323" t="s">
        <v>658</v>
      </c>
      <c r="S13" s="325" t="s">
        <v>632</v>
      </c>
      <c r="T13" s="323" t="s">
        <v>633</v>
      </c>
      <c r="U13" s="324"/>
      <c r="V13" s="323" t="s">
        <v>658</v>
      </c>
      <c r="W13" s="325" t="s">
        <v>632</v>
      </c>
      <c r="X13" s="323" t="s">
        <v>633</v>
      </c>
    </row>
    <row r="14" spans="1:25">
      <c r="B14" s="326" t="s">
        <v>659</v>
      </c>
      <c r="C14" s="327">
        <v>5222.28</v>
      </c>
      <c r="D14" s="328">
        <v>28.815300988495299</v>
      </c>
      <c r="E14" s="329"/>
      <c r="F14" s="330" t="s">
        <v>659</v>
      </c>
      <c r="G14" s="331">
        <v>5073.28</v>
      </c>
      <c r="H14" s="332">
        <v>29.385760379353922</v>
      </c>
      <c r="I14" s="329"/>
      <c r="J14" s="333" t="s">
        <v>660</v>
      </c>
      <c r="K14" s="334">
        <v>5622.13</v>
      </c>
      <c r="L14" s="335">
        <v>30.490257243802681</v>
      </c>
      <c r="M14" s="329"/>
      <c r="N14" s="333" t="s">
        <v>660</v>
      </c>
      <c r="O14" s="336">
        <v>6371</v>
      </c>
      <c r="P14" s="335">
        <v>33.148489439396265</v>
      </c>
      <c r="Q14" s="329"/>
      <c r="R14" s="337" t="s">
        <v>661</v>
      </c>
      <c r="S14" s="336">
        <v>5869.62</v>
      </c>
      <c r="T14" s="338"/>
      <c r="U14" s="329"/>
      <c r="V14" s="337" t="s">
        <v>661</v>
      </c>
      <c r="W14" s="336">
        <f>S14</f>
        <v>5869.62</v>
      </c>
      <c r="X14" s="339">
        <f>(H14+L14+P14)/3</f>
        <v>31.008169020850954</v>
      </c>
    </row>
    <row r="15" spans="1:25">
      <c r="B15" s="326" t="s">
        <v>662</v>
      </c>
      <c r="C15" s="340">
        <v>1715.89</v>
      </c>
      <c r="D15" s="341">
        <v>235.9948494171534</v>
      </c>
      <c r="E15" s="329"/>
      <c r="F15" s="342" t="s">
        <v>662</v>
      </c>
      <c r="G15" s="343">
        <v>1666.93</v>
      </c>
      <c r="H15" s="341">
        <v>255.60941866133263</v>
      </c>
      <c r="I15" s="329"/>
      <c r="J15" s="344" t="s">
        <v>663</v>
      </c>
      <c r="K15" s="345">
        <v>1847.26</v>
      </c>
      <c r="L15" s="341">
        <v>256.9999354952518</v>
      </c>
      <c r="M15" s="329"/>
      <c r="N15" s="344" t="s">
        <v>663</v>
      </c>
      <c r="O15" s="346">
        <v>2093</v>
      </c>
      <c r="P15" s="341">
        <v>256.29310309233432</v>
      </c>
      <c r="Q15" s="329"/>
      <c r="R15" s="326" t="s">
        <v>664</v>
      </c>
      <c r="S15" s="346">
        <v>1928.32</v>
      </c>
      <c r="T15" s="347"/>
      <c r="U15" s="329"/>
      <c r="V15" s="326" t="s">
        <v>664</v>
      </c>
      <c r="W15" s="346">
        <f t="shared" ref="W15:W29" si="0">S15</f>
        <v>1928.32</v>
      </c>
      <c r="X15" s="348">
        <f t="shared" ref="X15:X30" si="1">(H15+L15+P15)/3</f>
        <v>256.30081908297296</v>
      </c>
    </row>
    <row r="16" spans="1:25">
      <c r="B16" s="326" t="s">
        <v>665</v>
      </c>
      <c r="C16" s="340">
        <v>663.96</v>
      </c>
      <c r="D16" s="341">
        <v>5.9366000289410108</v>
      </c>
      <c r="E16" s="329"/>
      <c r="F16" s="342" t="s">
        <v>665</v>
      </c>
      <c r="G16" s="349">
        <v>645.02</v>
      </c>
      <c r="H16" s="341">
        <v>36.089108444180169</v>
      </c>
      <c r="I16" s="329"/>
      <c r="J16" s="342" t="s">
        <v>665</v>
      </c>
      <c r="K16" s="345">
        <v>714.79</v>
      </c>
      <c r="L16" s="341">
        <v>28.249995465657083</v>
      </c>
      <c r="M16" s="329"/>
      <c r="N16" s="342" t="s">
        <v>665</v>
      </c>
      <c r="O16" s="346">
        <v>810</v>
      </c>
      <c r="P16" s="341">
        <v>20.24685539389753</v>
      </c>
      <c r="Q16" s="329"/>
      <c r="R16" s="342" t="s">
        <v>665</v>
      </c>
      <c r="S16" s="346">
        <v>746.3</v>
      </c>
      <c r="T16" s="347"/>
      <c r="U16" s="329"/>
      <c r="V16" s="342" t="s">
        <v>665</v>
      </c>
      <c r="W16" s="346">
        <f t="shared" si="0"/>
        <v>746.3</v>
      </c>
      <c r="X16" s="348">
        <f t="shared" si="1"/>
        <v>28.195319767911595</v>
      </c>
      <c r="Y16" s="350"/>
    </row>
    <row r="17" spans="2:24">
      <c r="B17" s="326" t="s">
        <v>666</v>
      </c>
      <c r="C17" s="340">
        <v>569.97</v>
      </c>
      <c r="D17" s="341">
        <v>112.98220040750883</v>
      </c>
      <c r="E17" s="329"/>
      <c r="F17" s="342" t="s">
        <v>666</v>
      </c>
      <c r="G17" s="349">
        <v>553.71</v>
      </c>
      <c r="H17" s="341">
        <v>115.02363229878057</v>
      </c>
      <c r="I17" s="329"/>
      <c r="J17" s="342" t="s">
        <v>666</v>
      </c>
      <c r="K17" s="345">
        <v>613.6</v>
      </c>
      <c r="L17" s="341">
        <v>118.6531811614211</v>
      </c>
      <c r="M17" s="329"/>
      <c r="N17" s="326" t="s">
        <v>666</v>
      </c>
      <c r="O17" s="346">
        <v>695</v>
      </c>
      <c r="P17" s="341">
        <v>119.11257066921475</v>
      </c>
      <c r="Q17" s="329"/>
      <c r="R17" s="326" t="s">
        <v>666</v>
      </c>
      <c r="S17" s="346">
        <v>640.35</v>
      </c>
      <c r="T17" s="347"/>
      <c r="U17" s="329"/>
      <c r="V17" s="326" t="s">
        <v>666</v>
      </c>
      <c r="W17" s="346">
        <f t="shared" si="0"/>
        <v>640.35</v>
      </c>
      <c r="X17" s="348">
        <f t="shared" si="1"/>
        <v>117.59646137647213</v>
      </c>
    </row>
    <row r="18" spans="2:24" s="359" customFormat="1" ht="11.25">
      <c r="B18" s="326" t="s">
        <v>667</v>
      </c>
      <c r="C18" s="351">
        <v>380.48</v>
      </c>
      <c r="D18" s="352">
        <v>148.87421450546802</v>
      </c>
      <c r="E18" s="329"/>
      <c r="F18" s="342" t="s">
        <v>667</v>
      </c>
      <c r="G18" s="353">
        <v>369.62</v>
      </c>
      <c r="H18" s="354">
        <v>148.14111360745881</v>
      </c>
      <c r="I18" s="355"/>
      <c r="J18" s="342" t="s">
        <v>667</v>
      </c>
      <c r="K18" s="356">
        <v>409.6</v>
      </c>
      <c r="L18" s="352">
        <v>147.71959102227831</v>
      </c>
      <c r="M18" s="329"/>
      <c r="N18" s="326" t="s">
        <v>667</v>
      </c>
      <c r="O18" s="357">
        <v>464</v>
      </c>
      <c r="P18" s="352">
        <v>143.64274037283548</v>
      </c>
      <c r="Q18" s="329"/>
      <c r="R18" s="326" t="s">
        <v>667</v>
      </c>
      <c r="S18" s="357">
        <v>427.54</v>
      </c>
      <c r="T18" s="347"/>
      <c r="U18" s="329"/>
      <c r="V18" s="326" t="s">
        <v>667</v>
      </c>
      <c r="W18" s="357">
        <f t="shared" si="0"/>
        <v>427.54</v>
      </c>
      <c r="X18" s="358">
        <f t="shared" si="1"/>
        <v>146.50114833419087</v>
      </c>
    </row>
    <row r="19" spans="2:24" s="359" customFormat="1" ht="11.25">
      <c r="B19" s="326" t="s">
        <v>668</v>
      </c>
      <c r="C19" s="351">
        <v>188</v>
      </c>
      <c r="D19" s="352">
        <v>86.123597402458287</v>
      </c>
      <c r="E19" s="329"/>
      <c r="F19" s="342" t="s">
        <v>668</v>
      </c>
      <c r="G19" s="353">
        <v>182.64</v>
      </c>
      <c r="H19" s="354">
        <v>79.837370480985058</v>
      </c>
      <c r="I19" s="355"/>
      <c r="J19" s="342" t="s">
        <v>668</v>
      </c>
      <c r="K19" s="356">
        <v>202.39</v>
      </c>
      <c r="L19" s="352">
        <v>74.080789679964624</v>
      </c>
      <c r="M19" s="329"/>
      <c r="N19" s="326" t="s">
        <v>668</v>
      </c>
      <c r="O19" s="357">
        <v>229</v>
      </c>
      <c r="P19" s="352">
        <v>73.311519678180446</v>
      </c>
      <c r="Q19" s="329"/>
      <c r="R19" s="326" t="s">
        <v>668</v>
      </c>
      <c r="S19" s="357">
        <v>211.04</v>
      </c>
      <c r="T19" s="347"/>
      <c r="U19" s="329"/>
      <c r="V19" s="326" t="s">
        <v>668</v>
      </c>
      <c r="W19" s="357">
        <f t="shared" si="0"/>
        <v>211.04</v>
      </c>
      <c r="X19" s="358">
        <f t="shared" si="1"/>
        <v>75.743226613043376</v>
      </c>
    </row>
    <row r="20" spans="2:24" s="359" customFormat="1" ht="11.25">
      <c r="B20" s="326" t="s">
        <v>669</v>
      </c>
      <c r="C20" s="351">
        <v>188</v>
      </c>
      <c r="D20" s="352">
        <v>5.3394718348053809</v>
      </c>
      <c r="E20" s="329"/>
      <c r="F20" s="342" t="s">
        <v>669</v>
      </c>
      <c r="G20" s="353">
        <v>182.64</v>
      </c>
      <c r="H20" s="352">
        <v>4.9079246402364651</v>
      </c>
      <c r="I20" s="329"/>
      <c r="J20" s="342" t="s">
        <v>669</v>
      </c>
      <c r="K20" s="356">
        <v>202.39</v>
      </c>
      <c r="L20" s="352">
        <v>4.4164355108285394</v>
      </c>
      <c r="M20" s="329"/>
      <c r="N20" s="326" t="s">
        <v>669</v>
      </c>
      <c r="O20" s="357">
        <v>229</v>
      </c>
      <c r="P20" s="352">
        <v>4.0064721509214118</v>
      </c>
      <c r="Q20" s="329"/>
      <c r="R20" s="326" t="s">
        <v>669</v>
      </c>
      <c r="S20" s="357">
        <v>211.04</v>
      </c>
      <c r="T20" s="347"/>
      <c r="U20" s="329"/>
      <c r="V20" s="326" t="s">
        <v>669</v>
      </c>
      <c r="W20" s="357">
        <f t="shared" si="0"/>
        <v>211.04</v>
      </c>
      <c r="X20" s="358">
        <f t="shared" si="1"/>
        <v>4.4436107673288054</v>
      </c>
    </row>
    <row r="21" spans="2:24" s="359" customFormat="1" ht="11.25">
      <c r="B21" s="326" t="s">
        <v>670</v>
      </c>
      <c r="C21" s="351">
        <v>143.24</v>
      </c>
      <c r="D21" s="352">
        <v>16.471322691041664</v>
      </c>
      <c r="E21" s="329"/>
      <c r="F21" s="342" t="s">
        <v>670</v>
      </c>
      <c r="G21" s="353">
        <v>139.15</v>
      </c>
      <c r="H21" s="352">
        <v>13.980129048242524</v>
      </c>
      <c r="I21" s="329"/>
      <c r="J21" s="342" t="s">
        <v>670</v>
      </c>
      <c r="K21" s="356">
        <v>154.19</v>
      </c>
      <c r="L21" s="352">
        <v>13.937652079407892</v>
      </c>
      <c r="M21" s="329"/>
      <c r="N21" s="326" t="s">
        <v>670</v>
      </c>
      <c r="O21" s="357">
        <v>174.5</v>
      </c>
      <c r="P21" s="352">
        <v>12.020138456719996</v>
      </c>
      <c r="Q21" s="329"/>
      <c r="R21" s="326" t="s">
        <v>670</v>
      </c>
      <c r="S21" s="357">
        <v>160.83000000000001</v>
      </c>
      <c r="T21" s="347"/>
      <c r="U21" s="329"/>
      <c r="V21" s="326" t="s">
        <v>670</v>
      </c>
      <c r="W21" s="357">
        <f t="shared" si="0"/>
        <v>160.83000000000001</v>
      </c>
      <c r="X21" s="358">
        <f t="shared" si="1"/>
        <v>13.312639861456804</v>
      </c>
    </row>
    <row r="22" spans="2:24" s="359" customFormat="1" ht="11.25">
      <c r="B22" s="326" t="s">
        <v>671</v>
      </c>
      <c r="C22" s="351">
        <v>143.24</v>
      </c>
      <c r="D22" s="352">
        <v>144.68208137852696</v>
      </c>
      <c r="E22" s="329"/>
      <c r="F22" s="342" t="s">
        <v>671</v>
      </c>
      <c r="G22" s="353">
        <v>139.15</v>
      </c>
      <c r="H22" s="352">
        <v>139.02832306404053</v>
      </c>
      <c r="I22" s="329"/>
      <c r="J22" s="342" t="s">
        <v>671</v>
      </c>
      <c r="K22" s="356">
        <v>154.19</v>
      </c>
      <c r="L22" s="352">
        <v>142.27493311658986</v>
      </c>
      <c r="M22" s="329"/>
      <c r="N22" s="326" t="s">
        <v>671</v>
      </c>
      <c r="O22" s="357">
        <v>174.5</v>
      </c>
      <c r="P22" s="352">
        <v>149.20682326950947</v>
      </c>
      <c r="Q22" s="329"/>
      <c r="R22" s="326" t="s">
        <v>671</v>
      </c>
      <c r="S22" s="357">
        <v>160.83000000000001</v>
      </c>
      <c r="T22" s="347"/>
      <c r="U22" s="329"/>
      <c r="V22" s="326" t="s">
        <v>671</v>
      </c>
      <c r="W22" s="357">
        <f t="shared" si="0"/>
        <v>160.83000000000001</v>
      </c>
      <c r="X22" s="358">
        <f t="shared" si="1"/>
        <v>143.5033598167133</v>
      </c>
    </row>
    <row r="23" spans="2:24" s="359" customFormat="1" ht="11.25">
      <c r="B23" s="326" t="s">
        <v>672</v>
      </c>
      <c r="C23" s="351">
        <v>138.30000000000001</v>
      </c>
      <c r="D23" s="352">
        <v>87.928182669259627</v>
      </c>
      <c r="E23" s="329"/>
      <c r="F23" s="342" t="s">
        <v>672</v>
      </c>
      <c r="G23" s="353">
        <v>134.35</v>
      </c>
      <c r="H23" s="352">
        <v>89.857362690787213</v>
      </c>
      <c r="I23" s="329"/>
      <c r="J23" s="342" t="s">
        <v>672</v>
      </c>
      <c r="K23" s="356">
        <v>148.87</v>
      </c>
      <c r="L23" s="352">
        <v>95.582452615579811</v>
      </c>
      <c r="M23" s="329"/>
      <c r="N23" s="326" t="s">
        <v>672</v>
      </c>
      <c r="O23" s="357">
        <v>168.5</v>
      </c>
      <c r="P23" s="352">
        <v>93.310985591185201</v>
      </c>
      <c r="Q23" s="329"/>
      <c r="R23" s="326" t="s">
        <v>672</v>
      </c>
      <c r="S23" s="357">
        <v>155.29</v>
      </c>
      <c r="T23" s="347"/>
      <c r="U23" s="329"/>
      <c r="V23" s="326" t="s">
        <v>672</v>
      </c>
      <c r="W23" s="357">
        <f t="shared" si="0"/>
        <v>155.29</v>
      </c>
      <c r="X23" s="358">
        <f t="shared" si="1"/>
        <v>92.916933632517399</v>
      </c>
    </row>
    <row r="24" spans="2:24" s="359" customFormat="1" ht="11.25">
      <c r="B24" s="326" t="s">
        <v>673</v>
      </c>
      <c r="C24" s="351">
        <v>130.11000000000001</v>
      </c>
      <c r="D24" s="352">
        <v>501.94429544032721</v>
      </c>
      <c r="E24" s="329"/>
      <c r="F24" s="342" t="s">
        <v>673</v>
      </c>
      <c r="G24" s="353">
        <v>126.4</v>
      </c>
      <c r="H24" s="352">
        <v>498.7604970511868</v>
      </c>
      <c r="I24" s="329"/>
      <c r="J24" s="342" t="s">
        <v>673</v>
      </c>
      <c r="K24" s="356">
        <v>140.07</v>
      </c>
      <c r="L24" s="352">
        <v>490.0494665065105</v>
      </c>
      <c r="M24" s="329"/>
      <c r="N24" s="326" t="s">
        <v>673</v>
      </c>
      <c r="O24" s="357">
        <v>158.5</v>
      </c>
      <c r="P24" s="352">
        <v>480.57863228029618</v>
      </c>
      <c r="Q24" s="329"/>
      <c r="R24" s="326" t="s">
        <v>673</v>
      </c>
      <c r="S24" s="357">
        <v>146.08000000000001</v>
      </c>
      <c r="T24" s="347"/>
      <c r="U24" s="329"/>
      <c r="V24" s="326" t="s">
        <v>673</v>
      </c>
      <c r="W24" s="357">
        <f t="shared" si="0"/>
        <v>146.08000000000001</v>
      </c>
      <c r="X24" s="358">
        <f t="shared" si="1"/>
        <v>489.79619861266451</v>
      </c>
    </row>
    <row r="25" spans="2:24" s="359" customFormat="1" ht="11.25">
      <c r="B25" s="326" t="s">
        <v>674</v>
      </c>
      <c r="C25" s="360">
        <v>51.79</v>
      </c>
      <c r="D25" s="361">
        <v>641.09917102928603</v>
      </c>
      <c r="E25" s="329"/>
      <c r="F25" s="342" t="s">
        <v>674</v>
      </c>
      <c r="G25" s="362">
        <v>50.87</v>
      </c>
      <c r="H25" s="361">
        <v>584.82935690248337</v>
      </c>
      <c r="I25" s="329"/>
      <c r="J25" s="342" t="s">
        <v>674</v>
      </c>
      <c r="K25" s="363">
        <v>56.37</v>
      </c>
      <c r="L25" s="361">
        <v>609.04065091160442</v>
      </c>
      <c r="M25" s="329"/>
      <c r="N25" s="326" t="s">
        <v>674</v>
      </c>
      <c r="O25" s="364">
        <v>63.5</v>
      </c>
      <c r="P25" s="361">
        <v>614.37082298698397</v>
      </c>
      <c r="Q25" s="329"/>
      <c r="R25" s="326" t="s">
        <v>674</v>
      </c>
      <c r="S25" s="364">
        <v>58.53</v>
      </c>
      <c r="T25" s="347"/>
      <c r="U25" s="329"/>
      <c r="V25" s="326" t="s">
        <v>674</v>
      </c>
      <c r="W25" s="364">
        <f>S25</f>
        <v>58.53</v>
      </c>
      <c r="X25" s="365">
        <f t="shared" si="1"/>
        <v>602.74694360035721</v>
      </c>
    </row>
    <row r="26" spans="2:24" s="359" customFormat="1" ht="11.25">
      <c r="B26" s="366" t="s">
        <v>675</v>
      </c>
      <c r="C26" s="360">
        <v>51.79</v>
      </c>
      <c r="D26" s="361">
        <v>676.47128124724088</v>
      </c>
      <c r="E26" s="329"/>
      <c r="F26" s="367" t="s">
        <v>675</v>
      </c>
      <c r="G26" s="362">
        <v>50.87</v>
      </c>
      <c r="H26" s="361">
        <v>616.2262866835016</v>
      </c>
      <c r="I26" s="329"/>
      <c r="J26" s="367" t="s">
        <v>675</v>
      </c>
      <c r="K26" s="363">
        <v>56.37</v>
      </c>
      <c r="L26" s="361">
        <v>639.48453178820716</v>
      </c>
      <c r="M26" s="329"/>
      <c r="N26" s="366" t="s">
        <v>675</v>
      </c>
      <c r="O26" s="364">
        <v>63.5</v>
      </c>
      <c r="P26" s="361">
        <v>633.00948729709251</v>
      </c>
      <c r="Q26" s="329"/>
      <c r="R26" s="366" t="s">
        <v>675</v>
      </c>
      <c r="S26" s="364">
        <v>58.53</v>
      </c>
      <c r="T26" s="347"/>
      <c r="U26" s="329"/>
      <c r="V26" s="366" t="s">
        <v>675</v>
      </c>
      <c r="W26" s="364">
        <f t="shared" si="0"/>
        <v>58.53</v>
      </c>
      <c r="X26" s="365">
        <f t="shared" si="1"/>
        <v>629.57343525626709</v>
      </c>
    </row>
    <row r="27" spans="2:24" s="359" customFormat="1" ht="11.25">
      <c r="B27" s="366" t="s">
        <v>676</v>
      </c>
      <c r="C27" s="360">
        <v>51.79</v>
      </c>
      <c r="D27" s="361">
        <v>854.37829315682006</v>
      </c>
      <c r="E27" s="329"/>
      <c r="F27" s="367" t="s">
        <v>676</v>
      </c>
      <c r="G27" s="362">
        <v>50.87</v>
      </c>
      <c r="H27" s="361">
        <v>751.29652568792699</v>
      </c>
      <c r="I27" s="329"/>
      <c r="J27" s="367" t="s">
        <v>676</v>
      </c>
      <c r="K27" s="363">
        <v>56.37</v>
      </c>
      <c r="L27" s="361">
        <v>783.53218092720908</v>
      </c>
      <c r="M27" s="329"/>
      <c r="N27" s="366" t="s">
        <v>676</v>
      </c>
      <c r="O27" s="364">
        <v>63.5</v>
      </c>
      <c r="P27" s="361">
        <v>802.0923075922783</v>
      </c>
      <c r="Q27" s="329"/>
      <c r="R27" s="366" t="s">
        <v>676</v>
      </c>
      <c r="S27" s="364">
        <v>58.53</v>
      </c>
      <c r="T27" s="347"/>
      <c r="U27" s="329"/>
      <c r="V27" s="366" t="s">
        <v>676</v>
      </c>
      <c r="W27" s="364">
        <f t="shared" si="0"/>
        <v>58.53</v>
      </c>
      <c r="X27" s="365">
        <f t="shared" si="1"/>
        <v>778.9736714024715</v>
      </c>
    </row>
    <row r="28" spans="2:24" s="359" customFormat="1" ht="11.25">
      <c r="B28" s="366" t="s">
        <v>677</v>
      </c>
      <c r="C28" s="360">
        <v>15.36</v>
      </c>
      <c r="D28" s="361">
        <v>1576.825457017891</v>
      </c>
      <c r="E28" s="329"/>
      <c r="F28" s="367" t="s">
        <v>677</v>
      </c>
      <c r="G28" s="362">
        <v>15.09</v>
      </c>
      <c r="H28" s="361">
        <v>1347.0678710014888</v>
      </c>
      <c r="I28" s="329"/>
      <c r="J28" s="367" t="s">
        <v>677</v>
      </c>
      <c r="K28" s="363">
        <v>16.72</v>
      </c>
      <c r="L28" s="361">
        <v>1413.3121279102934</v>
      </c>
      <c r="M28" s="329"/>
      <c r="N28" s="366" t="s">
        <v>677</v>
      </c>
      <c r="O28" s="364">
        <v>18.75</v>
      </c>
      <c r="P28" s="361">
        <v>1440.474475621427</v>
      </c>
      <c r="Q28" s="329"/>
      <c r="R28" s="366" t="s">
        <v>677</v>
      </c>
      <c r="S28" s="364">
        <v>17.3</v>
      </c>
      <c r="T28" s="347"/>
      <c r="U28" s="329"/>
      <c r="V28" s="366" t="s">
        <v>677</v>
      </c>
      <c r="W28" s="364">
        <f t="shared" si="0"/>
        <v>17.3</v>
      </c>
      <c r="X28" s="365">
        <f t="shared" si="1"/>
        <v>1400.2848248444031</v>
      </c>
    </row>
    <row r="29" spans="2:24" s="359" customFormat="1" ht="11.25">
      <c r="B29" s="366" t="s">
        <v>678</v>
      </c>
      <c r="C29" s="368">
        <v>13.75</v>
      </c>
      <c r="D29" s="369">
        <v>48151.725703993958</v>
      </c>
      <c r="E29" s="329"/>
      <c r="F29" s="367" t="s">
        <v>678</v>
      </c>
      <c r="G29" s="370">
        <v>13.5</v>
      </c>
      <c r="H29" s="369">
        <v>49008.902754164825</v>
      </c>
      <c r="I29" s="329"/>
      <c r="J29" s="367" t="s">
        <v>678</v>
      </c>
      <c r="K29" s="371">
        <v>14.96</v>
      </c>
      <c r="L29" s="369">
        <v>49989.515088817716</v>
      </c>
      <c r="M29" s="329"/>
      <c r="N29" s="366" t="s">
        <v>678</v>
      </c>
      <c r="O29" s="372">
        <v>16.899999999999999</v>
      </c>
      <c r="P29" s="369">
        <v>51029.162940187271</v>
      </c>
      <c r="Q29" s="329"/>
      <c r="R29" s="366" t="s">
        <v>678</v>
      </c>
      <c r="S29" s="372">
        <v>15.6</v>
      </c>
      <c r="T29" s="347"/>
      <c r="U29" s="329"/>
      <c r="V29" s="366" t="s">
        <v>678</v>
      </c>
      <c r="W29" s="372">
        <f t="shared" si="0"/>
        <v>15.6</v>
      </c>
      <c r="X29" s="373">
        <f t="shared" si="1"/>
        <v>50009.193594389937</v>
      </c>
    </row>
    <row r="30" spans="2:24" s="359" customFormat="1" ht="11.25">
      <c r="B30" s="366" t="s">
        <v>679</v>
      </c>
      <c r="C30" s="374">
        <v>2.61</v>
      </c>
      <c r="D30" s="375">
        <v>24409.276134309901</v>
      </c>
      <c r="E30" s="329"/>
      <c r="F30" s="376" t="s">
        <v>679</v>
      </c>
      <c r="G30" s="377">
        <v>2.54</v>
      </c>
      <c r="H30" s="375">
        <v>24576.735632183911</v>
      </c>
      <c r="I30" s="329"/>
      <c r="J30" s="376" t="s">
        <v>679</v>
      </c>
      <c r="K30" s="378">
        <v>2.81</v>
      </c>
      <c r="L30" s="375">
        <v>24194.920808279134</v>
      </c>
      <c r="M30" s="329"/>
      <c r="N30" s="379" t="s">
        <v>679</v>
      </c>
      <c r="O30" s="380">
        <v>3.15</v>
      </c>
      <c r="P30" s="375">
        <v>24715.039258468842</v>
      </c>
      <c r="Q30" s="329"/>
      <c r="R30" s="379" t="s">
        <v>679</v>
      </c>
      <c r="S30" s="380">
        <v>2.94</v>
      </c>
      <c r="T30" s="381"/>
      <c r="U30" s="329"/>
      <c r="V30" s="379" t="s">
        <v>679</v>
      </c>
      <c r="W30" s="380">
        <f>S30</f>
        <v>2.94</v>
      </c>
      <c r="X30" s="382">
        <f t="shared" si="1"/>
        <v>24495.565232977297</v>
      </c>
    </row>
    <row r="31" spans="2:24" s="359" customFormat="1" ht="11.25">
      <c r="B31" s="383" t="s">
        <v>680</v>
      </c>
      <c r="C31" s="384">
        <f>SUMPRODUCT(C14:C30,D14:D30)</f>
        <v>1660651.3773138062</v>
      </c>
      <c r="D31" s="385"/>
      <c r="E31" s="386"/>
      <c r="F31" s="387" t="s">
        <v>680</v>
      </c>
      <c r="G31" s="384">
        <f>SUMPRODUCT(G14:G30,H14:H30)</f>
        <v>1672462.2242754055</v>
      </c>
      <c r="H31" s="385"/>
      <c r="I31" s="386"/>
      <c r="J31" s="388" t="s">
        <v>680</v>
      </c>
      <c r="K31" s="384">
        <f>SUMPRODUCT(K14:K30,L14:L30)</f>
        <v>1876522.827481806</v>
      </c>
      <c r="L31" s="385"/>
      <c r="M31" s="386"/>
      <c r="N31" s="388" t="s">
        <v>680</v>
      </c>
      <c r="O31" s="384">
        <f>SUMPRODUCT(O14:O30,P14:P30)</f>
        <v>2148574.0862528314</v>
      </c>
      <c r="P31" s="385"/>
      <c r="Q31" s="386"/>
      <c r="R31" s="388" t="s">
        <v>680</v>
      </c>
      <c r="S31" s="384">
        <f>SUMPRODUCT(S14:S30,T14:T30)</f>
        <v>0</v>
      </c>
      <c r="T31" s="385"/>
      <c r="U31" s="386"/>
      <c r="V31" s="388" t="s">
        <v>680</v>
      </c>
      <c r="W31" s="384">
        <f>SUMPRODUCT(W14:W30,X14:X30)</f>
        <v>1957444.5234412965</v>
      </c>
      <c r="X31" s="389"/>
    </row>
    <row r="32" spans="2:24">
      <c r="B32" s="390"/>
      <c r="C32" s="269"/>
      <c r="D32" s="386"/>
      <c r="E32" s="386"/>
      <c r="F32" s="390"/>
      <c r="G32" s="269"/>
      <c r="H32" s="386"/>
      <c r="I32" s="386"/>
      <c r="J32" s="390"/>
      <c r="K32" s="269"/>
      <c r="L32" s="386"/>
      <c r="M32" s="386"/>
      <c r="N32" s="390"/>
      <c r="O32" s="269"/>
      <c r="P32" s="386"/>
      <c r="Q32" s="386"/>
      <c r="R32" s="390"/>
      <c r="S32" s="269"/>
      <c r="T32" s="386"/>
      <c r="U32" s="386"/>
      <c r="V32" s="390"/>
      <c r="W32" s="269"/>
      <c r="X32" s="391"/>
    </row>
    <row r="33" spans="2:24">
      <c r="B33" s="392" t="s">
        <v>681</v>
      </c>
      <c r="C33" s="393" t="s">
        <v>682</v>
      </c>
      <c r="D33" s="394" t="s">
        <v>683</v>
      </c>
      <c r="E33" s="395"/>
      <c r="F33" s="394" t="s">
        <v>681</v>
      </c>
      <c r="G33" s="396" t="s">
        <v>682</v>
      </c>
      <c r="H33" s="394" t="s">
        <v>683</v>
      </c>
      <c r="I33" s="395"/>
      <c r="J33" s="392" t="s">
        <v>681</v>
      </c>
      <c r="K33" s="393" t="s">
        <v>682</v>
      </c>
      <c r="L33" s="394" t="s">
        <v>683</v>
      </c>
      <c r="M33" s="395"/>
      <c r="N33" s="392" t="s">
        <v>681</v>
      </c>
      <c r="O33" s="393" t="s">
        <v>682</v>
      </c>
      <c r="P33" s="394" t="s">
        <v>683</v>
      </c>
      <c r="Q33" s="395"/>
      <c r="R33" s="392" t="s">
        <v>681</v>
      </c>
      <c r="S33" s="393" t="s">
        <v>682</v>
      </c>
      <c r="T33" s="394" t="s">
        <v>683</v>
      </c>
      <c r="U33" s="395"/>
      <c r="V33" s="392" t="s">
        <v>681</v>
      </c>
      <c r="W33" s="393" t="s">
        <v>682</v>
      </c>
      <c r="X33" s="397" t="s">
        <v>683</v>
      </c>
    </row>
    <row r="34" spans="2:24">
      <c r="B34" s="398" t="s">
        <v>684</v>
      </c>
      <c r="C34" s="399">
        <v>3.87</v>
      </c>
      <c r="D34" s="400">
        <v>2300</v>
      </c>
      <c r="E34" s="401"/>
      <c r="F34" s="402" t="s">
        <v>684</v>
      </c>
      <c r="G34" s="403">
        <v>3.76</v>
      </c>
      <c r="H34" s="400">
        <v>5076.0638297872338</v>
      </c>
      <c r="I34" s="401"/>
      <c r="J34" s="398" t="s">
        <v>685</v>
      </c>
      <c r="K34" s="399">
        <v>4.17</v>
      </c>
      <c r="L34" s="400">
        <v>5241.8920863309349</v>
      </c>
      <c r="M34" s="401"/>
      <c r="N34" s="398" t="s">
        <v>684</v>
      </c>
      <c r="O34" s="399">
        <v>4.75</v>
      </c>
      <c r="P34" s="404">
        <v>5882.7157894736847</v>
      </c>
      <c r="Q34" s="405"/>
      <c r="R34" s="398" t="s">
        <v>684</v>
      </c>
      <c r="S34" s="399">
        <v>4.41</v>
      </c>
      <c r="T34" s="406"/>
      <c r="U34" s="405"/>
      <c r="V34" s="398" t="s">
        <v>684</v>
      </c>
      <c r="W34" s="399">
        <f>S34</f>
        <v>4.41</v>
      </c>
      <c r="X34" s="400">
        <f>(P34+H34+L34)/3</f>
        <v>5400.2239018639511</v>
      </c>
    </row>
    <row r="35" spans="2:24">
      <c r="B35" s="407"/>
      <c r="C35" s="408"/>
      <c r="D35" s="409"/>
      <c r="E35" s="405"/>
      <c r="F35" s="410"/>
      <c r="G35" s="411"/>
      <c r="H35" s="409"/>
      <c r="I35" s="405"/>
      <c r="J35" s="407"/>
      <c r="K35" s="408"/>
      <c r="L35" s="409"/>
      <c r="M35" s="405"/>
      <c r="N35" s="407"/>
      <c r="O35" s="408"/>
      <c r="P35" s="409"/>
      <c r="Q35" s="405"/>
      <c r="R35" s="407"/>
      <c r="S35" s="408"/>
      <c r="T35" s="412"/>
      <c r="U35" s="405"/>
      <c r="V35" s="407"/>
      <c r="W35" s="408"/>
      <c r="X35" s="413"/>
    </row>
    <row r="36" spans="2:24">
      <c r="B36" s="414"/>
      <c r="C36" s="415"/>
      <c r="D36" s="416"/>
      <c r="E36" s="417"/>
      <c r="F36" s="418"/>
      <c r="G36" s="419"/>
      <c r="H36" s="416"/>
      <c r="I36" s="417"/>
      <c r="J36" s="414"/>
      <c r="K36" s="415"/>
      <c r="L36" s="416"/>
      <c r="M36" s="417"/>
      <c r="N36" s="414"/>
      <c r="O36" s="415"/>
      <c r="P36" s="416"/>
      <c r="Q36" s="417"/>
      <c r="R36" s="414"/>
      <c r="S36" s="415"/>
      <c r="T36" s="416"/>
      <c r="U36" s="417"/>
      <c r="V36" s="414"/>
      <c r="W36" s="415"/>
      <c r="X36" s="420"/>
    </row>
    <row r="37" spans="2:24" s="359" customFormat="1" ht="11.25">
      <c r="B37" s="383" t="s">
        <v>680</v>
      </c>
      <c r="C37" s="421">
        <f>SUMPRODUCT(C34:C35,D34:D35)</f>
        <v>8901</v>
      </c>
      <c r="D37" s="422"/>
      <c r="E37" s="386"/>
      <c r="F37" s="423" t="s">
        <v>680</v>
      </c>
      <c r="G37" s="421">
        <f>SUMPRODUCT(G34:G35,H34:H35)</f>
        <v>19085.999999999996</v>
      </c>
      <c r="H37" s="422"/>
      <c r="I37" s="386"/>
      <c r="J37" s="383" t="s">
        <v>680</v>
      </c>
      <c r="K37" s="421">
        <f>SUMPRODUCT(K34:K35,L34:L35)</f>
        <v>21858.69</v>
      </c>
      <c r="L37" s="422"/>
      <c r="M37" s="386"/>
      <c r="N37" s="383" t="s">
        <v>680</v>
      </c>
      <c r="O37" s="421">
        <f>SUMPRODUCT(O34:O35,P34:P35)</f>
        <v>27942.9</v>
      </c>
      <c r="P37" s="422"/>
      <c r="Q37" s="386"/>
      <c r="R37" s="383" t="s">
        <v>680</v>
      </c>
      <c r="S37" s="421">
        <f>SUMPRODUCT(S34:S35,T34:T35)</f>
        <v>0</v>
      </c>
      <c r="T37" s="422"/>
      <c r="U37" s="386"/>
      <c r="V37" s="383" t="s">
        <v>680</v>
      </c>
      <c r="W37" s="421">
        <f>SUMPRODUCT(W34:W35,X34:X35)</f>
        <v>23814.987407220025</v>
      </c>
      <c r="X37" s="424"/>
    </row>
    <row r="38" spans="2:24">
      <c r="B38" s="359"/>
      <c r="C38" s="425"/>
      <c r="D38" s="359"/>
      <c r="E38" s="316"/>
      <c r="F38" s="359"/>
      <c r="G38" s="425"/>
      <c r="H38" s="359"/>
      <c r="I38" s="316"/>
      <c r="J38" s="359"/>
      <c r="K38" s="425"/>
      <c r="L38" s="359"/>
      <c r="M38" s="316"/>
      <c r="N38" s="359"/>
      <c r="O38" s="425"/>
      <c r="P38" s="359"/>
      <c r="Q38" s="316"/>
      <c r="R38" s="359"/>
      <c r="S38" s="425"/>
      <c r="T38" s="359"/>
      <c r="U38" s="316"/>
      <c r="V38" s="359"/>
      <c r="W38" s="425"/>
      <c r="X38" s="426"/>
    </row>
    <row r="39" spans="2:24">
      <c r="B39" s="359"/>
      <c r="C39" s="425"/>
      <c r="D39" s="359"/>
      <c r="E39" s="316"/>
      <c r="F39" s="359"/>
      <c r="G39" s="425"/>
      <c r="H39" s="359"/>
      <c r="I39" s="316"/>
      <c r="J39" s="359"/>
      <c r="K39" s="425"/>
      <c r="L39" s="359"/>
      <c r="M39" s="316"/>
      <c r="N39" s="359"/>
      <c r="O39" s="425"/>
      <c r="P39" s="359"/>
      <c r="Q39" s="316"/>
      <c r="R39" s="359"/>
      <c r="S39" s="425"/>
      <c r="T39" s="359"/>
      <c r="U39" s="316"/>
      <c r="V39" s="359"/>
      <c r="W39" s="425"/>
      <c r="X39" s="426"/>
    </row>
    <row r="40" spans="2:24">
      <c r="B40" s="427"/>
      <c r="C40" s="428"/>
      <c r="D40" s="429"/>
      <c r="E40" s="430"/>
      <c r="F40" s="429"/>
      <c r="G40" s="425"/>
      <c r="H40" s="359"/>
      <c r="I40" s="316"/>
      <c r="J40" s="359"/>
      <c r="K40" s="425"/>
      <c r="L40" s="359"/>
      <c r="M40" s="316"/>
      <c r="N40" s="359"/>
      <c r="O40" s="425"/>
      <c r="P40" s="359"/>
      <c r="Q40" s="316"/>
      <c r="U40" s="316"/>
      <c r="V40" s="359"/>
      <c r="W40" s="425"/>
      <c r="X40" s="426"/>
    </row>
    <row r="41" spans="2:24">
      <c r="B41" s="431" t="s">
        <v>686</v>
      </c>
      <c r="C41" s="432"/>
      <c r="D41" s="433"/>
      <c r="E41" s="434"/>
      <c r="F41" s="435" t="s">
        <v>686</v>
      </c>
      <c r="G41" s="432"/>
      <c r="H41" s="433"/>
      <c r="I41" s="434"/>
      <c r="J41" s="431" t="s">
        <v>686</v>
      </c>
      <c r="K41" s="432"/>
      <c r="L41" s="436"/>
      <c r="M41" s="434"/>
      <c r="N41" s="431" t="s">
        <v>686</v>
      </c>
      <c r="O41" s="432"/>
      <c r="P41" s="436"/>
      <c r="Q41" s="434"/>
      <c r="U41" s="434"/>
      <c r="V41" s="431" t="s">
        <v>686</v>
      </c>
      <c r="W41" s="432"/>
      <c r="X41" s="437"/>
    </row>
    <row r="42" spans="2:24" s="359" customFormat="1" ht="11.25">
      <c r="B42" s="441" t="s">
        <v>1403</v>
      </c>
      <c r="C42" s="249">
        <f>SUMPRODUCT(C30,D30)/SUM(D30)</f>
        <v>2.61</v>
      </c>
      <c r="D42" s="439">
        <f>SUM(D30)</f>
        <v>24409.276134309901</v>
      </c>
      <c r="E42" s="440"/>
      <c r="F42" s="441" t="s">
        <v>1403</v>
      </c>
      <c r="G42" s="249">
        <f>SUMPRODUCT(G30,H30)/SUM(H30)</f>
        <v>2.54</v>
      </c>
      <c r="H42" s="439">
        <f>SUM(H30)</f>
        <v>24576.735632183911</v>
      </c>
      <c r="I42" s="440"/>
      <c r="J42" s="441" t="s">
        <v>1403</v>
      </c>
      <c r="K42" s="249">
        <f>SUMPRODUCT(K30,L30)/SUM(L30)</f>
        <v>2.81</v>
      </c>
      <c r="L42" s="439">
        <f>SUM(L30)</f>
        <v>24194.920808279134</v>
      </c>
      <c r="M42" s="440"/>
      <c r="N42" s="441" t="s">
        <v>1403</v>
      </c>
      <c r="O42" s="249">
        <f>SUMPRODUCT(O30,P30)/SUM(P30)</f>
        <v>3.15</v>
      </c>
      <c r="P42" s="439">
        <f>SUM(P30)</f>
        <v>24715.039258468842</v>
      </c>
      <c r="Q42" s="440"/>
      <c r="U42" s="440"/>
      <c r="V42" s="441" t="s">
        <v>1403</v>
      </c>
      <c r="W42" s="249">
        <f>SUMPRODUCT(W30,X30)/SUM(X30)</f>
        <v>2.94</v>
      </c>
      <c r="X42" s="250">
        <f>SUM(X30)</f>
        <v>24495.565232977297</v>
      </c>
    </row>
    <row r="43" spans="2:24" s="359" customFormat="1" ht="11.25">
      <c r="B43" s="441" t="s">
        <v>1405</v>
      </c>
      <c r="C43" s="252">
        <f>SUMPRODUCT(C29,D29)/SUM(D29)</f>
        <v>13.75</v>
      </c>
      <c r="D43" s="442">
        <f>SUM(D29)</f>
        <v>48151.725703993958</v>
      </c>
      <c r="E43" s="443"/>
      <c r="F43" s="441" t="s">
        <v>1405</v>
      </c>
      <c r="G43" s="252">
        <f>SUMPRODUCT(G29,H29)/SUM(H29)</f>
        <v>13.5</v>
      </c>
      <c r="H43" s="442">
        <f>SUM(H29)</f>
        <v>49008.902754164825</v>
      </c>
      <c r="I43" s="443"/>
      <c r="J43" s="441" t="s">
        <v>1405</v>
      </c>
      <c r="K43" s="252">
        <f>SUMPRODUCT(K29,L29)/SUM(L29)</f>
        <v>14.959999999999999</v>
      </c>
      <c r="L43" s="442">
        <f>SUM(L29)</f>
        <v>49989.515088817716</v>
      </c>
      <c r="M43" s="443"/>
      <c r="N43" s="441" t="s">
        <v>1405</v>
      </c>
      <c r="O43" s="252">
        <f>SUMPRODUCT(O29,P29)/SUM(P29)</f>
        <v>16.899999999999999</v>
      </c>
      <c r="P43" s="442">
        <f>SUM(P29)</f>
        <v>51029.162940187271</v>
      </c>
      <c r="Q43" s="443"/>
      <c r="U43" s="443"/>
      <c r="V43" s="441" t="s">
        <v>1405</v>
      </c>
      <c r="W43" s="252">
        <f>SUMPRODUCT(W29,X29)/SUM(X29)</f>
        <v>15.6</v>
      </c>
      <c r="X43" s="253">
        <f>SUM(X29)</f>
        <v>50009.193594389937</v>
      </c>
    </row>
    <row r="44" spans="2:24" s="359" customFormat="1" ht="11.25">
      <c r="B44" s="441" t="s">
        <v>1407</v>
      </c>
      <c r="C44" s="254">
        <f>SUMPRODUCT(C25:C28,D25:D28)/SUM(D25:D28)</f>
        <v>36.466657409347135</v>
      </c>
      <c r="D44" s="444">
        <f>SUM(D25:D28)</f>
        <v>3748.7742024512377</v>
      </c>
      <c r="E44" s="443"/>
      <c r="F44" s="441" t="s">
        <v>1407</v>
      </c>
      <c r="G44" s="254">
        <f>SUMPRODUCT(G25:G28,H25:H28)/SUM(H25:H28)</f>
        <v>36.26195136233391</v>
      </c>
      <c r="H44" s="444">
        <f>SUM(H25:H28)</f>
        <v>3299.4200402754004</v>
      </c>
      <c r="I44" s="443"/>
      <c r="J44" s="441" t="s">
        <v>1407</v>
      </c>
      <c r="K44" s="254">
        <f>SUMPRODUCT(K25:K28,L25:L28)/SUM(L25:L28)</f>
        <v>40.105321854655649</v>
      </c>
      <c r="L44" s="444">
        <f>SUM(L25:L28)</f>
        <v>3445.3694915373139</v>
      </c>
      <c r="M44" s="443"/>
      <c r="N44" s="441" t="s">
        <v>1407</v>
      </c>
      <c r="O44" s="254">
        <f>SUMPRODUCT(O25:O28,P25:P28)/SUM(P25:P28)</f>
        <v>45.029452723177847</v>
      </c>
      <c r="P44" s="444">
        <f>SUM(P25:P28)</f>
        <v>3489.9470934977817</v>
      </c>
      <c r="Q44" s="443"/>
      <c r="U44" s="443"/>
      <c r="V44" s="441" t="s">
        <v>1407</v>
      </c>
      <c r="W44" s="254">
        <f>SUMPRODUCT(W25:W28,X25:X28)/SUM(X25:X28)</f>
        <v>41.607118999166268</v>
      </c>
      <c r="X44" s="255">
        <f>SUM(X25:X28)</f>
        <v>3411.5788751034988</v>
      </c>
    </row>
    <row r="45" spans="2:24" s="359" customFormat="1" ht="11.25">
      <c r="B45" s="616" t="s">
        <v>1409</v>
      </c>
      <c r="C45" s="256">
        <f>SUMPRODUCT(C18:C24,D18:D24)/SUM(D18:D24)</f>
        <v>175.91007784851618</v>
      </c>
      <c r="D45" s="445">
        <f>SUM(D18:D24)</f>
        <v>991.36316592188712</v>
      </c>
      <c r="E45" s="443"/>
      <c r="F45" s="616" t="s">
        <v>1409</v>
      </c>
      <c r="G45" s="256">
        <f>SUMPRODUCT(G18:G24,H18:H24)/SUM(H18:H24)</f>
        <v>170.99888509310443</v>
      </c>
      <c r="H45" s="445">
        <f>SUM(H18:H24)</f>
        <v>974.51272058293739</v>
      </c>
      <c r="I45" s="443"/>
      <c r="J45" s="616" t="s">
        <v>1409</v>
      </c>
      <c r="K45" s="256">
        <f>SUMPRODUCT(K18:K24,L18:L24)/SUM(L18:L24)</f>
        <v>189.39916408839457</v>
      </c>
      <c r="L45" s="445">
        <f>SUM(L18:L24)</f>
        <v>968.06132053115948</v>
      </c>
      <c r="M45" s="443"/>
      <c r="N45" s="616" t="s">
        <v>1409</v>
      </c>
      <c r="O45" s="256">
        <f>SUMPRODUCT(O18:O24,P18:P24)/SUM(P18:P24)</f>
        <v>213.77431327902775</v>
      </c>
      <c r="P45" s="445">
        <f>SUM(P18:P24)</f>
        <v>956.07731179964821</v>
      </c>
      <c r="Q45" s="443"/>
      <c r="U45" s="443"/>
      <c r="V45" s="616" t="s">
        <v>1409</v>
      </c>
      <c r="W45" s="256">
        <f>SUMPRODUCT(W18:W24,X18:X24)/SUM(X18:X24)</f>
        <v>197.42658682270488</v>
      </c>
      <c r="X45" s="257">
        <f>SUM(X18:X24)</f>
        <v>966.21711763791507</v>
      </c>
    </row>
    <row r="46" spans="2:24" s="359" customFormat="1" ht="11.25">
      <c r="B46" s="616" t="s">
        <v>1411</v>
      </c>
      <c r="C46" s="258">
        <f>SUMPRODUCT(C15:C17,D15:D17)/SUM(D15:D17)</f>
        <v>1333.5055782810937</v>
      </c>
      <c r="D46" s="446">
        <f>SUM(D15:D17)</f>
        <v>354.91364985360326</v>
      </c>
      <c r="E46" s="440"/>
      <c r="F46" s="616" t="s">
        <v>1411</v>
      </c>
      <c r="G46" s="258">
        <f>SUMPRODUCT(G15:G17,H15:H17)/SUM(H15:H17)</f>
        <v>1261.4285417086678</v>
      </c>
      <c r="H46" s="446">
        <f>SUM(H15:H17)</f>
        <v>406.72215940429334</v>
      </c>
      <c r="I46" s="440"/>
      <c r="J46" s="616" t="s">
        <v>1411</v>
      </c>
      <c r="K46" s="258">
        <f>SUMPRODUCT(K15:K17,L15:L17)/SUM(L15:L17)</f>
        <v>1405.6442993946316</v>
      </c>
      <c r="L46" s="446">
        <f>SUM(L15:L17)</f>
        <v>403.90311212233001</v>
      </c>
      <c r="M46" s="440"/>
      <c r="N46" s="616" t="s">
        <v>1411</v>
      </c>
      <c r="O46" s="258">
        <f>SUMPRODUCT(O15:O17,P15:P17)/SUM(P15:P17)</f>
        <v>1606.4718595712461</v>
      </c>
      <c r="P46" s="446">
        <f>SUM(P15:P17)</f>
        <v>395.65252915544659</v>
      </c>
      <c r="Q46" s="440"/>
      <c r="U46" s="440"/>
      <c r="V46" s="616" t="s">
        <v>1411</v>
      </c>
      <c r="W46" s="258">
        <f>SUMPRODUCT(W15:W17,X15:X17)/SUM(X15:X17)</f>
        <v>1468.753854971128</v>
      </c>
      <c r="X46" s="259">
        <f>SUM(X15:X17)</f>
        <v>402.09260022735668</v>
      </c>
    </row>
    <row r="47" spans="2:24" s="359" customFormat="1" ht="11.25">
      <c r="B47" s="449" t="s">
        <v>1415</v>
      </c>
      <c r="C47" s="261">
        <f>SUMPRODUCT(C14,D14)/SUM(D14)</f>
        <v>5222.28</v>
      </c>
      <c r="D47" s="448">
        <f>SUM(D14)</f>
        <v>28.815300988495299</v>
      </c>
      <c r="E47" s="440"/>
      <c r="F47" s="449" t="s">
        <v>1415</v>
      </c>
      <c r="G47" s="261">
        <f>SUMPRODUCT(G14,H14)/SUM(H14)</f>
        <v>5073.28</v>
      </c>
      <c r="H47" s="448">
        <f>SUM(H14)</f>
        <v>29.385760379353922</v>
      </c>
      <c r="I47" s="440"/>
      <c r="J47" s="449" t="s">
        <v>1415</v>
      </c>
      <c r="K47" s="261">
        <f>SUMPRODUCT(K14,L14)/SUM(L14)</f>
        <v>5622.13</v>
      </c>
      <c r="L47" s="448">
        <f>SUM(L14)</f>
        <v>30.490257243802681</v>
      </c>
      <c r="M47" s="440"/>
      <c r="N47" s="449" t="s">
        <v>1415</v>
      </c>
      <c r="O47" s="261">
        <f>SUMPRODUCT(O14,P14)/SUM(P14)</f>
        <v>6371</v>
      </c>
      <c r="P47" s="448">
        <f>SUM(P14)</f>
        <v>33.148489439396265</v>
      </c>
      <c r="Q47" s="440"/>
      <c r="U47" s="440"/>
      <c r="V47" s="449" t="s">
        <v>1415</v>
      </c>
      <c r="W47" s="261">
        <f>SUMPRODUCT(W14,X14)/SUM(X14)</f>
        <v>5869.62</v>
      </c>
      <c r="X47" s="262">
        <f>SUM(X14)</f>
        <v>31.008169020850954</v>
      </c>
    </row>
    <row r="48" spans="2:24">
      <c r="B48" s="450" t="s">
        <v>680</v>
      </c>
      <c r="C48" s="451">
        <f>SUMPRODUCT(C42:C47,D42:D47)</f>
        <v>1660651.3773138062</v>
      </c>
      <c r="D48" s="452"/>
      <c r="E48" s="443"/>
      <c r="F48" s="453" t="s">
        <v>680</v>
      </c>
      <c r="G48" s="451">
        <f>SUMPRODUCT(G42:G47,H42:H47)</f>
        <v>1672462.2242754058</v>
      </c>
      <c r="H48" s="452"/>
      <c r="I48" s="443"/>
      <c r="J48" s="450" t="s">
        <v>680</v>
      </c>
      <c r="K48" s="451">
        <f>SUMPRODUCT(K42:K47,L42:L47)</f>
        <v>1876522.827481806</v>
      </c>
      <c r="L48" s="452"/>
      <c r="M48" s="443"/>
      <c r="N48" s="450" t="s">
        <v>680</v>
      </c>
      <c r="O48" s="451">
        <f>SUMPRODUCT(O42:O47,P42:P47)</f>
        <v>2148574.0862528314</v>
      </c>
      <c r="P48" s="452"/>
      <c r="Q48" s="443"/>
      <c r="U48" s="443"/>
      <c r="V48" s="450" t="s">
        <v>680</v>
      </c>
      <c r="W48" s="451">
        <f>SUMPRODUCT(W42:W47,X42:X47)</f>
        <v>1957444.5234412965</v>
      </c>
      <c r="X48" s="454"/>
    </row>
    <row r="49" spans="2:24">
      <c r="B49" s="390"/>
      <c r="C49" s="455"/>
      <c r="D49" s="386"/>
      <c r="E49" s="386"/>
      <c r="F49" s="390"/>
      <c r="G49" s="455"/>
      <c r="H49" s="386"/>
      <c r="I49" s="386"/>
      <c r="J49" s="390"/>
      <c r="K49" s="455"/>
      <c r="L49" s="386"/>
      <c r="M49" s="386"/>
      <c r="N49" s="390"/>
      <c r="O49" s="455"/>
      <c r="P49" s="386"/>
      <c r="Q49" s="386"/>
      <c r="U49" s="386"/>
      <c r="V49" s="390"/>
      <c r="W49" s="455"/>
      <c r="X49" s="391"/>
    </row>
    <row r="50" spans="2:24">
      <c r="B50" s="392" t="s">
        <v>681</v>
      </c>
      <c r="C50" s="456"/>
      <c r="D50" s="394"/>
      <c r="E50" s="395"/>
      <c r="F50" s="392" t="s">
        <v>681</v>
      </c>
      <c r="G50" s="456"/>
      <c r="H50" s="394"/>
      <c r="I50" s="395"/>
      <c r="J50" s="392" t="s">
        <v>681</v>
      </c>
      <c r="K50" s="456"/>
      <c r="L50" s="394"/>
      <c r="M50" s="395"/>
      <c r="N50" s="392" t="s">
        <v>681</v>
      </c>
      <c r="O50" s="456"/>
      <c r="P50" s="394"/>
      <c r="Q50" s="395"/>
      <c r="U50" s="395"/>
      <c r="V50" s="392" t="s">
        <v>681</v>
      </c>
      <c r="W50" s="456"/>
      <c r="X50" s="397"/>
    </row>
    <row r="51" spans="2:24">
      <c r="B51" s="398"/>
      <c r="C51" s="399">
        <f>SUMPRODUCT(C34:C35,D34:D35)/SUM(D34:D35)</f>
        <v>3.87</v>
      </c>
      <c r="D51" s="404">
        <f>SUM(D34:D35)</f>
        <v>2300</v>
      </c>
      <c r="E51" s="405"/>
      <c r="F51" s="398"/>
      <c r="G51" s="399">
        <f>SUMPRODUCT(G34:G35,H34:H35)/SUM(H34:H35)</f>
        <v>3.7599999999999993</v>
      </c>
      <c r="H51" s="457">
        <f>SUM(H34:H35)</f>
        <v>5076.0638297872338</v>
      </c>
      <c r="I51" s="405"/>
      <c r="J51" s="398"/>
      <c r="K51" s="399">
        <f>SUMPRODUCT(K34:K35,L34:L35)/SUM(L34:L35)</f>
        <v>4.17</v>
      </c>
      <c r="L51" s="457">
        <f>SUM(L34:L35)</f>
        <v>5241.8920863309349</v>
      </c>
      <c r="M51" s="405"/>
      <c r="N51" s="398"/>
      <c r="O51" s="399">
        <f>SUMPRODUCT(O34:O35,P34:P35)/SUM(P34:P35)</f>
        <v>4.75</v>
      </c>
      <c r="P51" s="404">
        <f>SUM(P34:P35)</f>
        <v>5882.7157894736847</v>
      </c>
      <c r="Q51" s="405"/>
      <c r="U51" s="405"/>
      <c r="V51" s="398"/>
      <c r="W51" s="399">
        <f>SUMPRODUCT(W34:W35,X34:X35)/SUM(X34:X35)</f>
        <v>4.41</v>
      </c>
      <c r="X51" s="400">
        <f>SUM(X34:X35)</f>
        <v>5400.2239018639511</v>
      </c>
    </row>
    <row r="52" spans="2:24">
      <c r="B52" s="414"/>
      <c r="C52" s="415"/>
      <c r="D52" s="416"/>
      <c r="E52" s="417"/>
      <c r="F52" s="414"/>
      <c r="G52" s="415"/>
      <c r="H52" s="416"/>
      <c r="I52" s="417"/>
      <c r="J52" s="414"/>
      <c r="K52" s="415"/>
      <c r="L52" s="416"/>
      <c r="M52" s="417"/>
      <c r="N52" s="414"/>
      <c r="O52" s="415"/>
      <c r="P52" s="416"/>
      <c r="Q52" s="417"/>
      <c r="U52" s="417"/>
      <c r="V52" s="414"/>
      <c r="W52" s="415"/>
      <c r="X52" s="416"/>
    </row>
    <row r="53" spans="2:24">
      <c r="B53" s="383" t="s">
        <v>680</v>
      </c>
      <c r="C53" s="432"/>
      <c r="D53" s="422"/>
      <c r="E53" s="386"/>
      <c r="F53" s="383" t="s">
        <v>680</v>
      </c>
      <c r="G53" s="432"/>
      <c r="H53" s="422"/>
      <c r="I53" s="386"/>
      <c r="J53" s="383" t="s">
        <v>680</v>
      </c>
      <c r="K53" s="432"/>
      <c r="L53" s="422"/>
      <c r="M53" s="386"/>
      <c r="N53" s="383" t="s">
        <v>680</v>
      </c>
      <c r="O53" s="432"/>
      <c r="P53" s="422"/>
      <c r="Q53" s="386"/>
      <c r="U53" s="386"/>
      <c r="V53" s="383" t="s">
        <v>680</v>
      </c>
      <c r="W53" s="432"/>
      <c r="X53" s="422"/>
    </row>
    <row r="54" spans="2:24">
      <c r="B54" s="390"/>
      <c r="C54" s="458"/>
      <c r="D54" s="386"/>
      <c r="E54" s="386"/>
      <c r="F54" s="390"/>
      <c r="G54" s="458"/>
      <c r="H54" s="386"/>
      <c r="I54" s="386"/>
      <c r="J54" s="390"/>
      <c r="K54" s="458"/>
      <c r="L54" s="386"/>
      <c r="M54" s="386"/>
      <c r="N54" s="390"/>
      <c r="O54" s="458"/>
      <c r="P54" s="386"/>
      <c r="Q54" s="386"/>
      <c r="U54" s="386"/>
    </row>
    <row r="55" spans="2:24">
      <c r="B55" s="390"/>
      <c r="C55" s="458"/>
      <c r="D55" s="386"/>
      <c r="E55" s="386"/>
      <c r="F55" s="390"/>
      <c r="G55" s="458"/>
      <c r="H55" s="386"/>
      <c r="I55" s="386"/>
      <c r="J55" s="390"/>
      <c r="K55" s="458"/>
      <c r="L55" s="386"/>
      <c r="M55" s="386"/>
      <c r="N55" s="390"/>
      <c r="O55" s="458"/>
      <c r="P55" s="386"/>
      <c r="Q55" s="386"/>
      <c r="R55" s="390"/>
      <c r="S55" s="458"/>
      <c r="T55" s="386"/>
      <c r="U55" s="386"/>
    </row>
    <row r="56" spans="2:24">
      <c r="B56" s="390"/>
      <c r="C56" s="458"/>
      <c r="D56" s="386"/>
      <c r="E56" s="386"/>
      <c r="F56" s="390"/>
      <c r="G56" s="458"/>
      <c r="H56" s="386"/>
      <c r="I56" s="386"/>
      <c r="J56" s="390"/>
      <c r="K56" s="458"/>
      <c r="L56" s="386"/>
      <c r="M56" s="386"/>
      <c r="N56" s="390"/>
      <c r="O56" s="458"/>
      <c r="P56" s="386"/>
      <c r="Q56" s="386"/>
      <c r="R56" s="390"/>
      <c r="S56" s="458"/>
      <c r="T56" s="386"/>
      <c r="U56" s="386"/>
    </row>
    <row r="57" spans="2:24" ht="15.75">
      <c r="B57" s="240" t="s">
        <v>687</v>
      </c>
      <c r="C57" s="459"/>
      <c r="D57" s="293"/>
      <c r="E57" s="293"/>
      <c r="F57" s="293"/>
      <c r="G57" s="291"/>
      <c r="H57" s="292"/>
      <c r="I57" s="293"/>
      <c r="J57" s="293"/>
      <c r="K57" s="291"/>
      <c r="L57" s="292"/>
      <c r="M57" s="293"/>
      <c r="N57" s="293"/>
      <c r="O57" s="293"/>
      <c r="P57" s="293"/>
      <c r="Q57" s="386"/>
      <c r="R57" s="293"/>
      <c r="S57" s="293"/>
      <c r="T57" s="293"/>
      <c r="U57" s="386"/>
      <c r="V57" s="294" t="s">
        <v>651</v>
      </c>
      <c r="W57" s="295"/>
      <c r="X57" s="295"/>
    </row>
    <row r="58" spans="2:24">
      <c r="B58" s="390"/>
      <c r="C58" s="458"/>
      <c r="D58" s="386"/>
      <c r="E58" s="386"/>
      <c r="F58" s="390"/>
      <c r="G58" s="458"/>
      <c r="H58" s="386"/>
      <c r="I58" s="386"/>
      <c r="J58" s="390"/>
      <c r="K58" s="458"/>
      <c r="L58" s="386"/>
      <c r="M58" s="386"/>
      <c r="N58" s="390"/>
      <c r="O58" s="458"/>
      <c r="P58" s="386"/>
      <c r="Q58" s="386"/>
      <c r="R58" s="390"/>
      <c r="S58" s="458"/>
      <c r="T58" s="386"/>
      <c r="U58" s="386"/>
    </row>
    <row r="59" spans="2:24">
      <c r="B59" s="296" t="s">
        <v>251</v>
      </c>
      <c r="C59" s="297" t="s">
        <v>652</v>
      </c>
      <c r="D59" s="297"/>
      <c r="E59" s="298"/>
      <c r="F59" s="297"/>
      <c r="G59" s="298"/>
      <c r="H59" s="386"/>
      <c r="I59" s="386"/>
      <c r="J59" s="390"/>
      <c r="K59" s="458"/>
      <c r="L59" s="386"/>
      <c r="M59" s="386"/>
      <c r="N59" s="390"/>
      <c r="O59" s="458"/>
      <c r="P59" s="386"/>
      <c r="Q59" s="386"/>
      <c r="R59" s="390"/>
      <c r="S59" s="458"/>
      <c r="T59" s="386"/>
      <c r="U59" s="386"/>
    </row>
    <row r="60" spans="2:24">
      <c r="B60" s="299" t="s">
        <v>252</v>
      </c>
      <c r="C60" s="300" t="s">
        <v>652</v>
      </c>
      <c r="D60" s="300"/>
      <c r="E60" s="301"/>
      <c r="F60" s="300"/>
      <c r="G60" s="301"/>
      <c r="H60" s="386"/>
      <c r="I60" s="386"/>
      <c r="J60" s="390"/>
      <c r="K60" s="458"/>
      <c r="L60" s="386"/>
      <c r="M60" s="386"/>
      <c r="N60" s="390"/>
      <c r="O60" s="458"/>
      <c r="P60" s="386"/>
      <c r="Q60" s="386"/>
      <c r="R60" s="390"/>
      <c r="S60" s="458"/>
      <c r="T60" s="386"/>
      <c r="U60" s="386"/>
    </row>
    <row r="61" spans="2:24">
      <c r="B61" s="302" t="s">
        <v>253</v>
      </c>
      <c r="C61" s="303" t="s">
        <v>653</v>
      </c>
      <c r="D61" s="303"/>
      <c r="E61" s="304"/>
      <c r="F61" s="303"/>
      <c r="G61" s="304"/>
      <c r="H61" s="386"/>
      <c r="I61" s="386"/>
      <c r="J61" s="390"/>
      <c r="K61" s="458"/>
      <c r="L61" s="386"/>
      <c r="M61" s="386"/>
      <c r="N61" s="390"/>
      <c r="O61" s="458"/>
      <c r="P61" s="386"/>
      <c r="Q61" s="386"/>
      <c r="R61" s="390"/>
      <c r="S61" s="458"/>
      <c r="T61" s="386"/>
      <c r="U61" s="386"/>
    </row>
    <row r="62" spans="2:24">
      <c r="B62" s="305" t="s">
        <v>654</v>
      </c>
      <c r="C62" s="306" t="s">
        <v>653</v>
      </c>
      <c r="D62" s="306"/>
      <c r="E62" s="307"/>
      <c r="F62" s="306"/>
      <c r="G62" s="307"/>
      <c r="H62" s="386"/>
      <c r="I62" s="386"/>
      <c r="J62" s="390"/>
      <c r="K62" s="458"/>
      <c r="L62" s="386"/>
      <c r="M62" s="386"/>
      <c r="N62" s="390"/>
      <c r="O62" s="458"/>
      <c r="P62" s="386"/>
      <c r="Q62" s="386"/>
      <c r="R62" s="390"/>
      <c r="S62" s="458"/>
      <c r="T62" s="386"/>
      <c r="U62" s="386"/>
    </row>
    <row r="63" spans="2:24">
      <c r="B63" s="460" t="s">
        <v>254</v>
      </c>
      <c r="C63" s="461" t="s">
        <v>688</v>
      </c>
      <c r="D63" s="461"/>
      <c r="E63" s="462"/>
      <c r="F63" s="461"/>
      <c r="G63" s="462"/>
      <c r="H63" s="386"/>
      <c r="I63" s="386"/>
      <c r="J63" s="390"/>
      <c r="K63" s="458"/>
      <c r="L63" s="386"/>
      <c r="M63" s="386"/>
      <c r="N63" s="390"/>
      <c r="O63" s="458"/>
      <c r="P63" s="386"/>
      <c r="Q63" s="386"/>
      <c r="R63" s="390"/>
      <c r="S63" s="458"/>
      <c r="T63" s="386"/>
      <c r="U63" s="386"/>
    </row>
    <row r="64" spans="2:24">
      <c r="B64" s="390"/>
      <c r="C64" s="458"/>
      <c r="D64" s="386"/>
      <c r="E64" s="386"/>
      <c r="F64" s="390"/>
      <c r="G64" s="458"/>
      <c r="H64" s="386"/>
      <c r="I64" s="386"/>
      <c r="J64" s="390"/>
      <c r="K64" s="458"/>
      <c r="L64" s="386"/>
      <c r="M64" s="386"/>
      <c r="N64" s="390"/>
      <c r="O64" s="458"/>
      <c r="P64" s="386"/>
      <c r="Q64" s="386"/>
      <c r="R64" s="390"/>
      <c r="S64" s="458"/>
      <c r="T64" s="386"/>
      <c r="U64" s="386"/>
    </row>
    <row r="65" spans="2:25">
      <c r="B65" s="359"/>
      <c r="C65" s="359"/>
      <c r="D65" s="359"/>
      <c r="E65" s="316"/>
      <c r="F65" s="359"/>
      <c r="G65" s="359"/>
      <c r="H65" s="359"/>
      <c r="I65" s="316"/>
      <c r="J65" s="359"/>
      <c r="K65" s="359"/>
      <c r="L65" s="359"/>
      <c r="M65" s="316"/>
      <c r="N65" s="359"/>
      <c r="O65" s="359"/>
      <c r="P65" s="359"/>
      <c r="Q65" s="316"/>
      <c r="R65" s="359"/>
      <c r="S65" s="359"/>
      <c r="T65" s="359"/>
      <c r="U65" s="316"/>
    </row>
    <row r="66" spans="2:25">
      <c r="B66" s="359"/>
      <c r="C66" s="359"/>
      <c r="D66" s="359"/>
      <c r="E66" s="316"/>
      <c r="F66" s="359"/>
      <c r="G66" s="359"/>
      <c r="H66" s="359"/>
      <c r="I66" s="316"/>
      <c r="J66" s="359"/>
      <c r="K66" s="359"/>
      <c r="L66" s="359"/>
      <c r="M66" s="316"/>
      <c r="N66" s="359"/>
      <c r="O66" s="359"/>
      <c r="P66" s="359"/>
      <c r="Q66" s="316"/>
      <c r="R66" s="359"/>
      <c r="S66" s="359"/>
      <c r="T66" s="359"/>
      <c r="U66" s="316"/>
    </row>
    <row r="67" spans="2:25" s="467" customFormat="1" ht="15.75">
      <c r="B67" s="463" t="s">
        <v>689</v>
      </c>
      <c r="C67" s="464"/>
      <c r="D67" s="465"/>
      <c r="E67" s="316"/>
      <c r="F67" s="466"/>
      <c r="G67" s="466"/>
      <c r="H67" s="466"/>
      <c r="I67" s="316"/>
      <c r="J67" s="466"/>
      <c r="K67" s="466"/>
      <c r="L67" s="466"/>
      <c r="M67" s="316"/>
      <c r="N67" s="466"/>
      <c r="O67" s="466"/>
      <c r="P67" s="466"/>
      <c r="Q67" s="316"/>
      <c r="R67" s="466"/>
      <c r="S67" s="466"/>
      <c r="T67" s="466"/>
      <c r="U67" s="316"/>
    </row>
    <row r="68" spans="2:25">
      <c r="B68" s="317"/>
      <c r="C68" s="1190">
        <v>2009</v>
      </c>
      <c r="D68" s="1194"/>
      <c r="E68" s="321"/>
      <c r="F68" s="468"/>
      <c r="G68" s="1203">
        <v>2010</v>
      </c>
      <c r="H68" s="1204"/>
      <c r="I68" s="321"/>
      <c r="J68" s="469"/>
      <c r="K68" s="1203">
        <v>2011</v>
      </c>
      <c r="L68" s="1204"/>
      <c r="M68" s="321"/>
      <c r="N68" s="469"/>
      <c r="O68" s="1203">
        <v>2012</v>
      </c>
      <c r="P68" s="1204"/>
      <c r="Q68" s="321"/>
      <c r="R68" s="469"/>
      <c r="S68" s="1203">
        <v>2013</v>
      </c>
      <c r="T68" s="1204"/>
      <c r="U68" s="321"/>
      <c r="V68" s="320" t="s">
        <v>656</v>
      </c>
      <c r="W68" s="1190" t="s">
        <v>657</v>
      </c>
      <c r="X68" s="1194"/>
      <c r="Y68" s="350"/>
    </row>
    <row r="69" spans="2:25">
      <c r="B69" s="325" t="s">
        <v>690</v>
      </c>
      <c r="C69" s="470" t="s">
        <v>632</v>
      </c>
      <c r="D69" s="470" t="s">
        <v>633</v>
      </c>
      <c r="E69" s="324"/>
      <c r="F69" s="323" t="s">
        <v>690</v>
      </c>
      <c r="G69" s="470" t="s">
        <v>632</v>
      </c>
      <c r="H69" s="470" t="s">
        <v>633</v>
      </c>
      <c r="I69" s="324"/>
      <c r="J69" s="323" t="s">
        <v>690</v>
      </c>
      <c r="K69" s="470" t="s">
        <v>632</v>
      </c>
      <c r="L69" s="471" t="s">
        <v>633</v>
      </c>
      <c r="M69" s="324"/>
      <c r="N69" s="323" t="s">
        <v>690</v>
      </c>
      <c r="O69" s="325" t="s">
        <v>632</v>
      </c>
      <c r="P69" s="470" t="s">
        <v>633</v>
      </c>
      <c r="Q69" s="324"/>
      <c r="R69" s="323" t="s">
        <v>690</v>
      </c>
      <c r="S69" s="325" t="s">
        <v>632</v>
      </c>
      <c r="T69" s="470" t="s">
        <v>633</v>
      </c>
      <c r="U69" s="324"/>
      <c r="V69" s="323" t="s">
        <v>690</v>
      </c>
      <c r="W69" s="325" t="s">
        <v>632</v>
      </c>
      <c r="X69" s="470" t="s">
        <v>633</v>
      </c>
    </row>
    <row r="70" spans="2:25">
      <c r="B70" s="472" t="s">
        <v>691</v>
      </c>
      <c r="C70" s="473">
        <v>356.17</v>
      </c>
      <c r="D70" s="474">
        <v>456</v>
      </c>
      <c r="E70" s="475"/>
      <c r="F70" s="472" t="s">
        <v>691</v>
      </c>
      <c r="G70" s="473">
        <v>356.53</v>
      </c>
      <c r="H70" s="474">
        <v>505</v>
      </c>
      <c r="I70" s="475"/>
      <c r="J70" s="333" t="s">
        <v>660</v>
      </c>
      <c r="K70" s="476">
        <v>201105.03</v>
      </c>
      <c r="L70" s="477">
        <v>1</v>
      </c>
      <c r="M70" s="475"/>
      <c r="N70" s="333" t="s">
        <v>660</v>
      </c>
      <c r="O70" s="476">
        <v>223528.2</v>
      </c>
      <c r="P70" s="477">
        <v>0</v>
      </c>
      <c r="Q70" s="475"/>
      <c r="R70" s="333" t="s">
        <v>660</v>
      </c>
      <c r="S70" s="476">
        <v>205518.54</v>
      </c>
      <c r="T70" s="478"/>
      <c r="U70" s="475"/>
      <c r="V70" s="333" t="s">
        <v>660</v>
      </c>
      <c r="W70" s="476">
        <f>S70</f>
        <v>205518.54</v>
      </c>
      <c r="X70" s="479">
        <f>(H86+L70+P70)/3</f>
        <v>0.66666666666666663</v>
      </c>
    </row>
    <row r="71" spans="2:25">
      <c r="B71" s="472" t="s">
        <v>692</v>
      </c>
      <c r="C71" s="372">
        <v>677.97</v>
      </c>
      <c r="D71" s="373">
        <v>930</v>
      </c>
      <c r="E71" s="475"/>
      <c r="F71" s="472" t="s">
        <v>692</v>
      </c>
      <c r="G71" s="372">
        <v>678.65</v>
      </c>
      <c r="H71" s="373">
        <v>991</v>
      </c>
      <c r="I71" s="475"/>
      <c r="J71" s="344" t="s">
        <v>663</v>
      </c>
      <c r="K71" s="480">
        <v>66077.36</v>
      </c>
      <c r="L71" s="348">
        <v>2</v>
      </c>
      <c r="M71" s="475"/>
      <c r="N71" s="344" t="s">
        <v>663</v>
      </c>
      <c r="O71" s="480">
        <v>73444.97</v>
      </c>
      <c r="P71" s="348">
        <v>4</v>
      </c>
      <c r="Q71" s="475"/>
      <c r="R71" s="344" t="s">
        <v>663</v>
      </c>
      <c r="S71" s="480">
        <v>67527.509999999995</v>
      </c>
      <c r="T71" s="481"/>
      <c r="U71" s="475"/>
      <c r="V71" s="344" t="s">
        <v>663</v>
      </c>
      <c r="W71" s="480">
        <f t="shared" ref="W71:W85" si="2">S71</f>
        <v>67527.509999999995</v>
      </c>
      <c r="X71" s="482">
        <f>(H85+L71+P71)/3</f>
        <v>4.333333333333333</v>
      </c>
    </row>
    <row r="72" spans="2:25">
      <c r="B72" s="472" t="s">
        <v>677</v>
      </c>
      <c r="C72" s="364">
        <v>744.98</v>
      </c>
      <c r="D72" s="365">
        <v>66</v>
      </c>
      <c r="E72" s="475"/>
      <c r="F72" s="472" t="s">
        <v>677</v>
      </c>
      <c r="G72" s="364">
        <v>745.72</v>
      </c>
      <c r="H72" s="365">
        <v>19</v>
      </c>
      <c r="I72" s="475"/>
      <c r="J72" s="472" t="s">
        <v>665</v>
      </c>
      <c r="K72" s="480">
        <v>23212.880000000001</v>
      </c>
      <c r="L72" s="348">
        <v>0</v>
      </c>
      <c r="M72" s="475"/>
      <c r="N72" s="344" t="s">
        <v>693</v>
      </c>
      <c r="O72" s="480">
        <v>25801.11</v>
      </c>
      <c r="P72" s="348">
        <v>0</v>
      </c>
      <c r="Q72" s="475"/>
      <c r="R72" s="344" t="s">
        <v>693</v>
      </c>
      <c r="S72" s="480">
        <v>23722.31</v>
      </c>
      <c r="T72" s="481"/>
      <c r="U72" s="475"/>
      <c r="V72" s="344" t="s">
        <v>693</v>
      </c>
      <c r="W72" s="480">
        <f t="shared" si="2"/>
        <v>23722.31</v>
      </c>
      <c r="X72" s="482">
        <f>(H84+L72+P72)/3</f>
        <v>0.66666666666666663</v>
      </c>
    </row>
    <row r="73" spans="2:25">
      <c r="B73" s="472" t="s">
        <v>676</v>
      </c>
      <c r="C73" s="364">
        <v>1034.29</v>
      </c>
      <c r="D73" s="365">
        <v>8</v>
      </c>
      <c r="E73" s="475"/>
      <c r="F73" s="472" t="s">
        <v>676</v>
      </c>
      <c r="G73" s="364">
        <v>1035.32</v>
      </c>
      <c r="H73" s="365">
        <v>13</v>
      </c>
      <c r="I73" s="475"/>
      <c r="J73" s="472" t="s">
        <v>666</v>
      </c>
      <c r="K73" s="480">
        <v>14852.39</v>
      </c>
      <c r="L73" s="348">
        <v>1</v>
      </c>
      <c r="M73" s="475"/>
      <c r="N73" s="344" t="s">
        <v>694</v>
      </c>
      <c r="O73" s="480">
        <v>16508.43</v>
      </c>
      <c r="P73" s="348">
        <v>0</v>
      </c>
      <c r="Q73" s="475"/>
      <c r="R73" s="344" t="s">
        <v>694</v>
      </c>
      <c r="S73" s="480">
        <v>15178.36</v>
      </c>
      <c r="T73" s="481"/>
      <c r="U73" s="475"/>
      <c r="V73" s="344" t="s">
        <v>694</v>
      </c>
      <c r="W73" s="480">
        <f t="shared" si="2"/>
        <v>15178.36</v>
      </c>
      <c r="X73" s="482">
        <f>(H83+L73+P73)/3</f>
        <v>0.33333333333333331</v>
      </c>
    </row>
    <row r="74" spans="2:25">
      <c r="B74" s="472" t="s">
        <v>695</v>
      </c>
      <c r="C74" s="364">
        <v>1172.24</v>
      </c>
      <c r="D74" s="365">
        <v>11</v>
      </c>
      <c r="E74" s="475"/>
      <c r="F74" s="472" t="s">
        <v>695</v>
      </c>
      <c r="G74" s="364">
        <v>1173.4100000000001</v>
      </c>
      <c r="H74" s="365">
        <v>10</v>
      </c>
      <c r="I74" s="475"/>
      <c r="J74" s="472" t="s">
        <v>667</v>
      </c>
      <c r="K74" s="357">
        <v>13255.63</v>
      </c>
      <c r="L74" s="358">
        <v>4</v>
      </c>
      <c r="M74" s="475"/>
      <c r="N74" s="344" t="s">
        <v>696</v>
      </c>
      <c r="O74" s="357">
        <v>14733.63</v>
      </c>
      <c r="P74" s="358">
        <v>1</v>
      </c>
      <c r="Q74" s="475"/>
      <c r="R74" s="344" t="s">
        <v>696</v>
      </c>
      <c r="S74" s="357">
        <v>13546.54</v>
      </c>
      <c r="T74" s="481"/>
      <c r="U74" s="475"/>
      <c r="V74" s="344" t="s">
        <v>696</v>
      </c>
      <c r="W74" s="357">
        <f t="shared" si="2"/>
        <v>13546.54</v>
      </c>
      <c r="X74" s="358">
        <f>(H82+L74+P74)/3</f>
        <v>2</v>
      </c>
    </row>
    <row r="75" spans="2:25">
      <c r="B75" s="472" t="s">
        <v>697</v>
      </c>
      <c r="C75" s="364">
        <v>1243.78</v>
      </c>
      <c r="D75" s="365">
        <v>23</v>
      </c>
      <c r="E75" s="475"/>
      <c r="F75" s="472" t="s">
        <v>697</v>
      </c>
      <c r="G75" s="364">
        <v>1245.02</v>
      </c>
      <c r="H75" s="365">
        <v>16</v>
      </c>
      <c r="I75" s="475"/>
      <c r="J75" s="472" t="s">
        <v>668</v>
      </c>
      <c r="K75" s="357">
        <v>7239.77</v>
      </c>
      <c r="L75" s="358">
        <v>0</v>
      </c>
      <c r="M75" s="475"/>
      <c r="N75" s="344" t="s">
        <v>698</v>
      </c>
      <c r="O75" s="357">
        <v>8047</v>
      </c>
      <c r="P75" s="358">
        <v>1</v>
      </c>
      <c r="Q75" s="475"/>
      <c r="R75" s="344" t="s">
        <v>698</v>
      </c>
      <c r="S75" s="357">
        <v>7398.65</v>
      </c>
      <c r="T75" s="481"/>
      <c r="U75" s="475"/>
      <c r="V75" s="344" t="s">
        <v>698</v>
      </c>
      <c r="W75" s="357">
        <f t="shared" si="2"/>
        <v>7398.65</v>
      </c>
      <c r="X75" s="358">
        <f>(H81+L75+P75)/3</f>
        <v>0.66666666666666663</v>
      </c>
    </row>
    <row r="76" spans="2:25">
      <c r="B76" s="472" t="s">
        <v>699</v>
      </c>
      <c r="C76" s="357">
        <v>4430.0200000000004</v>
      </c>
      <c r="D76" s="358">
        <v>19</v>
      </c>
      <c r="E76" s="475"/>
      <c r="F76" s="472" t="s">
        <v>699</v>
      </c>
      <c r="G76" s="357">
        <v>4434.45</v>
      </c>
      <c r="H76" s="358">
        <v>15</v>
      </c>
      <c r="I76" s="475"/>
      <c r="J76" s="472" t="s">
        <v>669</v>
      </c>
      <c r="K76" s="357">
        <v>7239.77</v>
      </c>
      <c r="L76" s="358">
        <v>1</v>
      </c>
      <c r="M76" s="475"/>
      <c r="N76" s="344" t="s">
        <v>700</v>
      </c>
      <c r="O76" s="357">
        <v>8047</v>
      </c>
      <c r="P76" s="358">
        <v>0</v>
      </c>
      <c r="Q76" s="475"/>
      <c r="R76" s="344" t="s">
        <v>700</v>
      </c>
      <c r="S76" s="357">
        <v>7398.66</v>
      </c>
      <c r="T76" s="481"/>
      <c r="U76" s="475"/>
      <c r="V76" s="344" t="s">
        <v>700</v>
      </c>
      <c r="W76" s="357">
        <f t="shared" si="2"/>
        <v>7398.66</v>
      </c>
      <c r="X76" s="358">
        <f>(H80+L76+P76)/3</f>
        <v>0.33333333333333331</v>
      </c>
    </row>
    <row r="77" spans="2:25">
      <c r="B77" s="472" t="s">
        <v>701</v>
      </c>
      <c r="C77" s="357">
        <v>4730.17</v>
      </c>
      <c r="D77" s="358">
        <v>4</v>
      </c>
      <c r="E77" s="475"/>
      <c r="F77" s="472" t="s">
        <v>701</v>
      </c>
      <c r="G77" s="357">
        <v>4734.8999999999996</v>
      </c>
      <c r="H77" s="358">
        <v>4</v>
      </c>
      <c r="I77" s="475"/>
      <c r="J77" s="472" t="s">
        <v>670</v>
      </c>
      <c r="K77" s="357">
        <v>5516.01</v>
      </c>
      <c r="L77" s="358">
        <v>0</v>
      </c>
      <c r="M77" s="475"/>
      <c r="N77" s="344" t="s">
        <v>702</v>
      </c>
      <c r="O77" s="357">
        <v>6131.04</v>
      </c>
      <c r="P77" s="358">
        <v>1</v>
      </c>
      <c r="Q77" s="475"/>
      <c r="R77" s="344" t="s">
        <v>702</v>
      </c>
      <c r="S77" s="357">
        <v>5637.06</v>
      </c>
      <c r="T77" s="481"/>
      <c r="U77" s="475"/>
      <c r="V77" s="344" t="s">
        <v>702</v>
      </c>
      <c r="W77" s="357">
        <f t="shared" si="2"/>
        <v>5637.06</v>
      </c>
      <c r="X77" s="358">
        <f>(H79+L77+P77)/3</f>
        <v>0.33333333333333331</v>
      </c>
    </row>
    <row r="78" spans="2:25">
      <c r="B78" s="472" t="s">
        <v>703</v>
      </c>
      <c r="C78" s="357">
        <v>4898.5600000000004</v>
      </c>
      <c r="D78" s="358">
        <v>8</v>
      </c>
      <c r="E78" s="475"/>
      <c r="F78" s="472" t="s">
        <v>703</v>
      </c>
      <c r="G78" s="357">
        <v>4903.46</v>
      </c>
      <c r="H78" s="358">
        <v>1</v>
      </c>
      <c r="I78" s="475"/>
      <c r="J78" s="472" t="s">
        <v>671</v>
      </c>
      <c r="K78" s="357">
        <v>5516.01</v>
      </c>
      <c r="L78" s="358">
        <v>7</v>
      </c>
      <c r="M78" s="475"/>
      <c r="N78" s="344" t="s">
        <v>703</v>
      </c>
      <c r="O78" s="357">
        <v>6131.04</v>
      </c>
      <c r="P78" s="358">
        <v>4</v>
      </c>
      <c r="Q78" s="475"/>
      <c r="R78" s="344" t="s">
        <v>703</v>
      </c>
      <c r="S78" s="357">
        <v>5637.06</v>
      </c>
      <c r="T78" s="481"/>
      <c r="U78" s="475"/>
      <c r="V78" s="344" t="s">
        <v>703</v>
      </c>
      <c r="W78" s="357">
        <f t="shared" si="2"/>
        <v>5637.06</v>
      </c>
      <c r="X78" s="358">
        <f>(H78+L78+P78)/3</f>
        <v>4</v>
      </c>
    </row>
    <row r="79" spans="2:25">
      <c r="B79" s="472" t="s">
        <v>702</v>
      </c>
      <c r="C79" s="357">
        <v>4898.5600000000004</v>
      </c>
      <c r="D79" s="358">
        <v>1</v>
      </c>
      <c r="E79" s="475"/>
      <c r="F79" s="472" t="s">
        <v>702</v>
      </c>
      <c r="G79" s="357">
        <v>4903.46</v>
      </c>
      <c r="H79" s="358">
        <v>0</v>
      </c>
      <c r="I79" s="475"/>
      <c r="J79" s="472" t="s">
        <v>672</v>
      </c>
      <c r="K79" s="357">
        <v>5326.39</v>
      </c>
      <c r="L79" s="358">
        <v>3</v>
      </c>
      <c r="M79" s="475"/>
      <c r="N79" s="344" t="s">
        <v>701</v>
      </c>
      <c r="O79" s="357">
        <v>5920.28</v>
      </c>
      <c r="P79" s="358">
        <v>1</v>
      </c>
      <c r="Q79" s="475"/>
      <c r="R79" s="344" t="s">
        <v>701</v>
      </c>
      <c r="S79" s="357">
        <v>5443.28</v>
      </c>
      <c r="T79" s="481"/>
      <c r="U79" s="475"/>
      <c r="V79" s="344" t="s">
        <v>701</v>
      </c>
      <c r="W79" s="357">
        <f t="shared" si="2"/>
        <v>5443.28</v>
      </c>
      <c r="X79" s="358">
        <f>(H77+L79+P79)/3</f>
        <v>2.6666666666666665</v>
      </c>
    </row>
    <row r="80" spans="2:25">
      <c r="B80" s="472" t="s">
        <v>700</v>
      </c>
      <c r="C80" s="357">
        <v>6429.37</v>
      </c>
      <c r="D80" s="358">
        <v>1</v>
      </c>
      <c r="E80" s="475"/>
      <c r="F80" s="472" t="s">
        <v>700</v>
      </c>
      <c r="G80" s="357">
        <v>6435.8</v>
      </c>
      <c r="H80" s="358">
        <v>0</v>
      </c>
      <c r="I80" s="475"/>
      <c r="J80" s="472" t="s">
        <v>673</v>
      </c>
      <c r="K80" s="357">
        <v>4988.3999999999996</v>
      </c>
      <c r="L80" s="358">
        <v>10</v>
      </c>
      <c r="M80" s="475"/>
      <c r="N80" s="344" t="s">
        <v>699</v>
      </c>
      <c r="O80" s="357">
        <v>5544.61</v>
      </c>
      <c r="P80" s="358">
        <v>4</v>
      </c>
      <c r="Q80" s="475"/>
      <c r="R80" s="344" t="s">
        <v>699</v>
      </c>
      <c r="S80" s="357">
        <v>5097.8900000000003</v>
      </c>
      <c r="T80" s="481"/>
      <c r="U80" s="475"/>
      <c r="V80" s="344" t="s">
        <v>699</v>
      </c>
      <c r="W80" s="357">
        <f t="shared" si="2"/>
        <v>5097.8900000000003</v>
      </c>
      <c r="X80" s="358">
        <f>(H76+L80+P80)/3</f>
        <v>9.6666666666666661</v>
      </c>
    </row>
    <row r="81" spans="2:24">
      <c r="B81" s="472" t="s">
        <v>698</v>
      </c>
      <c r="C81" s="357">
        <v>6429.37</v>
      </c>
      <c r="D81" s="358">
        <v>3</v>
      </c>
      <c r="E81" s="475"/>
      <c r="F81" s="472" t="s">
        <v>698</v>
      </c>
      <c r="G81" s="357">
        <v>6435.8</v>
      </c>
      <c r="H81" s="358">
        <v>1</v>
      </c>
      <c r="I81" s="475"/>
      <c r="J81" s="472" t="s">
        <v>674</v>
      </c>
      <c r="K81" s="364">
        <v>1400.54</v>
      </c>
      <c r="L81" s="365">
        <v>5</v>
      </c>
      <c r="M81" s="475"/>
      <c r="N81" s="344" t="s">
        <v>697</v>
      </c>
      <c r="O81" s="364">
        <v>1556.71</v>
      </c>
      <c r="P81" s="365">
        <v>20</v>
      </c>
      <c r="Q81" s="475"/>
      <c r="R81" s="344" t="s">
        <v>697</v>
      </c>
      <c r="S81" s="364">
        <v>1431.3</v>
      </c>
      <c r="T81" s="481"/>
      <c r="U81" s="475"/>
      <c r="V81" s="344" t="s">
        <v>697</v>
      </c>
      <c r="W81" s="364">
        <f>S81</f>
        <v>1431.3</v>
      </c>
      <c r="X81" s="365">
        <f>(H75+L81+P81)/3</f>
        <v>13.666666666666666</v>
      </c>
    </row>
    <row r="82" spans="2:24">
      <c r="B82" s="472" t="s">
        <v>696</v>
      </c>
      <c r="C82" s="357">
        <v>11771.83</v>
      </c>
      <c r="D82" s="358">
        <v>4</v>
      </c>
      <c r="E82" s="475"/>
      <c r="F82" s="472" t="s">
        <v>696</v>
      </c>
      <c r="G82" s="357">
        <v>11783.6</v>
      </c>
      <c r="H82" s="358">
        <v>1</v>
      </c>
      <c r="I82" s="475"/>
      <c r="J82" s="472" t="s">
        <v>675</v>
      </c>
      <c r="K82" s="364">
        <v>1319.99</v>
      </c>
      <c r="L82" s="365">
        <v>18</v>
      </c>
      <c r="M82" s="475"/>
      <c r="N82" s="344" t="s">
        <v>695</v>
      </c>
      <c r="O82" s="364">
        <v>1467.18</v>
      </c>
      <c r="P82" s="365">
        <v>14</v>
      </c>
      <c r="Q82" s="475"/>
      <c r="R82" s="344" t="s">
        <v>695</v>
      </c>
      <c r="S82" s="364">
        <v>1348.98</v>
      </c>
      <c r="T82" s="481"/>
      <c r="U82" s="475"/>
      <c r="V82" s="344" t="s">
        <v>695</v>
      </c>
      <c r="W82" s="364">
        <f t="shared" si="2"/>
        <v>1348.98</v>
      </c>
      <c r="X82" s="365">
        <f>(H74+L82+P82)/3</f>
        <v>14</v>
      </c>
    </row>
    <row r="83" spans="2:24">
      <c r="B83" s="472" t="s">
        <v>694</v>
      </c>
      <c r="C83" s="480">
        <v>13189.85</v>
      </c>
      <c r="D83" s="348">
        <v>0</v>
      </c>
      <c r="E83" s="475"/>
      <c r="F83" s="472" t="s">
        <v>694</v>
      </c>
      <c r="G83" s="480">
        <v>13203.04</v>
      </c>
      <c r="H83" s="348">
        <v>0</v>
      </c>
      <c r="I83" s="475"/>
      <c r="J83" s="472" t="s">
        <v>676</v>
      </c>
      <c r="K83" s="364">
        <v>1164.6500000000001</v>
      </c>
      <c r="L83" s="365">
        <v>18</v>
      </c>
      <c r="M83" s="475"/>
      <c r="N83" s="344" t="s">
        <v>676</v>
      </c>
      <c r="O83" s="364">
        <v>1294.52</v>
      </c>
      <c r="P83" s="365">
        <v>34</v>
      </c>
      <c r="Q83" s="475"/>
      <c r="R83" s="344" t="s">
        <v>676</v>
      </c>
      <c r="S83" s="364">
        <v>1190.22</v>
      </c>
      <c r="T83" s="481"/>
      <c r="U83" s="475"/>
      <c r="V83" s="344" t="s">
        <v>676</v>
      </c>
      <c r="W83" s="364">
        <f t="shared" si="2"/>
        <v>1190.22</v>
      </c>
      <c r="X83" s="365">
        <f>(H73+L83+P83)/3</f>
        <v>21.666666666666668</v>
      </c>
    </row>
    <row r="84" spans="2:24">
      <c r="B84" s="472" t="s">
        <v>693</v>
      </c>
      <c r="C84" s="480">
        <v>20614.48</v>
      </c>
      <c r="D84" s="348">
        <v>7</v>
      </c>
      <c r="E84" s="475"/>
      <c r="F84" s="472" t="s">
        <v>693</v>
      </c>
      <c r="G84" s="480">
        <v>20635.09</v>
      </c>
      <c r="H84" s="348">
        <v>2</v>
      </c>
      <c r="I84" s="475"/>
      <c r="J84" s="472" t="s">
        <v>677</v>
      </c>
      <c r="K84" s="364">
        <v>838.87</v>
      </c>
      <c r="L84" s="365">
        <v>19</v>
      </c>
      <c r="M84" s="475"/>
      <c r="N84" s="344" t="s">
        <v>677</v>
      </c>
      <c r="O84" s="364">
        <v>932.41</v>
      </c>
      <c r="P84" s="365">
        <v>42</v>
      </c>
      <c r="Q84" s="475"/>
      <c r="R84" s="344" t="s">
        <v>677</v>
      </c>
      <c r="S84" s="364">
        <v>857.29</v>
      </c>
      <c r="T84" s="481"/>
      <c r="U84" s="475"/>
      <c r="V84" s="344" t="s">
        <v>677</v>
      </c>
      <c r="W84" s="364">
        <f t="shared" si="2"/>
        <v>857.29</v>
      </c>
      <c r="X84" s="365">
        <f>(H72+L84+P84)/3</f>
        <v>26.666666666666668</v>
      </c>
    </row>
    <row r="85" spans="2:24">
      <c r="B85" s="472" t="s">
        <v>663</v>
      </c>
      <c r="C85" s="480">
        <v>58680.78</v>
      </c>
      <c r="D85" s="348">
        <v>15</v>
      </c>
      <c r="E85" s="475"/>
      <c r="F85" s="472" t="s">
        <v>663</v>
      </c>
      <c r="G85" s="480">
        <v>58739.46</v>
      </c>
      <c r="H85" s="348">
        <v>7</v>
      </c>
      <c r="I85" s="475"/>
      <c r="J85" s="472" t="s">
        <v>678</v>
      </c>
      <c r="K85" s="372">
        <v>763.42</v>
      </c>
      <c r="L85" s="373">
        <v>914</v>
      </c>
      <c r="M85" s="475"/>
      <c r="N85" s="344" t="s">
        <v>692</v>
      </c>
      <c r="O85" s="372">
        <v>848.55</v>
      </c>
      <c r="P85" s="373">
        <v>1088</v>
      </c>
      <c r="Q85" s="475"/>
      <c r="R85" s="344" t="s">
        <v>692</v>
      </c>
      <c r="S85" s="372">
        <v>780.19</v>
      </c>
      <c r="T85" s="481"/>
      <c r="U85" s="475"/>
      <c r="V85" s="344" t="s">
        <v>692</v>
      </c>
      <c r="W85" s="372">
        <f t="shared" si="2"/>
        <v>780.19</v>
      </c>
      <c r="X85" s="373">
        <f>(H71+L85+P85)/3</f>
        <v>997.66666666666663</v>
      </c>
    </row>
    <row r="86" spans="2:24">
      <c r="B86" s="483" t="s">
        <v>660</v>
      </c>
      <c r="C86" s="484">
        <v>178593.68</v>
      </c>
      <c r="D86" s="485">
        <v>1</v>
      </c>
      <c r="E86" s="475"/>
      <c r="F86" s="483" t="s">
        <v>660</v>
      </c>
      <c r="G86" s="484">
        <v>178772.27</v>
      </c>
      <c r="H86" s="485">
        <v>1</v>
      </c>
      <c r="I86" s="475"/>
      <c r="J86" s="483" t="s">
        <v>679</v>
      </c>
      <c r="K86" s="380">
        <v>401.06</v>
      </c>
      <c r="L86" s="382">
        <v>515</v>
      </c>
      <c r="M86" s="475"/>
      <c r="N86" s="486" t="s">
        <v>691</v>
      </c>
      <c r="O86" s="380">
        <v>445.79</v>
      </c>
      <c r="P86" s="382">
        <v>322</v>
      </c>
      <c r="Q86" s="475"/>
      <c r="R86" s="486" t="s">
        <v>691</v>
      </c>
      <c r="S86" s="380">
        <v>409.88</v>
      </c>
      <c r="T86" s="487"/>
      <c r="U86" s="475"/>
      <c r="V86" s="486" t="s">
        <v>691</v>
      </c>
      <c r="W86" s="380">
        <f>S86</f>
        <v>409.88</v>
      </c>
      <c r="X86" s="382">
        <f>(H70+L86+P86)/3</f>
        <v>447.33333333333331</v>
      </c>
    </row>
    <row r="87" spans="2:24">
      <c r="B87" s="390"/>
      <c r="C87" s="488"/>
      <c r="D87" s="390"/>
      <c r="E87" s="390"/>
      <c r="F87" s="489"/>
      <c r="G87" s="488"/>
      <c r="H87" s="390"/>
      <c r="I87" s="390"/>
      <c r="J87" s="390"/>
      <c r="K87" s="488"/>
      <c r="L87" s="390"/>
      <c r="M87" s="390"/>
      <c r="N87" s="390"/>
      <c r="O87" s="488"/>
      <c r="P87" s="390"/>
      <c r="Q87" s="390"/>
      <c r="R87" s="390"/>
      <c r="S87" s="488"/>
      <c r="T87" s="390"/>
      <c r="U87" s="390"/>
      <c r="V87" s="390"/>
      <c r="W87" s="488"/>
      <c r="X87" s="490"/>
    </row>
    <row r="88" spans="2:24">
      <c r="B88" s="383" t="s">
        <v>680</v>
      </c>
      <c r="C88" s="491">
        <f>SUMPRODUCT(C70:C86,D70:D86)</f>
        <v>2314959.8400000003</v>
      </c>
      <c r="D88" s="422"/>
      <c r="E88" s="386"/>
      <c r="F88" s="492" t="s">
        <v>680</v>
      </c>
      <c r="G88" s="491">
        <f>SUMPRODUCT(G70:G86,H70:H86)</f>
        <v>1651669.94</v>
      </c>
      <c r="H88" s="422"/>
      <c r="I88" s="386"/>
      <c r="J88" s="383" t="s">
        <v>680</v>
      </c>
      <c r="K88" s="491">
        <f>SUMPRODUCT(K70:K86,L70:L86)</f>
        <v>1484826.2</v>
      </c>
      <c r="L88" s="422"/>
      <c r="M88" s="386"/>
      <c r="N88" s="383" t="s">
        <v>680</v>
      </c>
      <c r="O88" s="491">
        <f>SUMPRODUCT(O70:O86,P70:P86)</f>
        <v>1576930.83</v>
      </c>
      <c r="P88" s="422"/>
      <c r="Q88" s="386"/>
      <c r="R88" s="491"/>
      <c r="S88" s="491">
        <f>SUMPRODUCT(S70:S86,T70:T86)</f>
        <v>0</v>
      </c>
      <c r="T88" s="422"/>
      <c r="U88" s="386"/>
      <c r="V88" s="383" t="s">
        <v>680</v>
      </c>
      <c r="W88" s="491">
        <f>SUMPRODUCT(W70:W86,X70:X86)</f>
        <v>1622038.4366666663</v>
      </c>
      <c r="X88" s="424"/>
    </row>
    <row r="89" spans="2:24">
      <c r="B89" s="390"/>
      <c r="C89" s="269"/>
      <c r="D89" s="386"/>
      <c r="E89" s="386"/>
      <c r="F89" s="489"/>
      <c r="G89" s="493"/>
      <c r="H89" s="386"/>
      <c r="I89" s="386"/>
      <c r="J89" s="390"/>
      <c r="K89" s="269"/>
      <c r="L89" s="386"/>
      <c r="M89" s="386"/>
      <c r="N89" s="390"/>
      <c r="O89" s="269"/>
      <c r="P89" s="386"/>
      <c r="Q89" s="386"/>
      <c r="U89" s="386"/>
      <c r="V89" s="390"/>
      <c r="W89" s="269"/>
      <c r="X89" s="391"/>
    </row>
    <row r="90" spans="2:24" ht="22.5">
      <c r="B90" s="494" t="s">
        <v>704</v>
      </c>
      <c r="C90" s="495" t="s">
        <v>682</v>
      </c>
      <c r="D90" s="433" t="s">
        <v>683</v>
      </c>
      <c r="E90" s="434"/>
      <c r="F90" s="494" t="s">
        <v>705</v>
      </c>
      <c r="G90" s="393" t="s">
        <v>682</v>
      </c>
      <c r="H90" s="496" t="s">
        <v>683</v>
      </c>
      <c r="I90" s="434"/>
      <c r="J90" s="494" t="s">
        <v>705</v>
      </c>
      <c r="K90" s="393" t="s">
        <v>682</v>
      </c>
      <c r="L90" s="496" t="s">
        <v>683</v>
      </c>
      <c r="M90" s="434"/>
      <c r="N90" s="494" t="s">
        <v>705</v>
      </c>
      <c r="O90" s="393" t="s">
        <v>682</v>
      </c>
      <c r="P90" s="496" t="s">
        <v>683</v>
      </c>
      <c r="Q90" s="434"/>
      <c r="U90" s="434"/>
      <c r="V90" s="494" t="s">
        <v>705</v>
      </c>
      <c r="W90" s="393" t="s">
        <v>682</v>
      </c>
      <c r="X90" s="497" t="s">
        <v>683</v>
      </c>
    </row>
    <row r="91" spans="2:24" s="359" customFormat="1" ht="11.25">
      <c r="B91" s="438" t="s">
        <v>251</v>
      </c>
      <c r="C91" s="249">
        <f>C70</f>
        <v>356.17</v>
      </c>
      <c r="D91" s="498">
        <f>D70</f>
        <v>456</v>
      </c>
      <c r="E91" s="443"/>
      <c r="F91" s="438" t="s">
        <v>251</v>
      </c>
      <c r="G91" s="249">
        <f>G70</f>
        <v>356.53</v>
      </c>
      <c r="H91" s="498">
        <f>H70</f>
        <v>505</v>
      </c>
      <c r="I91" s="443"/>
      <c r="J91" s="438" t="s">
        <v>251</v>
      </c>
      <c r="K91" s="249">
        <f>K86</f>
        <v>401.06</v>
      </c>
      <c r="L91" s="498">
        <f>L86</f>
        <v>515</v>
      </c>
      <c r="M91" s="443"/>
      <c r="N91" s="438" t="s">
        <v>251</v>
      </c>
      <c r="O91" s="249">
        <f>O86</f>
        <v>445.79</v>
      </c>
      <c r="P91" s="498">
        <f>P86</f>
        <v>322</v>
      </c>
      <c r="Q91" s="443"/>
      <c r="U91" s="443"/>
      <c r="V91" s="438" t="s">
        <v>251</v>
      </c>
      <c r="W91" s="249">
        <f>W86</f>
        <v>409.88</v>
      </c>
      <c r="X91" s="250">
        <f>X86</f>
        <v>447.33333333333331</v>
      </c>
    </row>
    <row r="92" spans="2:24" s="359" customFormat="1" ht="11.25">
      <c r="B92" s="438" t="s">
        <v>252</v>
      </c>
      <c r="C92" s="252">
        <f>SUMPRODUCT(C71,D71)/SUM(D71)</f>
        <v>677.97</v>
      </c>
      <c r="D92" s="442">
        <f>SUM(D71)</f>
        <v>930</v>
      </c>
      <c r="E92" s="443"/>
      <c r="F92" s="438" t="s">
        <v>252</v>
      </c>
      <c r="G92" s="252">
        <f>SUMPRODUCT(G71,H71)/SUM(H71)</f>
        <v>678.65</v>
      </c>
      <c r="H92" s="442">
        <f>SUM(H71)</f>
        <v>991</v>
      </c>
      <c r="I92" s="443"/>
      <c r="J92" s="438" t="s">
        <v>252</v>
      </c>
      <c r="K92" s="252">
        <f>SUMPRODUCT(K85,L85)/SUM(L85)</f>
        <v>763.42</v>
      </c>
      <c r="L92" s="442">
        <f>SUM(L85)</f>
        <v>914</v>
      </c>
      <c r="M92" s="443"/>
      <c r="N92" s="438" t="s">
        <v>252</v>
      </c>
      <c r="O92" s="252">
        <f>SUMPRODUCT(O85,P85)/SUM(P85)</f>
        <v>848.55</v>
      </c>
      <c r="P92" s="442">
        <f>SUM(P85)</f>
        <v>1088</v>
      </c>
      <c r="Q92" s="443"/>
      <c r="U92" s="443"/>
      <c r="V92" s="438" t="s">
        <v>252</v>
      </c>
      <c r="W92" s="252">
        <f>SUMPRODUCT(W85,X85)/SUM(X85)</f>
        <v>780.19</v>
      </c>
      <c r="X92" s="253">
        <f>SUM(X85)</f>
        <v>997.66666666666663</v>
      </c>
    </row>
    <row r="93" spans="2:24" s="359" customFormat="1" ht="11.25">
      <c r="B93" s="438" t="s">
        <v>253</v>
      </c>
      <c r="C93" s="254">
        <f>SUMPRODUCT(C72:C75,D72:D75)/SUM(D72:D75)</f>
        <v>916.15351851851858</v>
      </c>
      <c r="D93" s="444">
        <f>SUM(D72:D75)</f>
        <v>108</v>
      </c>
      <c r="E93" s="443"/>
      <c r="F93" s="438" t="s">
        <v>253</v>
      </c>
      <c r="G93" s="254">
        <f>SUMPRODUCT(G72:G75,H72:H75)/SUM(H72:H75)</f>
        <v>1022.1079310344828</v>
      </c>
      <c r="H93" s="444">
        <f>SUM(H72:H75)</f>
        <v>58</v>
      </c>
      <c r="I93" s="443"/>
      <c r="J93" s="438" t="s">
        <v>253</v>
      </c>
      <c r="K93" s="254">
        <f>SUMPRODUCT(K81:K84,L81:L84)/SUM(L81:L84)</f>
        <v>1127.7458333333334</v>
      </c>
      <c r="L93" s="444">
        <f>SUM(L81:L84)</f>
        <v>60</v>
      </c>
      <c r="M93" s="443"/>
      <c r="N93" s="438" t="s">
        <v>253</v>
      </c>
      <c r="O93" s="254">
        <f>SUMPRODUCT(O81:O84,P81:P84)/SUM(P81:P84)</f>
        <v>1225.9056363636364</v>
      </c>
      <c r="P93" s="444">
        <f>SUM(P81:P84)</f>
        <v>110</v>
      </c>
      <c r="Q93" s="443"/>
      <c r="U93" s="443"/>
      <c r="V93" s="438" t="s">
        <v>253</v>
      </c>
      <c r="W93" s="254">
        <f>SUMPRODUCT(W81:W84,X81:X84)/SUM(X81:X84)</f>
        <v>1145.9998245614036</v>
      </c>
      <c r="X93" s="255">
        <f>SUM(X81:X84)</f>
        <v>76</v>
      </c>
    </row>
    <row r="94" spans="2:24" s="359" customFormat="1" ht="11.25">
      <c r="B94" s="438" t="s">
        <v>255</v>
      </c>
      <c r="C94" s="256">
        <f>SUMPRODUCT(C76:C82,D76:D82)/SUM(D76:D82)</f>
        <v>5499.5725000000002</v>
      </c>
      <c r="D94" s="445">
        <f>SUM(D76:D82)</f>
        <v>40</v>
      </c>
      <c r="E94" s="443"/>
      <c r="F94" s="438" t="s">
        <v>255</v>
      </c>
      <c r="G94" s="256">
        <f>SUMPRODUCT(G76:G82,H76:H82)/SUM(H76:H82)</f>
        <v>4935.4186363636372</v>
      </c>
      <c r="H94" s="445">
        <f>SUM(H76:H82)</f>
        <v>22</v>
      </c>
      <c r="I94" s="443"/>
      <c r="J94" s="438" t="s">
        <v>255</v>
      </c>
      <c r="K94" s="256">
        <f>SUMPRODUCT(K74:K80,L74:L80)/SUM(L74:L80)</f>
        <v>6589.5011999999988</v>
      </c>
      <c r="L94" s="445">
        <f>SUM(L74:L80)</f>
        <v>25</v>
      </c>
      <c r="M94" s="443"/>
      <c r="N94" s="438" t="s">
        <v>255</v>
      </c>
      <c r="O94" s="256">
        <f>SUMPRODUCT(O74:O80,P74:P80)/SUM(P74:P80)</f>
        <v>6794.5458333333336</v>
      </c>
      <c r="P94" s="445">
        <f>SUM(P74:P80)</f>
        <v>12</v>
      </c>
      <c r="Q94" s="443"/>
      <c r="U94" s="443"/>
      <c r="V94" s="438" t="s">
        <v>255</v>
      </c>
      <c r="W94" s="256">
        <f>SUMPRODUCT(W74:W80,X74:X80)/SUM(X74:X80)</f>
        <v>6239.6954237288137</v>
      </c>
      <c r="X94" s="257">
        <f>SUM(X74:X80)</f>
        <v>19.666666666666664</v>
      </c>
    </row>
    <row r="95" spans="2:24" s="359" customFormat="1" ht="11.25">
      <c r="B95" s="438" t="s">
        <v>254</v>
      </c>
      <c r="C95" s="258">
        <f>SUMPRODUCT(C83:C86,D83:D86)/SUM(D83:D86)</f>
        <v>52308.988695652173</v>
      </c>
      <c r="D95" s="499">
        <f>SUM(D83:D86)</f>
        <v>23</v>
      </c>
      <c r="E95" s="443"/>
      <c r="F95" s="447" t="s">
        <v>254</v>
      </c>
      <c r="G95" s="258">
        <f>SUMPRODUCT(G83:G86,H83:H86)/SUM(H83:H86)</f>
        <v>63121.866999999991</v>
      </c>
      <c r="H95" s="499">
        <f>SUM(H83:H86)</f>
        <v>10</v>
      </c>
      <c r="I95" s="443"/>
      <c r="J95" s="438" t="s">
        <v>254</v>
      </c>
      <c r="K95" s="258">
        <f>SUMPRODUCT(K70:K73,L70:L73)/SUM(L70:L73)</f>
        <v>87028.035000000003</v>
      </c>
      <c r="L95" s="499">
        <f>SUM(L70:L73)</f>
        <v>4</v>
      </c>
      <c r="M95" s="443"/>
      <c r="N95" s="438" t="s">
        <v>254</v>
      </c>
      <c r="O95" s="258">
        <f>SUMPRODUCT(O70:O73,P70:P73)/SUM(P70:P73)</f>
        <v>73444.97</v>
      </c>
      <c r="P95" s="499">
        <f>SUM(P70:P73)</f>
        <v>4</v>
      </c>
      <c r="Q95" s="443"/>
      <c r="U95" s="443"/>
      <c r="V95" s="438" t="s">
        <v>254</v>
      </c>
      <c r="W95" s="258">
        <f>SUMPRODUCT(W70:W73,X70:X73)/SUM(X70:X73)</f>
        <v>75084.316111111097</v>
      </c>
      <c r="X95" s="268">
        <f>SUM(X70:X73)</f>
        <v>6</v>
      </c>
    </row>
    <row r="96" spans="2:24">
      <c r="B96" s="450" t="s">
        <v>680</v>
      </c>
      <c r="C96" s="451">
        <f>SUMPRODUCT(C91:C95,D91:D95)</f>
        <v>2314959.84</v>
      </c>
      <c r="D96" s="452"/>
      <c r="E96" s="443"/>
      <c r="F96" s="450" t="s">
        <v>680</v>
      </c>
      <c r="G96" s="451">
        <f>SUMPRODUCT(G91:G95,H91:H95)</f>
        <v>1651669.94</v>
      </c>
      <c r="H96" s="452"/>
      <c r="I96" s="443"/>
      <c r="J96" s="450" t="s">
        <v>680</v>
      </c>
      <c r="K96" s="451">
        <f>SUMPRODUCT(K91:K95,L91:L95)</f>
        <v>1484826.2000000002</v>
      </c>
      <c r="L96" s="452"/>
      <c r="M96" s="443"/>
      <c r="N96" s="450" t="s">
        <v>680</v>
      </c>
      <c r="O96" s="451">
        <f>SUMPRODUCT(O91:O95,P91:P95)</f>
        <v>1576930.83</v>
      </c>
      <c r="P96" s="452"/>
      <c r="Q96" s="443"/>
      <c r="U96" s="443"/>
      <c r="V96" s="450" t="s">
        <v>680</v>
      </c>
      <c r="W96" s="451">
        <f>SUMPRODUCT(W91:W95,X91:X95)</f>
        <v>1622038.4366666665</v>
      </c>
      <c r="X96" s="454"/>
    </row>
    <row r="97" spans="2:24">
      <c r="B97" s="390"/>
      <c r="C97" s="500"/>
      <c r="D97" s="386"/>
      <c r="E97" s="386"/>
      <c r="F97" s="489"/>
      <c r="G97" s="455"/>
      <c r="H97" s="386"/>
      <c r="I97" s="386"/>
      <c r="J97" s="390"/>
      <c r="K97" s="455"/>
      <c r="L97" s="386"/>
      <c r="M97" s="386"/>
      <c r="N97" s="390"/>
      <c r="O97" s="455"/>
      <c r="P97" s="386"/>
      <c r="Q97" s="386"/>
      <c r="U97" s="386"/>
      <c r="V97" s="390"/>
      <c r="W97" s="455"/>
      <c r="X97" s="391"/>
    </row>
    <row r="98" spans="2:24">
      <c r="B98" s="501" t="s">
        <v>706</v>
      </c>
      <c r="C98" s="393" t="s">
        <v>682</v>
      </c>
      <c r="D98" s="502" t="s">
        <v>683</v>
      </c>
      <c r="E98" s="503"/>
      <c r="F98" s="501" t="s">
        <v>706</v>
      </c>
      <c r="G98" s="393" t="s">
        <v>682</v>
      </c>
      <c r="H98" s="496" t="s">
        <v>683</v>
      </c>
      <c r="I98" s="503"/>
      <c r="J98" s="501" t="s">
        <v>706</v>
      </c>
      <c r="K98" s="393" t="s">
        <v>682</v>
      </c>
      <c r="L98" s="496" t="s">
        <v>683</v>
      </c>
      <c r="M98" s="503"/>
      <c r="N98" s="501" t="s">
        <v>706</v>
      </c>
      <c r="O98" s="393" t="s">
        <v>682</v>
      </c>
      <c r="P98" s="502" t="s">
        <v>683</v>
      </c>
      <c r="Q98" s="503"/>
      <c r="R98" s="501" t="s">
        <v>706</v>
      </c>
      <c r="S98" s="393" t="s">
        <v>682</v>
      </c>
      <c r="T98" s="502" t="s">
        <v>683</v>
      </c>
      <c r="U98" s="503"/>
      <c r="V98" s="501" t="s">
        <v>706</v>
      </c>
      <c r="W98" s="393" t="s">
        <v>682</v>
      </c>
      <c r="X98" s="397" t="s">
        <v>683</v>
      </c>
    </row>
    <row r="99" spans="2:24">
      <c r="B99" s="504" t="s">
        <v>691</v>
      </c>
      <c r="C99" s="473">
        <v>17.649999999999999</v>
      </c>
      <c r="D99" s="474">
        <v>992</v>
      </c>
      <c r="E99" s="475"/>
      <c r="F99" s="504" t="s">
        <v>691</v>
      </c>
      <c r="G99" s="473">
        <v>17.670000000000002</v>
      </c>
      <c r="H99" s="474">
        <v>120</v>
      </c>
      <c r="I99" s="475"/>
      <c r="J99" s="333" t="s">
        <v>660</v>
      </c>
      <c r="K99" s="476">
        <v>149.38</v>
      </c>
      <c r="L99" s="477">
        <v>1720</v>
      </c>
      <c r="M99" s="475"/>
      <c r="N99" s="333" t="s">
        <v>660</v>
      </c>
      <c r="O99" s="476">
        <v>166.04</v>
      </c>
      <c r="P99" s="477">
        <v>0</v>
      </c>
      <c r="R99" s="504" t="s">
        <v>660</v>
      </c>
      <c r="S99" s="476">
        <v>152.66</v>
      </c>
      <c r="T99" s="478"/>
      <c r="U99" s="475"/>
      <c r="V99" s="504" t="s">
        <v>660</v>
      </c>
      <c r="W99" s="476">
        <f>S99</f>
        <v>152.66</v>
      </c>
      <c r="X99" s="479">
        <f>(H115+L99+P99)/3</f>
        <v>573.33333333333337</v>
      </c>
    </row>
    <row r="100" spans="2:24">
      <c r="B100" s="472" t="s">
        <v>692</v>
      </c>
      <c r="C100" s="372">
        <v>25.5</v>
      </c>
      <c r="D100" s="373">
        <v>318</v>
      </c>
      <c r="E100" s="475"/>
      <c r="F100" s="472" t="s">
        <v>692</v>
      </c>
      <c r="G100" s="372">
        <v>25.53</v>
      </c>
      <c r="H100" s="373">
        <v>606</v>
      </c>
      <c r="I100" s="475"/>
      <c r="J100" s="344" t="s">
        <v>663</v>
      </c>
      <c r="K100" s="480">
        <v>145.11000000000001</v>
      </c>
      <c r="L100" s="348">
        <v>40</v>
      </c>
      <c r="M100" s="475"/>
      <c r="N100" s="344" t="s">
        <v>663</v>
      </c>
      <c r="O100" s="480">
        <v>161.29</v>
      </c>
      <c r="P100" s="348">
        <v>260</v>
      </c>
      <c r="R100" s="472" t="s">
        <v>663</v>
      </c>
      <c r="S100" s="480">
        <v>148.29</v>
      </c>
      <c r="T100" s="481"/>
      <c r="U100" s="475"/>
      <c r="V100" s="472" t="s">
        <v>663</v>
      </c>
      <c r="W100" s="480">
        <f t="shared" ref="W100:W115" si="3">S100</f>
        <v>148.29</v>
      </c>
      <c r="X100" s="482">
        <f>(H114+L100+P100)/3</f>
        <v>199.33333333333334</v>
      </c>
    </row>
    <row r="101" spans="2:24">
      <c r="B101" s="472" t="s">
        <v>677</v>
      </c>
      <c r="C101" s="364">
        <v>25.5</v>
      </c>
      <c r="D101" s="365">
        <v>402.5</v>
      </c>
      <c r="E101" s="475"/>
      <c r="F101" s="472" t="s">
        <v>677</v>
      </c>
      <c r="G101" s="364">
        <v>25.53</v>
      </c>
      <c r="H101" s="365">
        <v>0</v>
      </c>
      <c r="I101" s="475"/>
      <c r="J101" s="472" t="s">
        <v>665</v>
      </c>
      <c r="K101" s="480">
        <v>615.94000000000005</v>
      </c>
      <c r="L101" s="348">
        <v>0</v>
      </c>
      <c r="M101" s="475"/>
      <c r="N101" s="472" t="s">
        <v>693</v>
      </c>
      <c r="O101" s="480">
        <v>684.62</v>
      </c>
      <c r="P101" s="348">
        <v>0</v>
      </c>
      <c r="R101" s="472" t="s">
        <v>693</v>
      </c>
      <c r="S101" s="480">
        <v>629.46</v>
      </c>
      <c r="T101" s="481"/>
      <c r="U101" s="475"/>
      <c r="V101" s="472" t="s">
        <v>693</v>
      </c>
      <c r="W101" s="480">
        <f t="shared" si="3"/>
        <v>629.46</v>
      </c>
      <c r="X101" s="482">
        <f>(H113+L101+P101)/3</f>
        <v>13.333333333333334</v>
      </c>
    </row>
    <row r="102" spans="2:24">
      <c r="B102" s="472" t="s">
        <v>676</v>
      </c>
      <c r="C102" s="364">
        <v>30.61</v>
      </c>
      <c r="D102" s="365">
        <v>2463</v>
      </c>
      <c r="E102" s="475"/>
      <c r="F102" s="472" t="s">
        <v>676</v>
      </c>
      <c r="G102" s="364">
        <v>30.64</v>
      </c>
      <c r="H102" s="365">
        <v>2367</v>
      </c>
      <c r="I102" s="475"/>
      <c r="J102" s="472" t="s">
        <v>666</v>
      </c>
      <c r="K102" s="480">
        <v>358.54</v>
      </c>
      <c r="L102" s="348">
        <v>90</v>
      </c>
      <c r="M102" s="475"/>
      <c r="N102" s="472" t="s">
        <v>694</v>
      </c>
      <c r="O102" s="480">
        <v>398.52</v>
      </c>
      <c r="P102" s="348">
        <v>0</v>
      </c>
      <c r="R102" s="472" t="s">
        <v>694</v>
      </c>
      <c r="S102" s="480">
        <v>366.41</v>
      </c>
      <c r="T102" s="481"/>
      <c r="U102" s="475"/>
      <c r="V102" s="472" t="s">
        <v>694</v>
      </c>
      <c r="W102" s="480">
        <f t="shared" si="3"/>
        <v>366.41</v>
      </c>
      <c r="X102" s="482">
        <f>(H112+L102+P102)/3</f>
        <v>30</v>
      </c>
    </row>
    <row r="103" spans="2:24">
      <c r="B103" s="472" t="s">
        <v>695</v>
      </c>
      <c r="C103" s="364">
        <v>30.61</v>
      </c>
      <c r="D103" s="365">
        <v>10</v>
      </c>
      <c r="E103" s="475"/>
      <c r="F103" s="472" t="s">
        <v>695</v>
      </c>
      <c r="G103" s="364">
        <v>30.64</v>
      </c>
      <c r="H103" s="365">
        <v>1</v>
      </c>
      <c r="I103" s="475"/>
      <c r="J103" s="472" t="s">
        <v>667</v>
      </c>
      <c r="K103" s="357">
        <v>339.56</v>
      </c>
      <c r="L103" s="358">
        <v>290</v>
      </c>
      <c r="M103" s="475"/>
      <c r="N103" s="472" t="s">
        <v>696</v>
      </c>
      <c r="O103" s="357">
        <v>377.42</v>
      </c>
      <c r="P103" s="358">
        <v>195</v>
      </c>
      <c r="R103" s="472" t="s">
        <v>696</v>
      </c>
      <c r="S103" s="357">
        <v>347.01</v>
      </c>
      <c r="T103" s="481"/>
      <c r="U103" s="475"/>
      <c r="V103" s="472" t="s">
        <v>696</v>
      </c>
      <c r="W103" s="357">
        <f t="shared" si="3"/>
        <v>347.01</v>
      </c>
      <c r="X103" s="358">
        <f>(H111+L103+P103)/3</f>
        <v>261.66666666666669</v>
      </c>
    </row>
    <row r="104" spans="2:24">
      <c r="B104" s="472" t="s">
        <v>697</v>
      </c>
      <c r="C104" s="364">
        <v>30.61</v>
      </c>
      <c r="D104" s="365">
        <v>36</v>
      </c>
      <c r="E104" s="475"/>
      <c r="F104" s="472" t="s">
        <v>697</v>
      </c>
      <c r="G104" s="364">
        <v>30.64</v>
      </c>
      <c r="H104" s="365">
        <v>226</v>
      </c>
      <c r="I104" s="475"/>
      <c r="J104" s="472" t="s">
        <v>668</v>
      </c>
      <c r="K104" s="357">
        <v>160.86000000000001</v>
      </c>
      <c r="L104" s="358">
        <v>0</v>
      </c>
      <c r="M104" s="475"/>
      <c r="N104" s="472" t="s">
        <v>698</v>
      </c>
      <c r="O104" s="357">
        <v>178.8</v>
      </c>
      <c r="P104" s="358">
        <v>135</v>
      </c>
      <c r="R104" s="472" t="s">
        <v>698</v>
      </c>
      <c r="S104" s="357">
        <v>164.39</v>
      </c>
      <c r="T104" s="481"/>
      <c r="U104" s="475"/>
      <c r="V104" s="472" t="s">
        <v>698</v>
      </c>
      <c r="W104" s="357">
        <f t="shared" si="3"/>
        <v>164.39</v>
      </c>
      <c r="X104" s="358">
        <f>(H110+L104+P104)/3</f>
        <v>75</v>
      </c>
    </row>
    <row r="105" spans="2:24">
      <c r="B105" s="472" t="s">
        <v>699</v>
      </c>
      <c r="C105" s="357">
        <v>35.71</v>
      </c>
      <c r="D105" s="358">
        <v>1325</v>
      </c>
      <c r="E105" s="475"/>
      <c r="F105" s="472" t="s">
        <v>699</v>
      </c>
      <c r="G105" s="357">
        <v>35.75</v>
      </c>
      <c r="H105" s="358">
        <v>2024.5</v>
      </c>
      <c r="I105" s="475"/>
      <c r="J105" s="472" t="s">
        <v>669</v>
      </c>
      <c r="K105" s="357">
        <v>160.86000000000001</v>
      </c>
      <c r="L105" s="358">
        <v>195</v>
      </c>
      <c r="M105" s="475"/>
      <c r="N105" s="472" t="s">
        <v>700</v>
      </c>
      <c r="O105" s="357">
        <v>178.8</v>
      </c>
      <c r="P105" s="358">
        <v>0</v>
      </c>
      <c r="R105" s="472" t="s">
        <v>700</v>
      </c>
      <c r="S105" s="357">
        <v>164.39</v>
      </c>
      <c r="T105" s="481"/>
      <c r="U105" s="475"/>
      <c r="V105" s="472" t="s">
        <v>700</v>
      </c>
      <c r="W105" s="357">
        <f t="shared" si="3"/>
        <v>164.39</v>
      </c>
      <c r="X105" s="358">
        <f>(H109+L105+P105)/3</f>
        <v>65</v>
      </c>
    </row>
    <row r="106" spans="2:24">
      <c r="B106" s="472" t="s">
        <v>701</v>
      </c>
      <c r="C106" s="357">
        <v>59.01</v>
      </c>
      <c r="D106" s="358">
        <v>192</v>
      </c>
      <c r="E106" s="475"/>
      <c r="F106" s="472" t="s">
        <v>701</v>
      </c>
      <c r="G106" s="357">
        <v>59.07</v>
      </c>
      <c r="H106" s="358">
        <v>130</v>
      </c>
      <c r="I106" s="475"/>
      <c r="J106" s="472" t="s">
        <v>670</v>
      </c>
      <c r="K106" s="357">
        <v>120.66</v>
      </c>
      <c r="L106" s="358">
        <v>0</v>
      </c>
      <c r="M106" s="475"/>
      <c r="N106" s="472" t="s">
        <v>702</v>
      </c>
      <c r="O106" s="357">
        <v>134.11000000000001</v>
      </c>
      <c r="P106" s="358">
        <v>75</v>
      </c>
      <c r="R106" s="472" t="s">
        <v>702</v>
      </c>
      <c r="S106" s="357">
        <v>123.3</v>
      </c>
      <c r="T106" s="481"/>
      <c r="U106" s="475"/>
      <c r="V106" s="472" t="s">
        <v>702</v>
      </c>
      <c r="W106" s="357">
        <f t="shared" si="3"/>
        <v>123.3</v>
      </c>
      <c r="X106" s="358">
        <f>(H108+L106+P106)/3</f>
        <v>25</v>
      </c>
    </row>
    <row r="107" spans="2:24">
      <c r="B107" s="472" t="s">
        <v>703</v>
      </c>
      <c r="C107" s="357">
        <v>68.92</v>
      </c>
      <c r="D107" s="358">
        <v>400</v>
      </c>
      <c r="E107" s="475"/>
      <c r="F107" s="472" t="s">
        <v>703</v>
      </c>
      <c r="G107" s="357">
        <v>68.989999999999995</v>
      </c>
      <c r="H107" s="358">
        <v>141</v>
      </c>
      <c r="I107" s="475"/>
      <c r="J107" s="472" t="s">
        <v>671</v>
      </c>
      <c r="K107" s="357">
        <v>77.61</v>
      </c>
      <c r="L107" s="358">
        <v>725</v>
      </c>
      <c r="M107" s="475"/>
      <c r="N107" s="472" t="s">
        <v>703</v>
      </c>
      <c r="O107" s="357">
        <v>86.26</v>
      </c>
      <c r="P107" s="358">
        <v>349</v>
      </c>
      <c r="R107" s="472" t="s">
        <v>703</v>
      </c>
      <c r="S107" s="357">
        <v>79.31</v>
      </c>
      <c r="T107" s="481"/>
      <c r="U107" s="475"/>
      <c r="V107" s="472" t="s">
        <v>703</v>
      </c>
      <c r="W107" s="357">
        <f t="shared" si="3"/>
        <v>79.31</v>
      </c>
      <c r="X107" s="358">
        <f>(H107+L107+P107)/3</f>
        <v>405</v>
      </c>
    </row>
    <row r="108" spans="2:24">
      <c r="B108" s="472" t="s">
        <v>702</v>
      </c>
      <c r="C108" s="357">
        <v>107.15</v>
      </c>
      <c r="D108" s="358">
        <v>70</v>
      </c>
      <c r="E108" s="475"/>
      <c r="F108" s="472" t="s">
        <v>702</v>
      </c>
      <c r="G108" s="357">
        <v>107.26</v>
      </c>
      <c r="H108" s="358">
        <v>0</v>
      </c>
      <c r="I108" s="475"/>
      <c r="J108" s="472" t="s">
        <v>672</v>
      </c>
      <c r="K108" s="357">
        <v>66.45</v>
      </c>
      <c r="L108" s="358">
        <v>640</v>
      </c>
      <c r="M108" s="475"/>
      <c r="N108" s="472" t="s">
        <v>701</v>
      </c>
      <c r="O108" s="357">
        <v>73.86</v>
      </c>
      <c r="P108" s="358">
        <v>20</v>
      </c>
      <c r="R108" s="472" t="s">
        <v>701</v>
      </c>
      <c r="S108" s="357">
        <v>67.91</v>
      </c>
      <c r="T108" s="481"/>
      <c r="U108" s="475"/>
      <c r="V108" s="472" t="s">
        <v>701</v>
      </c>
      <c r="W108" s="357">
        <f t="shared" si="3"/>
        <v>67.91</v>
      </c>
      <c r="X108" s="358">
        <f>(H106+L108+P108)/3</f>
        <v>263.33333333333331</v>
      </c>
    </row>
    <row r="109" spans="2:24">
      <c r="B109" s="472" t="s">
        <v>700</v>
      </c>
      <c r="C109" s="357">
        <v>142.86000000000001</v>
      </c>
      <c r="D109" s="358">
        <v>0</v>
      </c>
      <c r="E109" s="475"/>
      <c r="F109" s="472" t="s">
        <v>700</v>
      </c>
      <c r="G109" s="357">
        <v>143</v>
      </c>
      <c r="H109" s="358">
        <v>0</v>
      </c>
      <c r="I109" s="475"/>
      <c r="J109" s="472" t="s">
        <v>673</v>
      </c>
      <c r="K109" s="357">
        <v>40.22</v>
      </c>
      <c r="L109" s="358">
        <v>1015</v>
      </c>
      <c r="M109" s="475"/>
      <c r="N109" s="472" t="s">
        <v>699</v>
      </c>
      <c r="O109" s="357">
        <v>44.7</v>
      </c>
      <c r="P109" s="358">
        <v>1220</v>
      </c>
      <c r="R109" s="472" t="s">
        <v>699</v>
      </c>
      <c r="S109" s="357">
        <v>41.1</v>
      </c>
      <c r="T109" s="481"/>
      <c r="U109" s="475"/>
      <c r="V109" s="472" t="s">
        <v>699</v>
      </c>
      <c r="W109" s="357">
        <f t="shared" si="3"/>
        <v>41.1</v>
      </c>
      <c r="X109" s="358">
        <f>(H105+L109+P109)/3</f>
        <v>1419.8333333333333</v>
      </c>
    </row>
    <row r="110" spans="2:24">
      <c r="B110" s="472" t="s">
        <v>698</v>
      </c>
      <c r="C110" s="357">
        <v>142.86000000000001</v>
      </c>
      <c r="D110" s="358">
        <v>410</v>
      </c>
      <c r="E110" s="475"/>
      <c r="F110" s="472" t="s">
        <v>698</v>
      </c>
      <c r="G110" s="357">
        <v>143</v>
      </c>
      <c r="H110" s="358">
        <v>90</v>
      </c>
      <c r="I110" s="475"/>
      <c r="J110" s="472" t="s">
        <v>674</v>
      </c>
      <c r="K110" s="364">
        <v>34.47</v>
      </c>
      <c r="L110" s="365">
        <v>0</v>
      </c>
      <c r="M110" s="475"/>
      <c r="N110" s="472" t="s">
        <v>697</v>
      </c>
      <c r="O110" s="364">
        <v>38.31</v>
      </c>
      <c r="P110" s="365">
        <v>224</v>
      </c>
      <c r="R110" s="472" t="s">
        <v>697</v>
      </c>
      <c r="S110" s="364">
        <v>35.22</v>
      </c>
      <c r="T110" s="481"/>
      <c r="U110" s="475"/>
      <c r="V110" s="472" t="s">
        <v>697</v>
      </c>
      <c r="W110" s="364">
        <f t="shared" si="3"/>
        <v>35.22</v>
      </c>
      <c r="X110" s="365">
        <f>(H104+L110+P110)/3</f>
        <v>150</v>
      </c>
    </row>
    <row r="111" spans="2:24">
      <c r="B111" s="472" t="s">
        <v>696</v>
      </c>
      <c r="C111" s="357">
        <v>301.55</v>
      </c>
      <c r="D111" s="358">
        <v>185</v>
      </c>
      <c r="E111" s="475"/>
      <c r="F111" s="472" t="s">
        <v>696</v>
      </c>
      <c r="G111" s="357">
        <v>301.85000000000002</v>
      </c>
      <c r="H111" s="358">
        <v>300</v>
      </c>
      <c r="I111" s="475"/>
      <c r="J111" s="472" t="s">
        <v>675</v>
      </c>
      <c r="K111" s="364">
        <v>34.47</v>
      </c>
      <c r="L111" s="365">
        <v>241</v>
      </c>
      <c r="M111" s="475"/>
      <c r="N111" s="472" t="s">
        <v>695</v>
      </c>
      <c r="O111" s="364">
        <v>38.31</v>
      </c>
      <c r="P111" s="365">
        <v>120</v>
      </c>
      <c r="R111" s="472" t="s">
        <v>695</v>
      </c>
      <c r="S111" s="364">
        <v>35.22</v>
      </c>
      <c r="T111" s="481"/>
      <c r="U111" s="475"/>
      <c r="V111" s="472" t="s">
        <v>695</v>
      </c>
      <c r="W111" s="364">
        <f t="shared" si="3"/>
        <v>35.22</v>
      </c>
      <c r="X111" s="365">
        <f>(H103+L111+P111)/3</f>
        <v>120.66666666666667</v>
      </c>
    </row>
    <row r="112" spans="2:24">
      <c r="B112" s="472" t="s">
        <v>694</v>
      </c>
      <c r="C112" s="480">
        <v>318.39999999999998</v>
      </c>
      <c r="D112" s="348">
        <v>0</v>
      </c>
      <c r="E112" s="475"/>
      <c r="F112" s="472" t="s">
        <v>694</v>
      </c>
      <c r="G112" s="480">
        <v>318.72000000000003</v>
      </c>
      <c r="H112" s="348">
        <v>0</v>
      </c>
      <c r="I112" s="475"/>
      <c r="J112" s="472" t="s">
        <v>676</v>
      </c>
      <c r="K112" s="364">
        <v>34.47</v>
      </c>
      <c r="L112" s="365">
        <v>892</v>
      </c>
      <c r="M112" s="475"/>
      <c r="N112" s="472" t="s">
        <v>676</v>
      </c>
      <c r="O112" s="364">
        <v>38.31</v>
      </c>
      <c r="P112" s="365">
        <v>401</v>
      </c>
      <c r="R112" s="472" t="s">
        <v>676</v>
      </c>
      <c r="S112" s="364">
        <v>35.22</v>
      </c>
      <c r="T112" s="481"/>
      <c r="U112" s="475"/>
      <c r="V112" s="472" t="s">
        <v>676</v>
      </c>
      <c r="W112" s="364">
        <f t="shared" si="3"/>
        <v>35.22</v>
      </c>
      <c r="X112" s="365">
        <f>(H102+L112+P112)/3</f>
        <v>1220</v>
      </c>
    </row>
    <row r="113" spans="2:24">
      <c r="B113" s="472" t="s">
        <v>693</v>
      </c>
      <c r="C113" s="480">
        <v>546.99</v>
      </c>
      <c r="D113" s="348">
        <v>39</v>
      </c>
      <c r="E113" s="475"/>
      <c r="F113" s="472" t="s">
        <v>693</v>
      </c>
      <c r="G113" s="480">
        <v>547.54</v>
      </c>
      <c r="H113" s="348">
        <v>40</v>
      </c>
      <c r="I113" s="475"/>
      <c r="J113" s="472" t="s">
        <v>677</v>
      </c>
      <c r="K113" s="364">
        <v>28.72</v>
      </c>
      <c r="L113" s="365">
        <v>150</v>
      </c>
      <c r="M113" s="475"/>
      <c r="N113" s="472" t="s">
        <v>677</v>
      </c>
      <c r="O113" s="364">
        <v>31.92</v>
      </c>
      <c r="P113" s="365">
        <v>210</v>
      </c>
      <c r="R113" s="472" t="s">
        <v>677</v>
      </c>
      <c r="S113" s="364">
        <v>29.35</v>
      </c>
      <c r="T113" s="481"/>
      <c r="U113" s="475"/>
      <c r="V113" s="472" t="s">
        <v>677</v>
      </c>
      <c r="W113" s="364">
        <f t="shared" si="3"/>
        <v>29.35</v>
      </c>
      <c r="X113" s="365">
        <f>(H101+L113+P113)/3</f>
        <v>120</v>
      </c>
    </row>
    <row r="114" spans="2:24">
      <c r="B114" s="472" t="s">
        <v>663</v>
      </c>
      <c r="C114" s="480">
        <v>128.87</v>
      </c>
      <c r="D114" s="348">
        <v>816.27741134476605</v>
      </c>
      <c r="E114" s="475"/>
      <c r="F114" s="472" t="s">
        <v>663</v>
      </c>
      <c r="G114" s="480">
        <v>129</v>
      </c>
      <c r="H114" s="348">
        <v>298</v>
      </c>
      <c r="I114" s="475"/>
      <c r="J114" s="505" t="s">
        <v>678</v>
      </c>
      <c r="K114" s="506">
        <v>28.72</v>
      </c>
      <c r="L114" s="373">
        <v>261</v>
      </c>
      <c r="M114" s="475"/>
      <c r="N114" s="472" t="s">
        <v>692</v>
      </c>
      <c r="O114" s="372">
        <v>31.92</v>
      </c>
      <c r="P114" s="373">
        <v>3294</v>
      </c>
      <c r="R114" s="472" t="s">
        <v>692</v>
      </c>
      <c r="S114" s="372">
        <v>29.35</v>
      </c>
      <c r="T114" s="481"/>
      <c r="U114" s="475"/>
      <c r="V114" s="472" t="s">
        <v>692</v>
      </c>
      <c r="W114" s="372">
        <f t="shared" si="3"/>
        <v>29.35</v>
      </c>
      <c r="X114" s="373">
        <f>(H100+L114+P114)/3</f>
        <v>1387</v>
      </c>
    </row>
    <row r="115" spans="2:24">
      <c r="B115" s="483" t="s">
        <v>660</v>
      </c>
      <c r="C115" s="484">
        <v>132.66</v>
      </c>
      <c r="D115" s="485">
        <v>0</v>
      </c>
      <c r="E115" s="475"/>
      <c r="F115" s="483" t="s">
        <v>660</v>
      </c>
      <c r="G115" s="484">
        <v>132.79</v>
      </c>
      <c r="H115" s="485">
        <v>0</v>
      </c>
      <c r="I115" s="475"/>
      <c r="J115" s="486" t="s">
        <v>679</v>
      </c>
      <c r="K115" s="380">
        <v>19.88</v>
      </c>
      <c r="L115" s="382">
        <v>877</v>
      </c>
      <c r="M115" s="475"/>
      <c r="N115" s="483" t="s">
        <v>691</v>
      </c>
      <c r="O115" s="380">
        <v>22.1</v>
      </c>
      <c r="P115" s="382">
        <v>285</v>
      </c>
      <c r="R115" s="483" t="s">
        <v>691</v>
      </c>
      <c r="S115" s="380">
        <v>20.32</v>
      </c>
      <c r="T115" s="487"/>
      <c r="U115" s="475"/>
      <c r="V115" s="483" t="s">
        <v>691</v>
      </c>
      <c r="W115" s="380">
        <f t="shared" si="3"/>
        <v>20.32</v>
      </c>
      <c r="X115" s="382">
        <f>(H99+L115+P115)/3</f>
        <v>427.33333333333331</v>
      </c>
    </row>
    <row r="116" spans="2:24">
      <c r="B116" s="359"/>
      <c r="C116" s="507"/>
      <c r="D116" s="508"/>
      <c r="E116" s="316"/>
      <c r="F116" s="359"/>
      <c r="G116" s="425"/>
      <c r="H116" s="359"/>
      <c r="I116" s="316"/>
      <c r="J116" s="359"/>
      <c r="K116" s="425"/>
      <c r="L116" s="359"/>
      <c r="M116" s="316"/>
      <c r="N116" s="359"/>
      <c r="O116" s="425"/>
      <c r="P116" s="359"/>
      <c r="Q116" s="316"/>
      <c r="U116" s="316"/>
      <c r="V116" s="359"/>
      <c r="W116" s="425"/>
      <c r="X116" s="426"/>
    </row>
    <row r="117" spans="2:24" ht="22.5">
      <c r="B117" s="494" t="s">
        <v>707</v>
      </c>
      <c r="C117" s="509" t="s">
        <v>682</v>
      </c>
      <c r="D117" s="510" t="s">
        <v>683</v>
      </c>
      <c r="E117" s="434"/>
      <c r="F117" s="494" t="s">
        <v>707</v>
      </c>
      <c r="G117" s="393" t="s">
        <v>682</v>
      </c>
      <c r="H117" s="496" t="s">
        <v>683</v>
      </c>
      <c r="I117" s="434"/>
      <c r="J117" s="494" t="s">
        <v>707</v>
      </c>
      <c r="K117" s="393" t="s">
        <v>682</v>
      </c>
      <c r="L117" s="496" t="s">
        <v>683</v>
      </c>
      <c r="M117" s="434"/>
      <c r="N117" s="494" t="s">
        <v>707</v>
      </c>
      <c r="O117" s="393" t="s">
        <v>682</v>
      </c>
      <c r="P117" s="496" t="s">
        <v>683</v>
      </c>
      <c r="Q117" s="434"/>
      <c r="U117" s="434"/>
      <c r="V117" s="494" t="s">
        <v>707</v>
      </c>
      <c r="W117" s="393" t="s">
        <v>682</v>
      </c>
      <c r="X117" s="497" t="s">
        <v>683</v>
      </c>
    </row>
    <row r="118" spans="2:24" s="359" customFormat="1">
      <c r="B118" s="438" t="s">
        <v>251</v>
      </c>
      <c r="C118" s="249">
        <f>C99</f>
        <v>17.649999999999999</v>
      </c>
      <c r="D118" s="498">
        <f>D99</f>
        <v>992</v>
      </c>
      <c r="E118" s="443"/>
      <c r="F118" s="438" t="s">
        <v>251</v>
      </c>
      <c r="G118" s="249">
        <f>G99</f>
        <v>17.670000000000002</v>
      </c>
      <c r="H118" s="498">
        <f>H99</f>
        <v>120</v>
      </c>
      <c r="I118" s="443"/>
      <c r="J118" s="438" t="s">
        <v>251</v>
      </c>
      <c r="K118" s="249">
        <f>K115</f>
        <v>19.88</v>
      </c>
      <c r="L118" s="498">
        <f>L115</f>
        <v>877</v>
      </c>
      <c r="M118" s="443"/>
      <c r="N118" s="438" t="s">
        <v>251</v>
      </c>
      <c r="O118" s="249">
        <f>O115</f>
        <v>22.1</v>
      </c>
      <c r="P118" s="498">
        <f>P115</f>
        <v>285</v>
      </c>
      <c r="Q118" s="443"/>
      <c r="R118" s="210"/>
      <c r="S118" s="210"/>
      <c r="T118" s="210"/>
      <c r="U118" s="443"/>
      <c r="V118" s="438" t="s">
        <v>251</v>
      </c>
      <c r="W118" s="249">
        <f>W115</f>
        <v>20.32</v>
      </c>
      <c r="X118" s="250">
        <f>X115</f>
        <v>427.33333333333331</v>
      </c>
    </row>
    <row r="119" spans="2:24" s="359" customFormat="1">
      <c r="B119" s="438" t="s">
        <v>252</v>
      </c>
      <c r="C119" s="252">
        <f>SUMPRODUCT(C100,D100)/SUM(D100)</f>
        <v>25.5</v>
      </c>
      <c r="D119" s="442">
        <f>SUM(D100)</f>
        <v>318</v>
      </c>
      <c r="E119" s="443"/>
      <c r="F119" s="438" t="s">
        <v>252</v>
      </c>
      <c r="G119" s="252">
        <f>SUMPRODUCT(G100,H100)/SUM(H100)</f>
        <v>25.53</v>
      </c>
      <c r="H119" s="442">
        <f>SUM(H100)</f>
        <v>606</v>
      </c>
      <c r="I119" s="443"/>
      <c r="J119" s="438" t="s">
        <v>252</v>
      </c>
      <c r="K119" s="252">
        <f>K114</f>
        <v>28.72</v>
      </c>
      <c r="L119" s="442">
        <f>L114</f>
        <v>261</v>
      </c>
      <c r="M119" s="443"/>
      <c r="N119" s="438" t="s">
        <v>252</v>
      </c>
      <c r="O119" s="252">
        <f>O114</f>
        <v>31.92</v>
      </c>
      <c r="P119" s="442">
        <f>P114</f>
        <v>3294</v>
      </c>
      <c r="Q119" s="443"/>
      <c r="R119" s="210"/>
      <c r="S119" s="210"/>
      <c r="T119" s="210"/>
      <c r="U119" s="443"/>
      <c r="V119" s="438" t="s">
        <v>252</v>
      </c>
      <c r="W119" s="252">
        <f>W114</f>
        <v>29.35</v>
      </c>
      <c r="X119" s="253">
        <f>X114</f>
        <v>1387</v>
      </c>
    </row>
    <row r="120" spans="2:24" s="359" customFormat="1">
      <c r="B120" s="438" t="s">
        <v>253</v>
      </c>
      <c r="C120" s="254">
        <f>SUMPRODUCT(C101:C104,D101:D104)/SUM(D101:D104)</f>
        <v>29.903568607247124</v>
      </c>
      <c r="D120" s="444">
        <f>SUM(D101:D104)</f>
        <v>2911.5</v>
      </c>
      <c r="E120" s="443"/>
      <c r="F120" s="438" t="s">
        <v>253</v>
      </c>
      <c r="G120" s="254">
        <f>SUMPRODUCT(G101:G104,H101:H104)/SUM(H101:H104)</f>
        <v>30.64</v>
      </c>
      <c r="H120" s="444">
        <f>SUM(H101:H104)</f>
        <v>2594</v>
      </c>
      <c r="I120" s="443"/>
      <c r="J120" s="438" t="s">
        <v>253</v>
      </c>
      <c r="K120" s="254">
        <f>SUMPRODUCT(K110:K113,L110:L113)/SUM(L110:L113)</f>
        <v>33.797747466874512</v>
      </c>
      <c r="L120" s="444">
        <f>SUM(L110:L113)</f>
        <v>1283</v>
      </c>
      <c r="M120" s="443"/>
      <c r="N120" s="438" t="s">
        <v>253</v>
      </c>
      <c r="O120" s="254">
        <f>SUMPRODUCT(O110:O113,P110:P113)/SUM(P110:P113)</f>
        <v>36.904869109947654</v>
      </c>
      <c r="P120" s="444">
        <f>SUM(P110:P113)</f>
        <v>955</v>
      </c>
      <c r="Q120" s="443"/>
      <c r="R120" s="210"/>
      <c r="S120" s="210"/>
      <c r="T120" s="210"/>
      <c r="U120" s="443"/>
      <c r="V120" s="438" t="s">
        <v>253</v>
      </c>
      <c r="W120" s="254">
        <f>SUMPRODUCT(W110:W113,X110:X113)/SUM(X110:X113)</f>
        <v>34.782665562913905</v>
      </c>
      <c r="X120" s="255">
        <f>SUM(X110:X113)</f>
        <v>1610.6666666666667</v>
      </c>
    </row>
    <row r="121" spans="2:24" s="359" customFormat="1">
      <c r="B121" s="438" t="s">
        <v>255</v>
      </c>
      <c r="C121" s="256">
        <f>SUMPRODUCT(C105:C111,D105:D111)/SUM(D105:D111)</f>
        <v>80.586181254841222</v>
      </c>
      <c r="D121" s="445">
        <f>SUM(D105:D111)</f>
        <v>2582</v>
      </c>
      <c r="E121" s="443"/>
      <c r="F121" s="438" t="s">
        <v>255</v>
      </c>
      <c r="G121" s="256">
        <f>SUMPRODUCT(G105:G111,H105:H111)/SUM(H105:H111)</f>
        <v>71.944727238875444</v>
      </c>
      <c r="H121" s="445">
        <f>SUM(H105:H111)</f>
        <v>2685.5</v>
      </c>
      <c r="I121" s="443"/>
      <c r="J121" s="438" t="s">
        <v>255</v>
      </c>
      <c r="K121" s="256">
        <f>SUMPRODUCT(K103:K109,L103:L109)/SUM(L103:L109)</f>
        <v>94.05188481675394</v>
      </c>
      <c r="L121" s="445">
        <f>SUM(L103:L109)</f>
        <v>2865</v>
      </c>
      <c r="M121" s="443"/>
      <c r="N121" s="438" t="s">
        <v>255</v>
      </c>
      <c r="O121" s="256">
        <f>SUMPRODUCT(O103:O109,P103:P109)/SUM(P103:P109)</f>
        <v>97.246283851554679</v>
      </c>
      <c r="P121" s="445">
        <f>SUM(P103:P109)</f>
        <v>1994</v>
      </c>
      <c r="Q121" s="443"/>
      <c r="R121" s="210"/>
      <c r="S121" s="210"/>
      <c r="T121" s="210"/>
      <c r="U121" s="443"/>
      <c r="V121" s="438" t="s">
        <v>255</v>
      </c>
      <c r="W121" s="256">
        <f>SUMPRODUCT(W103:W109,X103:X109)/SUM(X103:X109)</f>
        <v>89.571230697859363</v>
      </c>
      <c r="X121" s="257">
        <f>SUM(X103:X109)</f>
        <v>2514.833333333333</v>
      </c>
    </row>
    <row r="122" spans="2:24" s="359" customFormat="1">
      <c r="B122" s="438" t="s">
        <v>254</v>
      </c>
      <c r="C122" s="258">
        <f>SUMPRODUCT(C112:C115,D112:D115)/SUM(D112:D115)</f>
        <v>147.93595425496011</v>
      </c>
      <c r="D122" s="499">
        <f>SUM(D112:D115)</f>
        <v>855.27741134476605</v>
      </c>
      <c r="E122" s="443"/>
      <c r="F122" s="438" t="s">
        <v>254</v>
      </c>
      <c r="G122" s="258">
        <f>SUMPRODUCT(G112:G115,H112:H115)/SUM(H112:H115)</f>
        <v>178.53136094674556</v>
      </c>
      <c r="H122" s="499">
        <f>SUM(H112:H115)</f>
        <v>338</v>
      </c>
      <c r="I122" s="443"/>
      <c r="J122" s="438" t="s">
        <v>254</v>
      </c>
      <c r="K122" s="258">
        <f>SUMPRODUCT(K99:K102,L99:L102)/SUM(L99:L102)</f>
        <v>159.46302702702701</v>
      </c>
      <c r="L122" s="499">
        <f>SUM(L99:L102)</f>
        <v>1850</v>
      </c>
      <c r="M122" s="443"/>
      <c r="N122" s="438" t="s">
        <v>254</v>
      </c>
      <c r="O122" s="258">
        <f>SUMPRODUCT(O99:O102,P99:P102)/SUM(P99:P102)</f>
        <v>161.29</v>
      </c>
      <c r="P122" s="499">
        <f>SUM(P99:P102)</f>
        <v>260</v>
      </c>
      <c r="Q122" s="443"/>
      <c r="R122" s="210"/>
      <c r="S122" s="210"/>
      <c r="T122" s="210"/>
      <c r="U122" s="443"/>
      <c r="V122" s="438" t="s">
        <v>254</v>
      </c>
      <c r="W122" s="258">
        <f>SUMPRODUCT(W99:W102,X99:X102)/SUM(X99:X102)</f>
        <v>167.24179738562088</v>
      </c>
      <c r="X122" s="268">
        <f>SUM(X99:X102)</f>
        <v>816.00000000000011</v>
      </c>
    </row>
    <row r="123" spans="2:24">
      <c r="B123" s="450" t="s">
        <v>680</v>
      </c>
      <c r="C123" s="451">
        <f>SUMPRODUCT(C118:C122,D118:D122)</f>
        <v>447281.84000000008</v>
      </c>
      <c r="D123" s="511"/>
      <c r="E123" s="443"/>
      <c r="F123" s="450" t="s">
        <v>680</v>
      </c>
      <c r="G123" s="451">
        <f>SUMPRODUCT(G118:G122,H118:H122)</f>
        <v>350622.90499999997</v>
      </c>
      <c r="H123" s="511"/>
      <c r="I123" s="443"/>
      <c r="J123" s="450" t="s">
        <v>680</v>
      </c>
      <c r="K123" s="451">
        <f>SUMPRODUCT(K118:K122,L118:L122)</f>
        <v>632758.43999999994</v>
      </c>
      <c r="L123" s="511"/>
      <c r="M123" s="443"/>
      <c r="N123" s="450" t="s">
        <v>680</v>
      </c>
      <c r="O123" s="451">
        <f>SUMPRODUCT(O118:O122,P118:P122)</f>
        <v>382531.62000000005</v>
      </c>
      <c r="P123" s="511"/>
      <c r="Q123" s="443"/>
      <c r="U123" s="443"/>
      <c r="V123" s="450" t="s">
        <v>680</v>
      </c>
      <c r="W123" s="451">
        <f>SUMPRODUCT(W118:W122,X118:X122)</f>
        <v>467141.16666666663</v>
      </c>
      <c r="X123" s="511"/>
    </row>
    <row r="125" spans="2:24">
      <c r="J125" s="512"/>
    </row>
    <row r="126" spans="2:24">
      <c r="J126" s="209"/>
    </row>
  </sheetData>
  <mergeCells count="12">
    <mergeCell ref="W68:X68"/>
    <mergeCell ref="C12:D12"/>
    <mergeCell ref="G12:H12"/>
    <mergeCell ref="K12:L12"/>
    <mergeCell ref="O12:P12"/>
    <mergeCell ref="S12:T12"/>
    <mergeCell ref="W12:X12"/>
    <mergeCell ref="C68:D68"/>
    <mergeCell ref="G68:H68"/>
    <mergeCell ref="K68:L68"/>
    <mergeCell ref="O68:P68"/>
    <mergeCell ref="S68:T68"/>
  </mergeCells>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tabColor rgb="FFFFCC99"/>
  </sheetPr>
  <dimension ref="A2:AQ253"/>
  <sheetViews>
    <sheetView showGridLines="0" zoomScale="85" zoomScaleNormal="85" workbookViewId="0"/>
  </sheetViews>
  <sheetFormatPr defaultRowHeight="12.75"/>
  <cols>
    <col min="1" max="6" width="1.5703125" style="210" customWidth="1"/>
    <col min="7" max="7" width="9.140625" style="210"/>
    <col min="8" max="8" width="47.7109375" style="210" bestFit="1" customWidth="1"/>
    <col min="9" max="9" width="14" style="89" customWidth="1"/>
    <col min="10" max="10" width="14" style="118" customWidth="1"/>
    <col min="11" max="11" width="3.85546875" style="238" customWidth="1"/>
    <col min="12" max="12" width="14" style="89" customWidth="1"/>
    <col min="13" max="13" width="14" style="118" customWidth="1"/>
    <col min="14" max="14" width="3.85546875" style="238" customWidth="1"/>
    <col min="15" max="15" width="14" style="89" customWidth="1"/>
    <col min="16" max="16" width="14" style="118" customWidth="1"/>
    <col min="17" max="17" width="3.85546875" style="238" customWidth="1"/>
    <col min="18" max="18" width="14" style="89" customWidth="1"/>
    <col min="19" max="19" width="14" style="118" customWidth="1"/>
    <col min="20" max="20" width="3.85546875" style="238" customWidth="1"/>
    <col min="21" max="21" width="14" style="210" customWidth="1"/>
    <col min="22" max="22" width="14" style="89" customWidth="1"/>
    <col min="23" max="23" width="14" style="118" customWidth="1"/>
    <col min="24" max="24" width="19.140625" style="210" customWidth="1"/>
    <col min="25" max="16384" width="9.140625" style="210"/>
  </cols>
  <sheetData>
    <row r="2" spans="1:43" ht="18">
      <c r="A2" s="198" t="s">
        <v>627</v>
      </c>
      <c r="B2" s="199"/>
      <c r="C2" s="199"/>
      <c r="D2" s="199"/>
      <c r="E2" s="198"/>
      <c r="F2" s="199"/>
      <c r="G2" s="199"/>
      <c r="H2" s="199"/>
      <c r="I2" s="233"/>
      <c r="J2" s="234"/>
      <c r="K2" s="199"/>
      <c r="L2" s="235"/>
      <c r="M2" s="236"/>
      <c r="N2" s="199"/>
      <c r="O2" s="235"/>
      <c r="P2" s="234"/>
      <c r="Q2" s="198"/>
      <c r="R2" s="235"/>
      <c r="S2" s="234"/>
      <c r="T2" s="199"/>
      <c r="U2" s="199"/>
      <c r="V2" s="233"/>
      <c r="W2" s="234"/>
      <c r="X2" s="199"/>
      <c r="Y2" s="199"/>
      <c r="Z2" s="198"/>
      <c r="AA2" s="199"/>
      <c r="AB2" s="199"/>
      <c r="AC2" s="199"/>
      <c r="AD2" s="198"/>
      <c r="AE2" s="199"/>
      <c r="AF2" s="199"/>
      <c r="AG2" s="199"/>
      <c r="AH2" s="198"/>
      <c r="AI2" s="199"/>
      <c r="AJ2" s="199"/>
      <c r="AK2" s="199"/>
      <c r="AL2" s="198"/>
      <c r="AM2" s="199"/>
      <c r="AN2" s="199"/>
      <c r="AO2" s="199"/>
      <c r="AP2" s="198"/>
      <c r="AQ2" s="199"/>
    </row>
    <row r="3" spans="1:43">
      <c r="H3" s="237"/>
      <c r="I3" s="189"/>
      <c r="J3" s="28"/>
    </row>
    <row r="4" spans="1:43">
      <c r="H4" s="237"/>
      <c r="I4" s="189"/>
      <c r="J4" s="28"/>
    </row>
    <row r="5" spans="1:43">
      <c r="H5" s="237"/>
      <c r="I5" s="189"/>
      <c r="J5" s="28"/>
    </row>
    <row r="6" spans="1:43">
      <c r="H6" s="239"/>
      <c r="I6" s="189"/>
      <c r="J6" s="28"/>
    </row>
    <row r="7" spans="1:43" ht="15.75">
      <c r="U7" s="240" t="s">
        <v>628</v>
      </c>
      <c r="V7" s="241"/>
      <c r="W7" s="242"/>
      <c r="X7" s="240"/>
    </row>
    <row r="8" spans="1:43">
      <c r="N8" s="210"/>
    </row>
    <row r="9" spans="1:43" ht="15.75">
      <c r="G9" s="1207" t="s">
        <v>168</v>
      </c>
      <c r="H9" s="240" t="s">
        <v>629</v>
      </c>
      <c r="I9" s="212"/>
      <c r="K9" s="210"/>
      <c r="N9" s="210"/>
      <c r="Q9" s="210"/>
      <c r="T9" s="210"/>
    </row>
    <row r="10" spans="1:43" s="208" customFormat="1">
      <c r="G10" s="1207"/>
      <c r="H10" s="243"/>
      <c r="I10" s="1205">
        <v>2009</v>
      </c>
      <c r="J10" s="1206"/>
      <c r="K10" s="202"/>
      <c r="L10" s="1205">
        <v>2010</v>
      </c>
      <c r="M10" s="1206"/>
      <c r="N10" s="202"/>
      <c r="O10" s="1205">
        <v>2011</v>
      </c>
      <c r="P10" s="1206"/>
      <c r="Q10" s="202"/>
      <c r="R10" s="1205">
        <v>2012</v>
      </c>
      <c r="S10" s="1206"/>
      <c r="T10" s="202"/>
      <c r="V10" s="1205" t="s">
        <v>630</v>
      </c>
      <c r="W10" s="1206"/>
    </row>
    <row r="11" spans="1:43" s="208" customFormat="1" ht="29.25" customHeight="1">
      <c r="G11" s="1207"/>
      <c r="H11" s="244" t="s">
        <v>631</v>
      </c>
      <c r="I11" s="245" t="s">
        <v>632</v>
      </c>
      <c r="J11" s="246" t="s">
        <v>633</v>
      </c>
      <c r="K11" s="201"/>
      <c r="L11" s="247" t="s">
        <v>632</v>
      </c>
      <c r="M11" s="246" t="s">
        <v>633</v>
      </c>
      <c r="N11" s="201"/>
      <c r="O11" s="247" t="s">
        <v>632</v>
      </c>
      <c r="P11" s="246" t="s">
        <v>633</v>
      </c>
      <c r="Q11" s="201"/>
      <c r="R11" s="247" t="s">
        <v>632</v>
      </c>
      <c r="S11" s="246" t="s">
        <v>633</v>
      </c>
      <c r="T11" s="201"/>
      <c r="V11" s="247" t="s">
        <v>632</v>
      </c>
      <c r="W11" s="246" t="s">
        <v>633</v>
      </c>
    </row>
    <row r="12" spans="1:43">
      <c r="G12" s="1207"/>
      <c r="H12" s="248" t="s">
        <v>251</v>
      </c>
      <c r="I12" s="249">
        <f>Cogas!$C$39</f>
        <v>5.96</v>
      </c>
      <c r="J12" s="250">
        <f>Cogas!$D$39</f>
        <v>22611</v>
      </c>
      <c r="K12" s="251"/>
      <c r="L12" s="249">
        <f>Cogas!$G$39</f>
        <v>5.16</v>
      </c>
      <c r="M12" s="250">
        <f>Cogas!$H$39</f>
        <v>22807</v>
      </c>
      <c r="N12" s="251"/>
      <c r="O12" s="249">
        <f>Cogas!$K$39</f>
        <v>5.6795999999999998</v>
      </c>
      <c r="P12" s="250">
        <f>Cogas!$L$39</f>
        <v>22945</v>
      </c>
      <c r="Q12" s="251"/>
      <c r="R12" s="249">
        <f>Cogas!$O$39</f>
        <v>6.48</v>
      </c>
      <c r="S12" s="250">
        <f>Cogas!$P$39</f>
        <v>24005</v>
      </c>
      <c r="T12" s="251"/>
      <c r="U12" s="208"/>
      <c r="V12" s="249">
        <f>Cogas!W39</f>
        <v>7.4</v>
      </c>
      <c r="W12" s="250">
        <f>Cogas!X39</f>
        <v>23252.333333333332</v>
      </c>
      <c r="X12" s="208"/>
      <c r="Y12" s="208"/>
      <c r="Z12" s="208"/>
      <c r="AA12" s="208"/>
      <c r="AB12" s="208"/>
      <c r="AC12" s="208"/>
      <c r="AD12" s="208"/>
    </row>
    <row r="13" spans="1:43">
      <c r="G13" s="1207"/>
      <c r="H13" s="248" t="s">
        <v>252</v>
      </c>
      <c r="I13" s="252">
        <f>Cogas!$C$40</f>
        <v>17.05</v>
      </c>
      <c r="J13" s="253">
        <f>Cogas!$D$40</f>
        <v>50302</v>
      </c>
      <c r="K13" s="251"/>
      <c r="L13" s="252">
        <f>Cogas!$G$40</f>
        <v>14.75</v>
      </c>
      <c r="M13" s="253">
        <f>Cogas!$H$40</f>
        <v>50452</v>
      </c>
      <c r="N13" s="251"/>
      <c r="O13" s="252">
        <f>Cogas!$K$40</f>
        <v>16.23</v>
      </c>
      <c r="P13" s="253">
        <f>Cogas!$L$40</f>
        <v>50485.230769230766</v>
      </c>
      <c r="Q13" s="251"/>
      <c r="R13" s="252">
        <f>Cogas!$O$40</f>
        <v>18.5</v>
      </c>
      <c r="S13" s="253">
        <f>Cogas!$P$40</f>
        <v>50364</v>
      </c>
      <c r="T13" s="251"/>
      <c r="U13" s="208"/>
      <c r="V13" s="252">
        <f>Cogas!W40</f>
        <v>21.14</v>
      </c>
      <c r="W13" s="253">
        <f>Cogas!X40</f>
        <v>50433.743589743586</v>
      </c>
      <c r="X13" s="208"/>
      <c r="Y13" s="208"/>
      <c r="Z13" s="208"/>
      <c r="AA13" s="208"/>
      <c r="AB13" s="208"/>
      <c r="AC13" s="208"/>
      <c r="AD13" s="208"/>
    </row>
    <row r="14" spans="1:43">
      <c r="G14" s="1207"/>
      <c r="H14" s="248" t="s">
        <v>253</v>
      </c>
      <c r="I14" s="254">
        <f>Cogas!$C$41</f>
        <v>17.05</v>
      </c>
      <c r="J14" s="255">
        <f>Cogas!$D$41</f>
        <v>1651</v>
      </c>
      <c r="K14" s="251"/>
      <c r="L14" s="254">
        <f>Cogas!$G$41</f>
        <v>14.75</v>
      </c>
      <c r="M14" s="255">
        <f>Cogas!$H$41</f>
        <v>1629</v>
      </c>
      <c r="N14" s="251"/>
      <c r="O14" s="254">
        <f>Cogas!$K$41</f>
        <v>16.23</v>
      </c>
      <c r="P14" s="255">
        <f>Cogas!$L$41</f>
        <v>1667.7692307692309</v>
      </c>
      <c r="Q14" s="251"/>
      <c r="R14" s="254">
        <f>Cogas!$O$41</f>
        <v>18.5</v>
      </c>
      <c r="S14" s="255">
        <f>Cogas!$P$41</f>
        <v>1753</v>
      </c>
      <c r="T14" s="251"/>
      <c r="U14" s="208"/>
      <c r="V14" s="254">
        <f>Cogas!W41</f>
        <v>21.14</v>
      </c>
      <c r="W14" s="255">
        <f>Cogas!X41</f>
        <v>1683.2564102564102</v>
      </c>
      <c r="X14" s="208"/>
      <c r="Y14" s="208"/>
      <c r="Z14" s="208"/>
      <c r="AA14" s="208"/>
      <c r="AB14" s="208"/>
      <c r="AC14" s="208"/>
      <c r="AD14" s="208"/>
    </row>
    <row r="15" spans="1:43">
      <c r="G15" s="1207"/>
      <c r="H15" s="248" t="s">
        <v>255</v>
      </c>
      <c r="I15" s="256">
        <f>Cogas!$C$42</f>
        <v>20.46</v>
      </c>
      <c r="J15" s="257">
        <f>Cogas!$D$42</f>
        <v>305</v>
      </c>
      <c r="K15" s="251"/>
      <c r="L15" s="256">
        <f>Cogas!$G$42</f>
        <v>17.7</v>
      </c>
      <c r="M15" s="257">
        <f>Cogas!$H$42</f>
        <v>307</v>
      </c>
      <c r="N15" s="251"/>
      <c r="O15" s="256">
        <f>Cogas!$K$42</f>
        <v>19.47</v>
      </c>
      <c r="P15" s="257">
        <f>Cogas!$L$42</f>
        <v>307.23076923076923</v>
      </c>
      <c r="Q15" s="251"/>
      <c r="R15" s="256">
        <f>Cogas!$O$42</f>
        <v>22.2</v>
      </c>
      <c r="S15" s="257">
        <f>Cogas!$P$42</f>
        <v>312.76923076923077</v>
      </c>
      <c r="T15" s="251"/>
      <c r="U15" s="208"/>
      <c r="V15" s="256">
        <f>Cogas!W42</f>
        <v>25.37</v>
      </c>
      <c r="W15" s="257">
        <f>Cogas!X42</f>
        <v>309</v>
      </c>
      <c r="X15" s="208"/>
      <c r="Y15" s="208"/>
      <c r="Z15" s="208"/>
      <c r="AA15" s="208"/>
      <c r="AB15" s="208"/>
      <c r="AC15" s="208"/>
      <c r="AD15" s="208"/>
    </row>
    <row r="16" spans="1:43">
      <c r="G16" s="1207"/>
      <c r="H16" s="248" t="s">
        <v>261</v>
      </c>
      <c r="I16" s="258">
        <f>Cogas!$C$43</f>
        <v>416.16949790794979</v>
      </c>
      <c r="J16" s="259">
        <f>Cogas!$D$43</f>
        <v>239</v>
      </c>
      <c r="K16" s="251"/>
      <c r="L16" s="258">
        <f>Cogas!$G$43</f>
        <v>359.81008298755182</v>
      </c>
      <c r="M16" s="259">
        <f>Cogas!$H$43</f>
        <v>241</v>
      </c>
      <c r="N16" s="251"/>
      <c r="O16" s="258">
        <f>Cogas!$K$43</f>
        <v>395.8141897691828</v>
      </c>
      <c r="P16" s="259">
        <f>Cogas!$L$43</f>
        <v>246.61538461538461</v>
      </c>
      <c r="Q16" s="251"/>
      <c r="R16" s="258">
        <f>Cogas!$O$43</f>
        <v>450.971</v>
      </c>
      <c r="S16" s="259">
        <f>Cogas!$P$43</f>
        <v>253.84615384615384</v>
      </c>
      <c r="T16" s="251"/>
      <c r="U16" s="208"/>
      <c r="V16" s="258">
        <f>Cogas!W43</f>
        <v>515.63991596638664</v>
      </c>
      <c r="W16" s="259">
        <f>Cogas!X43</f>
        <v>247.15384615384616</v>
      </c>
      <c r="X16" s="208"/>
      <c r="Y16" s="208"/>
      <c r="Z16" s="208"/>
      <c r="AA16" s="208"/>
      <c r="AB16" s="208"/>
      <c r="AC16" s="208"/>
      <c r="AD16" s="208"/>
    </row>
    <row r="17" spans="7:30">
      <c r="G17" s="1207"/>
      <c r="H17" s="260" t="s">
        <v>262</v>
      </c>
      <c r="I17" s="261">
        <f>Cogas!$C$44</f>
        <v>0</v>
      </c>
      <c r="J17" s="262">
        <f>Cogas!$D$44</f>
        <v>0</v>
      </c>
      <c r="K17" s="251"/>
      <c r="L17" s="261">
        <f>Cogas!$G$44</f>
        <v>0</v>
      </c>
      <c r="M17" s="262">
        <f>Cogas!$H$44</f>
        <v>0</v>
      </c>
      <c r="N17" s="251"/>
      <c r="O17" s="261">
        <f>Cogas!$K$44</f>
        <v>0</v>
      </c>
      <c r="P17" s="262">
        <f>Cogas!$L$44</f>
        <v>0</v>
      </c>
      <c r="Q17" s="251"/>
      <c r="R17" s="261">
        <f>Cogas!$O$44</f>
        <v>1345.2</v>
      </c>
      <c r="S17" s="262">
        <f>Cogas!$P$44</f>
        <v>0</v>
      </c>
      <c r="T17" s="251"/>
      <c r="U17" s="208"/>
      <c r="V17" s="261">
        <f>Cogas!W44</f>
        <v>1537.56</v>
      </c>
      <c r="W17" s="262">
        <f>Cogas!X44</f>
        <v>0</v>
      </c>
      <c r="X17" s="208"/>
      <c r="Y17" s="208"/>
      <c r="Z17" s="208"/>
      <c r="AA17" s="208"/>
      <c r="AB17" s="208"/>
      <c r="AC17" s="208"/>
      <c r="AD17" s="208"/>
    </row>
    <row r="18" spans="7:30">
      <c r="G18" s="1207"/>
      <c r="H18" s="248"/>
      <c r="K18" s="210"/>
      <c r="N18" s="210"/>
      <c r="Q18" s="210"/>
      <c r="T18" s="210"/>
      <c r="U18" s="208"/>
      <c r="X18" s="208"/>
      <c r="Y18" s="208"/>
      <c r="Z18" s="208"/>
      <c r="AA18" s="208"/>
      <c r="AB18" s="208"/>
      <c r="AC18" s="208"/>
      <c r="AD18" s="208"/>
    </row>
    <row r="19" spans="7:30">
      <c r="G19" s="1207"/>
      <c r="H19" s="263" t="s">
        <v>1096</v>
      </c>
      <c r="I19" s="264" t="e">
        <f>Cogas!$C$48</f>
        <v>#DIV/0!</v>
      </c>
      <c r="J19" s="265">
        <f>Cogas!$D$48</f>
        <v>0</v>
      </c>
      <c r="K19" s="210"/>
      <c r="L19" s="264" t="e">
        <f>Cogas!$G$48</f>
        <v>#DIV/0!</v>
      </c>
      <c r="M19" s="265">
        <f>Cogas!$H$48</f>
        <v>0</v>
      </c>
      <c r="N19" s="210"/>
      <c r="O19" s="264" t="e">
        <f>Cogas!$K$48</f>
        <v>#DIV/0!</v>
      </c>
      <c r="P19" s="265">
        <f>Cogas!$L$48</f>
        <v>0</v>
      </c>
      <c r="Q19" s="210"/>
      <c r="R19" s="264" t="e">
        <f>Cogas!$O$48</f>
        <v>#DIV/0!</v>
      </c>
      <c r="S19" s="265">
        <f>Cogas!$P$48</f>
        <v>0</v>
      </c>
      <c r="T19" s="210"/>
      <c r="V19" s="264" t="e">
        <f>Cogas!W48</f>
        <v>#DIV/0!</v>
      </c>
      <c r="W19" s="265">
        <f>Cogas!X48</f>
        <v>0</v>
      </c>
      <c r="X19" s="208"/>
      <c r="Y19" s="208"/>
      <c r="Z19" s="208"/>
      <c r="AA19" s="208"/>
      <c r="AB19" s="208"/>
      <c r="AC19" s="208"/>
      <c r="AD19" s="208"/>
    </row>
    <row r="20" spans="7:30">
      <c r="G20" s="1207"/>
      <c r="K20" s="210"/>
      <c r="N20" s="210"/>
      <c r="Q20" s="210"/>
      <c r="T20" s="210"/>
    </row>
    <row r="21" spans="7:30" ht="15.75">
      <c r="G21" s="1207"/>
      <c r="H21" s="240" t="s">
        <v>634</v>
      </c>
      <c r="N21" s="210"/>
      <c r="Q21" s="210"/>
      <c r="T21" s="210"/>
    </row>
    <row r="22" spans="7:30">
      <c r="G22" s="1207"/>
      <c r="H22" s="266"/>
      <c r="I22" s="1205">
        <v>2009</v>
      </c>
      <c r="J22" s="1206"/>
      <c r="K22" s="202"/>
      <c r="L22" s="1205">
        <v>2010</v>
      </c>
      <c r="M22" s="1206"/>
      <c r="N22" s="202"/>
      <c r="O22" s="1205">
        <v>2011</v>
      </c>
      <c r="P22" s="1206"/>
      <c r="Q22" s="202"/>
      <c r="R22" s="1205">
        <v>2012</v>
      </c>
      <c r="S22" s="1206"/>
      <c r="T22" s="202"/>
      <c r="V22" s="1205" t="s">
        <v>630</v>
      </c>
      <c r="W22" s="1206"/>
    </row>
    <row r="23" spans="7:30" ht="27" customHeight="1">
      <c r="G23" s="1207"/>
      <c r="H23" s="244" t="s">
        <v>328</v>
      </c>
      <c r="I23" s="247" t="s">
        <v>632</v>
      </c>
      <c r="J23" s="246" t="s">
        <v>633</v>
      </c>
      <c r="K23" s="201"/>
      <c r="L23" s="247" t="s">
        <v>632</v>
      </c>
      <c r="M23" s="246" t="s">
        <v>633</v>
      </c>
      <c r="N23" s="201"/>
      <c r="O23" s="247" t="s">
        <v>632</v>
      </c>
      <c r="P23" s="246" t="s">
        <v>633</v>
      </c>
      <c r="Q23" s="201"/>
      <c r="R23" s="247" t="s">
        <v>632</v>
      </c>
      <c r="S23" s="246" t="s">
        <v>633</v>
      </c>
      <c r="T23" s="201"/>
      <c r="V23" s="247" t="s">
        <v>632</v>
      </c>
      <c r="W23" s="246" t="s">
        <v>633</v>
      </c>
    </row>
    <row r="24" spans="7:30">
      <c r="G24" s="1207"/>
      <c r="H24" s="248" t="s">
        <v>251</v>
      </c>
      <c r="I24" s="249">
        <f>Cogas!$C$88</f>
        <v>424.02</v>
      </c>
      <c r="J24" s="250">
        <f>Cogas!$D$88</f>
        <v>541.60681758540704</v>
      </c>
      <c r="K24" s="251"/>
      <c r="L24" s="249">
        <f>Cogas!$G$88</f>
        <v>350</v>
      </c>
      <c r="M24" s="250">
        <f>Cogas!$H$88</f>
        <v>141</v>
      </c>
      <c r="N24" s="251"/>
      <c r="O24" s="249">
        <f>Cogas!$K$88</f>
        <v>369.79</v>
      </c>
      <c r="P24" s="250">
        <f>Cogas!$L$88</f>
        <v>286</v>
      </c>
      <c r="Q24" s="251"/>
      <c r="R24" s="249">
        <f>Cogas!$O$88</f>
        <v>406.77</v>
      </c>
      <c r="S24" s="250">
        <f>Cogas!$P$88</f>
        <v>291</v>
      </c>
      <c r="T24" s="251"/>
      <c r="V24" s="249">
        <f>Cogas!W88</f>
        <v>447.45</v>
      </c>
      <c r="W24" s="250">
        <f>Cogas!X88</f>
        <v>239.33333333333334</v>
      </c>
    </row>
    <row r="25" spans="7:30">
      <c r="G25" s="1207"/>
      <c r="H25" s="248" t="s">
        <v>252</v>
      </c>
      <c r="I25" s="252">
        <f>Cogas!$C$89</f>
        <v>604.57000000000005</v>
      </c>
      <c r="J25" s="253">
        <f>Cogas!$D$89</f>
        <v>658.00028046380021</v>
      </c>
      <c r="K25" s="251"/>
      <c r="L25" s="252">
        <f>Cogas!$G$89</f>
        <v>585</v>
      </c>
      <c r="M25" s="253">
        <f>Cogas!$H$89</f>
        <v>213</v>
      </c>
      <c r="N25" s="251"/>
      <c r="O25" s="252">
        <f>Cogas!$K$89</f>
        <v>583.15</v>
      </c>
      <c r="P25" s="253">
        <f>Cogas!$L$89</f>
        <v>323</v>
      </c>
      <c r="Q25" s="251"/>
      <c r="R25" s="252">
        <f>Cogas!$O$89</f>
        <v>641.46</v>
      </c>
      <c r="S25" s="253">
        <f>Cogas!$P$89</f>
        <v>132</v>
      </c>
      <c r="T25" s="251"/>
      <c r="V25" s="252">
        <f>Cogas!W89</f>
        <v>705.61</v>
      </c>
      <c r="W25" s="253">
        <f>Cogas!X89</f>
        <v>222.66666666666666</v>
      </c>
    </row>
    <row r="26" spans="7:30">
      <c r="G26" s="1207"/>
      <c r="H26" s="248" t="s">
        <v>253</v>
      </c>
      <c r="I26" s="254">
        <f>Cogas!$C$90</f>
        <v>969.47</v>
      </c>
      <c r="J26" s="255">
        <f>Cogas!$D$90</f>
        <v>48.679241016142406</v>
      </c>
      <c r="K26" s="251"/>
      <c r="L26" s="254">
        <f>Cogas!$G$90</f>
        <v>990.80000000000007</v>
      </c>
      <c r="M26" s="255">
        <f>Cogas!$H$90</f>
        <v>28</v>
      </c>
      <c r="N26" s="251"/>
      <c r="O26" s="254">
        <f>Cogas!$K$90</f>
        <v>950.38636363636363</v>
      </c>
      <c r="P26" s="255">
        <f>Cogas!$L$90</f>
        <v>22</v>
      </c>
      <c r="Q26" s="251"/>
      <c r="R26" s="254">
        <f>Cogas!$O$90</f>
        <v>1017.7985714285712</v>
      </c>
      <c r="S26" s="255">
        <f>Cogas!$P$90</f>
        <v>21</v>
      </c>
      <c r="T26" s="251"/>
      <c r="V26" s="254">
        <f>Cogas!W90</f>
        <v>1118.0107042253521</v>
      </c>
      <c r="W26" s="255">
        <f>Cogas!X90</f>
        <v>23.666666666666664</v>
      </c>
    </row>
    <row r="27" spans="7:30">
      <c r="G27" s="1207"/>
      <c r="H27" s="248" t="s">
        <v>255</v>
      </c>
      <c r="I27" s="256">
        <f>Cogas!$C$91</f>
        <v>7620.7501583473295</v>
      </c>
      <c r="J27" s="257">
        <f>Cogas!$D$91</f>
        <v>16.998934134863916</v>
      </c>
      <c r="K27" s="251"/>
      <c r="L27" s="256">
        <f>Cogas!$G$91</f>
        <v>11513.164444444445</v>
      </c>
      <c r="M27" s="257">
        <f>Cogas!$H$91</f>
        <v>9</v>
      </c>
      <c r="N27" s="251"/>
      <c r="O27" s="256">
        <f>Cogas!$K$91</f>
        <v>14151.258823529412</v>
      </c>
      <c r="P27" s="257">
        <f>Cogas!$L$91</f>
        <v>17</v>
      </c>
      <c r="Q27" s="251"/>
      <c r="R27" s="256">
        <f>Cogas!$O$91</f>
        <v>10095.209999999999</v>
      </c>
      <c r="S27" s="257">
        <f>Cogas!$P$91</f>
        <v>11</v>
      </c>
      <c r="T27" s="251"/>
      <c r="V27" s="256">
        <f>Cogas!W91</f>
        <v>14200.890540540538</v>
      </c>
      <c r="W27" s="257">
        <f>Cogas!X91</f>
        <v>12.333333333333334</v>
      </c>
    </row>
    <row r="28" spans="7:30">
      <c r="G28" s="1207"/>
      <c r="H28" s="260" t="s">
        <v>254</v>
      </c>
      <c r="I28" s="267">
        <f>Cogas!$C$92</f>
        <v>0</v>
      </c>
      <c r="J28" s="268">
        <f>Cogas!$D$92</f>
        <v>0</v>
      </c>
      <c r="K28" s="251"/>
      <c r="L28" s="267">
        <f>Cogas!$G$92</f>
        <v>0</v>
      </c>
      <c r="M28" s="268">
        <f>Cogas!$H$92</f>
        <v>0</v>
      </c>
      <c r="N28" s="251"/>
      <c r="O28" s="267">
        <f>Cogas!$K$92</f>
        <v>174413</v>
      </c>
      <c r="P28" s="268">
        <f>Cogas!$L$92</f>
        <v>1</v>
      </c>
      <c r="Q28" s="251"/>
      <c r="R28" s="267">
        <f>Cogas!$O$92</f>
        <v>0</v>
      </c>
      <c r="S28" s="268">
        <f>Cogas!$P$92</f>
        <v>0</v>
      </c>
      <c r="T28" s="251"/>
      <c r="V28" s="267">
        <f>Cogas!W92</f>
        <v>211039.72999999998</v>
      </c>
      <c r="W28" s="268">
        <f>Cogas!X92</f>
        <v>0.33333333333333331</v>
      </c>
    </row>
    <row r="29" spans="7:30">
      <c r="G29" s="1208"/>
      <c r="H29" s="248"/>
      <c r="I29" s="269"/>
      <c r="J29" s="270"/>
      <c r="K29" s="271"/>
      <c r="L29" s="269"/>
      <c r="M29" s="270"/>
      <c r="N29" s="271"/>
      <c r="O29" s="269"/>
      <c r="P29" s="270"/>
      <c r="Q29" s="271"/>
      <c r="R29" s="269"/>
      <c r="S29" s="270"/>
      <c r="T29" s="271"/>
      <c r="V29" s="269"/>
      <c r="W29" s="270"/>
    </row>
    <row r="30" spans="7:30">
      <c r="G30" s="1208"/>
      <c r="H30" s="266"/>
      <c r="I30" s="1205">
        <v>2009</v>
      </c>
      <c r="J30" s="1206"/>
      <c r="K30" s="202"/>
      <c r="L30" s="1205">
        <v>2010</v>
      </c>
      <c r="M30" s="1206"/>
      <c r="N30" s="202"/>
      <c r="O30" s="1205">
        <v>2011</v>
      </c>
      <c r="P30" s="1206"/>
      <c r="Q30" s="202"/>
      <c r="R30" s="1205">
        <v>2012</v>
      </c>
      <c r="S30" s="1206"/>
      <c r="T30" s="202"/>
      <c r="V30" s="1205" t="s">
        <v>630</v>
      </c>
      <c r="W30" s="1206"/>
    </row>
    <row r="31" spans="7:30" ht="27" customHeight="1">
      <c r="G31" s="1208"/>
      <c r="H31" s="244" t="s">
        <v>329</v>
      </c>
      <c r="I31" s="247" t="s">
        <v>632</v>
      </c>
      <c r="J31" s="246" t="s">
        <v>633</v>
      </c>
      <c r="K31" s="201"/>
      <c r="L31" s="247" t="s">
        <v>632</v>
      </c>
      <c r="M31" s="246" t="s">
        <v>633</v>
      </c>
      <c r="N31" s="201"/>
      <c r="O31" s="247" t="s">
        <v>632</v>
      </c>
      <c r="P31" s="246" t="s">
        <v>633</v>
      </c>
      <c r="Q31" s="201"/>
      <c r="R31" s="247" t="s">
        <v>632</v>
      </c>
      <c r="S31" s="246" t="s">
        <v>633</v>
      </c>
      <c r="T31" s="201"/>
      <c r="V31" s="247" t="s">
        <v>632</v>
      </c>
      <c r="W31" s="246" t="s">
        <v>633</v>
      </c>
    </row>
    <row r="32" spans="7:30">
      <c r="G32" s="1208"/>
      <c r="H32" s="248" t="s">
        <v>251</v>
      </c>
      <c r="I32" s="249">
        <f>Cogas!$C$115</f>
        <v>21.89</v>
      </c>
      <c r="J32" s="250">
        <f>Cogas!$D$115</f>
        <v>704.66971219735046</v>
      </c>
      <c r="K32" s="251"/>
      <c r="L32" s="249">
        <f>Cogas!$G$115</f>
        <v>17.36</v>
      </c>
      <c r="M32" s="250">
        <f>Cogas!$H$115</f>
        <v>968</v>
      </c>
      <c r="N32" s="251"/>
      <c r="O32" s="249">
        <f>Cogas!$K$115</f>
        <v>17.36</v>
      </c>
      <c r="P32" s="250">
        <f>Cogas!$L$115</f>
        <v>126</v>
      </c>
      <c r="Q32" s="251"/>
      <c r="R32" s="249">
        <f>Cogas!$O$115</f>
        <v>0</v>
      </c>
      <c r="S32" s="250">
        <f>Cogas!$P$115</f>
        <v>0</v>
      </c>
      <c r="T32" s="251"/>
      <c r="V32" s="249">
        <f>Cogas!W115</f>
        <v>21.01</v>
      </c>
      <c r="W32" s="250">
        <f>Cogas!X115</f>
        <v>364.66666666666669</v>
      </c>
    </row>
    <row r="33" spans="7:23">
      <c r="G33" s="1208"/>
      <c r="H33" s="248" t="s">
        <v>252</v>
      </c>
      <c r="I33" s="252">
        <f>Cogas!$C$116</f>
        <v>17.28</v>
      </c>
      <c r="J33" s="253">
        <f>Cogas!$D$116</f>
        <v>256.83500195815151</v>
      </c>
      <c r="K33" s="251"/>
      <c r="L33" s="252">
        <f>Cogas!$G$116</f>
        <v>17.66</v>
      </c>
      <c r="M33" s="253">
        <f>Cogas!$H$116</f>
        <v>212</v>
      </c>
      <c r="N33" s="251"/>
      <c r="O33" s="252">
        <f>Cogas!$K$116</f>
        <v>17.66</v>
      </c>
      <c r="P33" s="253">
        <f>Cogas!$L$116</f>
        <v>217</v>
      </c>
      <c r="Q33" s="251"/>
      <c r="R33" s="252">
        <f>Cogas!$O$116</f>
        <v>19.43</v>
      </c>
      <c r="S33" s="253">
        <f>Cogas!$P$116</f>
        <v>321</v>
      </c>
      <c r="T33" s="251"/>
      <c r="V33" s="252">
        <f>Cogas!W116</f>
        <v>21.37</v>
      </c>
      <c r="W33" s="253">
        <f>Cogas!X116</f>
        <v>250</v>
      </c>
    </row>
    <row r="34" spans="7:23">
      <c r="G34" s="1208"/>
      <c r="H34" s="248" t="s">
        <v>253</v>
      </c>
      <c r="I34" s="254">
        <f>Cogas!$C$117</f>
        <v>24.2</v>
      </c>
      <c r="J34" s="255">
        <f>Cogas!$D$117</f>
        <v>1218.6744561070743</v>
      </c>
      <c r="K34" s="251"/>
      <c r="L34" s="254">
        <f>Cogas!$G$117</f>
        <v>24.729999999999997</v>
      </c>
      <c r="M34" s="255">
        <f>Cogas!$H$117</f>
        <v>510</v>
      </c>
      <c r="N34" s="251"/>
      <c r="O34" s="254">
        <f>Cogas!$K$117</f>
        <v>24.730000000000004</v>
      </c>
      <c r="P34" s="255">
        <f>Cogas!$L$117</f>
        <v>36</v>
      </c>
      <c r="Q34" s="251"/>
      <c r="R34" s="254">
        <f>Cogas!$O$117</f>
        <v>27.2</v>
      </c>
      <c r="S34" s="255">
        <f>Cogas!$P$117</f>
        <v>222</v>
      </c>
      <c r="T34" s="251"/>
      <c r="V34" s="254">
        <f>Cogas!W117</f>
        <v>29.919999999999998</v>
      </c>
      <c r="W34" s="255">
        <f>Cogas!X117</f>
        <v>256</v>
      </c>
    </row>
    <row r="35" spans="7:23">
      <c r="G35" s="1208"/>
      <c r="H35" s="248" t="s">
        <v>255</v>
      </c>
      <c r="I35" s="256">
        <f>Cogas!$C$118</f>
        <v>42.664182655637397</v>
      </c>
      <c r="J35" s="257">
        <f>Cogas!$D$118</f>
        <v>3371.4763527398404</v>
      </c>
      <c r="K35" s="251"/>
      <c r="L35" s="256">
        <f>Cogas!$G$118</f>
        <v>37.447695530726257</v>
      </c>
      <c r="M35" s="257">
        <f>Cogas!$H$118</f>
        <v>716</v>
      </c>
      <c r="N35" s="251"/>
      <c r="O35" s="256">
        <f>Cogas!$K$118</f>
        <v>66.854894736842112</v>
      </c>
      <c r="P35" s="257">
        <f>Cogas!$L$118</f>
        <v>1140</v>
      </c>
      <c r="Q35" s="251"/>
      <c r="R35" s="256">
        <f>Cogas!$O$118</f>
        <v>64.873129770992378</v>
      </c>
      <c r="S35" s="257">
        <f>Cogas!$P$118</f>
        <v>1048</v>
      </c>
      <c r="T35" s="251"/>
      <c r="V35" s="256">
        <f>Cogas!W118</f>
        <v>68.660940082644629</v>
      </c>
      <c r="W35" s="257">
        <f>Cogas!X118</f>
        <v>967.99999999999989</v>
      </c>
    </row>
    <row r="36" spans="7:23">
      <c r="G36" s="1208"/>
      <c r="H36" s="260" t="s">
        <v>254</v>
      </c>
      <c r="I36" s="267">
        <f>Cogas!$C$119</f>
        <v>0</v>
      </c>
      <c r="J36" s="268">
        <f>Cogas!$D$119</f>
        <v>0</v>
      </c>
      <c r="K36" s="251"/>
      <c r="L36" s="267">
        <f>Cogas!$G$119</f>
        <v>0</v>
      </c>
      <c r="M36" s="268">
        <f>Cogas!$H$119</f>
        <v>0</v>
      </c>
      <c r="N36" s="251"/>
      <c r="O36" s="267">
        <f>Cogas!$K$119</f>
        <v>150.75</v>
      </c>
      <c r="P36" s="268">
        <f>Cogas!$L$119</f>
        <v>150</v>
      </c>
      <c r="Q36" s="251"/>
      <c r="R36" s="267">
        <f>Cogas!$O$119</f>
        <v>0</v>
      </c>
      <c r="S36" s="268">
        <f>Cogas!$P$119</f>
        <v>0</v>
      </c>
      <c r="T36" s="251"/>
      <c r="V36" s="267">
        <f>Cogas!W119</f>
        <v>182.41</v>
      </c>
      <c r="W36" s="268">
        <f>Cogas!X119</f>
        <v>50</v>
      </c>
    </row>
    <row r="37" spans="7:23">
      <c r="G37" s="272"/>
      <c r="H37" s="248"/>
      <c r="I37" s="269"/>
      <c r="J37" s="270"/>
      <c r="K37" s="248"/>
      <c r="L37" s="269"/>
      <c r="M37" s="270"/>
      <c r="N37" s="248"/>
      <c r="O37" s="269"/>
      <c r="P37" s="270"/>
      <c r="Q37" s="248"/>
      <c r="R37" s="269"/>
      <c r="S37" s="270"/>
      <c r="T37" s="248"/>
      <c r="V37" s="269"/>
      <c r="W37" s="270"/>
    </row>
    <row r="38" spans="7:23" ht="12" customHeight="1">
      <c r="G38" s="273"/>
      <c r="H38" s="248"/>
      <c r="K38" s="210"/>
      <c r="N38" s="210"/>
      <c r="Q38" s="210"/>
      <c r="T38" s="210"/>
    </row>
    <row r="39" spans="7:23" ht="15.75">
      <c r="G39" s="1209" t="s">
        <v>623</v>
      </c>
      <c r="H39" s="240" t="s">
        <v>635</v>
      </c>
      <c r="K39" s="210"/>
      <c r="N39" s="210"/>
      <c r="Q39" s="210"/>
      <c r="T39" s="210"/>
    </row>
    <row r="40" spans="7:23">
      <c r="G40" s="1209"/>
      <c r="H40" s="274"/>
      <c r="I40" s="1205">
        <v>2009</v>
      </c>
      <c r="J40" s="1206"/>
      <c r="K40" s="202"/>
      <c r="L40" s="1205">
        <v>2010</v>
      </c>
      <c r="M40" s="1206"/>
      <c r="N40" s="202"/>
      <c r="O40" s="1205">
        <v>2011</v>
      </c>
      <c r="P40" s="1206"/>
      <c r="Q40" s="202"/>
      <c r="R40" s="1205">
        <v>2012</v>
      </c>
      <c r="S40" s="1206"/>
      <c r="T40" s="202"/>
      <c r="V40" s="1205" t="s">
        <v>630</v>
      </c>
      <c r="W40" s="1206"/>
    </row>
    <row r="41" spans="7:23">
      <c r="G41" s="1209"/>
      <c r="H41" s="275" t="s">
        <v>631</v>
      </c>
      <c r="I41" s="245" t="s">
        <v>632</v>
      </c>
      <c r="J41" s="246" t="s">
        <v>633</v>
      </c>
      <c r="K41" s="201"/>
      <c r="L41" s="247" t="s">
        <v>632</v>
      </c>
      <c r="M41" s="246" t="s">
        <v>633</v>
      </c>
      <c r="N41" s="201"/>
      <c r="O41" s="247" t="s">
        <v>632</v>
      </c>
      <c r="P41" s="246" t="s">
        <v>633</v>
      </c>
      <c r="Q41" s="201"/>
      <c r="R41" s="247" t="s">
        <v>632</v>
      </c>
      <c r="S41" s="246" t="s">
        <v>633</v>
      </c>
      <c r="T41" s="201"/>
      <c r="V41" s="247" t="s">
        <v>632</v>
      </c>
      <c r="W41" s="246" t="s">
        <v>633</v>
      </c>
    </row>
    <row r="42" spans="7:23">
      <c r="G42" s="1209"/>
      <c r="H42" s="276" t="s">
        <v>251</v>
      </c>
      <c r="I42" s="249">
        <f>DNWB!$C$39</f>
        <v>1.92</v>
      </c>
      <c r="J42" s="250">
        <f>DNWB!$D$39</f>
        <v>84946</v>
      </c>
      <c r="K42" s="251"/>
      <c r="L42" s="249">
        <f>DNWB!$G$39</f>
        <v>1.92</v>
      </c>
      <c r="M42" s="250">
        <f>DNWB!$H$39</f>
        <v>84946</v>
      </c>
      <c r="N42" s="251"/>
      <c r="O42" s="249">
        <f>DNWB!$K$39</f>
        <v>2.1</v>
      </c>
      <c r="P42" s="250">
        <f>DNWB!$L$39</f>
        <v>87552.999999999985</v>
      </c>
      <c r="Q42" s="251"/>
      <c r="R42" s="249">
        <f>DNWB!$O$39</f>
        <v>2.34</v>
      </c>
      <c r="S42" s="250">
        <f>DNWB!$P$39</f>
        <v>87171.333333333358</v>
      </c>
      <c r="T42" s="251"/>
      <c r="V42" s="249">
        <f>DNWB!W39</f>
        <v>2.5499999999999998</v>
      </c>
      <c r="W42" s="250">
        <f>DNWB!X39</f>
        <v>86556.777777777796</v>
      </c>
    </row>
    <row r="43" spans="7:23">
      <c r="G43" s="1209"/>
      <c r="H43" s="277" t="s">
        <v>252</v>
      </c>
      <c r="I43" s="252">
        <f>DNWB!$C$40</f>
        <v>18.809999999999999</v>
      </c>
      <c r="J43" s="253">
        <f>DNWB!$D$40</f>
        <v>194449.583499812</v>
      </c>
      <c r="K43" s="251"/>
      <c r="L43" s="252">
        <f>DNWB!$G$40</f>
        <v>19.2</v>
      </c>
      <c r="M43" s="253">
        <f>DNWB!$H$40</f>
        <v>196039.08333333337</v>
      </c>
      <c r="N43" s="251"/>
      <c r="O43" s="252">
        <f>DNWB!$K$40</f>
        <v>20.64</v>
      </c>
      <c r="P43" s="253">
        <f>DNWB!$L$40</f>
        <v>196921.25000000003</v>
      </c>
      <c r="Q43" s="251"/>
      <c r="R43" s="252">
        <f>DNWB!$O$40</f>
        <v>23.04</v>
      </c>
      <c r="S43" s="253">
        <f>DNWB!$P$40</f>
        <v>198196.83333333331</v>
      </c>
      <c r="T43" s="251"/>
      <c r="V43" s="252">
        <f>DNWB!W40</f>
        <v>24.96</v>
      </c>
      <c r="W43" s="253">
        <f>DNWB!X40</f>
        <v>197052.38888888891</v>
      </c>
    </row>
    <row r="44" spans="7:23">
      <c r="G44" s="1209"/>
      <c r="H44" s="277" t="s">
        <v>253</v>
      </c>
      <c r="I44" s="254">
        <f>DNWB!$C$41</f>
        <v>30.93</v>
      </c>
      <c r="J44" s="255">
        <f>DNWB!$D$41</f>
        <v>8433.4998335217369</v>
      </c>
      <c r="K44" s="251"/>
      <c r="L44" s="254">
        <f>DNWB!$G$41</f>
        <v>31.560000000000002</v>
      </c>
      <c r="M44" s="255">
        <f>DNWB!$H$41</f>
        <v>8094</v>
      </c>
      <c r="N44" s="251"/>
      <c r="O44" s="254">
        <f>DNWB!$K$41</f>
        <v>33.965194215127482</v>
      </c>
      <c r="P44" s="255">
        <f>DNWB!$L$41</f>
        <v>8216.8333333333339</v>
      </c>
      <c r="Q44" s="251"/>
      <c r="R44" s="254">
        <f>DNWB!$O$41</f>
        <v>37.815482841499545</v>
      </c>
      <c r="S44" s="255">
        <f>DNWB!$P$41</f>
        <v>8355.9166666666661</v>
      </c>
      <c r="T44" s="251"/>
      <c r="V44" s="254">
        <f>DNWB!W41</f>
        <v>41.050452126850928</v>
      </c>
      <c r="W44" s="255">
        <f>DNWB!X41</f>
        <v>8222.25</v>
      </c>
    </row>
    <row r="45" spans="7:23">
      <c r="G45" s="1209"/>
      <c r="H45" s="277" t="s">
        <v>255</v>
      </c>
      <c r="I45" s="256">
        <f>DNWB!$C$42</f>
        <v>129.44999999999999</v>
      </c>
      <c r="J45" s="257">
        <f>DNWB!$D$42</f>
        <v>1444.9166666666665</v>
      </c>
      <c r="K45" s="251"/>
      <c r="L45" s="256">
        <f>DNWB!$G$42</f>
        <v>132.47999999999999</v>
      </c>
      <c r="M45" s="257">
        <f>DNWB!$H$42</f>
        <v>1493.4166666666667</v>
      </c>
      <c r="N45" s="251"/>
      <c r="O45" s="256">
        <f>DNWB!$K$42</f>
        <v>143.03</v>
      </c>
      <c r="P45" s="257">
        <f>DNWB!$L$42</f>
        <v>1532.7500000000002</v>
      </c>
      <c r="Q45" s="251"/>
      <c r="R45" s="256">
        <f>DNWB!$O$42</f>
        <v>159.23999999999998</v>
      </c>
      <c r="S45" s="257">
        <f>DNWB!$P$42</f>
        <v>1572.0833333333333</v>
      </c>
      <c r="T45" s="251"/>
      <c r="V45" s="256">
        <f>DNWB!W42</f>
        <v>172.92000000000002</v>
      </c>
      <c r="W45" s="257">
        <f>DNWB!X42</f>
        <v>1532.75</v>
      </c>
    </row>
    <row r="46" spans="7:23">
      <c r="G46" s="1209"/>
      <c r="H46" s="277" t="s">
        <v>261</v>
      </c>
      <c r="I46" s="258">
        <f>DNWB!$C$43</f>
        <v>894.2700000000001</v>
      </c>
      <c r="J46" s="259">
        <f>DNWB!$D$43</f>
        <v>400.75000000000006</v>
      </c>
      <c r="K46" s="251"/>
      <c r="L46" s="258">
        <f>DNWB!$G$43</f>
        <v>915.3599999999999</v>
      </c>
      <c r="M46" s="259">
        <f>DNWB!$H$43</f>
        <v>412.25000000000006</v>
      </c>
      <c r="N46" s="251"/>
      <c r="O46" s="258">
        <f>DNWB!$K$43</f>
        <v>988.8</v>
      </c>
      <c r="P46" s="259">
        <f>DNWB!$L$43</f>
        <v>410.91666666666669</v>
      </c>
      <c r="Q46" s="251"/>
      <c r="R46" s="258">
        <f>DNWB!$O$43</f>
        <v>1100.0400000000002</v>
      </c>
      <c r="S46" s="259">
        <f>DNWB!$P$43</f>
        <v>410.91666666666663</v>
      </c>
      <c r="T46" s="251"/>
      <c r="V46" s="258">
        <f>DNWB!W43</f>
        <v>1194.24</v>
      </c>
      <c r="W46" s="259">
        <f>DNWB!X43</f>
        <v>411.36111111111114</v>
      </c>
    </row>
    <row r="47" spans="7:23">
      <c r="G47" s="1209"/>
      <c r="H47" s="278" t="s">
        <v>262</v>
      </c>
      <c r="I47" s="261">
        <f>DNWB!$C$44</f>
        <v>5958.84</v>
      </c>
      <c r="J47" s="262">
        <f>DNWB!$D$44</f>
        <v>10</v>
      </c>
      <c r="K47" s="251"/>
      <c r="L47" s="261">
        <f>DNWB!$G$44</f>
        <v>6097.2</v>
      </c>
      <c r="M47" s="262">
        <f>DNWB!$H$44</f>
        <v>10</v>
      </c>
      <c r="N47" s="251"/>
      <c r="O47" s="261">
        <f>DNWB!$K$44</f>
        <v>6586.8</v>
      </c>
      <c r="P47" s="262">
        <f>DNWB!$L$44</f>
        <v>10</v>
      </c>
      <c r="Q47" s="251"/>
      <c r="R47" s="261">
        <f>DNWB!$O$44</f>
        <v>7328.64</v>
      </c>
      <c r="S47" s="262">
        <f>DNWB!$P$44</f>
        <v>10</v>
      </c>
      <c r="T47" s="251"/>
      <c r="V47" s="261">
        <f>DNWB!W44</f>
        <v>7955.76</v>
      </c>
      <c r="W47" s="262">
        <f>DNWB!X44</f>
        <v>10</v>
      </c>
    </row>
    <row r="48" spans="7:23">
      <c r="G48" s="1209"/>
      <c r="H48" s="248"/>
      <c r="K48" s="210"/>
      <c r="N48" s="210"/>
      <c r="Q48" s="210"/>
      <c r="T48" s="210"/>
    </row>
    <row r="49" spans="7:23">
      <c r="G49" s="1209"/>
      <c r="H49" s="263" t="s">
        <v>1096</v>
      </c>
      <c r="I49" s="264">
        <f>DNWB!$C$48</f>
        <v>1.44</v>
      </c>
      <c r="J49" s="265">
        <f>DNWB!$D$48</f>
        <v>146306</v>
      </c>
      <c r="K49" s="210"/>
      <c r="L49" s="264">
        <f>DNWB!$G$48</f>
        <v>1.47</v>
      </c>
      <c r="M49" s="265">
        <f>DNWB!$H$48</f>
        <v>23200</v>
      </c>
      <c r="N49" s="210"/>
      <c r="O49" s="264">
        <f>DNWB!$K$48</f>
        <v>1.58</v>
      </c>
      <c r="P49" s="265">
        <f>DNWB!$L$48</f>
        <v>23200</v>
      </c>
      <c r="Q49" s="210"/>
      <c r="R49" s="264">
        <f>DNWB!$O$48</f>
        <v>1.76</v>
      </c>
      <c r="S49" s="265">
        <f>DNWB!$P$48</f>
        <v>23200</v>
      </c>
      <c r="T49" s="210"/>
      <c r="V49" s="264">
        <f>DNWB!W48</f>
        <v>1.92</v>
      </c>
      <c r="W49" s="265">
        <f>DNWB!X48</f>
        <v>23200</v>
      </c>
    </row>
    <row r="50" spans="7:23">
      <c r="G50" s="1209"/>
      <c r="K50" s="210"/>
      <c r="N50" s="210"/>
      <c r="Q50" s="210"/>
      <c r="T50" s="210"/>
    </row>
    <row r="51" spans="7:23" ht="15.75">
      <c r="G51" s="1209"/>
      <c r="H51" s="240" t="s">
        <v>636</v>
      </c>
      <c r="K51" s="210"/>
      <c r="N51" s="210"/>
      <c r="Q51" s="210"/>
      <c r="T51" s="210"/>
    </row>
    <row r="52" spans="7:23">
      <c r="G52" s="1209"/>
      <c r="H52" s="274"/>
      <c r="I52" s="1205">
        <v>2009</v>
      </c>
      <c r="J52" s="1206"/>
      <c r="K52" s="202"/>
      <c r="L52" s="1205">
        <v>2010</v>
      </c>
      <c r="M52" s="1206"/>
      <c r="N52" s="202"/>
      <c r="O52" s="1205">
        <v>2011</v>
      </c>
      <c r="P52" s="1206"/>
      <c r="Q52" s="202"/>
      <c r="R52" s="1205">
        <v>2012</v>
      </c>
      <c r="S52" s="1206"/>
      <c r="T52" s="202"/>
      <c r="V52" s="1205" t="s">
        <v>630</v>
      </c>
      <c r="W52" s="1206"/>
    </row>
    <row r="53" spans="7:23">
      <c r="G53" s="1209"/>
      <c r="H53" s="244" t="s">
        <v>328</v>
      </c>
      <c r="I53" s="245" t="s">
        <v>632</v>
      </c>
      <c r="J53" s="246" t="s">
        <v>633</v>
      </c>
      <c r="K53" s="201"/>
      <c r="L53" s="247" t="s">
        <v>632</v>
      </c>
      <c r="M53" s="246" t="s">
        <v>633</v>
      </c>
      <c r="N53" s="201"/>
      <c r="O53" s="247" t="s">
        <v>632</v>
      </c>
      <c r="P53" s="246" t="s">
        <v>633</v>
      </c>
      <c r="Q53" s="201"/>
      <c r="R53" s="247" t="s">
        <v>632</v>
      </c>
      <c r="S53" s="246" t="s">
        <v>633</v>
      </c>
      <c r="T53" s="201"/>
      <c r="V53" s="247" t="s">
        <v>632</v>
      </c>
      <c r="W53" s="246" t="s">
        <v>633</v>
      </c>
    </row>
    <row r="54" spans="7:23">
      <c r="G54" s="1209"/>
      <c r="H54" s="248" t="s">
        <v>251</v>
      </c>
      <c r="I54" s="249">
        <f>DNWB!$C$88</f>
        <v>299.97000000000003</v>
      </c>
      <c r="J54" s="250">
        <f>DNWB!$D$88</f>
        <v>1360</v>
      </c>
      <c r="K54" s="251"/>
      <c r="L54" s="249">
        <f>DNWB!$G$88</f>
        <v>284.07</v>
      </c>
      <c r="M54" s="250">
        <f>DNWB!$H$88</f>
        <v>1237</v>
      </c>
      <c r="N54" s="251"/>
      <c r="O54" s="249">
        <f>DNWB!$K$88</f>
        <v>307.22000000000003</v>
      </c>
      <c r="P54" s="250">
        <f>DNWB!$L$88</f>
        <v>1248</v>
      </c>
      <c r="Q54" s="251"/>
      <c r="R54" s="249">
        <f>DNWB!$O$88</f>
        <v>341.82</v>
      </c>
      <c r="S54" s="250">
        <f>DNWB!$P$88</f>
        <v>1385</v>
      </c>
      <c r="T54" s="251"/>
      <c r="V54" s="249">
        <f>DNWB!W88</f>
        <v>371.46999999999997</v>
      </c>
      <c r="W54" s="250">
        <f>DNWB!X88</f>
        <v>1290</v>
      </c>
    </row>
    <row r="55" spans="7:23">
      <c r="G55" s="1209"/>
      <c r="H55" s="248" t="s">
        <v>252</v>
      </c>
      <c r="I55" s="252">
        <f>DNWB!$C$89</f>
        <v>569.5</v>
      </c>
      <c r="J55" s="253">
        <f>DNWB!$D$89</f>
        <v>1868</v>
      </c>
      <c r="K55" s="251"/>
      <c r="L55" s="252">
        <f>DNWB!$G$89</f>
        <v>539.30999999999995</v>
      </c>
      <c r="M55" s="253">
        <f>DNWB!$H$89</f>
        <v>1568</v>
      </c>
      <c r="N55" s="251"/>
      <c r="O55" s="252">
        <f>DNWB!$K$89</f>
        <v>583.26</v>
      </c>
      <c r="P55" s="253">
        <f>DNWB!$L$89</f>
        <v>1725</v>
      </c>
      <c r="Q55" s="251"/>
      <c r="R55" s="252">
        <f>DNWB!$O$89</f>
        <v>648.94000000000005</v>
      </c>
      <c r="S55" s="253">
        <f>DNWB!$P$89</f>
        <v>1959</v>
      </c>
      <c r="T55" s="251"/>
      <c r="V55" s="252">
        <f>DNWB!W89</f>
        <v>704.87</v>
      </c>
      <c r="W55" s="253">
        <f>DNWB!X89</f>
        <v>1750.6666666666667</v>
      </c>
    </row>
    <row r="56" spans="7:23">
      <c r="G56" s="1209"/>
      <c r="H56" s="248" t="s">
        <v>253</v>
      </c>
      <c r="I56" s="254">
        <f>DNWB!$C$90</f>
        <v>911.6001960784314</v>
      </c>
      <c r="J56" s="255">
        <f>DNWB!$D$90</f>
        <v>204</v>
      </c>
      <c r="K56" s="251"/>
      <c r="L56" s="254">
        <f>DNWB!$G$90</f>
        <v>847.68622950819667</v>
      </c>
      <c r="M56" s="255">
        <f>DNWB!$H$90</f>
        <v>244</v>
      </c>
      <c r="N56" s="251"/>
      <c r="O56" s="254">
        <f>DNWB!$K$90</f>
        <v>917.79921686747002</v>
      </c>
      <c r="P56" s="255">
        <f>DNWB!$L$90</f>
        <v>498</v>
      </c>
      <c r="Q56" s="251"/>
      <c r="R56" s="254">
        <f>DNWB!$O$90</f>
        <v>1006.1228095238096</v>
      </c>
      <c r="S56" s="255">
        <f>DNWB!$P$90</f>
        <v>210</v>
      </c>
      <c r="T56" s="251"/>
      <c r="V56" s="254">
        <f>DNWB!W90</f>
        <v>1105.0117016806723</v>
      </c>
      <c r="W56" s="255">
        <f>DNWB!X90</f>
        <v>317.33333333333331</v>
      </c>
    </row>
    <row r="57" spans="7:23">
      <c r="G57" s="1209"/>
      <c r="H57" s="248" t="s">
        <v>255</v>
      </c>
      <c r="I57" s="256">
        <f>DNWB!$C$91</f>
        <v>5767.557959183674</v>
      </c>
      <c r="J57" s="257">
        <f>DNWB!$D$91</f>
        <v>49</v>
      </c>
      <c r="K57" s="251"/>
      <c r="L57" s="256">
        <f>DNWB!$G$91</f>
        <v>5557.1217187499997</v>
      </c>
      <c r="M57" s="257">
        <f>DNWB!$H$91</f>
        <v>51.2</v>
      </c>
      <c r="N57" s="251"/>
      <c r="O57" s="256">
        <f>DNWB!$K$91</f>
        <v>5192.2870588235301</v>
      </c>
      <c r="P57" s="257">
        <f>DNWB!$L$91</f>
        <v>85</v>
      </c>
      <c r="Q57" s="251"/>
      <c r="R57" s="256">
        <f>DNWB!$O$91</f>
        <v>5651.7211764705871</v>
      </c>
      <c r="S57" s="257">
        <f>DNWB!$P$91</f>
        <v>68</v>
      </c>
      <c r="T57" s="251"/>
      <c r="V57" s="256">
        <f>DNWB!W91</f>
        <v>6474.1189422135149</v>
      </c>
      <c r="W57" s="257">
        <f>DNWB!X91</f>
        <v>68.066666666666663</v>
      </c>
    </row>
    <row r="58" spans="7:23">
      <c r="G58" s="1209"/>
      <c r="H58" s="260" t="s">
        <v>254</v>
      </c>
      <c r="I58" s="267">
        <f>DNWB!$C$92</f>
        <v>79319.244545454538</v>
      </c>
      <c r="J58" s="268">
        <f>DNWB!$D$92</f>
        <v>11</v>
      </c>
      <c r="K58" s="251"/>
      <c r="L58" s="267">
        <f>DNWB!$G$92</f>
        <v>192464.63333333333</v>
      </c>
      <c r="M58" s="268">
        <f>DNWB!$H$92</f>
        <v>3</v>
      </c>
      <c r="N58" s="251"/>
      <c r="O58" s="267">
        <f>DNWB!$K$92</f>
        <v>51708.68</v>
      </c>
      <c r="P58" s="268">
        <f>DNWB!$L$92</f>
        <v>1</v>
      </c>
      <c r="Q58" s="251"/>
      <c r="R58" s="267">
        <f>DNWB!$O$92</f>
        <v>57531.82</v>
      </c>
      <c r="S58" s="268">
        <f>DNWB!$P$92</f>
        <v>2</v>
      </c>
      <c r="T58" s="251"/>
      <c r="V58" s="267">
        <f>DNWB!W92</f>
        <v>156932.06666666665</v>
      </c>
      <c r="W58" s="268">
        <f>DNWB!X92</f>
        <v>2</v>
      </c>
    </row>
    <row r="59" spans="7:23">
      <c r="G59" s="1210"/>
      <c r="K59" s="210"/>
      <c r="N59" s="210"/>
      <c r="Q59" s="210"/>
      <c r="T59" s="210"/>
    </row>
    <row r="60" spans="7:23">
      <c r="G60" s="1210"/>
      <c r="K60" s="210"/>
      <c r="N60" s="210"/>
      <c r="Q60" s="210"/>
      <c r="T60" s="210"/>
    </row>
    <row r="61" spans="7:23">
      <c r="G61" s="1210"/>
      <c r="H61" s="274"/>
      <c r="I61" s="1205">
        <v>2009</v>
      </c>
      <c r="J61" s="1206"/>
      <c r="K61" s="202"/>
      <c r="L61" s="1205">
        <v>2010</v>
      </c>
      <c r="M61" s="1206"/>
      <c r="N61" s="202"/>
      <c r="O61" s="1205">
        <v>2011</v>
      </c>
      <c r="P61" s="1206"/>
      <c r="Q61" s="202"/>
      <c r="R61" s="1205">
        <v>2012</v>
      </c>
      <c r="S61" s="1206"/>
      <c r="T61" s="202"/>
      <c r="V61" s="1205" t="s">
        <v>630</v>
      </c>
      <c r="W61" s="1206"/>
    </row>
    <row r="62" spans="7:23">
      <c r="G62" s="1210"/>
      <c r="H62" s="244" t="s">
        <v>329</v>
      </c>
      <c r="I62" s="245" t="s">
        <v>632</v>
      </c>
      <c r="J62" s="246" t="s">
        <v>633</v>
      </c>
      <c r="K62" s="201"/>
      <c r="L62" s="247" t="s">
        <v>632</v>
      </c>
      <c r="M62" s="246" t="s">
        <v>633</v>
      </c>
      <c r="N62" s="201"/>
      <c r="O62" s="247" t="s">
        <v>632</v>
      </c>
      <c r="P62" s="246" t="s">
        <v>633</v>
      </c>
      <c r="Q62" s="201"/>
      <c r="R62" s="247" t="s">
        <v>632</v>
      </c>
      <c r="S62" s="246" t="s">
        <v>633</v>
      </c>
      <c r="T62" s="201"/>
      <c r="V62" s="247" t="s">
        <v>632</v>
      </c>
      <c r="W62" s="246" t="s">
        <v>633</v>
      </c>
    </row>
    <row r="63" spans="7:23">
      <c r="G63" s="1210"/>
      <c r="H63" s="248" t="s">
        <v>251</v>
      </c>
      <c r="I63" s="249">
        <f>DNWB!$C$115</f>
        <v>14.86</v>
      </c>
      <c r="J63" s="250">
        <f>DNWB!$D$115</f>
        <v>680</v>
      </c>
      <c r="K63" s="251"/>
      <c r="L63" s="249">
        <f>DNWB!$G$115</f>
        <v>14.07</v>
      </c>
      <c r="M63" s="250">
        <f>DNWB!$H$115</f>
        <v>2141</v>
      </c>
      <c r="N63" s="251"/>
      <c r="O63" s="249">
        <f>DNWB!$K$115</f>
        <v>15.21</v>
      </c>
      <c r="P63" s="250">
        <f>DNWB!$L$115</f>
        <v>1930</v>
      </c>
      <c r="Q63" s="251"/>
      <c r="R63" s="249">
        <f>DNWB!$O$115</f>
        <v>16.930000000000003</v>
      </c>
      <c r="S63" s="250">
        <f>DNWB!$P$115</f>
        <v>1592</v>
      </c>
      <c r="T63" s="251"/>
      <c r="V63" s="249">
        <f>DNWB!W115</f>
        <v>18.440000000000001</v>
      </c>
      <c r="W63" s="250">
        <f>DNWB!X115</f>
        <v>1887.6666666666667</v>
      </c>
    </row>
    <row r="64" spans="7:23">
      <c r="G64" s="1210"/>
      <c r="H64" s="248" t="s">
        <v>252</v>
      </c>
      <c r="I64" s="252">
        <f>DNWB!$C$116</f>
        <v>24.18</v>
      </c>
      <c r="J64" s="253">
        <f>DNWB!$D$116</f>
        <v>7147</v>
      </c>
      <c r="K64" s="251"/>
      <c r="L64" s="252">
        <f>DNWB!$G$116</f>
        <v>22.89</v>
      </c>
      <c r="M64" s="253">
        <f>DNWB!$H$116</f>
        <v>5119</v>
      </c>
      <c r="N64" s="251"/>
      <c r="O64" s="252">
        <f>DNWB!$K$116</f>
        <v>24.75</v>
      </c>
      <c r="P64" s="253">
        <f>DNWB!$L$116</f>
        <v>4386</v>
      </c>
      <c r="Q64" s="251"/>
      <c r="R64" s="252">
        <f>DNWB!$O$116</f>
        <v>27.55</v>
      </c>
      <c r="S64" s="253">
        <f>DNWB!$P$116</f>
        <v>3747</v>
      </c>
      <c r="T64" s="251"/>
      <c r="V64" s="252">
        <f>DNWB!W116</f>
        <v>30.02</v>
      </c>
      <c r="W64" s="253">
        <f>DNWB!X116</f>
        <v>4417.333333333333</v>
      </c>
    </row>
    <row r="65" spans="7:23">
      <c r="G65" s="1210"/>
      <c r="H65" s="248" t="s">
        <v>253</v>
      </c>
      <c r="I65" s="254">
        <f>DNWB!$C$117</f>
        <v>30.917757575757577</v>
      </c>
      <c r="J65" s="255">
        <f>DNWB!$D$117</f>
        <v>3465</v>
      </c>
      <c r="K65" s="251"/>
      <c r="L65" s="254">
        <f>DNWB!$G$117</f>
        <v>29.176295469049141</v>
      </c>
      <c r="M65" s="255">
        <f>DNWB!$H$117</f>
        <v>3134</v>
      </c>
      <c r="N65" s="251"/>
      <c r="O65" s="254">
        <f>DNWB!$K$117</f>
        <v>31.685199556541018</v>
      </c>
      <c r="P65" s="255">
        <f>DNWB!$L$117</f>
        <v>2706</v>
      </c>
      <c r="Q65" s="251"/>
      <c r="R65" s="254">
        <f>DNWB!$O$117</f>
        <v>34.808632075471699</v>
      </c>
      <c r="S65" s="255">
        <f>DNWB!$P$117</f>
        <v>2120</v>
      </c>
      <c r="T65" s="251"/>
      <c r="V65" s="254">
        <f>DNWB!W117</f>
        <v>38.18917085427136</v>
      </c>
      <c r="W65" s="255">
        <f>DNWB!X117</f>
        <v>2653.333333333333</v>
      </c>
    </row>
    <row r="66" spans="7:23">
      <c r="G66" s="1210"/>
      <c r="H66" s="248" t="s">
        <v>255</v>
      </c>
      <c r="I66" s="256">
        <f>DNWB!$C$118</f>
        <v>51.217625114934982</v>
      </c>
      <c r="J66" s="257">
        <f>DNWB!$D$118</f>
        <v>7613</v>
      </c>
      <c r="K66" s="251"/>
      <c r="L66" s="256">
        <f>DNWB!$G$118</f>
        <v>50.008916146523823</v>
      </c>
      <c r="M66" s="257">
        <f>DNWB!$H$118</f>
        <v>7701.4100000000008</v>
      </c>
      <c r="N66" s="251"/>
      <c r="O66" s="256">
        <f>DNWB!$K$118</f>
        <v>49.69966028894963</v>
      </c>
      <c r="P66" s="257">
        <f>DNWB!$L$118</f>
        <v>10244</v>
      </c>
      <c r="Q66" s="251"/>
      <c r="R66" s="256">
        <f>DNWB!$O$118</f>
        <v>55.79723957000256</v>
      </c>
      <c r="S66" s="257">
        <f>DNWB!$P$118</f>
        <v>7814</v>
      </c>
      <c r="T66" s="251"/>
      <c r="V66" s="256">
        <f>DNWB!W118</f>
        <v>61.928230402016197</v>
      </c>
      <c r="W66" s="257">
        <f>DNWB!X118</f>
        <v>8586.4700000000012</v>
      </c>
    </row>
    <row r="67" spans="7:23">
      <c r="G67" s="1210"/>
      <c r="H67" s="260" t="s">
        <v>254</v>
      </c>
      <c r="I67" s="267">
        <f>DNWB!$C$119</f>
        <v>120.2580426298409</v>
      </c>
      <c r="J67" s="268">
        <f>DNWB!$D$119</f>
        <v>16655</v>
      </c>
      <c r="K67" s="251"/>
      <c r="L67" s="267">
        <f>DNWB!$G$119</f>
        <v>133.19505319148936</v>
      </c>
      <c r="M67" s="268">
        <f>DNWB!$H$119</f>
        <v>940</v>
      </c>
      <c r="N67" s="251"/>
      <c r="O67" s="267">
        <f>DNWB!$K$119</f>
        <v>91.7</v>
      </c>
      <c r="P67" s="268">
        <f>DNWB!$L$119</f>
        <v>15</v>
      </c>
      <c r="Q67" s="251"/>
      <c r="R67" s="267">
        <f>DNWB!$O$119</f>
        <v>102.06</v>
      </c>
      <c r="S67" s="268">
        <f>DNWB!$P$119</f>
        <v>60</v>
      </c>
      <c r="T67" s="251"/>
      <c r="V67" s="267">
        <f>DNWB!W119</f>
        <v>169.63522167487687</v>
      </c>
      <c r="W67" s="268">
        <f>DNWB!X119</f>
        <v>338.33333333333331</v>
      </c>
    </row>
    <row r="68" spans="7:23">
      <c r="K68" s="210"/>
      <c r="N68" s="210"/>
      <c r="Q68" s="210"/>
      <c r="T68" s="210"/>
    </row>
    <row r="69" spans="7:23">
      <c r="K69" s="210"/>
      <c r="N69" s="210"/>
      <c r="Q69" s="210"/>
      <c r="T69" s="210"/>
    </row>
    <row r="70" spans="7:23" ht="15.75">
      <c r="G70" s="1209" t="s">
        <v>170</v>
      </c>
      <c r="H70" s="240" t="s">
        <v>637</v>
      </c>
      <c r="K70" s="210"/>
      <c r="N70" s="210"/>
      <c r="Q70" s="210"/>
      <c r="T70" s="210"/>
    </row>
    <row r="71" spans="7:23">
      <c r="G71" s="1209"/>
      <c r="H71" s="274"/>
      <c r="I71" s="1205">
        <v>2009</v>
      </c>
      <c r="J71" s="1206"/>
      <c r="K71" s="202"/>
      <c r="L71" s="1205">
        <v>2010</v>
      </c>
      <c r="M71" s="1206"/>
      <c r="N71" s="202"/>
      <c r="O71" s="1205">
        <v>2011</v>
      </c>
      <c r="P71" s="1206"/>
      <c r="Q71" s="202"/>
      <c r="R71" s="1205">
        <v>2012</v>
      </c>
      <c r="S71" s="1206"/>
      <c r="T71" s="202"/>
      <c r="V71" s="1205" t="s">
        <v>630</v>
      </c>
      <c r="W71" s="1206"/>
    </row>
    <row r="72" spans="7:23">
      <c r="G72" s="1209"/>
      <c r="H72" s="275" t="s">
        <v>631</v>
      </c>
      <c r="I72" s="245" t="s">
        <v>632</v>
      </c>
      <c r="J72" s="246" t="s">
        <v>633</v>
      </c>
      <c r="K72" s="201"/>
      <c r="L72" s="247" t="s">
        <v>632</v>
      </c>
      <c r="M72" s="246" t="s">
        <v>633</v>
      </c>
      <c r="N72" s="201"/>
      <c r="O72" s="247" t="s">
        <v>632</v>
      </c>
      <c r="P72" s="246" t="s">
        <v>633</v>
      </c>
      <c r="Q72" s="201"/>
      <c r="R72" s="247" t="s">
        <v>632</v>
      </c>
      <c r="S72" s="246" t="s">
        <v>633</v>
      </c>
      <c r="T72" s="201"/>
      <c r="V72" s="247" t="s">
        <v>632</v>
      </c>
      <c r="W72" s="246" t="s">
        <v>633</v>
      </c>
    </row>
    <row r="73" spans="7:23">
      <c r="G73" s="1209"/>
      <c r="H73" s="276" t="s">
        <v>251</v>
      </c>
      <c r="I73" s="249">
        <f>Endinet!$C$39</f>
        <v>6.54</v>
      </c>
      <c r="J73" s="250">
        <f>Endinet!$D$39</f>
        <v>44297.611249095964</v>
      </c>
      <c r="K73" s="251"/>
      <c r="L73" s="249">
        <f>Endinet!$G$39</f>
        <v>6.23</v>
      </c>
      <c r="M73" s="250">
        <f>Endinet!$H$39</f>
        <v>44092</v>
      </c>
      <c r="N73" s="251"/>
      <c r="O73" s="249">
        <f>Endinet!$K$39</f>
        <v>6.55</v>
      </c>
      <c r="P73" s="250">
        <f>Endinet!$L$39</f>
        <v>44951</v>
      </c>
      <c r="Q73" s="251"/>
      <c r="R73" s="249">
        <f>Endinet!$O$39</f>
        <v>7.32</v>
      </c>
      <c r="S73" s="250">
        <f>Endinet!$P$39</f>
        <v>44951</v>
      </c>
      <c r="T73" s="251"/>
      <c r="V73" s="249">
        <f>Endinet!W39</f>
        <v>8.2899999999999991</v>
      </c>
      <c r="W73" s="250">
        <f>Endinet!X39</f>
        <v>44664.666666666664</v>
      </c>
    </row>
    <row r="74" spans="7:23">
      <c r="G74" s="1209"/>
      <c r="H74" s="277" t="s">
        <v>252</v>
      </c>
      <c r="I74" s="252">
        <f>Endinet!$C$40</f>
        <v>13.830000000000002</v>
      </c>
      <c r="J74" s="253">
        <f>Endinet!$D$40</f>
        <v>99259.075222358428</v>
      </c>
      <c r="K74" s="251"/>
      <c r="L74" s="252">
        <f>Endinet!$G$40</f>
        <v>13.47</v>
      </c>
      <c r="M74" s="253">
        <f>Endinet!$H$40</f>
        <v>99929</v>
      </c>
      <c r="N74" s="251"/>
      <c r="O74" s="252">
        <f>Endinet!$K$40</f>
        <v>14.17</v>
      </c>
      <c r="P74" s="253">
        <f>Endinet!$L$40</f>
        <v>101199</v>
      </c>
      <c r="Q74" s="251"/>
      <c r="R74" s="252">
        <f>Endinet!$O$40</f>
        <v>15.84</v>
      </c>
      <c r="S74" s="253">
        <f>Endinet!$P$40</f>
        <v>102012</v>
      </c>
      <c r="T74" s="251"/>
      <c r="V74" s="252">
        <f>Endinet!W40</f>
        <v>17.930000000000003</v>
      </c>
      <c r="W74" s="253">
        <f>Endinet!X40</f>
        <v>101046.66666666667</v>
      </c>
    </row>
    <row r="75" spans="7:23">
      <c r="G75" s="1209"/>
      <c r="H75" s="277" t="s">
        <v>253</v>
      </c>
      <c r="I75" s="254">
        <f>Endinet!$C$41</f>
        <v>13.83</v>
      </c>
      <c r="J75" s="255">
        <f>Endinet!$D$41</f>
        <v>3388.0081076405322</v>
      </c>
      <c r="K75" s="251"/>
      <c r="L75" s="254">
        <f>Endinet!$G$41</f>
        <v>13.470000000000002</v>
      </c>
      <c r="M75" s="255">
        <f>Endinet!$H$41</f>
        <v>3394</v>
      </c>
      <c r="N75" s="251"/>
      <c r="O75" s="254">
        <f>Endinet!$K$41</f>
        <v>14.17</v>
      </c>
      <c r="P75" s="255">
        <f>Endinet!$L$41</f>
        <v>3441</v>
      </c>
      <c r="Q75" s="251"/>
      <c r="R75" s="254">
        <f>Endinet!$O$41</f>
        <v>15.84</v>
      </c>
      <c r="S75" s="255">
        <f>Endinet!$P$41</f>
        <v>3553</v>
      </c>
      <c r="T75" s="251"/>
      <c r="V75" s="254">
        <f>Endinet!W41</f>
        <v>17.930000000000003</v>
      </c>
      <c r="W75" s="255">
        <f>Endinet!X41</f>
        <v>3462.6666666666665</v>
      </c>
    </row>
    <row r="76" spans="7:23">
      <c r="G76" s="1209"/>
      <c r="H76" s="277" t="s">
        <v>255</v>
      </c>
      <c r="I76" s="256">
        <f>Endinet!$C$42</f>
        <v>212.43</v>
      </c>
      <c r="J76" s="257">
        <f>Endinet!$D$42</f>
        <v>657.62311298566942</v>
      </c>
      <c r="K76" s="251"/>
      <c r="L76" s="256">
        <f>Endinet!$G$42</f>
        <v>202.37</v>
      </c>
      <c r="M76" s="257">
        <f>Endinet!$H$42</f>
        <v>688</v>
      </c>
      <c r="N76" s="251"/>
      <c r="O76" s="256">
        <f>Endinet!$K$42</f>
        <v>212.9</v>
      </c>
      <c r="P76" s="257">
        <f>Endinet!$L$42</f>
        <v>711</v>
      </c>
      <c r="Q76" s="251"/>
      <c r="R76" s="256">
        <f>Endinet!$O$42</f>
        <v>238.31999999999996</v>
      </c>
      <c r="S76" s="257">
        <f>Endinet!$P$42</f>
        <v>677</v>
      </c>
      <c r="T76" s="251"/>
      <c r="V76" s="256">
        <f>Endinet!W42</f>
        <v>269.95999999999998</v>
      </c>
      <c r="W76" s="257">
        <f>Endinet!X42</f>
        <v>692</v>
      </c>
    </row>
    <row r="77" spans="7:23">
      <c r="G77" s="1209"/>
      <c r="H77" s="277" t="s">
        <v>261</v>
      </c>
      <c r="I77" s="258">
        <f>Endinet!$C$43</f>
        <v>610.76</v>
      </c>
      <c r="J77" s="259">
        <f>Endinet!$D$43</f>
        <v>583.941782793161</v>
      </c>
      <c r="K77" s="251"/>
      <c r="L77" s="258">
        <f>Endinet!$G$43</f>
        <v>581.83000000000004</v>
      </c>
      <c r="M77" s="259">
        <f>Endinet!$H$43</f>
        <v>586</v>
      </c>
      <c r="N77" s="251"/>
      <c r="O77" s="258">
        <f>Endinet!$K$43</f>
        <v>612</v>
      </c>
      <c r="P77" s="259">
        <f>Endinet!$L$43</f>
        <v>581</v>
      </c>
      <c r="Q77" s="251"/>
      <c r="R77" s="258">
        <f>Endinet!$O$43</f>
        <v>685.2</v>
      </c>
      <c r="S77" s="259">
        <f>Endinet!$P$43</f>
        <v>546</v>
      </c>
      <c r="T77" s="251"/>
      <c r="V77" s="258">
        <f>Endinet!W43</f>
        <v>776.21</v>
      </c>
      <c r="W77" s="259">
        <f>Endinet!X43</f>
        <v>571</v>
      </c>
    </row>
    <row r="78" spans="7:23">
      <c r="G78" s="1209"/>
      <c r="H78" s="278" t="s">
        <v>262</v>
      </c>
      <c r="I78" s="261">
        <f>Endinet!$C$44</f>
        <v>2586.864950307137</v>
      </c>
      <c r="J78" s="262">
        <f>Endinet!$D$44</f>
        <v>4.9887021837756249</v>
      </c>
      <c r="K78" s="251"/>
      <c r="L78" s="261">
        <f>Endinet!$G$44</f>
        <v>2464.3440000000001</v>
      </c>
      <c r="M78" s="262">
        <f>Endinet!$H$44</f>
        <v>5</v>
      </c>
      <c r="N78" s="251"/>
      <c r="O78" s="261">
        <f>Endinet!$K$44</f>
        <v>2592.6</v>
      </c>
      <c r="P78" s="262">
        <f>Endinet!$L$44</f>
        <v>5</v>
      </c>
      <c r="Q78" s="251"/>
      <c r="R78" s="261">
        <f>Endinet!$O$44</f>
        <v>2902.8</v>
      </c>
      <c r="S78" s="262">
        <f>Endinet!$P$44</f>
        <v>5</v>
      </c>
      <c r="T78" s="251"/>
      <c r="V78" s="261">
        <f>Endinet!W44</f>
        <v>3288.35</v>
      </c>
      <c r="W78" s="262">
        <f>Endinet!X44</f>
        <v>5</v>
      </c>
    </row>
    <row r="79" spans="7:23">
      <c r="G79" s="1209"/>
      <c r="H79" s="248"/>
      <c r="K79" s="210"/>
      <c r="N79" s="210"/>
      <c r="Q79" s="210"/>
      <c r="T79" s="210"/>
    </row>
    <row r="80" spans="7:23">
      <c r="G80" s="1209"/>
      <c r="H80" s="263" t="s">
        <v>1096</v>
      </c>
      <c r="I80" s="264">
        <f>Endinet!$C$48</f>
        <v>3</v>
      </c>
      <c r="J80" s="265">
        <f>Endinet!$D$48</f>
        <v>2834.9933333333333</v>
      </c>
      <c r="K80" s="210"/>
      <c r="L80" s="264">
        <f>Endinet!$G$48</f>
        <v>2.86</v>
      </c>
      <c r="M80" s="265">
        <f>Endinet!$H$48</f>
        <v>2835</v>
      </c>
      <c r="N80" s="210"/>
      <c r="O80" s="264">
        <f>Endinet!$K$48</f>
        <v>3.0099999999999993</v>
      </c>
      <c r="P80" s="265">
        <f>Endinet!$L$48</f>
        <v>2835</v>
      </c>
      <c r="Q80" s="210"/>
      <c r="R80" s="264">
        <f>Endinet!$O$48</f>
        <v>3.3600000000000003</v>
      </c>
      <c r="S80" s="265">
        <f>Endinet!$P$48</f>
        <v>2835</v>
      </c>
      <c r="T80" s="210"/>
      <c r="V80" s="264">
        <f>Endinet!W48</f>
        <v>3.8</v>
      </c>
      <c r="W80" s="265">
        <f>Endinet!X48</f>
        <v>2835</v>
      </c>
    </row>
    <row r="81" spans="7:23">
      <c r="G81" s="1209"/>
      <c r="K81" s="210"/>
      <c r="N81" s="210"/>
      <c r="Q81" s="210"/>
      <c r="T81" s="210"/>
    </row>
    <row r="82" spans="7:23" ht="15.75">
      <c r="G82" s="1209"/>
      <c r="H82" s="240" t="s">
        <v>638</v>
      </c>
      <c r="K82" s="210"/>
      <c r="N82" s="210"/>
      <c r="Q82" s="210"/>
      <c r="T82" s="210"/>
    </row>
    <row r="83" spans="7:23">
      <c r="G83" s="1209"/>
      <c r="H83" s="274"/>
      <c r="I83" s="1205">
        <v>2009</v>
      </c>
      <c r="J83" s="1206"/>
      <c r="K83" s="202"/>
      <c r="L83" s="1205">
        <v>2010</v>
      </c>
      <c r="M83" s="1206"/>
      <c r="N83" s="202"/>
      <c r="O83" s="1205">
        <v>2011</v>
      </c>
      <c r="P83" s="1206"/>
      <c r="Q83" s="202"/>
      <c r="R83" s="1205">
        <v>2012</v>
      </c>
      <c r="S83" s="1206"/>
      <c r="T83" s="202"/>
      <c r="V83" s="1205" t="s">
        <v>630</v>
      </c>
      <c r="W83" s="1206"/>
    </row>
    <row r="84" spans="7:23">
      <c r="G84" s="1209"/>
      <c r="H84" s="244" t="s">
        <v>328</v>
      </c>
      <c r="I84" s="245" t="s">
        <v>632</v>
      </c>
      <c r="J84" s="246" t="s">
        <v>633</v>
      </c>
      <c r="K84" s="201"/>
      <c r="L84" s="247" t="s">
        <v>632</v>
      </c>
      <c r="M84" s="246" t="s">
        <v>633</v>
      </c>
      <c r="N84" s="201"/>
      <c r="O84" s="247" t="s">
        <v>632</v>
      </c>
      <c r="P84" s="246" t="s">
        <v>633</v>
      </c>
      <c r="Q84" s="201"/>
      <c r="R84" s="247" t="s">
        <v>632</v>
      </c>
      <c r="S84" s="246" t="s">
        <v>633</v>
      </c>
      <c r="T84" s="201"/>
      <c r="V84" s="247" t="s">
        <v>632</v>
      </c>
      <c r="W84" s="246" t="s">
        <v>633</v>
      </c>
    </row>
    <row r="85" spans="7:23">
      <c r="G85" s="1209"/>
      <c r="H85" s="248" t="s">
        <v>251</v>
      </c>
      <c r="I85" s="249">
        <f>Endinet!$C$88</f>
        <v>361.28090909090906</v>
      </c>
      <c r="J85" s="250">
        <f>Endinet!$D$88</f>
        <v>22</v>
      </c>
      <c r="K85" s="251"/>
      <c r="L85" s="249">
        <f>Endinet!$G$88</f>
        <v>345.18</v>
      </c>
      <c r="M85" s="250">
        <f>Endinet!$H$88</f>
        <v>755.84510110666872</v>
      </c>
      <c r="N85" s="251"/>
      <c r="O85" s="249">
        <f>Endinet!$K$88</f>
        <v>372</v>
      </c>
      <c r="P85" s="250">
        <f>Endinet!$L$88</f>
        <v>952.79261427956976</v>
      </c>
      <c r="Q85" s="251"/>
      <c r="R85" s="249">
        <f>Endinet!$O$88</f>
        <v>410</v>
      </c>
      <c r="S85" s="250">
        <f>Endinet!$P$88</f>
        <v>524.97219512195124</v>
      </c>
      <c r="T85" s="251"/>
      <c r="V85" s="249">
        <f>Endinet!W88</f>
        <v>460</v>
      </c>
      <c r="W85" s="250">
        <f>Endinet!X88</f>
        <v>744.53663683606328</v>
      </c>
    </row>
    <row r="86" spans="7:23">
      <c r="G86" s="1209"/>
      <c r="H86" s="248" t="s">
        <v>252</v>
      </c>
      <c r="I86" s="252">
        <f>Endinet!$C$89</f>
        <v>466.80005614823136</v>
      </c>
      <c r="J86" s="253">
        <f>Endinet!$D$89</f>
        <v>1781</v>
      </c>
      <c r="K86" s="251"/>
      <c r="L86" s="252">
        <f>Endinet!$G$89</f>
        <v>542.6</v>
      </c>
      <c r="M86" s="253">
        <f>Endinet!$H$89</f>
        <v>509.77102838186511</v>
      </c>
      <c r="N86" s="251"/>
      <c r="O86" s="252">
        <f>Endinet!$K$89</f>
        <v>585</v>
      </c>
      <c r="P86" s="253">
        <f>Endinet!$L$89</f>
        <v>1057.4221538461541</v>
      </c>
      <c r="Q86" s="251"/>
      <c r="R86" s="252">
        <f>Endinet!$O$89</f>
        <v>645</v>
      </c>
      <c r="S86" s="253">
        <f>Endinet!$P$89</f>
        <v>962.55382945736449</v>
      </c>
      <c r="T86" s="251"/>
      <c r="V86" s="252">
        <f>Endinet!W89</f>
        <v>725</v>
      </c>
      <c r="W86" s="253">
        <f>Endinet!X89</f>
        <v>843.24900389512788</v>
      </c>
    </row>
    <row r="87" spans="7:23">
      <c r="G87" s="1209"/>
      <c r="H87" s="248" t="s">
        <v>253</v>
      </c>
      <c r="I87" s="254">
        <f>Endinet!$C$90</f>
        <v>804.53493087557615</v>
      </c>
      <c r="J87" s="255">
        <f>Endinet!$D$90</f>
        <v>217</v>
      </c>
      <c r="K87" s="251"/>
      <c r="L87" s="254">
        <f>Endinet!$G$90</f>
        <v>740.04</v>
      </c>
      <c r="M87" s="255">
        <f>Endinet!$H$90</f>
        <v>84.635046754229521</v>
      </c>
      <c r="N87" s="251"/>
      <c r="O87" s="254">
        <f>Endinet!$K$90</f>
        <v>901.92100644136474</v>
      </c>
      <c r="P87" s="255">
        <f>Endinet!$L$90</f>
        <v>89.886131291998595</v>
      </c>
      <c r="Q87" s="251"/>
      <c r="R87" s="254">
        <f>Endinet!$O$90</f>
        <v>1004.6308331326417</v>
      </c>
      <c r="S87" s="255">
        <f>Endinet!$P$90</f>
        <v>117.89991516651132</v>
      </c>
      <c r="T87" s="251"/>
      <c r="V87" s="254">
        <f>Endinet!W90</f>
        <v>1088.1940593076511</v>
      </c>
      <c r="W87" s="255">
        <f>Endinet!X90</f>
        <v>97.473697737579812</v>
      </c>
    </row>
    <row r="88" spans="7:23">
      <c r="G88" s="1209"/>
      <c r="H88" s="248" t="s">
        <v>255</v>
      </c>
      <c r="I88" s="256">
        <f>Endinet!$C$91</f>
        <v>6024.8714545454541</v>
      </c>
      <c r="J88" s="257">
        <f>Endinet!$D$91</f>
        <v>55</v>
      </c>
      <c r="K88" s="251"/>
      <c r="L88" s="256">
        <f>Endinet!$G$91</f>
        <v>6299.7196306909864</v>
      </c>
      <c r="M88" s="257">
        <f>Endinet!$H$91</f>
        <v>24.389913997354657</v>
      </c>
      <c r="N88" s="251"/>
      <c r="O88" s="256">
        <f>Endinet!$K$91</f>
        <v>5625.8674954805065</v>
      </c>
      <c r="P88" s="257">
        <f>Endinet!$L$91</f>
        <v>16.749011610333348</v>
      </c>
      <c r="Q88" s="251"/>
      <c r="R88" s="256">
        <f>Endinet!$O$91</f>
        <v>8785.7465522726143</v>
      </c>
      <c r="S88" s="257">
        <f>Endinet!$P$91</f>
        <v>32.896842434549647</v>
      </c>
      <c r="T88" s="251"/>
      <c r="V88" s="256">
        <f>Endinet!W91</f>
        <v>8705.1336492043083</v>
      </c>
      <c r="W88" s="257">
        <f>Endinet!X91</f>
        <v>24.678589347412554</v>
      </c>
    </row>
    <row r="89" spans="7:23">
      <c r="G89" s="1209"/>
      <c r="H89" s="260" t="s">
        <v>254</v>
      </c>
      <c r="I89" s="267">
        <f>Endinet!$C$92</f>
        <v>23227.39</v>
      </c>
      <c r="J89" s="268">
        <f>Endinet!$D$92</f>
        <v>1</v>
      </c>
      <c r="K89" s="251"/>
      <c r="L89" s="267">
        <f>Endinet!$G$92</f>
        <v>32013.79</v>
      </c>
      <c r="M89" s="268">
        <f>Endinet!$H$92</f>
        <v>1</v>
      </c>
      <c r="N89" s="251"/>
      <c r="O89" s="267">
        <f>Endinet!$K$92</f>
        <v>48003.404826041267</v>
      </c>
      <c r="P89" s="268">
        <f>Endinet!$L$92</f>
        <v>3.8198227951640416</v>
      </c>
      <c r="Q89" s="251"/>
      <c r="R89" s="267">
        <f>Endinet!$O$92</f>
        <v>79746.831676597183</v>
      </c>
      <c r="S89" s="268">
        <f>Endinet!$P$92</f>
        <v>2.6621413733519095</v>
      </c>
      <c r="T89" s="251"/>
      <c r="V89" s="267">
        <f>Endinet!W92</f>
        <v>67745.585434795066</v>
      </c>
      <c r="W89" s="268">
        <f>Endinet!X92</f>
        <v>2.4939880561719843</v>
      </c>
    </row>
    <row r="90" spans="7:23">
      <c r="G90" s="1210"/>
      <c r="K90" s="210"/>
      <c r="N90" s="210"/>
      <c r="Q90" s="210"/>
    </row>
    <row r="91" spans="7:23">
      <c r="G91" s="1210"/>
      <c r="K91" s="210"/>
      <c r="N91" s="210"/>
      <c r="Q91" s="210"/>
      <c r="T91" s="210"/>
    </row>
    <row r="92" spans="7:23">
      <c r="G92" s="1210"/>
      <c r="H92" s="274"/>
      <c r="I92" s="1205">
        <v>2009</v>
      </c>
      <c r="J92" s="1206"/>
      <c r="K92" s="202"/>
      <c r="L92" s="1205">
        <v>2010</v>
      </c>
      <c r="M92" s="1206"/>
      <c r="N92" s="202"/>
      <c r="O92" s="1205">
        <v>2011</v>
      </c>
      <c r="P92" s="1206"/>
      <c r="Q92" s="202"/>
      <c r="R92" s="1205">
        <v>2012</v>
      </c>
      <c r="S92" s="1206"/>
      <c r="T92" s="202"/>
      <c r="V92" s="1205" t="s">
        <v>630</v>
      </c>
      <c r="W92" s="1206"/>
    </row>
    <row r="93" spans="7:23">
      <c r="G93" s="1210"/>
      <c r="H93" s="244" t="s">
        <v>329</v>
      </c>
      <c r="I93" s="245" t="s">
        <v>632</v>
      </c>
      <c r="J93" s="246" t="s">
        <v>633</v>
      </c>
      <c r="K93" s="201"/>
      <c r="L93" s="247" t="s">
        <v>632</v>
      </c>
      <c r="M93" s="246" t="s">
        <v>633</v>
      </c>
      <c r="N93" s="201"/>
      <c r="O93" s="247" t="s">
        <v>632</v>
      </c>
      <c r="P93" s="246" t="s">
        <v>633</v>
      </c>
      <c r="Q93" s="201"/>
      <c r="R93" s="247" t="s">
        <v>632</v>
      </c>
      <c r="S93" s="246" t="s">
        <v>633</v>
      </c>
      <c r="T93" s="201"/>
      <c r="V93" s="247" t="s">
        <v>632</v>
      </c>
      <c r="W93" s="246" t="s">
        <v>633</v>
      </c>
    </row>
    <row r="94" spans="7:23">
      <c r="G94" s="1210"/>
      <c r="H94" s="248" t="s">
        <v>251</v>
      </c>
      <c r="I94" s="249">
        <f>Endinet!$C$115</f>
        <v>23.97</v>
      </c>
      <c r="J94" s="250">
        <f>Endinet!$D$115</f>
        <v>0</v>
      </c>
      <c r="K94" s="251"/>
      <c r="L94" s="249">
        <f>Endinet!$G$115</f>
        <v>23.04</v>
      </c>
      <c r="M94" s="250">
        <f>Endinet!$H$115</f>
        <v>69.388020833333314</v>
      </c>
      <c r="N94" s="251"/>
      <c r="O94" s="249">
        <f>Endinet!$K$115</f>
        <v>24.84</v>
      </c>
      <c r="P94" s="250">
        <f>Endinet!$L$115</f>
        <v>134.49275362318841</v>
      </c>
      <c r="Q94" s="251"/>
      <c r="R94" s="249">
        <f>Endinet!$O$115</f>
        <v>27.299999999999997</v>
      </c>
      <c r="S94" s="250">
        <f>Endinet!$P$115</f>
        <v>0</v>
      </c>
      <c r="T94" s="251"/>
      <c r="V94" s="249">
        <f>Endinet!W115</f>
        <v>30.6</v>
      </c>
      <c r="W94" s="250">
        <f>Endinet!X115</f>
        <v>67.960258152173907</v>
      </c>
    </row>
    <row r="95" spans="7:23">
      <c r="G95" s="1210"/>
      <c r="H95" s="248" t="s">
        <v>252</v>
      </c>
      <c r="I95" s="252">
        <f>Endinet!$C$116</f>
        <v>25.003599999999999</v>
      </c>
      <c r="J95" s="253">
        <f>Endinet!$D$116</f>
        <v>600</v>
      </c>
      <c r="K95" s="251"/>
      <c r="L95" s="252">
        <f>Endinet!$G$116</f>
        <v>23.92</v>
      </c>
      <c r="M95" s="253">
        <f>Endinet!$H$116</f>
        <v>644.55183946488296</v>
      </c>
      <c r="N95" s="251"/>
      <c r="O95" s="252">
        <f>Endinet!$K$116</f>
        <v>25.79</v>
      </c>
      <c r="P95" s="253">
        <f>Endinet!$L$116</f>
        <v>623.31407522295467</v>
      </c>
      <c r="Q95" s="251"/>
      <c r="R95" s="252">
        <f>Endinet!$O$116</f>
        <v>28.299999999999997</v>
      </c>
      <c r="S95" s="253">
        <f>Endinet!$P$116</f>
        <v>596.99187279151943</v>
      </c>
      <c r="T95" s="251"/>
      <c r="V95" s="252">
        <f>Endinet!W116</f>
        <v>31.699999999999996</v>
      </c>
      <c r="W95" s="253">
        <f>Endinet!X116</f>
        <v>621.61926249311898</v>
      </c>
    </row>
    <row r="96" spans="7:23">
      <c r="G96" s="1210"/>
      <c r="H96" s="248" t="s">
        <v>253</v>
      </c>
      <c r="I96" s="254">
        <f>Endinet!$C$117</f>
        <v>41.49341402929921</v>
      </c>
      <c r="J96" s="255">
        <f>Endinet!$D$117</f>
        <v>1666.5796637309847</v>
      </c>
      <c r="K96" s="251"/>
      <c r="L96" s="254">
        <f>Endinet!$G$117</f>
        <v>27.49</v>
      </c>
      <c r="M96" s="255">
        <f>Endinet!$H$117</f>
        <v>837.27209894507087</v>
      </c>
      <c r="N96" s="251"/>
      <c r="O96" s="254">
        <f>Endinet!$K$117</f>
        <v>37.162413282670308</v>
      </c>
      <c r="P96" s="255">
        <f>Endinet!$L$117</f>
        <v>174.5602458768488</v>
      </c>
      <c r="Q96" s="251"/>
      <c r="R96" s="254">
        <f>Endinet!$O$117</f>
        <v>40.710444703365518</v>
      </c>
      <c r="S96" s="255">
        <f>Endinet!$P$117</f>
        <v>651.33653521126757</v>
      </c>
      <c r="T96" s="251"/>
      <c r="V96" s="254">
        <f>Endinet!W117</f>
        <v>41.069982334674634</v>
      </c>
      <c r="W96" s="255">
        <f>Endinet!X117</f>
        <v>554.3896266777291</v>
      </c>
    </row>
    <row r="97" spans="7:30">
      <c r="G97" s="1210"/>
      <c r="H97" s="248" t="s">
        <v>255</v>
      </c>
      <c r="I97" s="256">
        <f>Endinet!$C$118</f>
        <v>58.053020692322562</v>
      </c>
      <c r="J97" s="257">
        <f>Endinet!$D$118</f>
        <v>5171</v>
      </c>
      <c r="K97" s="251"/>
      <c r="L97" s="256">
        <f>Endinet!$G$118</f>
        <v>59.400158023026016</v>
      </c>
      <c r="M97" s="257">
        <f>Endinet!$H$118</f>
        <v>1022.1519945530096</v>
      </c>
      <c r="N97" s="251"/>
      <c r="O97" s="256">
        <f>Endinet!$K$118</f>
        <v>55.145823007921628</v>
      </c>
      <c r="P97" s="257">
        <f>Endinet!$L$118</f>
        <v>991.15956601370158</v>
      </c>
      <c r="Q97" s="251"/>
      <c r="R97" s="256">
        <f>Endinet!$O$118</f>
        <v>69.214515546981843</v>
      </c>
      <c r="S97" s="257">
        <f>Endinet!$P$118</f>
        <v>2243.4934171372843</v>
      </c>
      <c r="T97" s="251"/>
      <c r="V97" s="256">
        <f>Endinet!W118</f>
        <v>75.667095176285784</v>
      </c>
      <c r="W97" s="257">
        <f>Endinet!X118</f>
        <v>1418.9349925679983</v>
      </c>
    </row>
    <row r="98" spans="7:30">
      <c r="G98" s="1210"/>
      <c r="H98" s="260" t="s">
        <v>254</v>
      </c>
      <c r="I98" s="267" t="e">
        <f>Endinet!$C$119</f>
        <v>#DIV/0!</v>
      </c>
      <c r="J98" s="268">
        <f>Endinet!$D$119</f>
        <v>0</v>
      </c>
      <c r="K98" s="251"/>
      <c r="L98" s="267" t="e">
        <f>Endinet!$G$119</f>
        <v>#DIV/0!</v>
      </c>
      <c r="M98" s="268">
        <f>Endinet!$H$119</f>
        <v>0</v>
      </c>
      <c r="N98" s="251"/>
      <c r="O98" s="267">
        <f>Endinet!$K$119</f>
        <v>143.05000000000001</v>
      </c>
      <c r="P98" s="268">
        <f>Endinet!$L$119</f>
        <v>333.8776651520447</v>
      </c>
      <c r="Q98" s="251"/>
      <c r="R98" s="267">
        <f>Endinet!$O$119</f>
        <v>182.78950472470873</v>
      </c>
      <c r="S98" s="268">
        <f>Endinet!$P$119</f>
        <v>249.58271028037382</v>
      </c>
      <c r="T98" s="251"/>
      <c r="V98" s="267">
        <f>Endinet!W119</f>
        <v>188.40408734282968</v>
      </c>
      <c r="W98" s="268">
        <f>Endinet!X119</f>
        <v>194.48679181080618</v>
      </c>
    </row>
    <row r="99" spans="7:30">
      <c r="G99" s="279"/>
      <c r="H99" s="248"/>
      <c r="I99" s="269"/>
      <c r="J99" s="270"/>
      <c r="K99" s="248"/>
      <c r="L99" s="269"/>
      <c r="M99" s="270"/>
      <c r="N99" s="248"/>
      <c r="O99" s="269"/>
      <c r="P99" s="270"/>
      <c r="Q99" s="248"/>
      <c r="R99" s="269"/>
      <c r="S99" s="270"/>
      <c r="T99" s="248"/>
      <c r="V99" s="269"/>
      <c r="W99" s="270"/>
    </row>
    <row r="101" spans="7:30" ht="15.75">
      <c r="G101" s="1207" t="s">
        <v>171</v>
      </c>
      <c r="H101" s="240" t="s">
        <v>639</v>
      </c>
      <c r="K101" s="210"/>
      <c r="N101" s="210"/>
      <c r="Q101" s="210"/>
      <c r="T101" s="210"/>
    </row>
    <row r="102" spans="7:30">
      <c r="G102" s="1207"/>
      <c r="H102" s="274"/>
      <c r="I102" s="1211">
        <v>2009</v>
      </c>
      <c r="J102" s="1212"/>
      <c r="K102" s="202"/>
      <c r="L102" s="1211">
        <v>2010</v>
      </c>
      <c r="M102" s="1212"/>
      <c r="N102" s="202"/>
      <c r="O102" s="1211">
        <v>2011</v>
      </c>
      <c r="P102" s="1212"/>
      <c r="Q102" s="202"/>
      <c r="R102" s="1211">
        <v>2012</v>
      </c>
      <c r="S102" s="1212"/>
      <c r="T102" s="202"/>
      <c r="V102" s="1205" t="s">
        <v>630</v>
      </c>
      <c r="W102" s="1206"/>
    </row>
    <row r="103" spans="7:30" ht="26.25" customHeight="1">
      <c r="G103" s="1207"/>
      <c r="H103" s="275" t="s">
        <v>631</v>
      </c>
      <c r="I103" s="245" t="s">
        <v>632</v>
      </c>
      <c r="J103" s="246" t="s">
        <v>633</v>
      </c>
      <c r="K103" s="201"/>
      <c r="L103" s="247" t="s">
        <v>632</v>
      </c>
      <c r="M103" s="246" t="s">
        <v>633</v>
      </c>
      <c r="N103" s="201"/>
      <c r="O103" s="247" t="s">
        <v>632</v>
      </c>
      <c r="P103" s="246" t="s">
        <v>633</v>
      </c>
      <c r="Q103" s="201"/>
      <c r="R103" s="247" t="s">
        <v>632</v>
      </c>
      <c r="S103" s="246" t="s">
        <v>633</v>
      </c>
      <c r="T103" s="201"/>
      <c r="V103" s="247" t="s">
        <v>632</v>
      </c>
      <c r="W103" s="246" t="s">
        <v>633</v>
      </c>
    </row>
    <row r="104" spans="7:30">
      <c r="G104" s="1207"/>
      <c r="H104" s="276" t="s">
        <v>251</v>
      </c>
      <c r="I104" s="249">
        <f>Enexis!$C$39</f>
        <v>3.51</v>
      </c>
      <c r="J104" s="250">
        <f>Enexis!$D$39</f>
        <v>1062638.4827764828</v>
      </c>
      <c r="K104" s="251"/>
      <c r="L104" s="249">
        <f>Enexis!$G$39</f>
        <v>3.26</v>
      </c>
      <c r="M104" s="250">
        <f>Enexis!$H$39</f>
        <v>1066456.8786648926</v>
      </c>
      <c r="N104" s="251"/>
      <c r="O104" s="249">
        <f>Enexis!$K$39</f>
        <v>3.62</v>
      </c>
      <c r="P104" s="250">
        <f>Enexis!$L$39</f>
        <v>1112427</v>
      </c>
      <c r="Q104" s="251"/>
      <c r="R104" s="249">
        <f>Enexis!$O$39</f>
        <v>3.95</v>
      </c>
      <c r="S104" s="250">
        <f>Enexis!$P$39</f>
        <v>1113337.3484909644</v>
      </c>
      <c r="T104" s="251"/>
      <c r="U104" s="208"/>
      <c r="V104" s="249">
        <f>Enexis!W39</f>
        <v>4.24</v>
      </c>
      <c r="W104" s="250">
        <f>Enexis!X39</f>
        <v>1097407.0757186192</v>
      </c>
      <c r="X104" s="208"/>
      <c r="Y104" s="208"/>
      <c r="Z104" s="208"/>
      <c r="AA104" s="208"/>
      <c r="AB104" s="208"/>
      <c r="AC104" s="208"/>
      <c r="AD104" s="208"/>
    </row>
    <row r="105" spans="7:30">
      <c r="G105" s="1207"/>
      <c r="H105" s="277" t="s">
        <v>252</v>
      </c>
      <c r="I105" s="252">
        <f>Enexis!$C$40</f>
        <v>28.6</v>
      </c>
      <c r="J105" s="253">
        <f>Enexis!$D$40</f>
        <v>2405372.5004237108</v>
      </c>
      <c r="K105" s="251"/>
      <c r="L105" s="252">
        <f>Enexis!$G$40</f>
        <v>26.4</v>
      </c>
      <c r="M105" s="253">
        <f>Enexis!$H$40</f>
        <v>2415726.3667533835</v>
      </c>
      <c r="N105" s="251"/>
      <c r="O105" s="252">
        <f>Enexis!$K$40</f>
        <v>28.5</v>
      </c>
      <c r="P105" s="253">
        <f>Enexis!$L$40</f>
        <v>2443010</v>
      </c>
      <c r="Q105" s="251"/>
      <c r="R105" s="252">
        <f>Enexis!$O$40</f>
        <v>31.599999999999998</v>
      </c>
      <c r="S105" s="253">
        <f>Enexis!$P$40</f>
        <v>2455968.687544202</v>
      </c>
      <c r="T105" s="251"/>
      <c r="U105" s="208"/>
      <c r="V105" s="252">
        <f>Enexis!W40</f>
        <v>34.200000000000003</v>
      </c>
      <c r="W105" s="253">
        <f>Enexis!X40</f>
        <v>2438235.0180991953</v>
      </c>
      <c r="X105" s="208"/>
      <c r="Y105" s="208"/>
      <c r="Z105" s="208"/>
      <c r="AA105" s="208"/>
      <c r="AB105" s="208"/>
      <c r="AC105" s="208"/>
      <c r="AD105" s="208"/>
    </row>
    <row r="106" spans="7:30">
      <c r="G106" s="1207"/>
      <c r="H106" s="277" t="s">
        <v>253</v>
      </c>
      <c r="I106" s="254">
        <f>Enexis!$C$41</f>
        <v>32.6</v>
      </c>
      <c r="J106" s="255">
        <f>Enexis!$D$41</f>
        <v>123839.80029904845</v>
      </c>
      <c r="K106" s="251"/>
      <c r="L106" s="254">
        <f>Enexis!$G$41</f>
        <v>30.1</v>
      </c>
      <c r="M106" s="255">
        <f>Enexis!$H$41</f>
        <v>124585.14716934915</v>
      </c>
      <c r="N106" s="251"/>
      <c r="O106" s="254">
        <f>Enexis!$K$41</f>
        <v>32.5</v>
      </c>
      <c r="P106" s="255">
        <f>Enexis!$L$41</f>
        <v>124714.86525582839</v>
      </c>
      <c r="Q106" s="251"/>
      <c r="R106" s="254">
        <f>Enexis!$O$41</f>
        <v>36</v>
      </c>
      <c r="S106" s="255">
        <f>Enexis!$P$41</f>
        <v>127454.96878291687</v>
      </c>
      <c r="T106" s="251"/>
      <c r="U106" s="208"/>
      <c r="V106" s="254">
        <f>Enexis!W41</f>
        <v>39</v>
      </c>
      <c r="W106" s="255">
        <f>Enexis!X41</f>
        <v>125584.99373603147</v>
      </c>
      <c r="X106" s="208"/>
      <c r="Y106" s="208"/>
      <c r="Z106" s="208"/>
      <c r="AA106" s="208"/>
      <c r="AB106" s="208"/>
      <c r="AC106" s="208"/>
      <c r="AD106" s="208"/>
    </row>
    <row r="107" spans="7:30">
      <c r="G107" s="1207"/>
      <c r="H107" s="277" t="s">
        <v>255</v>
      </c>
      <c r="I107" s="256">
        <f>Enexis!$C$42</f>
        <v>155</v>
      </c>
      <c r="J107" s="257">
        <f>Enexis!$D$42</f>
        <v>12070.145313782992</v>
      </c>
      <c r="K107" s="251"/>
      <c r="L107" s="256">
        <f>Enexis!$G$42</f>
        <v>143</v>
      </c>
      <c r="M107" s="257">
        <f>Enexis!$H$42</f>
        <v>12635.067234583596</v>
      </c>
      <c r="N107" s="251"/>
      <c r="O107" s="256">
        <f>Enexis!$K$42</f>
        <v>155</v>
      </c>
      <c r="P107" s="257">
        <f>Enexis!$L$42</f>
        <v>13169.823202346039</v>
      </c>
      <c r="Q107" s="251"/>
      <c r="R107" s="256">
        <f>Enexis!$O$42</f>
        <v>172</v>
      </c>
      <c r="S107" s="257">
        <f>Enexis!$P$42</f>
        <v>13611.673687821611</v>
      </c>
      <c r="T107" s="251"/>
      <c r="U107" s="208"/>
      <c r="V107" s="256">
        <f>Enexis!W42</f>
        <v>186</v>
      </c>
      <c r="W107" s="257">
        <f>Enexis!X42</f>
        <v>13138.854708250414</v>
      </c>
      <c r="X107" s="208"/>
      <c r="Y107" s="208"/>
      <c r="Z107" s="208"/>
      <c r="AA107" s="208"/>
      <c r="AB107" s="208"/>
      <c r="AC107" s="208"/>
      <c r="AD107" s="208"/>
    </row>
    <row r="108" spans="7:30">
      <c r="G108" s="1207"/>
      <c r="H108" s="277" t="s">
        <v>261</v>
      </c>
      <c r="I108" s="258">
        <f>Enexis!$C$43</f>
        <v>616</v>
      </c>
      <c r="J108" s="259">
        <f>Enexis!$D$43</f>
        <v>14023.152449822903</v>
      </c>
      <c r="K108" s="251"/>
      <c r="L108" s="258">
        <f>Enexis!$G$43</f>
        <v>569</v>
      </c>
      <c r="M108" s="259">
        <f>Enexis!$H$43</f>
        <v>14159.890103850457</v>
      </c>
      <c r="N108" s="251"/>
      <c r="O108" s="258">
        <f>Enexis!$K$43</f>
        <v>614.99999999999989</v>
      </c>
      <c r="P108" s="259">
        <f>Enexis!$L$43</f>
        <v>14195.544141906874</v>
      </c>
      <c r="Q108" s="251"/>
      <c r="R108" s="258">
        <f>Enexis!$O$43</f>
        <v>682</v>
      </c>
      <c r="S108" s="259">
        <f>Enexis!$P$43</f>
        <v>14239.582613456274</v>
      </c>
      <c r="T108" s="251"/>
      <c r="U108" s="208"/>
      <c r="V108" s="258">
        <f>Enexis!W43</f>
        <v>739</v>
      </c>
      <c r="W108" s="259">
        <f>Enexis!X43</f>
        <v>14198.338953071201</v>
      </c>
      <c r="X108" s="208"/>
      <c r="Y108" s="208"/>
      <c r="Z108" s="208"/>
      <c r="AA108" s="208"/>
      <c r="AB108" s="208"/>
      <c r="AC108" s="208"/>
      <c r="AD108" s="208"/>
    </row>
    <row r="109" spans="7:30">
      <c r="G109" s="1207"/>
      <c r="H109" s="278" t="s">
        <v>262</v>
      </c>
      <c r="I109" s="261">
        <f>Enexis!$C$44</f>
        <v>1704.296613774236</v>
      </c>
      <c r="J109" s="262">
        <f>Enexis!$D$44</f>
        <v>832.50023573374381</v>
      </c>
      <c r="K109" s="251"/>
      <c r="L109" s="261">
        <f>Enexis!$G$44</f>
        <v>1571.5994779015805</v>
      </c>
      <c r="M109" s="262">
        <f>Enexis!$H$44</f>
        <v>847.32390767088577</v>
      </c>
      <c r="N109" s="251"/>
      <c r="O109" s="261">
        <f>Enexis!$K$44</f>
        <v>1693.4042333469088</v>
      </c>
      <c r="P109" s="262">
        <f>Enexis!$L$44</f>
        <v>854.35269202977349</v>
      </c>
      <c r="Q109" s="251"/>
      <c r="R109" s="261">
        <f>Enexis!$O$44</f>
        <v>1876.6145415084497</v>
      </c>
      <c r="S109" s="262">
        <f>Enexis!$P$44</f>
        <v>882.08056280854817</v>
      </c>
      <c r="T109" s="251"/>
      <c r="U109" s="208"/>
      <c r="V109" s="261">
        <f>Enexis!W44</f>
        <v>2035.932307554785</v>
      </c>
      <c r="W109" s="262">
        <f>Enexis!X44</f>
        <v>861.25238750306903</v>
      </c>
      <c r="X109" s="208"/>
      <c r="Y109" s="208"/>
      <c r="Z109" s="208"/>
      <c r="AA109" s="208"/>
      <c r="AB109" s="208"/>
      <c r="AC109" s="208"/>
      <c r="AD109" s="208"/>
    </row>
    <row r="110" spans="7:30">
      <c r="G110" s="1207"/>
      <c r="H110" s="248"/>
      <c r="K110" s="210"/>
      <c r="N110" s="210"/>
      <c r="Q110" s="210"/>
      <c r="T110" s="210"/>
      <c r="U110" s="208"/>
      <c r="X110" s="208"/>
      <c r="Y110" s="208"/>
      <c r="Z110" s="208"/>
      <c r="AA110" s="208"/>
      <c r="AB110" s="208"/>
      <c r="AC110" s="208"/>
      <c r="AD110" s="208"/>
    </row>
    <row r="111" spans="7:30">
      <c r="G111" s="1207"/>
      <c r="H111" s="263" t="s">
        <v>1096</v>
      </c>
      <c r="I111" s="264">
        <f>Enexis!$C$48</f>
        <v>2.3751464480819537</v>
      </c>
      <c r="J111" s="265">
        <f>Enexis!$D$48</f>
        <v>200840.48307220018</v>
      </c>
      <c r="K111" s="210"/>
      <c r="L111" s="264">
        <f>Enexis!$G$48</f>
        <v>2.1921820665233214</v>
      </c>
      <c r="M111" s="265">
        <f>Enexis!$H$48</f>
        <v>208782.74818181817</v>
      </c>
      <c r="N111" s="210"/>
      <c r="O111" s="264">
        <f>Enexis!$K$48</f>
        <v>2.3725609604080851</v>
      </c>
      <c r="P111" s="265">
        <f>Enexis!$L$48</f>
        <v>207680.24895104894</v>
      </c>
      <c r="Q111" s="210"/>
      <c r="R111" s="264">
        <f>Enexis!$O$48</f>
        <v>2.6604081453366644</v>
      </c>
      <c r="S111" s="265">
        <f>Enexis!$P$48</f>
        <v>215334.0686868687</v>
      </c>
      <c r="T111" s="210"/>
      <c r="U111" s="208"/>
      <c r="V111" s="264">
        <f>Enexis!W48</f>
        <v>2.8455022853979015</v>
      </c>
      <c r="W111" s="265">
        <f>Enexis!X48</f>
        <v>210599.02193991194</v>
      </c>
      <c r="X111" s="208"/>
      <c r="Y111" s="208"/>
      <c r="Z111" s="208"/>
      <c r="AA111" s="208"/>
      <c r="AB111" s="208"/>
      <c r="AC111" s="208"/>
      <c r="AD111" s="208"/>
    </row>
    <row r="112" spans="7:30">
      <c r="G112" s="1207"/>
      <c r="K112" s="210"/>
      <c r="N112" s="210"/>
      <c r="Q112" s="210"/>
      <c r="T112" s="210"/>
    </row>
    <row r="113" spans="7:23" ht="15.75">
      <c r="G113" s="1207"/>
      <c r="H113" s="240" t="s">
        <v>640</v>
      </c>
      <c r="K113" s="210"/>
      <c r="N113" s="210"/>
      <c r="Q113" s="210"/>
      <c r="T113" s="210"/>
    </row>
    <row r="114" spans="7:23" ht="12.75" customHeight="1">
      <c r="G114" s="1207"/>
      <c r="H114" s="274"/>
      <c r="I114" s="1205">
        <v>2009</v>
      </c>
      <c r="J114" s="1206"/>
      <c r="K114" s="202"/>
      <c r="L114" s="1205">
        <v>2010</v>
      </c>
      <c r="M114" s="1206"/>
      <c r="N114" s="202"/>
      <c r="O114" s="1205">
        <v>2011</v>
      </c>
      <c r="P114" s="1206"/>
      <c r="Q114" s="202"/>
      <c r="R114" s="1205">
        <v>2012</v>
      </c>
      <c r="S114" s="1206"/>
      <c r="T114" s="202"/>
      <c r="V114" s="1205" t="s">
        <v>630</v>
      </c>
      <c r="W114" s="1206"/>
    </row>
    <row r="115" spans="7:23" ht="24.75" customHeight="1">
      <c r="G115" s="1207"/>
      <c r="H115" s="244" t="s">
        <v>328</v>
      </c>
      <c r="I115" s="245" t="s">
        <v>632</v>
      </c>
      <c r="J115" s="246" t="s">
        <v>633</v>
      </c>
      <c r="K115" s="201"/>
      <c r="L115" s="247" t="s">
        <v>632</v>
      </c>
      <c r="M115" s="246" t="s">
        <v>633</v>
      </c>
      <c r="N115" s="201"/>
      <c r="O115" s="247" t="s">
        <v>632</v>
      </c>
      <c r="P115" s="246" t="s">
        <v>633</v>
      </c>
      <c r="Q115" s="201"/>
      <c r="R115" s="247" t="s">
        <v>632</v>
      </c>
      <c r="S115" s="246" t="s">
        <v>633</v>
      </c>
      <c r="T115" s="201"/>
      <c r="V115" s="247" t="s">
        <v>632</v>
      </c>
      <c r="W115" s="246" t="s">
        <v>633</v>
      </c>
    </row>
    <row r="116" spans="7:23">
      <c r="G116" s="1207"/>
      <c r="H116" s="248" t="s">
        <v>251</v>
      </c>
      <c r="I116" s="249">
        <f>Enexis!$C$88</f>
        <v>310</v>
      </c>
      <c r="J116" s="250">
        <f>Enexis!$D$88</f>
        <v>29519.469354838711</v>
      </c>
      <c r="K116" s="251"/>
      <c r="L116" s="249">
        <f>Enexis!$G$88</f>
        <v>296</v>
      </c>
      <c r="M116" s="250">
        <f>Enexis!$H$88</f>
        <v>25391.567533783782</v>
      </c>
      <c r="N116" s="251"/>
      <c r="O116" s="249">
        <f>Enexis!$K$88</f>
        <v>318</v>
      </c>
      <c r="P116" s="250">
        <f>Enexis!$L$88</f>
        <v>24977.239905660379</v>
      </c>
      <c r="Q116" s="251"/>
      <c r="R116" s="249">
        <f>Enexis!$O$88</f>
        <v>346</v>
      </c>
      <c r="S116" s="250">
        <f>Enexis!$P$88</f>
        <v>21566.288030769232</v>
      </c>
      <c r="T116" s="251"/>
      <c r="V116" s="249">
        <f>Enexis!W88</f>
        <v>372</v>
      </c>
      <c r="W116" s="250">
        <f>Enexis!X88</f>
        <v>23978.365156737796</v>
      </c>
    </row>
    <row r="117" spans="7:23">
      <c r="G117" s="1207"/>
      <c r="H117" s="248" t="s">
        <v>252</v>
      </c>
      <c r="I117" s="252">
        <f>Enexis!$C$89</f>
        <v>595</v>
      </c>
      <c r="J117" s="253">
        <f>Enexis!$D$89</f>
        <v>30436.479815126051</v>
      </c>
      <c r="K117" s="251"/>
      <c r="L117" s="252">
        <f>Enexis!$G$89</f>
        <v>568</v>
      </c>
      <c r="M117" s="253">
        <f>Enexis!$H$89</f>
        <v>24397.998450704192</v>
      </c>
      <c r="N117" s="251"/>
      <c r="O117" s="252">
        <f>Enexis!$K$89</f>
        <v>611</v>
      </c>
      <c r="P117" s="253">
        <f>Enexis!$L$89</f>
        <v>21820.355139116211</v>
      </c>
      <c r="Q117" s="251"/>
      <c r="R117" s="252">
        <f>Enexis!$O$89</f>
        <v>664</v>
      </c>
      <c r="S117" s="253">
        <f>Enexis!$P$89</f>
        <v>18539.352523961661</v>
      </c>
      <c r="T117" s="251"/>
      <c r="V117" s="252">
        <f>Enexis!W89</f>
        <v>717</v>
      </c>
      <c r="W117" s="253">
        <f>Enexis!X89</f>
        <v>21585.902037927353</v>
      </c>
    </row>
    <row r="118" spans="7:23">
      <c r="G118" s="1207"/>
      <c r="H118" s="248" t="s">
        <v>253</v>
      </c>
      <c r="I118" s="254">
        <f>Enexis!$C$90</f>
        <v>783.56694822382531</v>
      </c>
      <c r="J118" s="255">
        <f>Enexis!$D$90</f>
        <v>3256.7349041259718</v>
      </c>
      <c r="K118" s="251"/>
      <c r="L118" s="254">
        <f>Enexis!$G$90</f>
        <v>749.21130566707029</v>
      </c>
      <c r="M118" s="255">
        <f>Enexis!$H$90</f>
        <v>2393.9713621954124</v>
      </c>
      <c r="N118" s="251"/>
      <c r="O118" s="254">
        <f>Enexis!$K$90</f>
        <v>805.92333995842671</v>
      </c>
      <c r="P118" s="255">
        <f>Enexis!$L$90</f>
        <v>2244.5079082748885</v>
      </c>
      <c r="Q118" s="251"/>
      <c r="R118" s="254">
        <f>Enexis!$O$90</f>
        <v>870.41020135186159</v>
      </c>
      <c r="S118" s="255">
        <f>Enexis!$P$90</f>
        <v>2256.2606697377187</v>
      </c>
      <c r="T118" s="251"/>
      <c r="V118" s="254">
        <f>Enexis!W90</f>
        <v>944.02119159431209</v>
      </c>
      <c r="W118" s="255">
        <f>Enexis!X90</f>
        <v>2298.2466467360064</v>
      </c>
    </row>
    <row r="119" spans="7:23">
      <c r="G119" s="1207"/>
      <c r="H119" s="248" t="s">
        <v>255</v>
      </c>
      <c r="I119" s="256">
        <f>Enexis!$C$91</f>
        <v>5070.9755136535186</v>
      </c>
      <c r="J119" s="257">
        <f>Enexis!$D$91</f>
        <v>1273.0186849884831</v>
      </c>
      <c r="K119" s="251"/>
      <c r="L119" s="256">
        <f>Enexis!$G$91</f>
        <v>4583.1232005731199</v>
      </c>
      <c r="M119" s="257">
        <f>Enexis!$H$91</f>
        <v>1148.2479260740615</v>
      </c>
      <c r="N119" s="251"/>
      <c r="O119" s="256">
        <f>Enexis!$K$91</f>
        <v>4481.641138394355</v>
      </c>
      <c r="P119" s="257">
        <f>Enexis!$L$91</f>
        <v>1003.4605094711358</v>
      </c>
      <c r="Q119" s="251"/>
      <c r="R119" s="256">
        <f>Enexis!$O$91</f>
        <v>5254.2382473481202</v>
      </c>
      <c r="S119" s="257">
        <f>Enexis!$P$91</f>
        <v>874.40351491622971</v>
      </c>
      <c r="T119" s="251"/>
      <c r="V119" s="256">
        <f>Enexis!W91</f>
        <v>5587.9286905991612</v>
      </c>
      <c r="W119" s="257">
        <f>Enexis!X91</f>
        <v>1008.7039834871424</v>
      </c>
    </row>
    <row r="120" spans="7:23">
      <c r="G120" s="1207"/>
      <c r="H120" s="260" t="s">
        <v>254</v>
      </c>
      <c r="I120" s="267">
        <f>Enexis!$C$92</f>
        <v>35983.565515262329</v>
      </c>
      <c r="J120" s="268">
        <f>Enexis!$D$92</f>
        <v>217.89759846545434</v>
      </c>
      <c r="K120" s="251"/>
      <c r="L120" s="267">
        <f>Enexis!$G$92</f>
        <v>28459.056997357355</v>
      </c>
      <c r="M120" s="268">
        <f>Enexis!$H$92</f>
        <v>133.10390222528267</v>
      </c>
      <c r="N120" s="251"/>
      <c r="O120" s="267">
        <f>Enexis!$K$92</f>
        <v>31886.439832867803</v>
      </c>
      <c r="P120" s="268">
        <f>Enexis!$L$92</f>
        <v>102.65901797621896</v>
      </c>
      <c r="Q120" s="251"/>
      <c r="R120" s="267">
        <f>Enexis!$O$92</f>
        <v>31376.584983078283</v>
      </c>
      <c r="S120" s="268">
        <f>Enexis!$P$92</f>
        <v>88.319011054137803</v>
      </c>
      <c r="T120" s="251"/>
      <c r="V120" s="267">
        <f>Enexis!W92</f>
        <v>35908.473165744872</v>
      </c>
      <c r="W120" s="268">
        <f>Enexis!X92</f>
        <v>108.02731041854648</v>
      </c>
    </row>
    <row r="121" spans="7:23">
      <c r="G121" s="1210"/>
      <c r="K121" s="210"/>
      <c r="N121" s="210"/>
      <c r="Q121" s="210"/>
      <c r="T121" s="210"/>
    </row>
    <row r="122" spans="7:23">
      <c r="G122" s="1210"/>
      <c r="K122" s="210"/>
      <c r="N122" s="210"/>
      <c r="Q122" s="210"/>
      <c r="T122" s="210"/>
    </row>
    <row r="123" spans="7:23" ht="12.75" customHeight="1">
      <c r="G123" s="1210"/>
      <c r="H123" s="274"/>
      <c r="I123" s="1205">
        <v>2009</v>
      </c>
      <c r="J123" s="1206"/>
      <c r="K123" s="202"/>
      <c r="L123" s="1205">
        <v>2010</v>
      </c>
      <c r="M123" s="1206"/>
      <c r="N123" s="202"/>
      <c r="O123" s="1205">
        <v>2011</v>
      </c>
      <c r="P123" s="1206"/>
      <c r="Q123" s="202"/>
      <c r="R123" s="1205">
        <v>2012</v>
      </c>
      <c r="S123" s="1206"/>
      <c r="T123" s="202"/>
      <c r="V123" s="1205" t="s">
        <v>630</v>
      </c>
      <c r="W123" s="1206"/>
    </row>
    <row r="124" spans="7:23" ht="24.75" customHeight="1">
      <c r="G124" s="1210"/>
      <c r="H124" s="244" t="s">
        <v>329</v>
      </c>
      <c r="I124" s="245" t="s">
        <v>632</v>
      </c>
      <c r="J124" s="246" t="s">
        <v>633</v>
      </c>
      <c r="K124" s="201"/>
      <c r="L124" s="247" t="s">
        <v>632</v>
      </c>
      <c r="M124" s="246" t="s">
        <v>633</v>
      </c>
      <c r="N124" s="201"/>
      <c r="O124" s="247" t="s">
        <v>632</v>
      </c>
      <c r="P124" s="246" t="s">
        <v>633</v>
      </c>
      <c r="Q124" s="201"/>
      <c r="R124" s="247" t="s">
        <v>632</v>
      </c>
      <c r="S124" s="246" t="s">
        <v>633</v>
      </c>
      <c r="T124" s="201"/>
      <c r="V124" s="247" t="s">
        <v>632</v>
      </c>
      <c r="W124" s="246" t="s">
        <v>633</v>
      </c>
    </row>
    <row r="125" spans="7:23">
      <c r="G125" s="1210"/>
      <c r="H125" s="248" t="s">
        <v>251</v>
      </c>
      <c r="I125" s="249">
        <f>Enexis!$C$115</f>
        <v>15</v>
      </c>
      <c r="J125" s="250">
        <f>Enexis!$D$115</f>
        <v>44844.573333333334</v>
      </c>
      <c r="K125" s="251"/>
      <c r="L125" s="249">
        <f>Enexis!$G$115</f>
        <v>14</v>
      </c>
      <c r="M125" s="250">
        <f>Enexis!$H$115</f>
        <v>28214.471428571425</v>
      </c>
      <c r="N125" s="251"/>
      <c r="O125" s="249">
        <f>Enexis!$K$115</f>
        <v>15</v>
      </c>
      <c r="P125" s="250">
        <f>Enexis!$L$115</f>
        <v>18536.96</v>
      </c>
      <c r="Q125" s="251"/>
      <c r="R125" s="249">
        <f>Enexis!$O$115</f>
        <v>16.3</v>
      </c>
      <c r="S125" s="250">
        <f>Enexis!$P$115</f>
        <v>8189.8169934640573</v>
      </c>
      <c r="T125" s="251"/>
      <c r="V125" s="249">
        <f>Enexis!W115</f>
        <v>17.5</v>
      </c>
      <c r="W125" s="250">
        <f>Enexis!X115</f>
        <v>18313.749474011827</v>
      </c>
    </row>
    <row r="126" spans="7:23">
      <c r="G126" s="1210"/>
      <c r="H126" s="248" t="s">
        <v>252</v>
      </c>
      <c r="I126" s="252">
        <f>Enexis!$C$116</f>
        <v>17</v>
      </c>
      <c r="J126" s="253">
        <f>Enexis!$D$116</f>
        <v>90185.23529411765</v>
      </c>
      <c r="K126" s="251"/>
      <c r="L126" s="252">
        <f>Enexis!$G$116</f>
        <v>16</v>
      </c>
      <c r="M126" s="253">
        <f>Enexis!$H$116</f>
        <v>103878.09375</v>
      </c>
      <c r="N126" s="251"/>
      <c r="O126" s="252">
        <f>Enexis!$K$116</f>
        <v>17</v>
      </c>
      <c r="P126" s="253">
        <f>Enexis!$L$116</f>
        <v>45853.597058823529</v>
      </c>
      <c r="Q126" s="251"/>
      <c r="R126" s="252">
        <f>Enexis!$O$116</f>
        <v>18.399999999999999</v>
      </c>
      <c r="S126" s="253">
        <f>Enexis!$P$116</f>
        <v>59235.298850574734</v>
      </c>
      <c r="T126" s="251"/>
      <c r="V126" s="252">
        <f>Enexis!W116</f>
        <v>19.899999999999999</v>
      </c>
      <c r="W126" s="253">
        <f>Enexis!X116</f>
        <v>69655.663219799419</v>
      </c>
    </row>
    <row r="127" spans="7:23">
      <c r="G127" s="1210"/>
      <c r="H127" s="248" t="s">
        <v>253</v>
      </c>
      <c r="I127" s="254">
        <f>Enexis!$C$117</f>
        <v>22</v>
      </c>
      <c r="J127" s="255">
        <f>Enexis!$D$117</f>
        <v>39048.409090909088</v>
      </c>
      <c r="K127" s="251"/>
      <c r="L127" s="254">
        <f>Enexis!$G$117</f>
        <v>20.965036039774386</v>
      </c>
      <c r="M127" s="255">
        <f>Enexis!$H$117</f>
        <v>27885.857142857141</v>
      </c>
      <c r="N127" s="251"/>
      <c r="O127" s="254">
        <f>Enexis!$K$117</f>
        <v>22.000000000000004</v>
      </c>
      <c r="P127" s="255">
        <f>Enexis!$L$117</f>
        <v>55279.834999999999</v>
      </c>
      <c r="Q127" s="251"/>
      <c r="R127" s="254">
        <f>Enexis!$O$117</f>
        <v>23.9</v>
      </c>
      <c r="S127" s="255">
        <f>Enexis!$P$117</f>
        <v>31270.94222222222</v>
      </c>
      <c r="T127" s="251"/>
      <c r="V127" s="254">
        <f>Enexis!W117</f>
        <v>25.789946401286766</v>
      </c>
      <c r="W127" s="255">
        <f>Enexis!X117</f>
        <v>38145.544788359781</v>
      </c>
    </row>
    <row r="128" spans="7:23">
      <c r="G128" s="1210"/>
      <c r="H128" s="248" t="s">
        <v>255</v>
      </c>
      <c r="I128" s="256">
        <f>Enexis!$C$118</f>
        <v>32.891843967542812</v>
      </c>
      <c r="J128" s="257">
        <f>Enexis!$D$118</f>
        <v>165211.04761904763</v>
      </c>
      <c r="K128" s="251"/>
      <c r="L128" s="256">
        <f>Enexis!$G$118</f>
        <v>29.745047600058921</v>
      </c>
      <c r="M128" s="257">
        <f>Enexis!$H$118</f>
        <v>157071.79974358977</v>
      </c>
      <c r="N128" s="251"/>
      <c r="O128" s="256">
        <f>Enexis!$K$118</f>
        <v>31.447186790095945</v>
      </c>
      <c r="P128" s="257">
        <f>Enexis!$L$118</f>
        <v>135273.4627232143</v>
      </c>
      <c r="Q128" s="251"/>
      <c r="R128" s="256">
        <f>Enexis!$O$118</f>
        <v>34.963595851156384</v>
      </c>
      <c r="S128" s="257">
        <f>Enexis!$P$118</f>
        <v>108296.22752613248</v>
      </c>
      <c r="T128" s="251"/>
      <c r="V128" s="256">
        <f>Enexis!W118</f>
        <v>37.32540018080946</v>
      </c>
      <c r="W128" s="257">
        <f>Enexis!X118</f>
        <v>133547.16333097886</v>
      </c>
    </row>
    <row r="129" spans="7:23">
      <c r="G129" s="1210"/>
      <c r="H129" s="260" t="s">
        <v>254</v>
      </c>
      <c r="I129" s="267">
        <f>Enexis!$C$119</f>
        <v>107.72320849559387</v>
      </c>
      <c r="J129" s="268">
        <f>Enexis!$D$119</f>
        <v>41527.829169542209</v>
      </c>
      <c r="K129" s="251"/>
      <c r="L129" s="267">
        <f>Enexis!$G$119</f>
        <v>71.898901134021003</v>
      </c>
      <c r="M129" s="268">
        <f>Enexis!$H$119</f>
        <v>13790.555688073393</v>
      </c>
      <c r="N129" s="251"/>
      <c r="O129" s="267">
        <f>Enexis!$K$119</f>
        <v>79.894497507989541</v>
      </c>
      <c r="P129" s="268">
        <f>Enexis!$L$119</f>
        <v>6973.8094284188028</v>
      </c>
      <c r="Q129" s="251"/>
      <c r="R129" s="267">
        <f>Enexis!$O$119</f>
        <v>95.154795660644382</v>
      </c>
      <c r="S129" s="268">
        <f>Enexis!$P$119</f>
        <v>9705.4570475396158</v>
      </c>
      <c r="T129" s="251"/>
      <c r="V129" s="267">
        <f>Enexis!W119</f>
        <v>95.012197144290766</v>
      </c>
      <c r="W129" s="268">
        <f>Enexis!X119</f>
        <v>10156.607388010605</v>
      </c>
    </row>
    <row r="130" spans="7:23">
      <c r="H130" s="248"/>
      <c r="K130" s="210"/>
      <c r="N130" s="210"/>
      <c r="Q130" s="210"/>
      <c r="T130" s="210"/>
    </row>
    <row r="132" spans="7:23" ht="15.75">
      <c r="G132" s="1209" t="s">
        <v>172</v>
      </c>
      <c r="H132" s="240" t="s">
        <v>641</v>
      </c>
      <c r="K132" s="210"/>
      <c r="N132" s="210"/>
      <c r="Q132" s="210"/>
      <c r="T132" s="210"/>
    </row>
    <row r="133" spans="7:23">
      <c r="G133" s="1209"/>
      <c r="H133" s="274"/>
      <c r="I133" s="1205">
        <v>2009</v>
      </c>
      <c r="J133" s="1206"/>
      <c r="K133" s="202"/>
      <c r="L133" s="1205">
        <v>2010</v>
      </c>
      <c r="M133" s="1206"/>
      <c r="N133" s="202"/>
      <c r="O133" s="1205">
        <v>2011</v>
      </c>
      <c r="P133" s="1206"/>
      <c r="Q133" s="202"/>
      <c r="R133" s="1205">
        <v>2012</v>
      </c>
      <c r="S133" s="1206"/>
      <c r="T133" s="202"/>
      <c r="V133" s="1205" t="s">
        <v>630</v>
      </c>
      <c r="W133" s="1206"/>
    </row>
    <row r="134" spans="7:23">
      <c r="G134" s="1209"/>
      <c r="H134" s="275" t="s">
        <v>631</v>
      </c>
      <c r="I134" s="245" t="s">
        <v>632</v>
      </c>
      <c r="J134" s="246" t="s">
        <v>633</v>
      </c>
      <c r="K134" s="201"/>
      <c r="L134" s="247" t="s">
        <v>632</v>
      </c>
      <c r="M134" s="246" t="s">
        <v>633</v>
      </c>
      <c r="N134" s="201"/>
      <c r="O134" s="247" t="s">
        <v>632</v>
      </c>
      <c r="P134" s="246" t="s">
        <v>633</v>
      </c>
      <c r="Q134" s="201"/>
      <c r="R134" s="247" t="s">
        <v>632</v>
      </c>
      <c r="S134" s="246" t="s">
        <v>633</v>
      </c>
      <c r="T134" s="201"/>
      <c r="V134" s="247" t="s">
        <v>632</v>
      </c>
      <c r="W134" s="246" t="s">
        <v>633</v>
      </c>
    </row>
    <row r="135" spans="7:23">
      <c r="G135" s="1209"/>
      <c r="H135" s="276" t="s">
        <v>251</v>
      </c>
      <c r="I135" s="249">
        <f>Liander!$C$39</f>
        <v>8.4</v>
      </c>
      <c r="J135" s="250">
        <f>Liander!$D$39</f>
        <v>772155.88484414713</v>
      </c>
      <c r="K135" s="251"/>
      <c r="L135" s="249">
        <f>Liander!$G$39</f>
        <v>7.8</v>
      </c>
      <c r="M135" s="250">
        <f>Liander!$H$39</f>
        <v>746470.63524900982</v>
      </c>
      <c r="N135" s="251"/>
      <c r="O135" s="249">
        <f>Liander!$K$39</f>
        <v>8.4</v>
      </c>
      <c r="P135" s="250">
        <f>Liander!$L$39</f>
        <v>744308.33943279029</v>
      </c>
      <c r="Q135" s="251"/>
      <c r="R135" s="249">
        <f>Liander!$O$39</f>
        <v>9.24</v>
      </c>
      <c r="S135" s="250">
        <f>Liander!$P$39</f>
        <v>783087.09252802003</v>
      </c>
      <c r="T135" s="251"/>
      <c r="V135" s="249">
        <f>Liander!W39</f>
        <v>9.7200000000000006</v>
      </c>
      <c r="W135" s="250">
        <f>Liander!X39</f>
        <v>757955.35573660675</v>
      </c>
    </row>
    <row r="136" spans="7:23">
      <c r="G136" s="1209"/>
      <c r="H136" s="277" t="s">
        <v>252</v>
      </c>
      <c r="I136" s="252">
        <f>Liander!$C$40</f>
        <v>16.440000000000001</v>
      </c>
      <c r="J136" s="253">
        <f>Liander!$D$40</f>
        <v>2710320.165338486</v>
      </c>
      <c r="K136" s="251"/>
      <c r="L136" s="252">
        <f>Liander!$G$40</f>
        <v>15.96</v>
      </c>
      <c r="M136" s="253">
        <f>Liander!$H$40</f>
        <v>2738965.4637042978</v>
      </c>
      <c r="N136" s="251"/>
      <c r="O136" s="252">
        <f>Liander!$K$40</f>
        <v>17.28</v>
      </c>
      <c r="P136" s="253">
        <f>Liander!$L$40</f>
        <v>2769580.7728032786</v>
      </c>
      <c r="Q136" s="251"/>
      <c r="R136" s="252">
        <f>Liander!$O$40</f>
        <v>19.2</v>
      </c>
      <c r="S136" s="253">
        <f>Liander!$P$40</f>
        <v>2788761.2125838064</v>
      </c>
      <c r="T136" s="251"/>
      <c r="V136" s="252">
        <f>Liander!W40</f>
        <v>20.399999999999999</v>
      </c>
      <c r="W136" s="253">
        <f>Liander!X40</f>
        <v>2765769.1496971273</v>
      </c>
    </row>
    <row r="137" spans="7:23">
      <c r="G137" s="1209"/>
      <c r="H137" s="277" t="s">
        <v>253</v>
      </c>
      <c r="I137" s="254">
        <f>Liander!$C$41</f>
        <v>27.262787426525581</v>
      </c>
      <c r="J137" s="255">
        <f>Liander!$D$41</f>
        <v>113123.63377086108</v>
      </c>
      <c r="K137" s="251"/>
      <c r="L137" s="254">
        <f>Liander!$G$41</f>
        <v>26.405994423252533</v>
      </c>
      <c r="M137" s="255">
        <f>Liander!$H$41</f>
        <v>114027.85334934245</v>
      </c>
      <c r="N137" s="251"/>
      <c r="O137" s="254">
        <f>Liander!$K$41</f>
        <v>28.617510550301422</v>
      </c>
      <c r="P137" s="255">
        <f>Liander!$L$41</f>
        <v>116531.34015593254</v>
      </c>
      <c r="Q137" s="251"/>
      <c r="R137" s="254">
        <f>Liander!$O$41</f>
        <v>31.823113367085249</v>
      </c>
      <c r="S137" s="255">
        <f>Liander!$P$41</f>
        <v>118378.93357500415</v>
      </c>
      <c r="T137" s="251"/>
      <c r="V137" s="254">
        <f>Liander!W41</f>
        <v>33.744160213487703</v>
      </c>
      <c r="W137" s="255">
        <f>Liander!X41</f>
        <v>116312.70902675971</v>
      </c>
    </row>
    <row r="138" spans="7:23">
      <c r="G138" s="1209"/>
      <c r="H138" s="277" t="s">
        <v>255</v>
      </c>
      <c r="I138" s="256">
        <f>Liander!$C$42</f>
        <v>116.08458782158931</v>
      </c>
      <c r="J138" s="257">
        <f>Liander!$D$42</f>
        <v>13284.360666666664</v>
      </c>
      <c r="K138" s="251"/>
      <c r="L138" s="256">
        <f>Liander!$G$42</f>
        <v>112.33888003362779</v>
      </c>
      <c r="M138" s="257">
        <f>Liander!$H$42</f>
        <v>13712.438500000113</v>
      </c>
      <c r="N138" s="251"/>
      <c r="O138" s="256">
        <f>Liander!$K$42</f>
        <v>121.96782075255548</v>
      </c>
      <c r="P138" s="257">
        <f>Liander!$L$42</f>
        <v>14134.82767506737</v>
      </c>
      <c r="Q138" s="251"/>
      <c r="R138" s="256">
        <f>Liander!$O$42</f>
        <v>136.30989367042395</v>
      </c>
      <c r="S138" s="257">
        <f>Liander!$P$42</f>
        <v>14608.666666666666</v>
      </c>
      <c r="T138" s="251"/>
      <c r="V138" s="256">
        <f>Liander!W42</f>
        <v>144.21995556371877</v>
      </c>
      <c r="W138" s="257">
        <f>Liander!X42</f>
        <v>14151.977613911382</v>
      </c>
    </row>
    <row r="139" spans="7:23">
      <c r="G139" s="1209"/>
      <c r="H139" s="277" t="s">
        <v>261</v>
      </c>
      <c r="I139" s="258">
        <f>Liander!$C$43</f>
        <v>685.57685831784079</v>
      </c>
      <c r="J139" s="259">
        <f>Liander!$D$43</f>
        <v>12598.80244914216</v>
      </c>
      <c r="K139" s="251"/>
      <c r="L139" s="258">
        <f>Liander!$G$43</f>
        <v>662.49591306184868</v>
      </c>
      <c r="M139" s="259">
        <f>Liander!$H$43</f>
        <v>12550.8995</v>
      </c>
      <c r="N139" s="251"/>
      <c r="O139" s="258">
        <f>Liander!$K$43</f>
        <v>717.28565346052733</v>
      </c>
      <c r="P139" s="259">
        <f>Liander!$L$43</f>
        <v>12499.398813998185</v>
      </c>
      <c r="Q139" s="251"/>
      <c r="R139" s="258">
        <f>Liander!$O$43</f>
        <v>795.74179554571856</v>
      </c>
      <c r="S139" s="259">
        <f>Liander!$P$43</f>
        <v>12650.75</v>
      </c>
      <c r="T139" s="251"/>
      <c r="V139" s="258">
        <f>Liander!W43</f>
        <v>833.98397662756884</v>
      </c>
      <c r="W139" s="259">
        <f>Liander!X43</f>
        <v>12567.016104666061</v>
      </c>
    </row>
    <row r="140" spans="7:23">
      <c r="G140" s="1209"/>
      <c r="H140" s="278" t="s">
        <v>262</v>
      </c>
      <c r="I140" s="261">
        <f>Liander!$C$44</f>
        <v>7638.4377877729094</v>
      </c>
      <c r="J140" s="262">
        <f>Liander!$D$44</f>
        <v>192.98944704263889</v>
      </c>
      <c r="K140" s="251"/>
      <c r="L140" s="261">
        <f>Liander!$G$44</f>
        <v>7176.8244274809158</v>
      </c>
      <c r="M140" s="262">
        <f>Liander!$H$44</f>
        <v>131</v>
      </c>
      <c r="N140" s="251"/>
      <c r="O140" s="261">
        <f>Liander!$K$44</f>
        <v>7757.0463660995047</v>
      </c>
      <c r="P140" s="262">
        <f>Liander!$L$44</f>
        <v>136.50712528503502</v>
      </c>
      <c r="Q140" s="251"/>
      <c r="R140" s="261">
        <f>Liander!$O$44</f>
        <v>8583.652173913044</v>
      </c>
      <c r="S140" s="262">
        <f>Liander!$P$44</f>
        <v>145.66666666666666</v>
      </c>
      <c r="T140" s="251"/>
      <c r="V140" s="261">
        <f>Liander!W44</f>
        <v>8824.8210418142698</v>
      </c>
      <c r="W140" s="262">
        <f>Liander!X44</f>
        <v>137.72459731723387</v>
      </c>
    </row>
    <row r="141" spans="7:23">
      <c r="G141" s="1209"/>
      <c r="H141" s="248"/>
      <c r="K141" s="210"/>
      <c r="N141" s="210"/>
      <c r="Q141" s="210"/>
      <c r="T141" s="210"/>
    </row>
    <row r="142" spans="7:23">
      <c r="G142" s="1209"/>
      <c r="H142" s="263" t="s">
        <v>1096</v>
      </c>
      <c r="I142" s="264">
        <f>Liander!$C$48</f>
        <v>1.5</v>
      </c>
      <c r="J142" s="265">
        <f>Liander!$D$48</f>
        <v>766153.79734780919</v>
      </c>
      <c r="K142" s="210"/>
      <c r="L142" s="264">
        <f>Liander!$G$48</f>
        <v>1.44</v>
      </c>
      <c r="M142" s="265">
        <f>Liander!$H$48</f>
        <v>780848.7414388468</v>
      </c>
      <c r="N142" s="210"/>
      <c r="O142" s="264">
        <f>Liander!$K$48</f>
        <v>1.56</v>
      </c>
      <c r="P142" s="265">
        <f>Liander!$L$48</f>
        <v>801236.09851126652</v>
      </c>
      <c r="Q142" s="210"/>
      <c r="R142" s="264">
        <f>Liander!$O$48</f>
        <v>1.8</v>
      </c>
      <c r="S142" s="265">
        <f>Liander!$P$48</f>
        <v>816522</v>
      </c>
      <c r="T142" s="210"/>
      <c r="V142" s="264">
        <f>Liander!W48</f>
        <v>1.92</v>
      </c>
      <c r="W142" s="265">
        <f>Liander!X48</f>
        <v>799535.61331670452</v>
      </c>
    </row>
    <row r="143" spans="7:23">
      <c r="G143" s="1209"/>
      <c r="K143" s="210"/>
      <c r="N143" s="210"/>
      <c r="Q143" s="210"/>
      <c r="T143" s="210"/>
    </row>
    <row r="144" spans="7:23" ht="15.75">
      <c r="G144" s="1209"/>
      <c r="H144" s="240" t="s">
        <v>642</v>
      </c>
      <c r="K144" s="210"/>
      <c r="N144" s="210"/>
      <c r="Q144" s="210"/>
      <c r="T144" s="210"/>
    </row>
    <row r="145" spans="7:23">
      <c r="G145" s="1209"/>
      <c r="H145" s="274"/>
      <c r="I145" s="1205">
        <v>2009</v>
      </c>
      <c r="J145" s="1206"/>
      <c r="K145" s="202"/>
      <c r="L145" s="1205">
        <v>2010</v>
      </c>
      <c r="M145" s="1206"/>
      <c r="N145" s="202"/>
      <c r="O145" s="1205">
        <v>2011</v>
      </c>
      <c r="P145" s="1206"/>
      <c r="Q145" s="202"/>
      <c r="R145" s="1205">
        <v>2012</v>
      </c>
      <c r="S145" s="1206"/>
      <c r="T145" s="202"/>
      <c r="V145" s="1205" t="s">
        <v>630</v>
      </c>
      <c r="W145" s="1206"/>
    </row>
    <row r="146" spans="7:23">
      <c r="G146" s="1209"/>
      <c r="H146" s="244" t="s">
        <v>328</v>
      </c>
      <c r="I146" s="245" t="s">
        <v>632</v>
      </c>
      <c r="J146" s="246" t="s">
        <v>633</v>
      </c>
      <c r="K146" s="201"/>
      <c r="L146" s="247" t="s">
        <v>632</v>
      </c>
      <c r="M146" s="246" t="s">
        <v>633</v>
      </c>
      <c r="N146" s="201"/>
      <c r="O146" s="247" t="s">
        <v>632</v>
      </c>
      <c r="P146" s="246" t="s">
        <v>633</v>
      </c>
      <c r="Q146" s="201"/>
      <c r="R146" s="247" t="s">
        <v>632</v>
      </c>
      <c r="S146" s="246" t="s">
        <v>633</v>
      </c>
      <c r="T146" s="201"/>
      <c r="V146" s="247" t="s">
        <v>632</v>
      </c>
      <c r="W146" s="246" t="s">
        <v>633</v>
      </c>
    </row>
    <row r="147" spans="7:23">
      <c r="G147" s="1209"/>
      <c r="H147" s="248" t="s">
        <v>251</v>
      </c>
      <c r="I147" s="249">
        <f>Liander!$C$88</f>
        <v>341</v>
      </c>
      <c r="J147" s="250">
        <f>Liander!$D$88</f>
        <v>10610</v>
      </c>
      <c r="K147" s="251"/>
      <c r="L147" s="249">
        <f>Liander!$G$88</f>
        <v>329.4</v>
      </c>
      <c r="M147" s="250">
        <f>Liander!$H$88</f>
        <v>10247</v>
      </c>
      <c r="N147" s="251"/>
      <c r="O147" s="249">
        <f>Liander!$K$88</f>
        <v>356.9</v>
      </c>
      <c r="P147" s="250">
        <f>Liander!$L$88</f>
        <v>9232</v>
      </c>
      <c r="Q147" s="251"/>
      <c r="R147" s="249">
        <f>Liander!$O$88</f>
        <v>398</v>
      </c>
      <c r="S147" s="250">
        <f>Liander!$P$88</f>
        <v>8427</v>
      </c>
      <c r="T147" s="251"/>
      <c r="V147" s="249">
        <f>Liander!W88</f>
        <v>421</v>
      </c>
      <c r="W147" s="250">
        <f>Liander!X88</f>
        <v>9302</v>
      </c>
    </row>
    <row r="148" spans="7:23">
      <c r="G148" s="1209"/>
      <c r="H148" s="248" t="s">
        <v>252</v>
      </c>
      <c r="I148" s="252">
        <f>Liander!$C$89</f>
        <v>565.95000000000005</v>
      </c>
      <c r="J148" s="253">
        <f>Liander!$D$89</f>
        <v>36285</v>
      </c>
      <c r="K148" s="251"/>
      <c r="L148" s="252">
        <f>Liander!$G$89</f>
        <v>546.70000000000005</v>
      </c>
      <c r="M148" s="253">
        <f>Liander!$H$89</f>
        <v>29534.771026156941</v>
      </c>
      <c r="N148" s="251"/>
      <c r="O148" s="252">
        <f>Liander!$K$89</f>
        <v>592.45000000000005</v>
      </c>
      <c r="P148" s="253">
        <f>Liander!$L$89</f>
        <v>30595</v>
      </c>
      <c r="Q148" s="251"/>
      <c r="R148" s="252">
        <f>Liander!$O$89</f>
        <v>661</v>
      </c>
      <c r="S148" s="253">
        <f>Liander!$P$89</f>
        <v>25504</v>
      </c>
      <c r="T148" s="251"/>
      <c r="V148" s="252">
        <f>Liander!W89</f>
        <v>700</v>
      </c>
      <c r="W148" s="253">
        <f>Liander!X89</f>
        <v>28544.590342052314</v>
      </c>
    </row>
    <row r="149" spans="7:23">
      <c r="G149" s="1209"/>
      <c r="H149" s="248" t="s">
        <v>253</v>
      </c>
      <c r="I149" s="254">
        <f>Liander!$C$90</f>
        <v>949.27416595380669</v>
      </c>
      <c r="J149" s="255">
        <f>Liander!$D$90</f>
        <v>3507</v>
      </c>
      <c r="K149" s="251"/>
      <c r="L149" s="254">
        <f>Liander!$G$90</f>
        <v>910.54478341826143</v>
      </c>
      <c r="M149" s="255">
        <f>Liander!$H$90</f>
        <v>3231.8425997156528</v>
      </c>
      <c r="N149" s="251"/>
      <c r="O149" s="254">
        <f>Liander!$K$90</f>
        <v>986.0408578959981</v>
      </c>
      <c r="P149" s="255">
        <f>Liander!$L$90</f>
        <v>4173</v>
      </c>
      <c r="Q149" s="251"/>
      <c r="R149" s="254">
        <f>Liander!$O$90</f>
        <v>1100.2537900056147</v>
      </c>
      <c r="S149" s="255">
        <f>Liander!$P$90</f>
        <v>3562</v>
      </c>
      <c r="T149" s="251"/>
      <c r="V149" s="254">
        <f>Liander!W90</f>
        <v>1165.3871566657781</v>
      </c>
      <c r="W149" s="255">
        <f>Liander!X90</f>
        <v>3655.6141999052179</v>
      </c>
    </row>
    <row r="150" spans="7:23">
      <c r="G150" s="1209"/>
      <c r="H150" s="248" t="s">
        <v>255</v>
      </c>
      <c r="I150" s="256">
        <f>Liander!$C$91</f>
        <v>7673.0541401273886</v>
      </c>
      <c r="J150" s="257">
        <f>Liander!$D$91</f>
        <v>628</v>
      </c>
      <c r="K150" s="251"/>
      <c r="L150" s="256">
        <f>Liander!$G$91</f>
        <v>6931.5077912254164</v>
      </c>
      <c r="M150" s="257">
        <f>Liander!$H$91</f>
        <v>661</v>
      </c>
      <c r="N150" s="251"/>
      <c r="O150" s="256">
        <f>Liander!$K$91</f>
        <v>7413.3137019230771</v>
      </c>
      <c r="P150" s="257">
        <f>Liander!$L$91</f>
        <v>832</v>
      </c>
      <c r="Q150" s="251"/>
      <c r="R150" s="256">
        <f>Liander!$O$91</f>
        <v>7915.2531592087807</v>
      </c>
      <c r="S150" s="257">
        <f>Liander!$P$91</f>
        <v>700.17400915925202</v>
      </c>
      <c r="T150" s="251"/>
      <c r="V150" s="256">
        <f>Liander!W91</f>
        <v>8665.6720632685556</v>
      </c>
      <c r="W150" s="257">
        <f>Liander!X91</f>
        <v>731.05800305308401</v>
      </c>
    </row>
    <row r="151" spans="7:23">
      <c r="G151" s="1209"/>
      <c r="H151" s="260" t="s">
        <v>254</v>
      </c>
      <c r="I151" s="267">
        <f>Liander!$C$92</f>
        <v>92183.117647058825</v>
      </c>
      <c r="J151" s="268">
        <f>Liander!$D$92</f>
        <v>85</v>
      </c>
      <c r="K151" s="251"/>
      <c r="L151" s="267">
        <f>Liander!$G$92</f>
        <v>69916.066923076927</v>
      </c>
      <c r="M151" s="268">
        <f>Liander!$H$92</f>
        <v>78</v>
      </c>
      <c r="N151" s="251"/>
      <c r="O151" s="267">
        <f>Liander!$K$92</f>
        <v>84928.423076923078</v>
      </c>
      <c r="P151" s="268">
        <f>Liander!$L$92</f>
        <v>78</v>
      </c>
      <c r="Q151" s="251"/>
      <c r="R151" s="267">
        <f>Liander!$O$92</f>
        <v>99418.632492801975</v>
      </c>
      <c r="S151" s="268">
        <f>Liander!$P$92</f>
        <v>96.157629349401105</v>
      </c>
      <c r="T151" s="251"/>
      <c r="V151" s="267">
        <f>Liander!W92</f>
        <v>95433.21701795148</v>
      </c>
      <c r="W151" s="268">
        <f>Liander!X92</f>
        <v>84.052543116467049</v>
      </c>
    </row>
    <row r="152" spans="7:23">
      <c r="G152" s="1210"/>
      <c r="I152" s="280"/>
      <c r="J152" s="281"/>
      <c r="K152" s="251"/>
      <c r="L152" s="280"/>
      <c r="M152" s="281"/>
      <c r="N152" s="251"/>
      <c r="O152" s="280"/>
      <c r="P152" s="281"/>
      <c r="Q152" s="251"/>
      <c r="R152" s="280"/>
      <c r="S152" s="281"/>
      <c r="T152" s="251"/>
      <c r="V152" s="280"/>
      <c r="W152" s="281"/>
    </row>
    <row r="153" spans="7:23">
      <c r="G153" s="1210"/>
      <c r="K153" s="210"/>
      <c r="N153" s="210"/>
      <c r="Q153" s="210"/>
      <c r="T153" s="210"/>
    </row>
    <row r="154" spans="7:23">
      <c r="G154" s="1210"/>
      <c r="H154" s="274"/>
      <c r="I154" s="1205">
        <v>2009</v>
      </c>
      <c r="J154" s="1206"/>
      <c r="K154" s="202"/>
      <c r="L154" s="1205">
        <v>2010</v>
      </c>
      <c r="M154" s="1206"/>
      <c r="N154" s="202"/>
      <c r="O154" s="1205">
        <v>2011</v>
      </c>
      <c r="P154" s="1206"/>
      <c r="Q154" s="202"/>
      <c r="R154" s="1205">
        <v>2012</v>
      </c>
      <c r="S154" s="1206"/>
      <c r="T154" s="202"/>
      <c r="V154" s="1205" t="s">
        <v>630</v>
      </c>
      <c r="W154" s="1206"/>
    </row>
    <row r="155" spans="7:23">
      <c r="G155" s="1210"/>
      <c r="H155" s="244" t="s">
        <v>329</v>
      </c>
      <c r="I155" s="245" t="s">
        <v>632</v>
      </c>
      <c r="J155" s="246" t="s">
        <v>633</v>
      </c>
      <c r="K155" s="201"/>
      <c r="L155" s="247" t="s">
        <v>632</v>
      </c>
      <c r="M155" s="246" t="s">
        <v>633</v>
      </c>
      <c r="N155" s="201"/>
      <c r="O155" s="247" t="s">
        <v>632</v>
      </c>
      <c r="P155" s="246" t="s">
        <v>633</v>
      </c>
      <c r="Q155" s="201"/>
      <c r="R155" s="247" t="s">
        <v>632</v>
      </c>
      <c r="S155" s="246" t="s">
        <v>633</v>
      </c>
      <c r="T155" s="201"/>
      <c r="V155" s="247" t="s">
        <v>632</v>
      </c>
      <c r="W155" s="246" t="s">
        <v>633</v>
      </c>
    </row>
    <row r="156" spans="7:23">
      <c r="G156" s="1210"/>
      <c r="H156" s="248" t="s">
        <v>251</v>
      </c>
      <c r="I156" s="249">
        <f>Liander!$C$115</f>
        <v>16.93</v>
      </c>
      <c r="J156" s="250">
        <f>Liander!$D$115</f>
        <v>17007</v>
      </c>
      <c r="K156" s="251"/>
      <c r="L156" s="249">
        <f>Liander!$G$115</f>
        <v>16.350000000000001</v>
      </c>
      <c r="M156" s="250">
        <f>Liander!$H$115</f>
        <v>12090</v>
      </c>
      <c r="N156" s="251"/>
      <c r="O156" s="249">
        <f>Liander!$K$115</f>
        <v>17.71</v>
      </c>
      <c r="P156" s="250">
        <f>Liander!$L$115</f>
        <v>12904</v>
      </c>
      <c r="Q156" s="251"/>
      <c r="R156" s="249">
        <f>Liander!$O$115</f>
        <v>19.7</v>
      </c>
      <c r="S156" s="250">
        <f>Liander!$P$115</f>
        <v>7761.5</v>
      </c>
      <c r="T156" s="251"/>
      <c r="V156" s="249">
        <f>Liander!W115</f>
        <v>20.9</v>
      </c>
      <c r="W156" s="250">
        <f>Liander!X115</f>
        <v>10918.5</v>
      </c>
    </row>
    <row r="157" spans="7:23">
      <c r="G157" s="1210"/>
      <c r="H157" s="248" t="s">
        <v>252</v>
      </c>
      <c r="I157" s="252">
        <f>Liander!$C$116</f>
        <v>22.37</v>
      </c>
      <c r="J157" s="253">
        <f>Liander!$D$116</f>
        <v>34778</v>
      </c>
      <c r="K157" s="251"/>
      <c r="L157" s="252">
        <f>Liander!$G$116</f>
        <v>21.6</v>
      </c>
      <c r="M157" s="253">
        <f>Liander!$H$116</f>
        <v>24040</v>
      </c>
      <c r="N157" s="251"/>
      <c r="O157" s="252">
        <f>Liander!$K$116</f>
        <v>23.4</v>
      </c>
      <c r="P157" s="253">
        <f>Liander!$L$116</f>
        <v>37836</v>
      </c>
      <c r="Q157" s="251"/>
      <c r="R157" s="252">
        <f>Liander!$O$116</f>
        <v>26.1</v>
      </c>
      <c r="S157" s="253">
        <f>Liander!$P$116</f>
        <v>38233</v>
      </c>
      <c r="T157" s="251"/>
      <c r="V157" s="252">
        <f>Liander!W116</f>
        <v>27.6</v>
      </c>
      <c r="W157" s="253">
        <f>Liander!X116</f>
        <v>33369.666666666664</v>
      </c>
    </row>
    <row r="158" spans="7:23">
      <c r="G158" s="1210"/>
      <c r="H158" s="248" t="s">
        <v>253</v>
      </c>
      <c r="I158" s="254">
        <f>Liander!$C$117</f>
        <v>29.709231775002667</v>
      </c>
      <c r="J158" s="255">
        <f>Liander!$D$117</f>
        <v>37476</v>
      </c>
      <c r="K158" s="251"/>
      <c r="L158" s="254">
        <f>Liander!$G$117</f>
        <v>28.734193226428904</v>
      </c>
      <c r="M158" s="255">
        <f>Liander!$H$117</f>
        <v>30058</v>
      </c>
      <c r="N158" s="251"/>
      <c r="O158" s="254">
        <f>Liander!$K$117</f>
        <v>31.177029622659873</v>
      </c>
      <c r="P158" s="255">
        <f>Liander!$L$117</f>
        <v>30821</v>
      </c>
      <c r="Q158" s="251"/>
      <c r="R158" s="254">
        <f>Liander!$O$117</f>
        <v>34.740561327756033</v>
      </c>
      <c r="S158" s="255">
        <f>Liander!$P$117</f>
        <v>29644</v>
      </c>
      <c r="T158" s="251"/>
      <c r="V158" s="254">
        <f>Liander!W117</f>
        <v>36.787173425538256</v>
      </c>
      <c r="W158" s="255">
        <f>Liander!X117</f>
        <v>30174.333333333336</v>
      </c>
    </row>
    <row r="159" spans="7:23">
      <c r="G159" s="1210"/>
      <c r="H159" s="248" t="s">
        <v>255</v>
      </c>
      <c r="I159" s="256">
        <f>Liander!$C$118</f>
        <v>62.653204945759938</v>
      </c>
      <c r="J159" s="257">
        <f>Liander!$D$118</f>
        <v>85730</v>
      </c>
      <c r="K159" s="251"/>
      <c r="L159" s="256">
        <f>Liander!$G$118</f>
        <v>48.378328253886075</v>
      </c>
      <c r="M159" s="257">
        <f>Liander!$H$118</f>
        <v>84983</v>
      </c>
      <c r="N159" s="251"/>
      <c r="O159" s="256">
        <f>Liander!$K$118</f>
        <v>52.021781089188636</v>
      </c>
      <c r="P159" s="257">
        <f>Liander!$L$118</f>
        <v>82562.05112693859</v>
      </c>
      <c r="Q159" s="251"/>
      <c r="R159" s="256">
        <f>Liander!$O$118</f>
        <v>58.419326009804273</v>
      </c>
      <c r="S159" s="257">
        <f>Liander!$P$118</f>
        <v>70873.931903277145</v>
      </c>
      <c r="T159" s="251"/>
      <c r="V159" s="256">
        <f>Liander!W118</f>
        <v>61.710192833949932</v>
      </c>
      <c r="W159" s="257">
        <f>Liander!X118</f>
        <v>79472.994343405255</v>
      </c>
    </row>
    <row r="160" spans="7:23">
      <c r="G160" s="1210"/>
      <c r="H160" s="260" t="s">
        <v>254</v>
      </c>
      <c r="I160" s="267">
        <f>Liander!$C$119</f>
        <v>135.04774497722269</v>
      </c>
      <c r="J160" s="268">
        <f>Liander!$D$119</f>
        <v>24073.666666666668</v>
      </c>
      <c r="K160" s="251"/>
      <c r="L160" s="267">
        <f>Liander!$G$119</f>
        <v>117.90732171080991</v>
      </c>
      <c r="M160" s="268">
        <f>Liander!$H$119</f>
        <v>20879</v>
      </c>
      <c r="N160" s="251"/>
      <c r="O160" s="267">
        <f>Liander!$K$119</f>
        <v>157.65725961538462</v>
      </c>
      <c r="P160" s="268">
        <f>Liander!$L$119</f>
        <v>34320</v>
      </c>
      <c r="Q160" s="251"/>
      <c r="R160" s="267">
        <f>Liander!$O$119</f>
        <v>161.53035309094142</v>
      </c>
      <c r="S160" s="268">
        <f>Liander!$P$119</f>
        <v>41379.500118605283</v>
      </c>
      <c r="T160" s="251"/>
      <c r="V160" s="267">
        <f>Liander!W119</f>
        <v>172.0292885617302</v>
      </c>
      <c r="W160" s="268">
        <f>Liander!X119</f>
        <v>32192.83337286843</v>
      </c>
    </row>
    <row r="161" spans="7:23">
      <c r="H161" s="248"/>
      <c r="K161" s="210"/>
      <c r="N161" s="210"/>
      <c r="Q161" s="210"/>
      <c r="T161" s="210"/>
    </row>
    <row r="163" spans="7:23" ht="15.75">
      <c r="G163" s="1209" t="s">
        <v>624</v>
      </c>
      <c r="H163" s="240" t="s">
        <v>643</v>
      </c>
      <c r="K163" s="210"/>
      <c r="N163" s="210"/>
      <c r="Q163" s="210"/>
      <c r="T163" s="210"/>
    </row>
    <row r="164" spans="7:23">
      <c r="G164" s="1209"/>
      <c r="H164" s="274"/>
      <c r="I164" s="1205">
        <v>2009</v>
      </c>
      <c r="J164" s="1206"/>
      <c r="K164" s="202"/>
      <c r="L164" s="1205">
        <v>2010</v>
      </c>
      <c r="M164" s="1206"/>
      <c r="N164" s="202"/>
      <c r="O164" s="1205">
        <v>2011</v>
      </c>
      <c r="P164" s="1206"/>
      <c r="Q164" s="202"/>
      <c r="R164" s="1205">
        <v>2012</v>
      </c>
      <c r="S164" s="1206"/>
      <c r="T164" s="202"/>
      <c r="V164" s="1205" t="s">
        <v>630</v>
      </c>
      <c r="W164" s="1206"/>
    </row>
    <row r="165" spans="7:23">
      <c r="G165" s="1209"/>
      <c r="H165" s="275" t="s">
        <v>631</v>
      </c>
      <c r="I165" s="245" t="s">
        <v>632</v>
      </c>
      <c r="J165" s="246" t="s">
        <v>633</v>
      </c>
      <c r="K165" s="201"/>
      <c r="L165" s="247" t="s">
        <v>632</v>
      </c>
      <c r="M165" s="246" t="s">
        <v>633</v>
      </c>
      <c r="N165" s="201"/>
      <c r="O165" s="247" t="s">
        <v>632</v>
      </c>
      <c r="P165" s="246" t="s">
        <v>633</v>
      </c>
      <c r="Q165" s="201"/>
      <c r="R165" s="247" t="s">
        <v>632</v>
      </c>
      <c r="S165" s="246" t="s">
        <v>633</v>
      </c>
      <c r="T165" s="201"/>
      <c r="V165" s="247" t="s">
        <v>632</v>
      </c>
      <c r="W165" s="246" t="s">
        <v>633</v>
      </c>
    </row>
    <row r="166" spans="7:23">
      <c r="G166" s="1209"/>
      <c r="H166" s="276" t="s">
        <v>251</v>
      </c>
      <c r="I166" s="249">
        <f>RENDO!$C$39</f>
        <v>12.64</v>
      </c>
      <c r="J166" s="250">
        <f>RENDO!$D$39</f>
        <v>18103</v>
      </c>
      <c r="K166" s="251"/>
      <c r="L166" s="249">
        <f>RENDO!$G$39</f>
        <v>10.6</v>
      </c>
      <c r="M166" s="250">
        <f>RENDO!$H$39</f>
        <v>18401</v>
      </c>
      <c r="N166" s="251"/>
      <c r="O166" s="249">
        <f>RENDO!$K$39</f>
        <v>11.65</v>
      </c>
      <c r="P166" s="250">
        <f>RENDO!$L$39</f>
        <v>18696</v>
      </c>
      <c r="Q166" s="251"/>
      <c r="R166" s="249">
        <f>RENDO!$O$39</f>
        <v>13.25</v>
      </c>
      <c r="S166" s="250">
        <f>RENDO!$P$39</f>
        <v>18957.5</v>
      </c>
      <c r="T166" s="251"/>
      <c r="V166" s="249">
        <f>RENDO!W39</f>
        <v>15.000000000000002</v>
      </c>
      <c r="W166" s="250">
        <f>RENDO!X39</f>
        <v>18684.833333333332</v>
      </c>
    </row>
    <row r="167" spans="7:23">
      <c r="G167" s="1209"/>
      <c r="H167" s="277" t="s">
        <v>252</v>
      </c>
      <c r="I167" s="252">
        <f>RENDO!$C$40</f>
        <v>25.56</v>
      </c>
      <c r="J167" s="253">
        <f>RENDO!$D$40</f>
        <v>29669</v>
      </c>
      <c r="K167" s="251"/>
      <c r="L167" s="252">
        <f>RENDO!$G$40</f>
        <v>21.46</v>
      </c>
      <c r="M167" s="253">
        <f>RENDO!$H$40</f>
        <v>29926.6</v>
      </c>
      <c r="N167" s="251"/>
      <c r="O167" s="252">
        <f>RENDO!$K$40</f>
        <v>23.6</v>
      </c>
      <c r="P167" s="253">
        <f>RENDO!$L$40</f>
        <v>30167.599999999999</v>
      </c>
      <c r="Q167" s="251"/>
      <c r="R167" s="252">
        <f>RENDO!$O$40</f>
        <v>26.75</v>
      </c>
      <c r="S167" s="253">
        <f>RENDO!$P$40</f>
        <v>30304.6</v>
      </c>
      <c r="T167" s="251"/>
      <c r="V167" s="252">
        <f>RENDO!W40</f>
        <v>30.45</v>
      </c>
      <c r="W167" s="253">
        <f>RENDO!X40</f>
        <v>30132.933333333331</v>
      </c>
    </row>
    <row r="168" spans="7:23">
      <c r="G168" s="1209"/>
      <c r="H168" s="277" t="s">
        <v>253</v>
      </c>
      <c r="I168" s="254">
        <f>RENDO!$C$41</f>
        <v>41.45</v>
      </c>
      <c r="J168" s="255">
        <f>RENDO!$D$41</f>
        <v>1213</v>
      </c>
      <c r="K168" s="251"/>
      <c r="L168" s="254">
        <f>RENDO!$G$41</f>
        <v>34.799999999999997</v>
      </c>
      <c r="M168" s="255">
        <f>RENDO!$H$41</f>
        <v>1208.4000000000001</v>
      </c>
      <c r="N168" s="251"/>
      <c r="O168" s="254">
        <f>RENDO!$K$41</f>
        <v>38.15</v>
      </c>
      <c r="P168" s="255">
        <f>RENDO!$L$41</f>
        <v>1225.2</v>
      </c>
      <c r="Q168" s="251"/>
      <c r="R168" s="254">
        <f>RENDO!$O$41</f>
        <v>43.25</v>
      </c>
      <c r="S168" s="255">
        <f>RENDO!$P$41</f>
        <v>1227.8</v>
      </c>
      <c r="T168" s="251"/>
      <c r="V168" s="254">
        <f>RENDO!W41</f>
        <v>49</v>
      </c>
      <c r="W168" s="255">
        <f>RENDO!X41</f>
        <v>1220.4666666666669</v>
      </c>
    </row>
    <row r="169" spans="7:23">
      <c r="G169" s="1209"/>
      <c r="H169" s="277" t="s">
        <v>255</v>
      </c>
      <c r="I169" s="256">
        <f>RENDO!$C$42</f>
        <v>41.45</v>
      </c>
      <c r="J169" s="257">
        <f>RENDO!$D$42</f>
        <v>122.1</v>
      </c>
      <c r="K169" s="251"/>
      <c r="L169" s="256">
        <f>RENDO!$G$42</f>
        <v>34.799999999999997</v>
      </c>
      <c r="M169" s="257">
        <f>RENDO!$H$42</f>
        <v>128.72</v>
      </c>
      <c r="N169" s="251"/>
      <c r="O169" s="256">
        <f>RENDO!$K$42</f>
        <v>38.15</v>
      </c>
      <c r="P169" s="257">
        <f>RENDO!$L$42</f>
        <v>133.4</v>
      </c>
      <c r="Q169" s="251"/>
      <c r="R169" s="256">
        <f>RENDO!$O$42</f>
        <v>43.25</v>
      </c>
      <c r="S169" s="257">
        <f>RENDO!$P$42</f>
        <v>141.13</v>
      </c>
      <c r="T169" s="251"/>
      <c r="V169" s="256">
        <f>RENDO!W42</f>
        <v>49</v>
      </c>
      <c r="W169" s="257">
        <f>RENDO!X42</f>
        <v>134.41666666666666</v>
      </c>
    </row>
    <row r="170" spans="7:23">
      <c r="G170" s="1209"/>
      <c r="H170" s="277" t="s">
        <v>261</v>
      </c>
      <c r="I170" s="258">
        <f>RENDO!$C$43</f>
        <v>224.40633770340602</v>
      </c>
      <c r="J170" s="259">
        <f>RENDO!$D$43</f>
        <v>151.79</v>
      </c>
      <c r="K170" s="251"/>
      <c r="L170" s="258">
        <f>RENDO!$G$43</f>
        <v>186.6188746152817</v>
      </c>
      <c r="M170" s="259">
        <f>RENDO!$H$43</f>
        <v>149.45999999999998</v>
      </c>
      <c r="N170" s="251"/>
      <c r="O170" s="258">
        <f>RENDO!$K$43</f>
        <v>203.17783903718149</v>
      </c>
      <c r="P170" s="259">
        <f>RENDO!$L$43</f>
        <v>148.72999999999999</v>
      </c>
      <c r="Q170" s="251"/>
      <c r="R170" s="258">
        <f>RENDO!$O$43</f>
        <v>229.1921456719663</v>
      </c>
      <c r="S170" s="259">
        <f>RENDO!$P$43</f>
        <v>147.18</v>
      </c>
      <c r="T170" s="251"/>
      <c r="V170" s="258">
        <f>RENDO!W43</f>
        <v>260.96683656285785</v>
      </c>
      <c r="W170" s="259">
        <f>RENDO!X43</f>
        <v>148.45666666666668</v>
      </c>
    </row>
    <row r="171" spans="7:23">
      <c r="G171" s="1209"/>
      <c r="H171" s="278" t="s">
        <v>262</v>
      </c>
      <c r="I171" s="261">
        <f>RENDO!$C$44</f>
        <v>1599.35</v>
      </c>
      <c r="J171" s="262">
        <f>RENDO!$D$44</f>
        <v>1</v>
      </c>
      <c r="K171" s="251"/>
      <c r="L171" s="261">
        <f>RENDO!$G$44</f>
        <v>1342.5</v>
      </c>
      <c r="M171" s="262">
        <f>RENDO!$H$44</f>
        <v>1.75</v>
      </c>
      <c r="N171" s="251"/>
      <c r="O171" s="261">
        <f>RENDO!$K$44</f>
        <v>1475</v>
      </c>
      <c r="P171" s="262">
        <f>RENDO!$L$44</f>
        <v>2</v>
      </c>
      <c r="Q171" s="251"/>
      <c r="R171" s="261">
        <f>RENDO!$O$44</f>
        <v>1670</v>
      </c>
      <c r="S171" s="262">
        <f>RENDO!$P$44</f>
        <v>2</v>
      </c>
      <c r="T171" s="251"/>
      <c r="V171" s="261">
        <f>RENDO!W44</f>
        <v>1910</v>
      </c>
      <c r="W171" s="262">
        <f>RENDO!X44</f>
        <v>1.9166666666666667</v>
      </c>
    </row>
    <row r="172" spans="7:23">
      <c r="G172" s="1209"/>
      <c r="H172" s="248"/>
      <c r="K172" s="210"/>
      <c r="N172" s="210"/>
      <c r="Q172" s="210"/>
      <c r="T172" s="210"/>
    </row>
    <row r="173" spans="7:23">
      <c r="G173" s="1209"/>
      <c r="H173" s="263" t="s">
        <v>1096</v>
      </c>
      <c r="I173" s="264">
        <f>RENDO!$C$48</f>
        <v>13.64</v>
      </c>
      <c r="J173" s="265">
        <f>RENDO!$D$48</f>
        <v>5615</v>
      </c>
      <c r="K173" s="210"/>
      <c r="L173" s="264">
        <f>RENDO!$G$48</f>
        <v>11.45</v>
      </c>
      <c r="M173" s="265">
        <f>RENDO!$H$48</f>
        <v>8240</v>
      </c>
      <c r="N173" s="210"/>
      <c r="O173" s="264">
        <f>RENDO!$K$48</f>
        <v>12.55</v>
      </c>
      <c r="P173" s="265">
        <f>RENDO!$L$48</f>
        <v>9115</v>
      </c>
      <c r="Q173" s="210"/>
      <c r="R173" s="264">
        <f>RENDO!$O$48</f>
        <v>13.9</v>
      </c>
      <c r="S173" s="265">
        <f>RENDO!$P$48</f>
        <v>9115</v>
      </c>
      <c r="T173" s="210"/>
      <c r="V173" s="264">
        <f>RENDO!W48</f>
        <v>15.350000000000001</v>
      </c>
      <c r="W173" s="265">
        <f>RENDO!X48</f>
        <v>8823.3333333333339</v>
      </c>
    </row>
    <row r="174" spans="7:23">
      <c r="G174" s="1209"/>
      <c r="K174" s="210"/>
      <c r="N174" s="210"/>
      <c r="Q174" s="210"/>
      <c r="T174" s="210"/>
    </row>
    <row r="175" spans="7:23" ht="15.75">
      <c r="G175" s="1209"/>
      <c r="H175" s="240" t="s">
        <v>644</v>
      </c>
      <c r="K175" s="210"/>
      <c r="N175" s="210"/>
      <c r="Q175" s="210"/>
      <c r="T175" s="210"/>
    </row>
    <row r="176" spans="7:23">
      <c r="G176" s="1209"/>
      <c r="H176" s="274"/>
      <c r="I176" s="1205">
        <v>2009</v>
      </c>
      <c r="J176" s="1206"/>
      <c r="K176" s="202"/>
      <c r="L176" s="1205">
        <v>2010</v>
      </c>
      <c r="M176" s="1206"/>
      <c r="N176" s="202"/>
      <c r="O176" s="1205">
        <v>2011</v>
      </c>
      <c r="P176" s="1206"/>
      <c r="Q176" s="202"/>
      <c r="R176" s="1205">
        <v>2012</v>
      </c>
      <c r="S176" s="1206"/>
      <c r="T176" s="202"/>
      <c r="V176" s="1205" t="s">
        <v>630</v>
      </c>
      <c r="W176" s="1206"/>
    </row>
    <row r="177" spans="7:23">
      <c r="G177" s="1209"/>
      <c r="H177" s="244" t="s">
        <v>328</v>
      </c>
      <c r="I177" s="245" t="s">
        <v>632</v>
      </c>
      <c r="J177" s="246" t="s">
        <v>633</v>
      </c>
      <c r="K177" s="201"/>
      <c r="L177" s="247" t="s">
        <v>632</v>
      </c>
      <c r="M177" s="246" t="s">
        <v>633</v>
      </c>
      <c r="N177" s="201"/>
      <c r="O177" s="247" t="s">
        <v>632</v>
      </c>
      <c r="P177" s="246" t="s">
        <v>633</v>
      </c>
      <c r="Q177" s="201"/>
      <c r="R177" s="247" t="s">
        <v>632</v>
      </c>
      <c r="S177" s="246" t="s">
        <v>633</v>
      </c>
      <c r="T177" s="201"/>
      <c r="V177" s="247" t="s">
        <v>632</v>
      </c>
      <c r="W177" s="246" t="s">
        <v>633</v>
      </c>
    </row>
    <row r="178" spans="7:23">
      <c r="G178" s="1209"/>
      <c r="H178" s="277" t="s">
        <v>251</v>
      </c>
      <c r="I178" s="249">
        <f>RENDO!$C$88</f>
        <v>366.84</v>
      </c>
      <c r="J178" s="250">
        <f>RENDO!$D$88</f>
        <v>309</v>
      </c>
      <c r="K178" s="251"/>
      <c r="L178" s="249">
        <f>RENDO!$G$88</f>
        <v>363</v>
      </c>
      <c r="M178" s="250">
        <f>RENDO!$H$88</f>
        <v>437</v>
      </c>
      <c r="N178" s="251"/>
      <c r="O178" s="249">
        <f>RENDO!$K$88</f>
        <v>372.55</v>
      </c>
      <c r="P178" s="250">
        <f>RENDO!$L$88</f>
        <v>536</v>
      </c>
      <c r="Q178" s="251"/>
      <c r="R178" s="249">
        <f>RENDO!$O$88</f>
        <v>436</v>
      </c>
      <c r="S178" s="250">
        <f>RENDO!$P$88</f>
        <v>350</v>
      </c>
      <c r="T178" s="251"/>
      <c r="V178" s="249">
        <f>RENDO!W88</f>
        <v>482</v>
      </c>
      <c r="W178" s="250">
        <f>RENDO!X88</f>
        <v>441</v>
      </c>
    </row>
    <row r="179" spans="7:23">
      <c r="G179" s="1209"/>
      <c r="H179" s="277" t="s">
        <v>252</v>
      </c>
      <c r="I179" s="252">
        <f>RENDO!$C$89</f>
        <v>620.97</v>
      </c>
      <c r="J179" s="253">
        <f>RENDO!$D$89</f>
        <v>315</v>
      </c>
      <c r="K179" s="251"/>
      <c r="L179" s="252">
        <f>RENDO!$G$89</f>
        <v>615</v>
      </c>
      <c r="M179" s="253">
        <f>RENDO!$H$89</f>
        <v>271</v>
      </c>
      <c r="N179" s="251"/>
      <c r="O179" s="252">
        <f>RENDO!$K$89</f>
        <v>660.94</v>
      </c>
      <c r="P179" s="253">
        <f>RENDO!$L$89</f>
        <v>224</v>
      </c>
      <c r="Q179" s="251"/>
      <c r="R179" s="252">
        <f>RENDO!$O$89</f>
        <v>738</v>
      </c>
      <c r="S179" s="253">
        <f>RENDO!$P$89</f>
        <v>209</v>
      </c>
      <c r="T179" s="251"/>
      <c r="V179" s="252">
        <f>RENDO!W89</f>
        <v>815</v>
      </c>
      <c r="W179" s="253">
        <f>RENDO!X89</f>
        <v>234.66666666666666</v>
      </c>
    </row>
    <row r="180" spans="7:23">
      <c r="G180" s="1209"/>
      <c r="H180" s="277" t="s">
        <v>253</v>
      </c>
      <c r="I180" s="254">
        <f>RENDO!$C$90</f>
        <v>955.22235294117638</v>
      </c>
      <c r="J180" s="255">
        <f>RENDO!$D$90</f>
        <v>51</v>
      </c>
      <c r="K180" s="251"/>
      <c r="L180" s="254">
        <f>RENDO!$G$90</f>
        <v>902.25</v>
      </c>
      <c r="M180" s="255">
        <f>RENDO!$H$90</f>
        <v>36</v>
      </c>
      <c r="N180" s="251"/>
      <c r="O180" s="254">
        <f>RENDO!$K$90</f>
        <v>1001.2857142857143</v>
      </c>
      <c r="P180" s="255">
        <f>RENDO!$L$90</f>
        <v>21</v>
      </c>
      <c r="Q180" s="251"/>
      <c r="R180" s="254">
        <f>RENDO!$O$90</f>
        <v>1112.6521739130435</v>
      </c>
      <c r="S180" s="255">
        <f>RENDO!$P$90</f>
        <v>23</v>
      </c>
      <c r="T180" s="251"/>
      <c r="V180" s="254">
        <f>RENDO!W90</f>
        <v>1216.05</v>
      </c>
      <c r="W180" s="255">
        <f>RENDO!X90</f>
        <v>26.666666666666668</v>
      </c>
    </row>
    <row r="181" spans="7:23">
      <c r="G181" s="1209"/>
      <c r="H181" s="277" t="s">
        <v>255</v>
      </c>
      <c r="I181" s="256">
        <f>RENDO!$C$91</f>
        <v>5663.8833333333341</v>
      </c>
      <c r="J181" s="257">
        <f>RENDO!$D$91</f>
        <v>9</v>
      </c>
      <c r="K181" s="251"/>
      <c r="L181" s="256">
        <f>RENDO!$G$91</f>
        <v>8102.1428571428569</v>
      </c>
      <c r="M181" s="257">
        <f>RENDO!$H$91</f>
        <v>7</v>
      </c>
      <c r="N181" s="251"/>
      <c r="O181" s="256">
        <f>RENDO!$K$91</f>
        <v>4186.5012500000003</v>
      </c>
      <c r="P181" s="257">
        <f>RENDO!$L$91</f>
        <v>8</v>
      </c>
      <c r="Q181" s="251"/>
      <c r="R181" s="256">
        <f>RENDO!$O$91</f>
        <v>5181.2857142857147</v>
      </c>
      <c r="S181" s="257">
        <f>RENDO!$P$91</f>
        <v>7</v>
      </c>
      <c r="T181" s="251"/>
      <c r="V181" s="256">
        <f>RENDO!W91</f>
        <v>7416.8181818181811</v>
      </c>
      <c r="W181" s="257">
        <f>RENDO!X91</f>
        <v>7.333333333333333</v>
      </c>
    </row>
    <row r="182" spans="7:23">
      <c r="G182" s="1209"/>
      <c r="H182" s="282" t="s">
        <v>254</v>
      </c>
      <c r="I182" s="267" t="e">
        <f>RENDO!$C$92</f>
        <v>#DIV/0!</v>
      </c>
      <c r="J182" s="268">
        <f>RENDO!$D$92</f>
        <v>0</v>
      </c>
      <c r="K182" s="251"/>
      <c r="L182" s="267">
        <f>RENDO!$G$92</f>
        <v>48889.792650000003</v>
      </c>
      <c r="M182" s="268">
        <f>RENDO!$H$92</f>
        <v>1</v>
      </c>
      <c r="N182" s="251"/>
      <c r="O182" s="267" t="e">
        <f>RENDO!$K$92</f>
        <v>#DIV/0!</v>
      </c>
      <c r="P182" s="268">
        <f>RENDO!$L$92</f>
        <v>0</v>
      </c>
      <c r="Q182" s="251"/>
      <c r="R182" s="267" t="e">
        <f>RENDO!$O$92</f>
        <v>#DIV/0!</v>
      </c>
      <c r="S182" s="268">
        <f>RENDO!$P$92</f>
        <v>0</v>
      </c>
      <c r="T182" s="251"/>
      <c r="V182" s="267">
        <f>RENDO!W92</f>
        <v>64755</v>
      </c>
      <c r="W182" s="268">
        <f>RENDO!X92</f>
        <v>0.33333333333333331</v>
      </c>
    </row>
    <row r="183" spans="7:23">
      <c r="G183" s="1210"/>
      <c r="H183" s="238"/>
      <c r="I183" s="280"/>
      <c r="J183" s="281"/>
      <c r="K183" s="251"/>
      <c r="L183" s="280"/>
      <c r="M183" s="281"/>
      <c r="N183" s="251"/>
      <c r="O183" s="280"/>
      <c r="P183" s="281"/>
      <c r="Q183" s="251"/>
      <c r="R183" s="280"/>
      <c r="S183" s="281"/>
      <c r="T183" s="251"/>
      <c r="V183" s="280"/>
      <c r="W183" s="281"/>
    </row>
    <row r="184" spans="7:23">
      <c r="G184" s="1210"/>
      <c r="K184" s="210"/>
      <c r="N184" s="210"/>
      <c r="Q184" s="210"/>
      <c r="T184" s="210"/>
    </row>
    <row r="185" spans="7:23">
      <c r="G185" s="1210"/>
      <c r="H185" s="274"/>
      <c r="I185" s="1205">
        <v>2009</v>
      </c>
      <c r="J185" s="1206"/>
      <c r="K185" s="202"/>
      <c r="L185" s="1205">
        <v>2010</v>
      </c>
      <c r="M185" s="1206"/>
      <c r="N185" s="202"/>
      <c r="O185" s="1205">
        <v>2011</v>
      </c>
      <c r="P185" s="1206"/>
      <c r="Q185" s="202"/>
      <c r="R185" s="1205">
        <v>2012</v>
      </c>
      <c r="S185" s="1206"/>
      <c r="T185" s="202"/>
      <c r="V185" s="1205" t="s">
        <v>630</v>
      </c>
      <c r="W185" s="1206"/>
    </row>
    <row r="186" spans="7:23">
      <c r="G186" s="1210"/>
      <c r="H186" s="244" t="s">
        <v>329</v>
      </c>
      <c r="I186" s="245" t="s">
        <v>632</v>
      </c>
      <c r="J186" s="246" t="s">
        <v>633</v>
      </c>
      <c r="K186" s="201"/>
      <c r="L186" s="247" t="s">
        <v>632</v>
      </c>
      <c r="M186" s="246" t="s">
        <v>633</v>
      </c>
      <c r="N186" s="201"/>
      <c r="O186" s="247" t="s">
        <v>632</v>
      </c>
      <c r="P186" s="246" t="s">
        <v>633</v>
      </c>
      <c r="Q186" s="201"/>
      <c r="R186" s="247" t="s">
        <v>632</v>
      </c>
      <c r="S186" s="246" t="s">
        <v>633</v>
      </c>
      <c r="T186" s="201"/>
      <c r="V186" s="247" t="s">
        <v>632</v>
      </c>
      <c r="W186" s="246" t="s">
        <v>633</v>
      </c>
    </row>
    <row r="187" spans="7:23">
      <c r="G187" s="1210"/>
      <c r="H187" s="277" t="s">
        <v>251</v>
      </c>
      <c r="I187" s="249">
        <f>RENDO!$C$115</f>
        <v>18.18</v>
      </c>
      <c r="J187" s="250">
        <f>RENDO!$D$115</f>
        <v>261</v>
      </c>
      <c r="K187" s="251"/>
      <c r="L187" s="249">
        <f>RENDO!$G$115</f>
        <v>18.09</v>
      </c>
      <c r="M187" s="250">
        <f>RENDO!$H$115</f>
        <v>169</v>
      </c>
      <c r="N187" s="251"/>
      <c r="O187" s="249">
        <f>RENDO!$K$115</f>
        <v>18.25</v>
      </c>
      <c r="P187" s="250">
        <f>RENDO!$L$115</f>
        <v>648</v>
      </c>
      <c r="Q187" s="251"/>
      <c r="R187" s="249">
        <f>RENDO!$O$115</f>
        <v>21.25</v>
      </c>
      <c r="S187" s="250">
        <f>RENDO!$P$115</f>
        <v>89</v>
      </c>
      <c r="T187" s="251"/>
      <c r="V187" s="249">
        <f>RENDO!W115</f>
        <v>23.5</v>
      </c>
      <c r="W187" s="250">
        <f>RENDO!X115</f>
        <v>302</v>
      </c>
    </row>
    <row r="188" spans="7:23">
      <c r="G188" s="1210"/>
      <c r="H188" s="277" t="s">
        <v>252</v>
      </c>
      <c r="I188" s="252">
        <f>RENDO!$C$116</f>
        <v>21.31</v>
      </c>
      <c r="J188" s="253">
        <f>RENDO!$D$116</f>
        <v>583</v>
      </c>
      <c r="K188" s="251"/>
      <c r="L188" s="252">
        <f>RENDO!$G$116</f>
        <v>21.2</v>
      </c>
      <c r="M188" s="253">
        <f>RENDO!$H$116</f>
        <v>487</v>
      </c>
      <c r="N188" s="251"/>
      <c r="O188" s="252">
        <f>RENDO!$K$116</f>
        <v>21.8</v>
      </c>
      <c r="P188" s="253">
        <f>RENDO!$L$116</f>
        <v>420</v>
      </c>
      <c r="Q188" s="251"/>
      <c r="R188" s="252">
        <f>RENDO!$O$116</f>
        <v>24.5</v>
      </c>
      <c r="S188" s="253">
        <f>RENDO!$P$116</f>
        <v>447</v>
      </c>
      <c r="T188" s="251"/>
      <c r="V188" s="252">
        <f>RENDO!W116</f>
        <v>27.5</v>
      </c>
      <c r="W188" s="253">
        <f>RENDO!X116</f>
        <v>451.33333333333331</v>
      </c>
    </row>
    <row r="189" spans="7:23">
      <c r="G189" s="1210"/>
      <c r="H189" s="277" t="s">
        <v>253</v>
      </c>
      <c r="I189" s="254">
        <f>RENDO!$C$117</f>
        <v>27.327407407407406</v>
      </c>
      <c r="J189" s="255">
        <f>RENDO!$D$117</f>
        <v>81</v>
      </c>
      <c r="K189" s="251"/>
      <c r="L189" s="254">
        <f>RENDO!$G$117</f>
        <v>25.842533333333336</v>
      </c>
      <c r="M189" s="255">
        <f>RENDO!$H$117</f>
        <v>150</v>
      </c>
      <c r="N189" s="251"/>
      <c r="O189" s="254">
        <f>RENDO!$K$117</f>
        <v>29</v>
      </c>
      <c r="P189" s="255">
        <f>RENDO!$L$117</f>
        <v>293</v>
      </c>
      <c r="Q189" s="251"/>
      <c r="R189" s="254">
        <f>RENDO!$O$117</f>
        <v>32.054020100502512</v>
      </c>
      <c r="S189" s="255">
        <f>RENDO!$P$117</f>
        <v>199</v>
      </c>
      <c r="T189" s="251"/>
      <c r="V189" s="254">
        <f>RENDO!W117</f>
        <v>35.542056074766357</v>
      </c>
      <c r="W189" s="255">
        <f>RENDO!X117</f>
        <v>214</v>
      </c>
    </row>
    <row r="190" spans="7:23">
      <c r="G190" s="1210"/>
      <c r="H190" s="277" t="s">
        <v>255</v>
      </c>
      <c r="I190" s="256">
        <f>RENDO!$C$118</f>
        <v>45.506176046176044</v>
      </c>
      <c r="J190" s="257">
        <f>RENDO!$D$118</f>
        <v>1386</v>
      </c>
      <c r="K190" s="251"/>
      <c r="L190" s="256">
        <f>RENDO!$G$118</f>
        <v>45.479384835479259</v>
      </c>
      <c r="M190" s="257">
        <f>RENDO!$H$118</f>
        <v>699</v>
      </c>
      <c r="N190" s="251"/>
      <c r="O190" s="256">
        <f>RENDO!$K$118</f>
        <v>43.179699924981243</v>
      </c>
      <c r="P190" s="257">
        <f>RENDO!$L$118</f>
        <v>1333</v>
      </c>
      <c r="Q190" s="251"/>
      <c r="R190" s="256">
        <f>RENDO!$O$118</f>
        <v>58.781212484994001</v>
      </c>
      <c r="S190" s="257">
        <f>RENDO!$P$118</f>
        <v>833</v>
      </c>
      <c r="T190" s="251"/>
      <c r="V190" s="256">
        <f>RENDO!W118</f>
        <v>60.171204188481674</v>
      </c>
      <c r="W190" s="257">
        <f>RENDO!X118</f>
        <v>955</v>
      </c>
    </row>
    <row r="191" spans="7:23">
      <c r="G191" s="1210"/>
      <c r="H191" s="282" t="s">
        <v>254</v>
      </c>
      <c r="I191" s="267" t="e">
        <f>RENDO!$C$119</f>
        <v>#DIV/0!</v>
      </c>
      <c r="J191" s="268">
        <f>RENDO!$D$119</f>
        <v>0</v>
      </c>
      <c r="K191" s="251"/>
      <c r="L191" s="267">
        <f>RENDO!$G$119</f>
        <v>101.24</v>
      </c>
      <c r="M191" s="268">
        <f>RENDO!$H$119</f>
        <v>1400</v>
      </c>
      <c r="N191" s="251"/>
      <c r="O191" s="267" t="e">
        <f>RENDO!$K$119</f>
        <v>#DIV/0!</v>
      </c>
      <c r="P191" s="268">
        <f>RENDO!$L$119</f>
        <v>0</v>
      </c>
      <c r="Q191" s="251"/>
      <c r="R191" s="267" t="e">
        <f>RENDO!$O$119</f>
        <v>#DIV/0!</v>
      </c>
      <c r="S191" s="268">
        <f>RENDO!$P$119</f>
        <v>0</v>
      </c>
      <c r="T191" s="251"/>
      <c r="V191" s="267">
        <f>RENDO!W119</f>
        <v>133.69999999999999</v>
      </c>
      <c r="W191" s="268">
        <f>RENDO!X119</f>
        <v>466.66666666666669</v>
      </c>
    </row>
    <row r="192" spans="7:23">
      <c r="H192" s="271"/>
      <c r="K192" s="210"/>
      <c r="N192" s="210"/>
      <c r="Q192" s="210"/>
      <c r="T192" s="210"/>
    </row>
    <row r="194" spans="7:23" ht="15.75">
      <c r="G194" s="1209" t="s">
        <v>174</v>
      </c>
      <c r="H194" s="240" t="s">
        <v>645</v>
      </c>
      <c r="K194" s="210"/>
      <c r="N194" s="210"/>
      <c r="Q194" s="210"/>
      <c r="T194" s="210"/>
    </row>
    <row r="195" spans="7:23">
      <c r="G195" s="1209"/>
      <c r="H195" s="274"/>
      <c r="I195" s="1205">
        <v>2009</v>
      </c>
      <c r="J195" s="1206"/>
      <c r="K195" s="202"/>
      <c r="L195" s="1205">
        <v>2010</v>
      </c>
      <c r="M195" s="1206"/>
      <c r="N195" s="202"/>
      <c r="O195" s="1205">
        <v>2011</v>
      </c>
      <c r="P195" s="1206"/>
      <c r="Q195" s="202"/>
      <c r="R195" s="1205">
        <v>2012</v>
      </c>
      <c r="S195" s="1206"/>
      <c r="T195" s="202"/>
      <c r="V195" s="1205" t="s">
        <v>630</v>
      </c>
      <c r="W195" s="1206"/>
    </row>
    <row r="196" spans="7:23">
      <c r="G196" s="1209"/>
      <c r="H196" s="275" t="s">
        <v>631</v>
      </c>
      <c r="I196" s="245" t="s">
        <v>632</v>
      </c>
      <c r="J196" s="246" t="s">
        <v>633</v>
      </c>
      <c r="K196" s="201"/>
      <c r="L196" s="247" t="s">
        <v>632</v>
      </c>
      <c r="M196" s="246" t="s">
        <v>633</v>
      </c>
      <c r="N196" s="201"/>
      <c r="O196" s="247" t="s">
        <v>632</v>
      </c>
      <c r="P196" s="246" t="s">
        <v>633</v>
      </c>
      <c r="Q196" s="201"/>
      <c r="R196" s="247" t="s">
        <v>632</v>
      </c>
      <c r="S196" s="246" t="s">
        <v>633</v>
      </c>
      <c r="T196" s="201"/>
      <c r="V196" s="247" t="s">
        <v>632</v>
      </c>
      <c r="W196" s="246" t="s">
        <v>633</v>
      </c>
    </row>
    <row r="197" spans="7:23">
      <c r="G197" s="1209"/>
      <c r="H197" s="276" t="s">
        <v>251</v>
      </c>
      <c r="I197" s="249">
        <f>Stedin!$C$39</f>
        <v>6.84</v>
      </c>
      <c r="J197" s="250">
        <f>Stedin!$D$39</f>
        <v>569974.51022146514</v>
      </c>
      <c r="K197" s="251"/>
      <c r="L197" s="249">
        <f>Stedin!$G$39</f>
        <v>6.24</v>
      </c>
      <c r="M197" s="250">
        <f>Stedin!$H$39</f>
        <v>579156.588444066</v>
      </c>
      <c r="N197" s="251"/>
      <c r="O197" s="249">
        <f>Stedin!$K$39</f>
        <v>6.8</v>
      </c>
      <c r="P197" s="250">
        <f>Stedin!$L$39</f>
        <v>588338.66666666698</v>
      </c>
      <c r="Q197" s="251"/>
      <c r="R197" s="249">
        <f>Stedin!$O$39</f>
        <v>7.5000000000000009</v>
      </c>
      <c r="S197" s="250">
        <f>Stedin!$P$39</f>
        <v>588773.54166666663</v>
      </c>
      <c r="T197" s="251"/>
      <c r="V197" s="249">
        <f>Stedin!W39</f>
        <v>8.5400000000000009</v>
      </c>
      <c r="W197" s="250">
        <f>Stedin!X39</f>
        <v>585422.9322591332</v>
      </c>
    </row>
    <row r="198" spans="7:23">
      <c r="G198" s="1209"/>
      <c r="H198" s="277" t="s">
        <v>252</v>
      </c>
      <c r="I198" s="252">
        <f>Stedin!$C$40</f>
        <v>17.760000000000002</v>
      </c>
      <c r="J198" s="253">
        <f>Stedin!$D$40</f>
        <v>1855895.1818693695</v>
      </c>
      <c r="K198" s="251"/>
      <c r="L198" s="252">
        <f>Stedin!$G$40</f>
        <v>16.559999999999999</v>
      </c>
      <c r="M198" s="253">
        <f>Stedin!$H$40</f>
        <v>1879442.75</v>
      </c>
      <c r="N198" s="251"/>
      <c r="O198" s="252">
        <f>Stedin!$K$40</f>
        <v>16.3</v>
      </c>
      <c r="P198" s="253">
        <f>Stedin!$L$40</f>
        <v>1899622.3699386499</v>
      </c>
      <c r="Q198" s="251"/>
      <c r="R198" s="252">
        <f>Stedin!$O$40</f>
        <v>18.5</v>
      </c>
      <c r="S198" s="253">
        <f>Stedin!$P$40</f>
        <v>1905963.1156265354</v>
      </c>
      <c r="T198" s="251"/>
      <c r="V198" s="252">
        <f>Stedin!W40</f>
        <v>19.630000000000003</v>
      </c>
      <c r="W198" s="253">
        <f>Stedin!X40</f>
        <v>1895009.4118550618</v>
      </c>
    </row>
    <row r="199" spans="7:23">
      <c r="G199" s="1209"/>
      <c r="H199" s="277" t="s">
        <v>253</v>
      </c>
      <c r="I199" s="254">
        <f>Stedin!$C$41</f>
        <v>36.24</v>
      </c>
      <c r="J199" s="255">
        <f>Stedin!$D$41</f>
        <v>80422.636313465773</v>
      </c>
      <c r="K199" s="251"/>
      <c r="L199" s="254">
        <f>Stedin!$G$41</f>
        <v>32.88000000000001</v>
      </c>
      <c r="M199" s="255">
        <f>Stedin!$H$41</f>
        <v>81709.36405109489</v>
      </c>
      <c r="N199" s="251"/>
      <c r="O199" s="254">
        <f>Stedin!$K$41</f>
        <v>32.4</v>
      </c>
      <c r="P199" s="255">
        <f>Stedin!$L$41</f>
        <v>82791.946913580265</v>
      </c>
      <c r="Q199" s="251"/>
      <c r="R199" s="254">
        <f>Stedin!$O$41</f>
        <v>36.799999999999997</v>
      </c>
      <c r="S199" s="255">
        <f>Stedin!$P$41</f>
        <v>82853.583333333328</v>
      </c>
      <c r="T199" s="251"/>
      <c r="V199" s="254">
        <f>Stedin!W41</f>
        <v>39.050000000000004</v>
      </c>
      <c r="W199" s="255">
        <f>Stedin!X41</f>
        <v>82451.631432669485</v>
      </c>
    </row>
    <row r="200" spans="7:23">
      <c r="G200" s="1209"/>
      <c r="H200" s="277" t="s">
        <v>255</v>
      </c>
      <c r="I200" s="256">
        <f>Stedin!$C$42</f>
        <v>51.6</v>
      </c>
      <c r="J200" s="257">
        <f>Stedin!$D$42</f>
        <v>9659.6666666666661</v>
      </c>
      <c r="K200" s="251"/>
      <c r="L200" s="256">
        <f>Stedin!$G$42</f>
        <v>46.8</v>
      </c>
      <c r="M200" s="257">
        <f>Stedin!$H$42</f>
        <v>9731.6666666666697</v>
      </c>
      <c r="N200" s="251"/>
      <c r="O200" s="256">
        <f>Stedin!$K$42</f>
        <v>53.79999999999999</v>
      </c>
      <c r="P200" s="257">
        <f>Stedin!$L$42</f>
        <v>10036</v>
      </c>
      <c r="Q200" s="251"/>
      <c r="R200" s="256">
        <f>Stedin!$O$42</f>
        <v>63.2</v>
      </c>
      <c r="S200" s="257">
        <f>Stedin!$P$42</f>
        <v>10321.181818181818</v>
      </c>
      <c r="T200" s="251"/>
      <c r="V200" s="256">
        <f>Stedin!W42</f>
        <v>72</v>
      </c>
      <c r="W200" s="257">
        <f>Stedin!X42</f>
        <v>10029.616161616163</v>
      </c>
    </row>
    <row r="201" spans="7:23">
      <c r="G201" s="1209"/>
      <c r="H201" s="277" t="s">
        <v>261</v>
      </c>
      <c r="I201" s="258">
        <f>Stedin!$C$43</f>
        <v>463.92</v>
      </c>
      <c r="J201" s="259">
        <f>Stedin!$D$43</f>
        <v>3828.75</v>
      </c>
      <c r="K201" s="251"/>
      <c r="L201" s="258">
        <f>Stedin!$G$43</f>
        <v>423.96</v>
      </c>
      <c r="M201" s="259">
        <f>Stedin!$H$43</f>
        <v>3675.8333333333298</v>
      </c>
      <c r="N201" s="251"/>
      <c r="O201" s="258">
        <f>Stedin!$K$43</f>
        <v>487.4</v>
      </c>
      <c r="P201" s="259">
        <f>Stedin!$L$43</f>
        <v>3762</v>
      </c>
      <c r="Q201" s="251"/>
      <c r="R201" s="258">
        <f>Stedin!$O$43</f>
        <v>565.95000000000005</v>
      </c>
      <c r="S201" s="259">
        <f>Stedin!$P$43</f>
        <v>3750</v>
      </c>
      <c r="T201" s="251"/>
      <c r="V201" s="258">
        <f>Stedin!W43</f>
        <v>644.5</v>
      </c>
      <c r="W201" s="259">
        <f>Stedin!X43</f>
        <v>3729.2777777777769</v>
      </c>
    </row>
    <row r="202" spans="7:23">
      <c r="G202" s="1209"/>
      <c r="H202" s="278" t="s">
        <v>262</v>
      </c>
      <c r="I202" s="261">
        <f>Stedin!$C$44</f>
        <v>5235.669585798817</v>
      </c>
      <c r="J202" s="262">
        <f>Stedin!$D$44</f>
        <v>188.35875217850207</v>
      </c>
      <c r="K202" s="251"/>
      <c r="L202" s="261">
        <f>Stedin!$G$44</f>
        <v>4906.9464406779671</v>
      </c>
      <c r="M202" s="262">
        <f>Stedin!$H$44</f>
        <v>205.2498090565764</v>
      </c>
      <c r="N202" s="251"/>
      <c r="O202" s="261">
        <f>Stedin!$K$44</f>
        <v>5272.18</v>
      </c>
      <c r="P202" s="262">
        <f>Stedin!$L$44</f>
        <v>165</v>
      </c>
      <c r="Q202" s="251"/>
      <c r="R202" s="261">
        <f>Stedin!$O$44</f>
        <v>6041.5284615384608</v>
      </c>
      <c r="S202" s="262">
        <f>Stedin!$P$44</f>
        <v>156</v>
      </c>
      <c r="T202" s="251"/>
      <c r="V202" s="261">
        <f>Stedin!W44</f>
        <v>6892.520416709126</v>
      </c>
      <c r="W202" s="262">
        <f>Stedin!X44</f>
        <v>175.41660301885881</v>
      </c>
    </row>
    <row r="203" spans="7:23">
      <c r="G203" s="1209"/>
      <c r="H203" s="248"/>
      <c r="K203" s="210"/>
      <c r="N203" s="210"/>
      <c r="Q203" s="210"/>
      <c r="T203" s="210"/>
    </row>
    <row r="204" spans="7:23">
      <c r="G204" s="1209"/>
      <c r="H204" s="263" t="s">
        <v>1096</v>
      </c>
      <c r="I204" s="264">
        <f>Stedin!$C$48</f>
        <v>5.85</v>
      </c>
      <c r="J204" s="265">
        <f>Stedin!$D$48</f>
        <v>139095</v>
      </c>
      <c r="K204" s="210"/>
      <c r="L204" s="264">
        <f>Stedin!$G$48</f>
        <v>5.28</v>
      </c>
      <c r="M204" s="265">
        <f>Stedin!$H$48</f>
        <v>178593.426136364</v>
      </c>
      <c r="N204" s="210"/>
      <c r="O204" s="264">
        <f>Stedin!$K$48</f>
        <v>5.2</v>
      </c>
      <c r="P204" s="265">
        <f>Stedin!$L$48</f>
        <v>203362.21923076923</v>
      </c>
      <c r="Q204" s="210"/>
      <c r="R204" s="264">
        <f>Stedin!$O$48</f>
        <v>5.9</v>
      </c>
      <c r="S204" s="265">
        <f>Stedin!$P$48</f>
        <v>239187.68690292738</v>
      </c>
      <c r="T204" s="210"/>
      <c r="V204" s="264">
        <f>Stedin!W48</f>
        <v>6.7000000000000011</v>
      </c>
      <c r="W204" s="265">
        <f>Stedin!X48</f>
        <v>207047.77742335352</v>
      </c>
    </row>
    <row r="205" spans="7:23">
      <c r="G205" s="1209"/>
      <c r="K205" s="210"/>
      <c r="N205" s="210"/>
      <c r="Q205" s="210"/>
      <c r="T205" s="210"/>
    </row>
    <row r="206" spans="7:23" ht="15.75">
      <c r="G206" s="1209"/>
      <c r="H206" s="240" t="s">
        <v>646</v>
      </c>
      <c r="K206" s="210"/>
      <c r="N206" s="210"/>
      <c r="Q206" s="210"/>
      <c r="T206" s="210"/>
    </row>
    <row r="207" spans="7:23">
      <c r="G207" s="1209"/>
      <c r="H207" s="274"/>
      <c r="I207" s="1205">
        <v>2009</v>
      </c>
      <c r="J207" s="1206"/>
      <c r="K207" s="202"/>
      <c r="L207" s="1205">
        <v>2010</v>
      </c>
      <c r="M207" s="1206"/>
      <c r="N207" s="202"/>
      <c r="O207" s="1205">
        <v>2011</v>
      </c>
      <c r="P207" s="1206"/>
      <c r="Q207" s="202"/>
      <c r="R207" s="1205">
        <v>2012</v>
      </c>
      <c r="S207" s="1206"/>
      <c r="T207" s="202"/>
      <c r="V207" s="1205" t="s">
        <v>630</v>
      </c>
      <c r="W207" s="1206"/>
    </row>
    <row r="208" spans="7:23">
      <c r="G208" s="1209"/>
      <c r="H208" s="244" t="s">
        <v>328</v>
      </c>
      <c r="I208" s="245" t="s">
        <v>632</v>
      </c>
      <c r="J208" s="246" t="s">
        <v>633</v>
      </c>
      <c r="K208" s="201"/>
      <c r="L208" s="247" t="s">
        <v>632</v>
      </c>
      <c r="M208" s="246" t="s">
        <v>633</v>
      </c>
      <c r="N208" s="201"/>
      <c r="O208" s="247" t="s">
        <v>632</v>
      </c>
      <c r="P208" s="246" t="s">
        <v>633</v>
      </c>
      <c r="Q208" s="201"/>
      <c r="R208" s="247" t="s">
        <v>632</v>
      </c>
      <c r="S208" s="246" t="s">
        <v>633</v>
      </c>
      <c r="T208" s="201"/>
      <c r="V208" s="247" t="s">
        <v>632</v>
      </c>
      <c r="W208" s="246" t="s">
        <v>633</v>
      </c>
    </row>
    <row r="209" spans="7:23">
      <c r="G209" s="1209"/>
      <c r="H209" s="248" t="s">
        <v>251</v>
      </c>
      <c r="I209" s="249">
        <f>Stedin!$C$88</f>
        <v>348.79</v>
      </c>
      <c r="J209" s="250">
        <f>Stedin!$D$88</f>
        <v>16420.881275265918</v>
      </c>
      <c r="K209" s="251"/>
      <c r="L209" s="249">
        <f>Stedin!$G$88</f>
        <v>327.86</v>
      </c>
      <c r="M209" s="250">
        <f>Stedin!$H$88</f>
        <v>6738.97322460328</v>
      </c>
      <c r="N209" s="251"/>
      <c r="O209" s="249">
        <f>Stedin!$K$88</f>
        <v>366.1</v>
      </c>
      <c r="P209" s="250">
        <f>Stedin!$L$88</f>
        <v>7599.20035509424</v>
      </c>
      <c r="Q209" s="251"/>
      <c r="R209" s="249">
        <f>Stedin!$O$88</f>
        <v>402</v>
      </c>
      <c r="S209" s="250">
        <f>Stedin!$P$88</f>
        <v>7318.2568656716412</v>
      </c>
      <c r="T209" s="251"/>
      <c r="V209" s="249">
        <f>Stedin!W88</f>
        <v>430</v>
      </c>
      <c r="W209" s="250">
        <f>Stedin!X88</f>
        <v>7218.8101484563858</v>
      </c>
    </row>
    <row r="210" spans="7:23">
      <c r="G210" s="1209"/>
      <c r="H210" s="248" t="s">
        <v>252</v>
      </c>
      <c r="I210" s="252">
        <f>Stedin!$C$89</f>
        <v>510.18</v>
      </c>
      <c r="J210" s="253">
        <f>Stedin!$D$89</f>
        <v>32022.209984711284</v>
      </c>
      <c r="K210" s="251"/>
      <c r="L210" s="252">
        <f>Stedin!$G$89</f>
        <v>479.57</v>
      </c>
      <c r="M210" s="253">
        <f>Stedin!$H$89</f>
        <v>21771.6470328408</v>
      </c>
      <c r="N210" s="251"/>
      <c r="O210" s="252">
        <f>Stedin!$K$89</f>
        <v>500</v>
      </c>
      <c r="P210" s="253">
        <f>Stedin!$L$89</f>
        <v>13145.23366</v>
      </c>
      <c r="Q210" s="251"/>
      <c r="R210" s="252">
        <f>Stedin!$O$89</f>
        <v>579</v>
      </c>
      <c r="S210" s="253">
        <f>Stedin!$P$89</f>
        <v>14450.064404145078</v>
      </c>
      <c r="T210" s="251"/>
      <c r="V210" s="252">
        <f>Stedin!W89</f>
        <v>616</v>
      </c>
      <c r="W210" s="253">
        <f>Stedin!X89</f>
        <v>16455.64836566196</v>
      </c>
    </row>
    <row r="211" spans="7:23">
      <c r="G211" s="1209"/>
      <c r="H211" s="248" t="s">
        <v>253</v>
      </c>
      <c r="I211" s="254">
        <f>Stedin!$C$90</f>
        <v>851.57578083076874</v>
      </c>
      <c r="J211" s="255">
        <f>Stedin!$D$90</f>
        <v>2806.3766300029688</v>
      </c>
      <c r="K211" s="251"/>
      <c r="L211" s="254">
        <f>Stedin!$G$90</f>
        <v>824.29963768115556</v>
      </c>
      <c r="M211" s="255">
        <f>Stedin!$H$90</f>
        <v>1833.483065417151</v>
      </c>
      <c r="N211" s="251"/>
      <c r="O211" s="254">
        <f>Stedin!$K$90</f>
        <v>865.33837972426306</v>
      </c>
      <c r="P211" s="255">
        <f>Stedin!$L$90</f>
        <v>2430.9099414616189</v>
      </c>
      <c r="Q211" s="251"/>
      <c r="R211" s="254">
        <f>Stedin!$O$90</f>
        <v>1013.8499365676589</v>
      </c>
      <c r="S211" s="255">
        <f>Stedin!$P$90</f>
        <v>2018.8903073067404</v>
      </c>
      <c r="T211" s="251"/>
      <c r="V211" s="254">
        <f>Stedin!W90</f>
        <v>1090.6206604325271</v>
      </c>
      <c r="W211" s="255">
        <f>Stedin!X90</f>
        <v>2094.4277713951701</v>
      </c>
    </row>
    <row r="212" spans="7:23">
      <c r="G212" s="1209"/>
      <c r="H212" s="248" t="s">
        <v>255</v>
      </c>
      <c r="I212" s="256">
        <f>Stedin!$C$91</f>
        <v>7642.8261091343747</v>
      </c>
      <c r="J212" s="257">
        <f>Stedin!$D$91</f>
        <v>870.66318204558354</v>
      </c>
      <c r="K212" s="251"/>
      <c r="L212" s="256">
        <f>Stedin!$G$91</f>
        <v>6826.7688103686032</v>
      </c>
      <c r="M212" s="257">
        <f>Stedin!$H$91</f>
        <v>417.19761205638918</v>
      </c>
      <c r="N212" s="251"/>
      <c r="O212" s="256">
        <f>Stedin!$K$91</f>
        <v>6932.729382145445</v>
      </c>
      <c r="P212" s="257">
        <f>Stedin!$L$91</f>
        <v>492.75338783566156</v>
      </c>
      <c r="Q212" s="251"/>
      <c r="R212" s="256">
        <f>Stedin!$O$91</f>
        <v>8174.3031969982276</v>
      </c>
      <c r="S212" s="257">
        <f>Stedin!$P$91</f>
        <v>422.93265452516459</v>
      </c>
      <c r="T212" s="251"/>
      <c r="V212" s="256">
        <f>Stedin!W91</f>
        <v>8886.957822337281</v>
      </c>
      <c r="W212" s="257">
        <f>Stedin!X91</f>
        <v>444.29455147240509</v>
      </c>
    </row>
    <row r="213" spans="7:23">
      <c r="G213" s="1209"/>
      <c r="H213" s="260" t="s">
        <v>254</v>
      </c>
      <c r="I213" s="267">
        <f>Stedin!$C$92</f>
        <v>80991.585943571772</v>
      </c>
      <c r="J213" s="268">
        <f>Stedin!$D$92</f>
        <v>116.7812788181449</v>
      </c>
      <c r="K213" s="251"/>
      <c r="L213" s="267">
        <f>Stedin!$G$92</f>
        <v>66720.72104272584</v>
      </c>
      <c r="M213" s="268">
        <f>Stedin!$H$92</f>
        <v>53.014809067902824</v>
      </c>
      <c r="N213" s="251"/>
      <c r="O213" s="267">
        <f>Stedin!$K$92</f>
        <v>68433.627568533586</v>
      </c>
      <c r="P213" s="268">
        <f>Stedin!$L$92</f>
        <v>55.944079921321638</v>
      </c>
      <c r="Q213" s="251"/>
      <c r="R213" s="267">
        <f>Stedin!$O$92</f>
        <v>74796.291668231905</v>
      </c>
      <c r="S213" s="268">
        <f>Stedin!$P$92</f>
        <v>46.247281688019676</v>
      </c>
      <c r="T213" s="251"/>
      <c r="V213" s="267">
        <f>Stedin!W92</f>
        <v>83525.258310990801</v>
      </c>
      <c r="W213" s="268">
        <f>Stedin!X92</f>
        <v>51.735390225748048</v>
      </c>
    </row>
    <row r="214" spans="7:23">
      <c r="G214" s="1210"/>
    </row>
    <row r="215" spans="7:23">
      <c r="G215" s="1210"/>
      <c r="K215" s="210"/>
      <c r="N215" s="210"/>
      <c r="Q215" s="210"/>
      <c r="T215" s="210"/>
    </row>
    <row r="216" spans="7:23">
      <c r="G216" s="1210"/>
      <c r="H216" s="274"/>
      <c r="I216" s="1205">
        <v>2009</v>
      </c>
      <c r="J216" s="1206"/>
      <c r="K216" s="202"/>
      <c r="L216" s="1205">
        <v>2010</v>
      </c>
      <c r="M216" s="1206"/>
      <c r="N216" s="202"/>
      <c r="O216" s="1205">
        <v>2011</v>
      </c>
      <c r="P216" s="1206"/>
      <c r="Q216" s="202"/>
      <c r="R216" s="1205">
        <v>2012</v>
      </c>
      <c r="S216" s="1206"/>
      <c r="T216" s="202"/>
      <c r="V216" s="1205" t="s">
        <v>630</v>
      </c>
      <c r="W216" s="1206"/>
    </row>
    <row r="217" spans="7:23">
      <c r="G217" s="1210"/>
      <c r="H217" s="244" t="s">
        <v>329</v>
      </c>
      <c r="I217" s="245" t="s">
        <v>632</v>
      </c>
      <c r="J217" s="246" t="s">
        <v>633</v>
      </c>
      <c r="K217" s="201"/>
      <c r="L217" s="247" t="s">
        <v>632</v>
      </c>
      <c r="M217" s="246" t="s">
        <v>633</v>
      </c>
      <c r="N217" s="201"/>
      <c r="O217" s="247" t="s">
        <v>632</v>
      </c>
      <c r="P217" s="246" t="s">
        <v>633</v>
      </c>
      <c r="Q217" s="201"/>
      <c r="R217" s="247" t="s">
        <v>632</v>
      </c>
      <c r="S217" s="246" t="s">
        <v>633</v>
      </c>
      <c r="T217" s="201"/>
      <c r="V217" s="247" t="s">
        <v>632</v>
      </c>
      <c r="W217" s="246" t="s">
        <v>633</v>
      </c>
    </row>
    <row r="218" spans="7:23">
      <c r="G218" s="1210"/>
      <c r="H218" s="248" t="s">
        <v>251</v>
      </c>
      <c r="I218" s="249">
        <f>Stedin!$C$115</f>
        <v>16.21</v>
      </c>
      <c r="J218" s="250">
        <f>Stedin!$D$115</f>
        <v>8882.7921036397274</v>
      </c>
      <c r="K218" s="251"/>
      <c r="L218" s="249">
        <f>Stedin!$G$115</f>
        <v>15.23</v>
      </c>
      <c r="M218" s="250">
        <f>Stedin!$H$115</f>
        <v>4151.2407952106396</v>
      </c>
      <c r="N218" s="251"/>
      <c r="O218" s="249">
        <f>Stedin!$K$115</f>
        <v>16.7</v>
      </c>
      <c r="P218" s="250">
        <f>Stedin!$L$115</f>
        <v>4757.2634730538903</v>
      </c>
      <c r="Q218" s="251"/>
      <c r="R218" s="249">
        <f>Stedin!$O$115</f>
        <v>19.64</v>
      </c>
      <c r="S218" s="250">
        <f>Stedin!$P$115</f>
        <v>3785.5590631364562</v>
      </c>
      <c r="T218" s="251"/>
      <c r="V218" s="249">
        <f>Stedin!W115</f>
        <v>20.9</v>
      </c>
      <c r="W218" s="250">
        <f>Stedin!X115</f>
        <v>4231.3544438003282</v>
      </c>
    </row>
    <row r="219" spans="7:23">
      <c r="G219" s="1210"/>
      <c r="H219" s="248" t="s">
        <v>252</v>
      </c>
      <c r="I219" s="252">
        <f>Stedin!$C$116</f>
        <v>22.41</v>
      </c>
      <c r="J219" s="253">
        <f>Stedin!$D$116</f>
        <v>31081.591700133868</v>
      </c>
      <c r="K219" s="251"/>
      <c r="L219" s="252">
        <f>Stedin!$G$116</f>
        <v>21.06</v>
      </c>
      <c r="M219" s="253">
        <f>Stedin!$H$116</f>
        <v>8050.5254911524798</v>
      </c>
      <c r="N219" s="251"/>
      <c r="O219" s="252">
        <f>Stedin!$K$116</f>
        <v>23.5</v>
      </c>
      <c r="P219" s="253">
        <f>Stedin!$L$116</f>
        <v>16571.597446808501</v>
      </c>
      <c r="Q219" s="251"/>
      <c r="R219" s="252">
        <f>Stedin!$O$116</f>
        <v>27.64</v>
      </c>
      <c r="S219" s="253">
        <f>Stedin!$P$116</f>
        <v>16821.488060781474</v>
      </c>
      <c r="T219" s="251"/>
      <c r="V219" s="252">
        <f>Stedin!W116</f>
        <v>29.3</v>
      </c>
      <c r="W219" s="253">
        <f>Stedin!X116</f>
        <v>13814.53699958082</v>
      </c>
    </row>
    <row r="220" spans="7:23">
      <c r="G220" s="1210"/>
      <c r="H220" s="248" t="s">
        <v>253</v>
      </c>
      <c r="I220" s="254">
        <f>Stedin!$C$117</f>
        <v>30.880147554505786</v>
      </c>
      <c r="J220" s="255">
        <f>Stedin!$D$117</f>
        <v>23615.545512300941</v>
      </c>
      <c r="K220" s="251"/>
      <c r="L220" s="254">
        <f>Stedin!$G$117</f>
        <v>29.16596194812238</v>
      </c>
      <c r="M220" s="255">
        <f>Stedin!$H$117</f>
        <v>19814.150410724658</v>
      </c>
      <c r="N220" s="251"/>
      <c r="O220" s="254">
        <f>Stedin!$K$117</f>
        <v>30.821059755242683</v>
      </c>
      <c r="P220" s="255">
        <f>Stedin!$L$117</f>
        <v>27833.38525061835</v>
      </c>
      <c r="Q220" s="251"/>
      <c r="R220" s="254">
        <f>Stedin!$O$117</f>
        <v>35.099178555816955</v>
      </c>
      <c r="S220" s="255">
        <f>Stedin!$P$117</f>
        <v>18630.461934033709</v>
      </c>
      <c r="T220" s="251"/>
      <c r="V220" s="254">
        <f>Stedin!W117</f>
        <v>37.2771758745033</v>
      </c>
      <c r="W220" s="255">
        <f>Stedin!X117</f>
        <v>22092.665865125575</v>
      </c>
    </row>
    <row r="221" spans="7:23">
      <c r="G221" s="1210"/>
      <c r="H221" s="248" t="s">
        <v>255</v>
      </c>
      <c r="I221" s="256">
        <f>Stedin!$C$118</f>
        <v>53.814533210860375</v>
      </c>
      <c r="J221" s="257">
        <f>Stedin!$D$118</f>
        <v>79992.047373761423</v>
      </c>
      <c r="K221" s="251"/>
      <c r="L221" s="256">
        <f>Stedin!$G$118</f>
        <v>55.820886684363202</v>
      </c>
      <c r="M221" s="257">
        <f>Stedin!$H$118</f>
        <v>38396.943027869915</v>
      </c>
      <c r="N221" s="251"/>
      <c r="O221" s="256">
        <f>Stedin!$K$118</f>
        <v>47.168250306315855</v>
      </c>
      <c r="P221" s="257">
        <f>Stedin!$L$118</f>
        <v>58175.713158318453</v>
      </c>
      <c r="Q221" s="251"/>
      <c r="R221" s="256">
        <f>Stedin!$O$118</f>
        <v>54.42242186055848</v>
      </c>
      <c r="S221" s="257">
        <f>Stedin!$P$118</f>
        <v>46822.613600861354</v>
      </c>
      <c r="T221" s="251"/>
      <c r="V221" s="256">
        <f>Stedin!W118</f>
        <v>59.735649699023455</v>
      </c>
      <c r="W221" s="257">
        <f>Stedin!X118</f>
        <v>47798.423262349905</v>
      </c>
    </row>
    <row r="222" spans="7:23">
      <c r="G222" s="1210"/>
      <c r="H222" s="260" t="s">
        <v>254</v>
      </c>
      <c r="I222" s="267">
        <f>Stedin!$C$119</f>
        <v>147.54096842427572</v>
      </c>
      <c r="J222" s="268">
        <f>Stedin!$D$119</f>
        <v>17756.215564930204</v>
      </c>
      <c r="K222" s="251"/>
      <c r="L222" s="267">
        <f>Stedin!$G$119</f>
        <v>142.09905027862339</v>
      </c>
      <c r="M222" s="268">
        <f>Stedin!$H$119</f>
        <v>13293.030891253238</v>
      </c>
      <c r="N222" s="251"/>
      <c r="O222" s="267">
        <f>Stedin!$K$119</f>
        <v>138.40275780877832</v>
      </c>
      <c r="P222" s="268">
        <f>Stedin!$L$119</f>
        <v>7359.8313800029882</v>
      </c>
      <c r="Q222" s="251"/>
      <c r="R222" s="267">
        <f>Stedin!$O$119</f>
        <v>158.91049336321731</v>
      </c>
      <c r="S222" s="268">
        <f>Stedin!$P$119</f>
        <v>11697.479132175829</v>
      </c>
      <c r="T222" s="251"/>
      <c r="V222" s="267">
        <f>Stedin!W119</f>
        <v>164.86301681391964</v>
      </c>
      <c r="W222" s="268">
        <f>Stedin!X119</f>
        <v>10783.447134477352</v>
      </c>
    </row>
    <row r="225" spans="7:23" ht="15.75">
      <c r="G225" s="1207" t="s">
        <v>175</v>
      </c>
      <c r="H225" s="240" t="s">
        <v>647</v>
      </c>
      <c r="K225" s="210"/>
      <c r="N225" s="210"/>
      <c r="Q225" s="210"/>
      <c r="T225" s="210"/>
    </row>
    <row r="226" spans="7:23">
      <c r="G226" s="1207"/>
      <c r="H226" s="983"/>
      <c r="I226" s="1205">
        <v>2009</v>
      </c>
      <c r="J226" s="1206"/>
      <c r="K226" s="202"/>
      <c r="L226" s="1205">
        <v>2010</v>
      </c>
      <c r="M226" s="1206"/>
      <c r="N226" s="202"/>
      <c r="O226" s="1205">
        <v>2011</v>
      </c>
      <c r="P226" s="1206"/>
      <c r="Q226" s="202"/>
      <c r="R226" s="1205">
        <v>2012</v>
      </c>
      <c r="S226" s="1206"/>
      <c r="T226" s="202"/>
      <c r="V226" s="1205" t="s">
        <v>630</v>
      </c>
      <c r="W226" s="1206"/>
    </row>
    <row r="227" spans="7:23">
      <c r="G227" s="1207"/>
      <c r="H227" s="283" t="s">
        <v>631</v>
      </c>
      <c r="I227" s="245" t="s">
        <v>632</v>
      </c>
      <c r="J227" s="246" t="s">
        <v>633</v>
      </c>
      <c r="K227" s="201"/>
      <c r="L227" s="247" t="s">
        <v>632</v>
      </c>
      <c r="M227" s="246" t="s">
        <v>633</v>
      </c>
      <c r="N227" s="201"/>
      <c r="O227" s="247" t="s">
        <v>632</v>
      </c>
      <c r="P227" s="246" t="s">
        <v>633</v>
      </c>
      <c r="Q227" s="201"/>
      <c r="R227" s="247" t="s">
        <v>632</v>
      </c>
      <c r="S227" s="246" t="s">
        <v>633</v>
      </c>
      <c r="T227" s="201"/>
      <c r="V227" s="247" t="s">
        <v>632</v>
      </c>
      <c r="W227" s="246" t="s">
        <v>633</v>
      </c>
    </row>
    <row r="228" spans="7:23">
      <c r="G228" s="1207"/>
      <c r="H228" s="276" t="s">
        <v>251</v>
      </c>
      <c r="I228" s="249">
        <f>Westland!$C$42</f>
        <v>2.61</v>
      </c>
      <c r="J228" s="250">
        <f>Westland!$D$42</f>
        <v>24409.276134309901</v>
      </c>
      <c r="K228" s="251"/>
      <c r="L228" s="249">
        <f>Westland!$G$42</f>
        <v>2.54</v>
      </c>
      <c r="M228" s="250">
        <f>Westland!$H$42</f>
        <v>24576.735632183911</v>
      </c>
      <c r="N228" s="251"/>
      <c r="O228" s="249">
        <f>Westland!$K$42</f>
        <v>2.81</v>
      </c>
      <c r="P228" s="250">
        <f>Westland!$L$42</f>
        <v>24194.920808279134</v>
      </c>
      <c r="Q228" s="251"/>
      <c r="R228" s="249">
        <f>Westland!O42</f>
        <v>3.15</v>
      </c>
      <c r="S228" s="250">
        <f>Westland!P42</f>
        <v>24715.039258468842</v>
      </c>
      <c r="T228" s="251"/>
      <c r="V228" s="249">
        <f>Westland!W42</f>
        <v>2.94</v>
      </c>
      <c r="W228" s="250">
        <f>Westland!X42</f>
        <v>24495.565232977297</v>
      </c>
    </row>
    <row r="229" spans="7:23">
      <c r="G229" s="1207"/>
      <c r="H229" s="277" t="s">
        <v>252</v>
      </c>
      <c r="I229" s="252">
        <f>Westland!$C$43</f>
        <v>13.75</v>
      </c>
      <c r="J229" s="253">
        <f>Westland!$D$43</f>
        <v>48151.725703993958</v>
      </c>
      <c r="K229" s="251"/>
      <c r="L229" s="252">
        <f>Westland!$G$43</f>
        <v>13.5</v>
      </c>
      <c r="M229" s="253">
        <f>Westland!$H$43</f>
        <v>49008.902754164825</v>
      </c>
      <c r="N229" s="251"/>
      <c r="O229" s="252">
        <f>Westland!$K$43</f>
        <v>14.959999999999999</v>
      </c>
      <c r="P229" s="253">
        <f>Westland!$L$43</f>
        <v>49989.515088817716</v>
      </c>
      <c r="Q229" s="251"/>
      <c r="R229" s="252">
        <f>Westland!O43</f>
        <v>16.899999999999999</v>
      </c>
      <c r="S229" s="253">
        <f>Westland!P43</f>
        <v>51029.162940187271</v>
      </c>
      <c r="T229" s="251"/>
      <c r="V229" s="252">
        <f>Westland!W43</f>
        <v>15.6</v>
      </c>
      <c r="W229" s="253">
        <f>Westland!X43</f>
        <v>50009.193594389937</v>
      </c>
    </row>
    <row r="230" spans="7:23">
      <c r="G230" s="1207"/>
      <c r="H230" s="277" t="s">
        <v>253</v>
      </c>
      <c r="I230" s="254">
        <f>Westland!$C$44</f>
        <v>36.466657409347135</v>
      </c>
      <c r="J230" s="255">
        <f>Westland!$D$44</f>
        <v>3748.7742024512377</v>
      </c>
      <c r="K230" s="251"/>
      <c r="L230" s="254">
        <f>Westland!$G$44</f>
        <v>36.26195136233391</v>
      </c>
      <c r="M230" s="255">
        <f>Westland!$H$44</f>
        <v>3299.4200402754004</v>
      </c>
      <c r="N230" s="251"/>
      <c r="O230" s="254">
        <f>Westland!$K$44</f>
        <v>40.105321854655649</v>
      </c>
      <c r="P230" s="255">
        <f>Westland!$L$44</f>
        <v>3445.3694915373139</v>
      </c>
      <c r="Q230" s="251"/>
      <c r="R230" s="254">
        <f>Westland!O44</f>
        <v>45.029452723177847</v>
      </c>
      <c r="S230" s="255">
        <f>Westland!P44</f>
        <v>3489.9470934977817</v>
      </c>
      <c r="T230" s="251"/>
      <c r="V230" s="254">
        <f>Westland!W44</f>
        <v>41.607118999166268</v>
      </c>
      <c r="W230" s="255">
        <f>Westland!X44</f>
        <v>3411.5788751034988</v>
      </c>
    </row>
    <row r="231" spans="7:23">
      <c r="G231" s="1207"/>
      <c r="H231" s="277" t="s">
        <v>255</v>
      </c>
      <c r="I231" s="256">
        <f>Westland!$C$45</f>
        <v>175.91007784851618</v>
      </c>
      <c r="J231" s="257">
        <f>Westland!$D$45</f>
        <v>991.36316592188712</v>
      </c>
      <c r="K231" s="251"/>
      <c r="L231" s="256">
        <f>Westland!$G$45</f>
        <v>170.99888509310443</v>
      </c>
      <c r="M231" s="257">
        <f>Westland!$H$45</f>
        <v>974.51272058293739</v>
      </c>
      <c r="N231" s="251"/>
      <c r="O231" s="256">
        <f>Westland!$K$45</f>
        <v>189.39916408839457</v>
      </c>
      <c r="P231" s="257">
        <f>Westland!$L$45</f>
        <v>968.06132053115948</v>
      </c>
      <c r="Q231" s="251"/>
      <c r="R231" s="256">
        <f>Westland!O45</f>
        <v>213.77431327902775</v>
      </c>
      <c r="S231" s="257">
        <f>Westland!P45</f>
        <v>956.07731179964821</v>
      </c>
      <c r="T231" s="251"/>
      <c r="V231" s="256">
        <f>Westland!W45</f>
        <v>197.42658682270488</v>
      </c>
      <c r="W231" s="257">
        <f>Westland!X45</f>
        <v>966.21711763791507</v>
      </c>
    </row>
    <row r="232" spans="7:23">
      <c r="G232" s="1207"/>
      <c r="H232" s="277" t="s">
        <v>261</v>
      </c>
      <c r="I232" s="258">
        <f>Westland!$C$46</f>
        <v>1333.5055782810937</v>
      </c>
      <c r="J232" s="259">
        <f>Westland!$D$46</f>
        <v>354.91364985360326</v>
      </c>
      <c r="K232" s="251"/>
      <c r="L232" s="258">
        <f>Westland!$G$46</f>
        <v>1261.4285417086678</v>
      </c>
      <c r="M232" s="259">
        <f>Westland!$H$46</f>
        <v>406.72215940429334</v>
      </c>
      <c r="N232" s="251"/>
      <c r="O232" s="258">
        <f>Westland!$K$46</f>
        <v>1405.6442993946316</v>
      </c>
      <c r="P232" s="259">
        <f>Westland!$L$46</f>
        <v>403.90311212233001</v>
      </c>
      <c r="Q232" s="251"/>
      <c r="R232" s="258">
        <f>Westland!O46</f>
        <v>1606.4718595712461</v>
      </c>
      <c r="S232" s="259">
        <f>Westland!P46</f>
        <v>395.65252915544659</v>
      </c>
      <c r="T232" s="251"/>
      <c r="V232" s="258">
        <f>Westland!W46</f>
        <v>1468.753854971128</v>
      </c>
      <c r="W232" s="259">
        <f>Westland!X46</f>
        <v>402.09260022735668</v>
      </c>
    </row>
    <row r="233" spans="7:23">
      <c r="G233" s="1207"/>
      <c r="H233" s="278" t="s">
        <v>262</v>
      </c>
      <c r="I233" s="261">
        <f>Westland!$C$47</f>
        <v>5222.28</v>
      </c>
      <c r="J233" s="262">
        <f>Westland!$D$47</f>
        <v>28.815300988495299</v>
      </c>
      <c r="K233" s="251"/>
      <c r="L233" s="261">
        <f>Westland!$G$47</f>
        <v>5073.28</v>
      </c>
      <c r="M233" s="262">
        <f>Westland!$H$47</f>
        <v>29.385760379353922</v>
      </c>
      <c r="N233" s="251"/>
      <c r="O233" s="261">
        <f>Westland!$K$47</f>
        <v>5622.13</v>
      </c>
      <c r="P233" s="262">
        <f>Westland!$L$47</f>
        <v>30.490257243802681</v>
      </c>
      <c r="Q233" s="251"/>
      <c r="R233" s="261">
        <f>Westland!O47</f>
        <v>6371</v>
      </c>
      <c r="S233" s="262">
        <f>Westland!P47</f>
        <v>33.148489439396265</v>
      </c>
      <c r="T233" s="251"/>
      <c r="V233" s="261">
        <f>Westland!W47</f>
        <v>5869.62</v>
      </c>
      <c r="W233" s="262">
        <f>Westland!X47</f>
        <v>31.008169020850954</v>
      </c>
    </row>
    <row r="234" spans="7:23">
      <c r="G234" s="1207"/>
      <c r="H234" s="248"/>
      <c r="K234" s="210"/>
      <c r="N234" s="210"/>
      <c r="Q234" s="210"/>
      <c r="T234" s="251"/>
    </row>
    <row r="235" spans="7:23">
      <c r="G235" s="1207"/>
      <c r="H235" s="263" t="s">
        <v>1096</v>
      </c>
      <c r="I235" s="264">
        <f>Westland!$C$51</f>
        <v>3.87</v>
      </c>
      <c r="J235" s="265">
        <f>Westland!$D$51</f>
        <v>2300</v>
      </c>
      <c r="K235" s="210"/>
      <c r="L235" s="264">
        <f>Westland!$G$51</f>
        <v>3.7599999999999993</v>
      </c>
      <c r="M235" s="265">
        <f>Westland!$H$51</f>
        <v>5076.0638297872338</v>
      </c>
      <c r="N235" s="210"/>
      <c r="O235" s="264">
        <f>Westland!$K$51</f>
        <v>4.17</v>
      </c>
      <c r="P235" s="265">
        <f>Westland!$L$51</f>
        <v>5241.8920863309349</v>
      </c>
      <c r="Q235" s="210"/>
      <c r="R235" s="264">
        <f>Westland!$O$51</f>
        <v>4.75</v>
      </c>
      <c r="S235" s="265">
        <f>Westland!$P$51</f>
        <v>5882.7157894736847</v>
      </c>
      <c r="T235" s="210"/>
      <c r="V235" s="284">
        <f>Westland!W51</f>
        <v>4.41</v>
      </c>
      <c r="W235" s="285">
        <f>Westland!X51</f>
        <v>5400.2239018639511</v>
      </c>
    </row>
    <row r="236" spans="7:23">
      <c r="G236" s="1207"/>
      <c r="K236" s="210"/>
      <c r="N236" s="210"/>
      <c r="Q236" s="210"/>
      <c r="T236" s="210"/>
    </row>
    <row r="237" spans="7:23" ht="15.75">
      <c r="G237" s="1207"/>
      <c r="H237" s="240" t="s">
        <v>648</v>
      </c>
      <c r="K237" s="210"/>
      <c r="N237" s="210"/>
      <c r="Q237" s="210"/>
      <c r="T237" s="210"/>
    </row>
    <row r="238" spans="7:23">
      <c r="G238" s="1207"/>
      <c r="H238" s="274"/>
      <c r="I238" s="1205">
        <v>2009</v>
      </c>
      <c r="J238" s="1206"/>
      <c r="K238" s="202"/>
      <c r="L238" s="1205">
        <v>2010</v>
      </c>
      <c r="M238" s="1206"/>
      <c r="N238" s="202"/>
      <c r="O238" s="1205">
        <v>2011</v>
      </c>
      <c r="P238" s="1206"/>
      <c r="Q238" s="202"/>
      <c r="R238" s="1205">
        <v>2012</v>
      </c>
      <c r="S238" s="1206"/>
      <c r="T238" s="202"/>
      <c r="V238" s="1205" t="s">
        <v>630</v>
      </c>
      <c r="W238" s="1206"/>
    </row>
    <row r="239" spans="7:23">
      <c r="G239" s="1207"/>
      <c r="H239" s="244" t="s">
        <v>328</v>
      </c>
      <c r="I239" s="245" t="s">
        <v>632</v>
      </c>
      <c r="J239" s="246" t="s">
        <v>633</v>
      </c>
      <c r="K239" s="201"/>
      <c r="L239" s="247" t="s">
        <v>632</v>
      </c>
      <c r="M239" s="246" t="s">
        <v>633</v>
      </c>
      <c r="N239" s="201"/>
      <c r="O239" s="247" t="s">
        <v>632</v>
      </c>
      <c r="P239" s="246" t="s">
        <v>633</v>
      </c>
      <c r="Q239" s="201"/>
      <c r="R239" s="247" t="s">
        <v>632</v>
      </c>
      <c r="S239" s="246" t="s">
        <v>633</v>
      </c>
      <c r="T239" s="201"/>
      <c r="V239" s="247" t="s">
        <v>632</v>
      </c>
      <c r="W239" s="246" t="s">
        <v>633</v>
      </c>
    </row>
    <row r="240" spans="7:23">
      <c r="G240" s="1207"/>
      <c r="H240" s="248" t="s">
        <v>251</v>
      </c>
      <c r="I240" s="249">
        <f>Westland!$C$91</f>
        <v>356.17</v>
      </c>
      <c r="J240" s="250">
        <f>Westland!$D$91</f>
        <v>456</v>
      </c>
      <c r="K240" s="251"/>
      <c r="L240" s="249">
        <f>Westland!$G$91</f>
        <v>356.53</v>
      </c>
      <c r="M240" s="250">
        <f>Westland!$H$91</f>
        <v>505</v>
      </c>
      <c r="N240" s="251"/>
      <c r="O240" s="249">
        <f>Westland!$K$91</f>
        <v>401.06</v>
      </c>
      <c r="P240" s="250">
        <f>Westland!$L$91</f>
        <v>515</v>
      </c>
      <c r="Q240" s="251"/>
      <c r="R240" s="249">
        <f>Westland!O91</f>
        <v>445.79</v>
      </c>
      <c r="S240" s="250">
        <f>Westland!P91</f>
        <v>322</v>
      </c>
      <c r="T240" s="251"/>
      <c r="V240" s="286">
        <f>Westland!W91</f>
        <v>409.88</v>
      </c>
      <c r="W240" s="250">
        <f>Westland!X91</f>
        <v>447.33333333333331</v>
      </c>
    </row>
    <row r="241" spans="7:23">
      <c r="G241" s="1207"/>
      <c r="H241" s="248" t="s">
        <v>252</v>
      </c>
      <c r="I241" s="252">
        <f>Westland!$C$92</f>
        <v>677.97</v>
      </c>
      <c r="J241" s="253">
        <f>Westland!$D$92</f>
        <v>930</v>
      </c>
      <c r="K241" s="251"/>
      <c r="L241" s="252">
        <f>Westland!$G$92</f>
        <v>678.65</v>
      </c>
      <c r="M241" s="253">
        <f>Westland!$H$92</f>
        <v>991</v>
      </c>
      <c r="N241" s="251"/>
      <c r="O241" s="252">
        <f>Westland!$K$92</f>
        <v>763.42</v>
      </c>
      <c r="P241" s="253">
        <f>Westland!$L$92</f>
        <v>914</v>
      </c>
      <c r="Q241" s="251"/>
      <c r="R241" s="252">
        <f>Westland!O92</f>
        <v>848.55</v>
      </c>
      <c r="S241" s="253">
        <f>Westland!P92</f>
        <v>1088</v>
      </c>
      <c r="T241" s="251"/>
      <c r="V241" s="287">
        <f>Westland!W92</f>
        <v>780.19</v>
      </c>
      <c r="W241" s="253">
        <f>Westland!X92</f>
        <v>997.66666666666663</v>
      </c>
    </row>
    <row r="242" spans="7:23">
      <c r="G242" s="1207"/>
      <c r="H242" s="248" t="s">
        <v>253</v>
      </c>
      <c r="I242" s="254">
        <f>Westland!$C$93</f>
        <v>916.15351851851858</v>
      </c>
      <c r="J242" s="255">
        <f>Westland!$D$93</f>
        <v>108</v>
      </c>
      <c r="K242" s="251"/>
      <c r="L242" s="254">
        <f>Westland!$G$93</f>
        <v>1022.1079310344828</v>
      </c>
      <c r="M242" s="255">
        <f>Westland!$H$93</f>
        <v>58</v>
      </c>
      <c r="N242" s="251"/>
      <c r="O242" s="254">
        <f>Westland!$K$93</f>
        <v>1127.7458333333334</v>
      </c>
      <c r="P242" s="255">
        <f>Westland!$L$93</f>
        <v>60</v>
      </c>
      <c r="Q242" s="251"/>
      <c r="R242" s="254">
        <f>Westland!O93</f>
        <v>1225.9056363636364</v>
      </c>
      <c r="S242" s="255">
        <f>Westland!P93</f>
        <v>110</v>
      </c>
      <c r="T242" s="251"/>
      <c r="V242" s="288">
        <f>Westland!W93</f>
        <v>1145.9998245614036</v>
      </c>
      <c r="W242" s="255">
        <f>Westland!X93</f>
        <v>76</v>
      </c>
    </row>
    <row r="243" spans="7:23">
      <c r="G243" s="1207"/>
      <c r="H243" s="248" t="s">
        <v>255</v>
      </c>
      <c r="I243" s="256">
        <f>Westland!$C$94</f>
        <v>5499.5725000000002</v>
      </c>
      <c r="J243" s="257">
        <f>Westland!$D$94</f>
        <v>40</v>
      </c>
      <c r="K243" s="251"/>
      <c r="L243" s="256">
        <f>Westland!$G$94</f>
        <v>4935.4186363636372</v>
      </c>
      <c r="M243" s="257">
        <f>Westland!$H$94</f>
        <v>22</v>
      </c>
      <c r="N243" s="251"/>
      <c r="O243" s="256">
        <f>Westland!$K$94</f>
        <v>6589.5011999999988</v>
      </c>
      <c r="P243" s="257">
        <f>Westland!$L$94</f>
        <v>25</v>
      </c>
      <c r="Q243" s="251"/>
      <c r="R243" s="256">
        <f>Westland!O94</f>
        <v>6794.5458333333336</v>
      </c>
      <c r="S243" s="257">
        <f>Westland!P94</f>
        <v>12</v>
      </c>
      <c r="T243" s="251"/>
      <c r="V243" s="289">
        <f>Westland!W94</f>
        <v>6239.6954237288137</v>
      </c>
      <c r="W243" s="257">
        <f>Westland!X94</f>
        <v>19.666666666666664</v>
      </c>
    </row>
    <row r="244" spans="7:23">
      <c r="G244" s="1207"/>
      <c r="H244" s="260" t="s">
        <v>254</v>
      </c>
      <c r="I244" s="267">
        <f>Westland!$C$95</f>
        <v>52308.988695652173</v>
      </c>
      <c r="J244" s="268">
        <f>Westland!$D$95</f>
        <v>23</v>
      </c>
      <c r="K244" s="251"/>
      <c r="L244" s="267">
        <f>Westland!$G$95</f>
        <v>63121.866999999991</v>
      </c>
      <c r="M244" s="268">
        <f>Westland!$H$95</f>
        <v>10</v>
      </c>
      <c r="N244" s="251"/>
      <c r="O244" s="267">
        <f>Westland!$K$95</f>
        <v>87028.035000000003</v>
      </c>
      <c r="P244" s="268">
        <f>Westland!$L$95</f>
        <v>4</v>
      </c>
      <c r="Q244" s="251"/>
      <c r="R244" s="267">
        <f>Westland!O95</f>
        <v>73444.97</v>
      </c>
      <c r="S244" s="268">
        <f>Westland!P95</f>
        <v>4</v>
      </c>
      <c r="T244" s="251"/>
      <c r="V244" s="290">
        <f>Westland!W95</f>
        <v>75084.316111111097</v>
      </c>
      <c r="W244" s="268">
        <f>Westland!X95</f>
        <v>6</v>
      </c>
    </row>
    <row r="245" spans="7:23">
      <c r="G245" s="1210"/>
      <c r="K245" s="210"/>
      <c r="N245" s="210"/>
      <c r="Q245" s="210"/>
      <c r="T245" s="210"/>
    </row>
    <row r="246" spans="7:23">
      <c r="G246" s="1210"/>
      <c r="K246" s="210"/>
      <c r="N246" s="210"/>
      <c r="Q246" s="210"/>
      <c r="T246" s="210"/>
    </row>
    <row r="247" spans="7:23">
      <c r="G247" s="1210"/>
      <c r="H247" s="274"/>
      <c r="I247" s="1205">
        <v>2009</v>
      </c>
      <c r="J247" s="1206"/>
      <c r="K247" s="202"/>
      <c r="L247" s="1205">
        <v>2010</v>
      </c>
      <c r="M247" s="1206"/>
      <c r="N247" s="202"/>
      <c r="O247" s="1205">
        <v>2011</v>
      </c>
      <c r="P247" s="1206"/>
      <c r="Q247" s="202"/>
      <c r="R247" s="1205">
        <v>2012</v>
      </c>
      <c r="S247" s="1206"/>
      <c r="T247" s="202"/>
      <c r="V247" s="1205" t="s">
        <v>630</v>
      </c>
      <c r="W247" s="1206"/>
    </row>
    <row r="248" spans="7:23">
      <c r="G248" s="1210"/>
      <c r="H248" s="244" t="s">
        <v>329</v>
      </c>
      <c r="I248" s="245" t="s">
        <v>632</v>
      </c>
      <c r="J248" s="246" t="s">
        <v>633</v>
      </c>
      <c r="K248" s="201"/>
      <c r="L248" s="247" t="s">
        <v>632</v>
      </c>
      <c r="M248" s="246" t="s">
        <v>633</v>
      </c>
      <c r="N248" s="201"/>
      <c r="O248" s="247" t="s">
        <v>632</v>
      </c>
      <c r="P248" s="246" t="s">
        <v>633</v>
      </c>
      <c r="Q248" s="201"/>
      <c r="R248" s="247" t="s">
        <v>632</v>
      </c>
      <c r="S248" s="246" t="s">
        <v>633</v>
      </c>
      <c r="T248" s="201"/>
      <c r="V248" s="247" t="s">
        <v>632</v>
      </c>
      <c r="W248" s="246" t="s">
        <v>633</v>
      </c>
    </row>
    <row r="249" spans="7:23">
      <c r="G249" s="1210"/>
      <c r="H249" s="248" t="s">
        <v>251</v>
      </c>
      <c r="I249" s="249">
        <f>Westland!$C$118</f>
        <v>17.649999999999999</v>
      </c>
      <c r="J249" s="250">
        <f>Westland!$D$118</f>
        <v>992</v>
      </c>
      <c r="K249" s="251"/>
      <c r="L249" s="249">
        <f>Westland!$G$118</f>
        <v>17.670000000000002</v>
      </c>
      <c r="M249" s="250">
        <f>Westland!$H$118</f>
        <v>120</v>
      </c>
      <c r="N249" s="251"/>
      <c r="O249" s="249">
        <f>Westland!$K$118</f>
        <v>19.88</v>
      </c>
      <c r="P249" s="250">
        <f>Westland!$L$118</f>
        <v>877</v>
      </c>
      <c r="Q249" s="251"/>
      <c r="R249" s="249">
        <f>Westland!O118</f>
        <v>22.1</v>
      </c>
      <c r="S249" s="250">
        <f>Westland!P118</f>
        <v>285</v>
      </c>
      <c r="T249" s="251"/>
      <c r="V249" s="249">
        <f>Westland!W118</f>
        <v>20.32</v>
      </c>
      <c r="W249" s="250">
        <f>Westland!X118</f>
        <v>427.33333333333331</v>
      </c>
    </row>
    <row r="250" spans="7:23">
      <c r="G250" s="1210"/>
      <c r="H250" s="248" t="s">
        <v>252</v>
      </c>
      <c r="I250" s="252">
        <f>Westland!$C$119</f>
        <v>25.5</v>
      </c>
      <c r="J250" s="253">
        <f>Westland!$D$119</f>
        <v>318</v>
      </c>
      <c r="K250" s="251"/>
      <c r="L250" s="252">
        <f>Westland!$G$119</f>
        <v>25.53</v>
      </c>
      <c r="M250" s="253">
        <f>Westland!$H$119</f>
        <v>606</v>
      </c>
      <c r="N250" s="251"/>
      <c r="O250" s="252">
        <f>Westland!$K$119</f>
        <v>28.72</v>
      </c>
      <c r="P250" s="253">
        <f>Westland!$L$119</f>
        <v>261</v>
      </c>
      <c r="Q250" s="251"/>
      <c r="R250" s="252">
        <f>Westland!O119</f>
        <v>31.92</v>
      </c>
      <c r="S250" s="253">
        <f>Westland!P119</f>
        <v>3294</v>
      </c>
      <c r="T250" s="251"/>
      <c r="V250" s="252">
        <f>Westland!W119</f>
        <v>29.35</v>
      </c>
      <c r="W250" s="253">
        <f>Westland!X119</f>
        <v>1387</v>
      </c>
    </row>
    <row r="251" spans="7:23">
      <c r="G251" s="1210"/>
      <c r="H251" s="248" t="s">
        <v>253</v>
      </c>
      <c r="I251" s="254">
        <f>Westland!$C$120</f>
        <v>29.903568607247124</v>
      </c>
      <c r="J251" s="255">
        <f>Westland!$D$120</f>
        <v>2911.5</v>
      </c>
      <c r="K251" s="251"/>
      <c r="L251" s="254">
        <f>Westland!$G$120</f>
        <v>30.64</v>
      </c>
      <c r="M251" s="255">
        <f>Westland!$H$120</f>
        <v>2594</v>
      </c>
      <c r="N251" s="251"/>
      <c r="O251" s="254">
        <f>Westland!$K$120</f>
        <v>33.797747466874512</v>
      </c>
      <c r="P251" s="255">
        <f>Westland!$L$120</f>
        <v>1283</v>
      </c>
      <c r="Q251" s="251"/>
      <c r="R251" s="254">
        <f>Westland!O120</f>
        <v>36.904869109947654</v>
      </c>
      <c r="S251" s="255">
        <f>Westland!P120</f>
        <v>955</v>
      </c>
      <c r="T251" s="251"/>
      <c r="V251" s="254">
        <f>Westland!W120</f>
        <v>34.782665562913905</v>
      </c>
      <c r="W251" s="255">
        <f>Westland!X120</f>
        <v>1610.6666666666667</v>
      </c>
    </row>
    <row r="252" spans="7:23">
      <c r="G252" s="1210"/>
      <c r="H252" s="248" t="s">
        <v>255</v>
      </c>
      <c r="I252" s="256">
        <f>Westland!$C$121</f>
        <v>80.586181254841222</v>
      </c>
      <c r="J252" s="257">
        <f>Westland!$D$121</f>
        <v>2582</v>
      </c>
      <c r="K252" s="251"/>
      <c r="L252" s="256">
        <f>Westland!$G$121</f>
        <v>71.944727238875444</v>
      </c>
      <c r="M252" s="257">
        <f>Westland!$H$121</f>
        <v>2685.5</v>
      </c>
      <c r="N252" s="251"/>
      <c r="O252" s="256">
        <f>Westland!$K$121</f>
        <v>94.05188481675394</v>
      </c>
      <c r="P252" s="257">
        <f>Westland!$L$121</f>
        <v>2865</v>
      </c>
      <c r="Q252" s="251"/>
      <c r="R252" s="256">
        <f>Westland!O121</f>
        <v>97.246283851554679</v>
      </c>
      <c r="S252" s="257">
        <f>Westland!P121</f>
        <v>1994</v>
      </c>
      <c r="T252" s="251"/>
      <c r="V252" s="256">
        <f>Westland!W121</f>
        <v>89.571230697859363</v>
      </c>
      <c r="W252" s="257">
        <f>Westland!X121</f>
        <v>2514.833333333333</v>
      </c>
    </row>
    <row r="253" spans="7:23">
      <c r="G253" s="1210"/>
      <c r="H253" s="260" t="s">
        <v>254</v>
      </c>
      <c r="I253" s="267">
        <f>Westland!$C$122</f>
        <v>147.93595425496011</v>
      </c>
      <c r="J253" s="268">
        <f>Westland!$D$122</f>
        <v>855.27741134476605</v>
      </c>
      <c r="K253" s="251"/>
      <c r="L253" s="267">
        <f>Westland!$G$122</f>
        <v>178.53136094674556</v>
      </c>
      <c r="M253" s="268">
        <f>Westland!$H$122</f>
        <v>338</v>
      </c>
      <c r="N253" s="251"/>
      <c r="O253" s="267">
        <f>Westland!$K$122</f>
        <v>159.46302702702701</v>
      </c>
      <c r="P253" s="268">
        <f>Westland!$L$122</f>
        <v>1850</v>
      </c>
      <c r="Q253" s="251"/>
      <c r="R253" s="267">
        <f>Westland!O122</f>
        <v>161.29</v>
      </c>
      <c r="S253" s="268">
        <f>Westland!P122</f>
        <v>260</v>
      </c>
      <c r="T253" s="251"/>
      <c r="V253" s="267">
        <f>Westland!W122</f>
        <v>167.24179738562088</v>
      </c>
      <c r="W253" s="268">
        <f>Westland!X122</f>
        <v>816.00000000000011</v>
      </c>
    </row>
  </sheetData>
  <mergeCells count="128">
    <mergeCell ref="V238:W238"/>
    <mergeCell ref="I247:J247"/>
    <mergeCell ref="L247:M247"/>
    <mergeCell ref="O247:P247"/>
    <mergeCell ref="R247:S247"/>
    <mergeCell ref="V247:W247"/>
    <mergeCell ref="G225:G253"/>
    <mergeCell ref="I226:J226"/>
    <mergeCell ref="L226:M226"/>
    <mergeCell ref="O226:P226"/>
    <mergeCell ref="R226:S226"/>
    <mergeCell ref="V226:W226"/>
    <mergeCell ref="I238:J238"/>
    <mergeCell ref="L238:M238"/>
    <mergeCell ref="O238:P238"/>
    <mergeCell ref="R238:S238"/>
    <mergeCell ref="V207:W207"/>
    <mergeCell ref="I216:J216"/>
    <mergeCell ref="L216:M216"/>
    <mergeCell ref="O216:P216"/>
    <mergeCell ref="R216:S216"/>
    <mergeCell ref="V216:W216"/>
    <mergeCell ref="G194:G222"/>
    <mergeCell ref="I195:J195"/>
    <mergeCell ref="L195:M195"/>
    <mergeCell ref="O195:P195"/>
    <mergeCell ref="R195:S195"/>
    <mergeCell ref="V195:W195"/>
    <mergeCell ref="I207:J207"/>
    <mergeCell ref="L207:M207"/>
    <mergeCell ref="O207:P207"/>
    <mergeCell ref="R207:S207"/>
    <mergeCell ref="V176:W176"/>
    <mergeCell ref="I185:J185"/>
    <mergeCell ref="L185:M185"/>
    <mergeCell ref="O185:P185"/>
    <mergeCell ref="R185:S185"/>
    <mergeCell ref="V185:W185"/>
    <mergeCell ref="G163:G191"/>
    <mergeCell ref="I164:J164"/>
    <mergeCell ref="L164:M164"/>
    <mergeCell ref="O164:P164"/>
    <mergeCell ref="R164:S164"/>
    <mergeCell ref="V164:W164"/>
    <mergeCell ref="I176:J176"/>
    <mergeCell ref="L176:M176"/>
    <mergeCell ref="O176:P176"/>
    <mergeCell ref="R176:S176"/>
    <mergeCell ref="V145:W145"/>
    <mergeCell ref="I154:J154"/>
    <mergeCell ref="L154:M154"/>
    <mergeCell ref="O154:P154"/>
    <mergeCell ref="R154:S154"/>
    <mergeCell ref="V154:W154"/>
    <mergeCell ref="G132:G160"/>
    <mergeCell ref="I133:J133"/>
    <mergeCell ref="L133:M133"/>
    <mergeCell ref="O133:P133"/>
    <mergeCell ref="R133:S133"/>
    <mergeCell ref="V133:W133"/>
    <mergeCell ref="I145:J145"/>
    <mergeCell ref="L145:M145"/>
    <mergeCell ref="O145:P145"/>
    <mergeCell ref="R145:S145"/>
    <mergeCell ref="V114:W114"/>
    <mergeCell ref="I123:J123"/>
    <mergeCell ref="L123:M123"/>
    <mergeCell ref="O123:P123"/>
    <mergeCell ref="R123:S123"/>
    <mergeCell ref="V123:W123"/>
    <mergeCell ref="G101:G129"/>
    <mergeCell ref="I102:J102"/>
    <mergeCell ref="L102:M102"/>
    <mergeCell ref="O102:P102"/>
    <mergeCell ref="R102:S102"/>
    <mergeCell ref="V102:W102"/>
    <mergeCell ref="I114:J114"/>
    <mergeCell ref="L114:M114"/>
    <mergeCell ref="O114:P114"/>
    <mergeCell ref="R114:S114"/>
    <mergeCell ref="V83:W83"/>
    <mergeCell ref="I92:J92"/>
    <mergeCell ref="L92:M92"/>
    <mergeCell ref="O92:P92"/>
    <mergeCell ref="R92:S92"/>
    <mergeCell ref="V92:W92"/>
    <mergeCell ref="G70:G98"/>
    <mergeCell ref="I71:J71"/>
    <mergeCell ref="L71:M71"/>
    <mergeCell ref="O71:P71"/>
    <mergeCell ref="R71:S71"/>
    <mergeCell ref="V71:W71"/>
    <mergeCell ref="I83:J83"/>
    <mergeCell ref="L83:M83"/>
    <mergeCell ref="O83:P83"/>
    <mergeCell ref="R83:S83"/>
    <mergeCell ref="V52:W52"/>
    <mergeCell ref="I61:J61"/>
    <mergeCell ref="L61:M61"/>
    <mergeCell ref="O61:P61"/>
    <mergeCell ref="R61:S61"/>
    <mergeCell ref="V61:W61"/>
    <mergeCell ref="G39:G67"/>
    <mergeCell ref="I40:J40"/>
    <mergeCell ref="L40:M40"/>
    <mergeCell ref="O40:P40"/>
    <mergeCell ref="R40:S40"/>
    <mergeCell ref="V40:W40"/>
    <mergeCell ref="I52:J52"/>
    <mergeCell ref="L52:M52"/>
    <mergeCell ref="O52:P52"/>
    <mergeCell ref="R52:S52"/>
    <mergeCell ref="V22:W22"/>
    <mergeCell ref="I30:J30"/>
    <mergeCell ref="L30:M30"/>
    <mergeCell ref="O30:P30"/>
    <mergeCell ref="R30:S30"/>
    <mergeCell ref="V30:W30"/>
    <mergeCell ref="G9:G36"/>
    <mergeCell ref="I10:J10"/>
    <mergeCell ref="L10:M10"/>
    <mergeCell ref="O10:P10"/>
    <mergeCell ref="R10:S10"/>
    <mergeCell ref="V10:W10"/>
    <mergeCell ref="I22:J22"/>
    <mergeCell ref="L22:M22"/>
    <mergeCell ref="O22:P22"/>
    <mergeCell ref="R22:S22"/>
  </mergeCell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FFCC99"/>
  </sheetPr>
  <dimension ref="A2:AH285"/>
  <sheetViews>
    <sheetView showGridLines="0" zoomScale="85" zoomScaleNormal="85" workbookViewId="0">
      <pane xSplit="4" ySplit="3" topLeftCell="E4" activePane="bottomRight" state="frozen"/>
      <selection pane="topRight"/>
      <selection pane="bottomLeft"/>
      <selection pane="bottomRight" activeCell="E4" sqref="E4"/>
    </sheetView>
  </sheetViews>
  <sheetFormatPr defaultRowHeight="12.75"/>
  <cols>
    <col min="1" max="1" width="2.140625" style="217" customWidth="1"/>
    <col min="2" max="2" width="71.5703125" style="217" customWidth="1"/>
    <col min="3" max="3" width="2.140625" style="217" customWidth="1"/>
    <col min="4" max="4" width="20.140625" style="217" customWidth="1"/>
    <col min="5" max="5" width="4.5703125" style="217" customWidth="1"/>
    <col min="6" max="6" width="21.28515625" style="217" customWidth="1"/>
    <col min="7" max="14" width="17" style="217" customWidth="1"/>
    <col min="15" max="16384" width="9.140625" style="217"/>
  </cols>
  <sheetData>
    <row r="2" spans="1:34" s="1" customFormat="1" ht="18">
      <c r="B2" s="1" t="s">
        <v>921</v>
      </c>
      <c r="F2" s="47" t="s">
        <v>177</v>
      </c>
      <c r="G2" s="5" t="s">
        <v>168</v>
      </c>
      <c r="H2" s="5" t="s">
        <v>169</v>
      </c>
      <c r="I2" s="5" t="s">
        <v>170</v>
      </c>
      <c r="J2" s="5" t="s">
        <v>171</v>
      </c>
      <c r="K2" s="5" t="s">
        <v>172</v>
      </c>
      <c r="L2" s="5" t="s">
        <v>173</v>
      </c>
      <c r="M2" s="5" t="s">
        <v>174</v>
      </c>
      <c r="N2" s="5" t="s">
        <v>175</v>
      </c>
      <c r="P2" s="5" t="s">
        <v>438</v>
      </c>
    </row>
    <row r="3" spans="1:34" s="200" customFormat="1" ht="12.75" customHeight="1">
      <c r="D3" s="201"/>
      <c r="E3" s="201"/>
      <c r="F3" s="201"/>
      <c r="G3" s="202"/>
      <c r="H3" s="202"/>
      <c r="I3" s="202"/>
      <c r="J3" s="202"/>
      <c r="K3" s="202"/>
      <c r="L3" s="202"/>
      <c r="M3" s="202"/>
      <c r="N3" s="202"/>
    </row>
    <row r="4" spans="1:34" s="200" customFormat="1" ht="12.75" customHeight="1">
      <c r="B4" s="203" t="s">
        <v>626</v>
      </c>
      <c r="E4" s="203"/>
      <c r="F4" s="201"/>
      <c r="G4" s="202"/>
      <c r="H4" s="202"/>
      <c r="I4" s="202"/>
      <c r="J4" s="202"/>
      <c r="K4" s="202"/>
      <c r="L4" s="202"/>
      <c r="M4" s="202"/>
      <c r="N4" s="202"/>
    </row>
    <row r="5" spans="1:34" s="200" customFormat="1" ht="12.75" customHeight="1">
      <c r="B5" s="203"/>
      <c r="E5" s="203"/>
      <c r="F5" s="201"/>
      <c r="G5" s="202"/>
      <c r="H5" s="202"/>
      <c r="I5" s="202"/>
      <c r="J5" s="202"/>
      <c r="K5" s="202"/>
      <c r="L5" s="202"/>
      <c r="M5" s="202"/>
      <c r="N5" s="202"/>
    </row>
    <row r="6" spans="1:34" s="200" customFormat="1" ht="12.75" customHeight="1">
      <c r="B6" s="203"/>
      <c r="E6" s="203"/>
      <c r="F6" s="201"/>
      <c r="G6" s="202"/>
      <c r="H6" s="202"/>
      <c r="I6" s="202"/>
      <c r="J6" s="202"/>
      <c r="K6" s="202"/>
      <c r="L6" s="202"/>
      <c r="M6" s="202"/>
      <c r="N6" s="202"/>
    </row>
    <row r="7" spans="1:34" s="200" customFormat="1" ht="12.75" customHeight="1">
      <c r="D7" s="201"/>
      <c r="E7" s="201"/>
      <c r="F7" s="201"/>
      <c r="G7" s="202"/>
      <c r="H7" s="202"/>
      <c r="I7" s="202"/>
      <c r="J7" s="202"/>
      <c r="K7" s="202"/>
      <c r="L7" s="202"/>
      <c r="M7" s="202"/>
      <c r="N7" s="202"/>
    </row>
    <row r="8" spans="1:34" s="214" customFormat="1">
      <c r="A8" s="204"/>
      <c r="B8" s="205" t="s">
        <v>3</v>
      </c>
      <c r="C8" s="213"/>
      <c r="D8" s="213"/>
      <c r="E8" s="213"/>
      <c r="F8" s="213"/>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row>
    <row r="9" spans="1:34" s="215" customFormat="1">
      <c r="A9" s="206"/>
      <c r="B9" s="207"/>
      <c r="C9" s="214"/>
      <c r="D9" s="214"/>
      <c r="E9" s="214"/>
      <c r="F9" s="214"/>
      <c r="G9" s="206"/>
      <c r="H9" s="206"/>
      <c r="I9" s="206"/>
      <c r="J9" s="206"/>
      <c r="K9" s="206"/>
      <c r="L9" s="206"/>
      <c r="M9" s="206"/>
      <c r="N9" s="206"/>
    </row>
    <row r="10" spans="1:34">
      <c r="A10" s="215"/>
      <c r="B10" s="206" t="s">
        <v>922</v>
      </c>
      <c r="C10" s="206"/>
      <c r="D10" s="206"/>
      <c r="E10" s="206"/>
      <c r="F10" s="216"/>
      <c r="G10" s="216"/>
      <c r="J10" s="216"/>
    </row>
    <row r="11" spans="1:34">
      <c r="A11" s="215"/>
      <c r="B11" s="214" t="s">
        <v>251</v>
      </c>
      <c r="C11" s="214"/>
      <c r="D11" s="214" t="s">
        <v>334</v>
      </c>
      <c r="E11" s="214"/>
      <c r="F11" s="216"/>
      <c r="G11" s="218">
        <f>'Standaardisatie AD (per RNB)'!$I$12</f>
        <v>5.96</v>
      </c>
      <c r="H11" s="219">
        <f>'Standaardisatie AD (per RNB)'!$I$42</f>
        <v>1.92</v>
      </c>
      <c r="I11" s="219">
        <f>'Standaardisatie AD (per RNB)'!$I$73</f>
        <v>6.54</v>
      </c>
      <c r="J11" s="218">
        <f>'Standaardisatie AD (per RNB)'!$I$104</f>
        <v>3.51</v>
      </c>
      <c r="K11" s="219">
        <f>'Standaardisatie AD (per RNB)'!$I$135</f>
        <v>8.4</v>
      </c>
      <c r="L11" s="219">
        <f>'Standaardisatie AD (per RNB)'!$I$166</f>
        <v>12.64</v>
      </c>
      <c r="M11" s="219">
        <f>'Standaardisatie AD (per RNB)'!$I$197</f>
        <v>6.84</v>
      </c>
      <c r="N11" s="219">
        <f>'Standaardisatie AD (per RNB)'!$I$228</f>
        <v>2.61</v>
      </c>
    </row>
    <row r="12" spans="1:34">
      <c r="A12" s="215"/>
      <c r="B12" s="214" t="s">
        <v>252</v>
      </c>
      <c r="C12" s="214"/>
      <c r="D12" s="214" t="s">
        <v>334</v>
      </c>
      <c r="E12" s="214"/>
      <c r="F12" s="216"/>
      <c r="G12" s="218">
        <f>'Standaardisatie AD (per RNB)'!$I$13</f>
        <v>17.05</v>
      </c>
      <c r="H12" s="219">
        <f>'Standaardisatie AD (per RNB)'!$I$43</f>
        <v>18.809999999999999</v>
      </c>
      <c r="I12" s="219">
        <f>'Standaardisatie AD (per RNB)'!$I$74</f>
        <v>13.830000000000002</v>
      </c>
      <c r="J12" s="218">
        <f>'Standaardisatie AD (per RNB)'!$I$105</f>
        <v>28.6</v>
      </c>
      <c r="K12" s="219">
        <f>'Standaardisatie AD (per RNB)'!$I$136</f>
        <v>16.440000000000001</v>
      </c>
      <c r="L12" s="219">
        <f>'Standaardisatie AD (per RNB)'!$I$167</f>
        <v>25.56</v>
      </c>
      <c r="M12" s="219">
        <f>'Standaardisatie AD (per RNB)'!$I$198</f>
        <v>17.760000000000002</v>
      </c>
      <c r="N12" s="219">
        <f>'Standaardisatie AD (per RNB)'!$I$229</f>
        <v>13.75</v>
      </c>
    </row>
    <row r="13" spans="1:34">
      <c r="A13" s="215"/>
      <c r="B13" s="214" t="s">
        <v>253</v>
      </c>
      <c r="C13" s="214"/>
      <c r="D13" s="214" t="s">
        <v>334</v>
      </c>
      <c r="E13" s="214"/>
      <c r="F13" s="216"/>
      <c r="G13" s="218">
        <f>'Standaardisatie AD (per RNB)'!$I$14</f>
        <v>17.05</v>
      </c>
      <c r="H13" s="219">
        <f>'Standaardisatie AD (per RNB)'!$I$44</f>
        <v>30.93</v>
      </c>
      <c r="I13" s="219">
        <f>'Standaardisatie AD (per RNB)'!$I$75</f>
        <v>13.83</v>
      </c>
      <c r="J13" s="218">
        <f>'Standaardisatie AD (per RNB)'!$I$106</f>
        <v>32.6</v>
      </c>
      <c r="K13" s="219">
        <f>'Standaardisatie AD (per RNB)'!$I$137</f>
        <v>27.262787426525581</v>
      </c>
      <c r="L13" s="219">
        <f>'Standaardisatie AD (per RNB)'!$I$168</f>
        <v>41.45</v>
      </c>
      <c r="M13" s="219">
        <f>'Standaardisatie AD (per RNB)'!$I$199</f>
        <v>36.24</v>
      </c>
      <c r="N13" s="219">
        <f>'Standaardisatie AD (per RNB)'!$I$230</f>
        <v>36.466657409347135</v>
      </c>
    </row>
    <row r="14" spans="1:34">
      <c r="A14" s="215"/>
      <c r="B14" s="214" t="s">
        <v>255</v>
      </c>
      <c r="C14" s="214"/>
      <c r="D14" s="214" t="s">
        <v>334</v>
      </c>
      <c r="E14" s="214"/>
      <c r="F14" s="216"/>
      <c r="G14" s="218">
        <f>'Standaardisatie AD (per RNB)'!$I$15</f>
        <v>20.46</v>
      </c>
      <c r="H14" s="219">
        <f>'Standaardisatie AD (per RNB)'!$I$45</f>
        <v>129.44999999999999</v>
      </c>
      <c r="I14" s="219">
        <f>'Standaardisatie AD (per RNB)'!$I$76</f>
        <v>212.43</v>
      </c>
      <c r="J14" s="218">
        <f>'Standaardisatie AD (per RNB)'!$I$107</f>
        <v>155</v>
      </c>
      <c r="K14" s="219">
        <f>'Standaardisatie AD (per RNB)'!$I$138</f>
        <v>116.08458782158931</v>
      </c>
      <c r="L14" s="219">
        <f>'Standaardisatie AD (per RNB)'!$I$169</f>
        <v>41.45</v>
      </c>
      <c r="M14" s="219">
        <f>'Standaardisatie AD (per RNB)'!$I$200</f>
        <v>51.6</v>
      </c>
      <c r="N14" s="219">
        <f>'Standaardisatie AD (per RNB)'!$I$231</f>
        <v>175.91007784851618</v>
      </c>
    </row>
    <row r="15" spans="1:34">
      <c r="A15" s="215"/>
      <c r="B15" s="214" t="s">
        <v>261</v>
      </c>
      <c r="C15" s="214"/>
      <c r="D15" s="214" t="s">
        <v>334</v>
      </c>
      <c r="E15" s="214"/>
      <c r="F15" s="216"/>
      <c r="G15" s="218">
        <f>'Standaardisatie AD (per RNB)'!$I$16</f>
        <v>416.16949790794979</v>
      </c>
      <c r="H15" s="219">
        <f>'Standaardisatie AD (per RNB)'!$I$46</f>
        <v>894.2700000000001</v>
      </c>
      <c r="I15" s="219">
        <f>'Standaardisatie AD (per RNB)'!$I$77</f>
        <v>610.76</v>
      </c>
      <c r="J15" s="218">
        <f>'Standaardisatie AD (per RNB)'!$I$108</f>
        <v>616</v>
      </c>
      <c r="K15" s="219">
        <f>'Standaardisatie AD (per RNB)'!$I$139</f>
        <v>685.57685831784079</v>
      </c>
      <c r="L15" s="219">
        <f>'Standaardisatie AD (per RNB)'!$I$170</f>
        <v>224.40633770340602</v>
      </c>
      <c r="M15" s="219">
        <f>'Standaardisatie AD (per RNB)'!$I$201</f>
        <v>463.92</v>
      </c>
      <c r="N15" s="219">
        <f>'Standaardisatie AD (per RNB)'!$I$232</f>
        <v>1333.5055782810937</v>
      </c>
    </row>
    <row r="16" spans="1:34">
      <c r="A16" s="215"/>
      <c r="B16" s="214" t="s">
        <v>262</v>
      </c>
      <c r="C16" s="214"/>
      <c r="D16" s="214" t="s">
        <v>334</v>
      </c>
      <c r="E16" s="214"/>
      <c r="F16" s="216"/>
      <c r="G16" s="218">
        <f>'Standaardisatie AD (per RNB)'!$I$17</f>
        <v>0</v>
      </c>
      <c r="H16" s="219">
        <f>'Standaardisatie AD (per RNB)'!$I$47</f>
        <v>5958.84</v>
      </c>
      <c r="I16" s="219">
        <f>'Standaardisatie AD (per RNB)'!$I$78</f>
        <v>2586.864950307137</v>
      </c>
      <c r="J16" s="218">
        <f>'Standaardisatie AD (per RNB)'!$I$109</f>
        <v>1704.296613774236</v>
      </c>
      <c r="K16" s="219">
        <f>'Standaardisatie AD (per RNB)'!$I$140</f>
        <v>7638.4377877729094</v>
      </c>
      <c r="L16" s="219">
        <f>'Standaardisatie AD (per RNB)'!$I$171</f>
        <v>1599.35</v>
      </c>
      <c r="M16" s="219">
        <f>'Standaardisatie AD (per RNB)'!$I$202</f>
        <v>5235.669585798817</v>
      </c>
      <c r="N16" s="219">
        <f>'Standaardisatie AD (per RNB)'!$I$233</f>
        <v>5222.28</v>
      </c>
    </row>
    <row r="17" spans="1:14">
      <c r="A17" s="215"/>
      <c r="B17" s="214"/>
      <c r="C17" s="214"/>
      <c r="D17" s="214"/>
      <c r="E17" s="214"/>
      <c r="F17" s="216"/>
      <c r="G17" s="220"/>
      <c r="H17" s="221"/>
      <c r="I17" s="221"/>
      <c r="J17" s="220"/>
      <c r="K17" s="221"/>
      <c r="L17" s="221"/>
      <c r="M17" s="221"/>
      <c r="N17" s="221"/>
    </row>
    <row r="18" spans="1:14">
      <c r="A18" s="215"/>
      <c r="B18" s="214" t="s">
        <v>1096</v>
      </c>
      <c r="C18" s="214"/>
      <c r="D18" s="214" t="s">
        <v>334</v>
      </c>
      <c r="E18" s="214"/>
      <c r="F18" s="216"/>
      <c r="G18" s="218" t="e">
        <f>'Standaardisatie AD (per RNB)'!$I$19</f>
        <v>#DIV/0!</v>
      </c>
      <c r="H18" s="219">
        <f>'Standaardisatie AD (per RNB)'!$I$49</f>
        <v>1.44</v>
      </c>
      <c r="I18" s="219">
        <f>'Standaardisatie AD (per RNB)'!$I$80</f>
        <v>3</v>
      </c>
      <c r="J18" s="218">
        <f>'Standaardisatie AD (per RNB)'!$I$111</f>
        <v>2.3751464480819537</v>
      </c>
      <c r="K18" s="219">
        <f>'Standaardisatie AD (per RNB)'!$I$142</f>
        <v>1.5</v>
      </c>
      <c r="L18" s="219">
        <f>'Standaardisatie AD (per RNB)'!$I$173</f>
        <v>13.64</v>
      </c>
      <c r="M18" s="219">
        <f>'Standaardisatie AD (per RNB)'!$I$204</f>
        <v>5.85</v>
      </c>
      <c r="N18" s="219">
        <f>'Standaardisatie AD (per RNB)'!$I$235</f>
        <v>3.87</v>
      </c>
    </row>
    <row r="19" spans="1:14">
      <c r="A19" s="215"/>
      <c r="B19" s="214"/>
      <c r="C19" s="214"/>
      <c r="D19" s="214"/>
      <c r="E19" s="214"/>
      <c r="F19" s="216"/>
      <c r="G19" s="220"/>
      <c r="H19" s="221"/>
      <c r="I19" s="221"/>
      <c r="J19" s="220"/>
      <c r="K19" s="221"/>
      <c r="L19" s="221"/>
      <c r="M19" s="221"/>
      <c r="N19" s="221"/>
    </row>
    <row r="20" spans="1:14">
      <c r="A20" s="215"/>
      <c r="B20" s="206" t="s">
        <v>923</v>
      </c>
      <c r="C20" s="206"/>
      <c r="D20" s="214"/>
      <c r="E20" s="214"/>
      <c r="F20" s="216"/>
      <c r="G20" s="220"/>
      <c r="H20" s="221"/>
      <c r="I20" s="221"/>
      <c r="J20" s="220"/>
      <c r="K20" s="221"/>
      <c r="L20" s="221"/>
      <c r="M20" s="221"/>
      <c r="N20" s="221"/>
    </row>
    <row r="21" spans="1:14">
      <c r="A21" s="215"/>
      <c r="B21" s="206" t="s">
        <v>328</v>
      </c>
      <c r="C21" s="214"/>
      <c r="E21" s="206"/>
      <c r="F21" s="216"/>
      <c r="G21" s="220"/>
      <c r="H21" s="221"/>
      <c r="I21" s="221"/>
      <c r="J21" s="220"/>
      <c r="K21" s="221"/>
      <c r="L21" s="221"/>
      <c r="M21" s="221"/>
      <c r="N21" s="221"/>
    </row>
    <row r="22" spans="1:14">
      <c r="A22" s="215"/>
      <c r="B22" s="222" t="s">
        <v>251</v>
      </c>
      <c r="C22" s="214"/>
      <c r="D22" s="214" t="s">
        <v>334</v>
      </c>
      <c r="E22" s="222"/>
      <c r="F22" s="216"/>
      <c r="G22" s="218">
        <f>'Standaardisatie AD (per RNB)'!$I$24</f>
        <v>424.02</v>
      </c>
      <c r="H22" s="218">
        <f>'Standaardisatie AD (per RNB)'!$I$54</f>
        <v>299.97000000000003</v>
      </c>
      <c r="I22" s="218">
        <f>'Standaardisatie AD (per RNB)'!$I$85</f>
        <v>361.28090909090906</v>
      </c>
      <c r="J22" s="218">
        <f>'Standaardisatie AD (per RNB)'!$I$116</f>
        <v>310</v>
      </c>
      <c r="K22" s="218">
        <f>'Standaardisatie AD (per RNB)'!$I$147</f>
        <v>341</v>
      </c>
      <c r="L22" s="218">
        <f>'Standaardisatie AD (per RNB)'!$I$178</f>
        <v>366.84</v>
      </c>
      <c r="M22" s="218">
        <f>'Standaardisatie AD (per RNB)'!$I$209</f>
        <v>348.79</v>
      </c>
      <c r="N22" s="218">
        <f>'Standaardisatie AD (per RNB)'!$I$240</f>
        <v>356.17</v>
      </c>
    </row>
    <row r="23" spans="1:14">
      <c r="A23" s="215"/>
      <c r="B23" s="222" t="s">
        <v>252</v>
      </c>
      <c r="C23" s="214"/>
      <c r="D23" s="214" t="s">
        <v>334</v>
      </c>
      <c r="E23" s="222"/>
      <c r="F23" s="216"/>
      <c r="G23" s="218">
        <f>'Standaardisatie AD (per RNB)'!$I$25</f>
        <v>604.57000000000005</v>
      </c>
      <c r="H23" s="218">
        <f>'Standaardisatie AD (per RNB)'!$I$55</f>
        <v>569.5</v>
      </c>
      <c r="I23" s="218">
        <f>'Standaardisatie AD (per RNB)'!$I$86</f>
        <v>466.80005614823136</v>
      </c>
      <c r="J23" s="218">
        <f>'Standaardisatie AD (per RNB)'!$I$117</f>
        <v>595</v>
      </c>
      <c r="K23" s="218">
        <f>'Standaardisatie AD (per RNB)'!$I$148</f>
        <v>565.95000000000005</v>
      </c>
      <c r="L23" s="218">
        <f>'Standaardisatie AD (per RNB)'!$I$179</f>
        <v>620.97</v>
      </c>
      <c r="M23" s="218">
        <f>'Standaardisatie AD (per RNB)'!$I$210</f>
        <v>510.18</v>
      </c>
      <c r="N23" s="218">
        <f>'Standaardisatie AD (per RNB)'!$I$241</f>
        <v>677.97</v>
      </c>
    </row>
    <row r="24" spans="1:14">
      <c r="A24" s="215"/>
      <c r="B24" s="222" t="s">
        <v>253</v>
      </c>
      <c r="C24" s="214"/>
      <c r="D24" s="214" t="s">
        <v>334</v>
      </c>
      <c r="E24" s="222"/>
      <c r="F24" s="216"/>
      <c r="G24" s="218">
        <f>'Standaardisatie AD (per RNB)'!$I$26</f>
        <v>969.47</v>
      </c>
      <c r="H24" s="218">
        <f>'Standaardisatie AD (per RNB)'!$I$56</f>
        <v>911.6001960784314</v>
      </c>
      <c r="I24" s="218">
        <f>'Standaardisatie AD (per RNB)'!$I$87</f>
        <v>804.53493087557615</v>
      </c>
      <c r="J24" s="218">
        <f>'Standaardisatie AD (per RNB)'!$I$118</f>
        <v>783.56694822382531</v>
      </c>
      <c r="K24" s="218">
        <f>'Standaardisatie AD (per RNB)'!$I$149</f>
        <v>949.27416595380669</v>
      </c>
      <c r="L24" s="218">
        <f>'Standaardisatie AD (per RNB)'!$I$180</f>
        <v>955.22235294117638</v>
      </c>
      <c r="M24" s="218">
        <f>'Standaardisatie AD (per RNB)'!$I$211</f>
        <v>851.57578083076874</v>
      </c>
      <c r="N24" s="218">
        <f>'Standaardisatie AD (per RNB)'!$I$242</f>
        <v>916.15351851851858</v>
      </c>
    </row>
    <row r="25" spans="1:14">
      <c r="A25" s="215"/>
      <c r="B25" s="222" t="s">
        <v>255</v>
      </c>
      <c r="C25" s="214"/>
      <c r="D25" s="214" t="s">
        <v>334</v>
      </c>
      <c r="E25" s="222"/>
      <c r="F25" s="216"/>
      <c r="G25" s="218">
        <f>'Standaardisatie AD (per RNB)'!$I$27</f>
        <v>7620.7501583473295</v>
      </c>
      <c r="H25" s="218">
        <f>'Standaardisatie AD (per RNB)'!$I$57</f>
        <v>5767.557959183674</v>
      </c>
      <c r="I25" s="218">
        <f>'Standaardisatie AD (per RNB)'!$I$88</f>
        <v>6024.8714545454541</v>
      </c>
      <c r="J25" s="218">
        <f>'Standaardisatie AD (per RNB)'!$I$119</f>
        <v>5070.9755136535186</v>
      </c>
      <c r="K25" s="218">
        <f>'Standaardisatie AD (per RNB)'!$I$150</f>
        <v>7673.0541401273886</v>
      </c>
      <c r="L25" s="218">
        <f>'Standaardisatie AD (per RNB)'!$I$181</f>
        <v>5663.8833333333341</v>
      </c>
      <c r="M25" s="218">
        <f>'Standaardisatie AD (per RNB)'!$I$212</f>
        <v>7642.8261091343747</v>
      </c>
      <c r="N25" s="218">
        <f>'Standaardisatie AD (per RNB)'!$I$243</f>
        <v>5499.5725000000002</v>
      </c>
    </row>
    <row r="26" spans="1:14">
      <c r="A26" s="215"/>
      <c r="B26" s="222" t="s">
        <v>254</v>
      </c>
      <c r="C26" s="214"/>
      <c r="D26" s="214" t="s">
        <v>334</v>
      </c>
      <c r="E26" s="222"/>
      <c r="F26" s="216"/>
      <c r="G26" s="218">
        <f>'Standaardisatie AD (per RNB)'!$I$28</f>
        <v>0</v>
      </c>
      <c r="H26" s="218">
        <f>'Standaardisatie AD (per RNB)'!$I$58</f>
        <v>79319.244545454538</v>
      </c>
      <c r="I26" s="218">
        <f>'Standaardisatie AD (per RNB)'!$I$89</f>
        <v>23227.39</v>
      </c>
      <c r="J26" s="218">
        <f>'Standaardisatie AD (per RNB)'!$I$120</f>
        <v>35983.565515262329</v>
      </c>
      <c r="K26" s="218">
        <f>'Standaardisatie AD (per RNB)'!$I$151</f>
        <v>92183.117647058825</v>
      </c>
      <c r="L26" s="218" t="e">
        <f>'Standaardisatie AD (per RNB)'!$I$182</f>
        <v>#DIV/0!</v>
      </c>
      <c r="M26" s="218">
        <f>'Standaardisatie AD (per RNB)'!$I$213</f>
        <v>80991.585943571772</v>
      </c>
      <c r="N26" s="218">
        <f>'Standaardisatie AD (per RNB)'!$I$244</f>
        <v>52308.988695652173</v>
      </c>
    </row>
    <row r="27" spans="1:14">
      <c r="A27" s="215"/>
      <c r="B27" s="214"/>
      <c r="C27" s="214"/>
      <c r="E27" s="214"/>
      <c r="F27" s="216"/>
      <c r="G27" s="220"/>
      <c r="H27" s="220"/>
      <c r="I27" s="220"/>
      <c r="J27" s="220"/>
      <c r="K27" s="220"/>
      <c r="L27" s="220"/>
      <c r="M27" s="220"/>
      <c r="N27" s="220"/>
    </row>
    <row r="28" spans="1:14">
      <c r="A28" s="215"/>
      <c r="B28" s="206" t="s">
        <v>329</v>
      </c>
      <c r="C28" s="214"/>
      <c r="E28" s="206"/>
      <c r="F28" s="216"/>
      <c r="G28" s="220"/>
      <c r="H28" s="220"/>
      <c r="I28" s="220"/>
      <c r="J28" s="220"/>
      <c r="K28" s="220"/>
      <c r="L28" s="220"/>
      <c r="M28" s="220"/>
      <c r="N28" s="220"/>
    </row>
    <row r="29" spans="1:14">
      <c r="A29" s="215"/>
      <c r="B29" s="222" t="s">
        <v>251</v>
      </c>
      <c r="C29" s="214"/>
      <c r="D29" s="214" t="s">
        <v>334</v>
      </c>
      <c r="E29" s="222"/>
      <c r="F29" s="216"/>
      <c r="G29" s="219">
        <f>'Standaardisatie AD (per RNB)'!$I$32</f>
        <v>21.89</v>
      </c>
      <c r="H29" s="218">
        <f>'Standaardisatie AD (per RNB)'!$I$63</f>
        <v>14.86</v>
      </c>
      <c r="I29" s="218">
        <f>'Standaardisatie AD (per RNB)'!I94</f>
        <v>23.97</v>
      </c>
      <c r="J29" s="218">
        <f>'Standaardisatie AD (per RNB)'!$I$125</f>
        <v>15</v>
      </c>
      <c r="K29" s="218">
        <f>'Standaardisatie AD (per RNB)'!$I$156</f>
        <v>16.93</v>
      </c>
      <c r="L29" s="218">
        <f>'Standaardisatie AD (per RNB)'!$I$187</f>
        <v>18.18</v>
      </c>
      <c r="M29" s="218">
        <f>'Standaardisatie AD (per RNB)'!$I$218</f>
        <v>16.21</v>
      </c>
      <c r="N29" s="218">
        <f>'Standaardisatie AD (per RNB)'!$I$249</f>
        <v>17.649999999999999</v>
      </c>
    </row>
    <row r="30" spans="1:14">
      <c r="A30" s="215"/>
      <c r="B30" s="222" t="s">
        <v>252</v>
      </c>
      <c r="C30" s="214"/>
      <c r="D30" s="214" t="s">
        <v>334</v>
      </c>
      <c r="E30" s="222"/>
      <c r="F30" s="216"/>
      <c r="G30" s="218">
        <f>'Standaardisatie AD (per RNB)'!$I$33</f>
        <v>17.28</v>
      </c>
      <c r="H30" s="218">
        <f>'Standaardisatie AD (per RNB)'!$I$64</f>
        <v>24.18</v>
      </c>
      <c r="I30" s="218">
        <f>'Standaardisatie AD (per RNB)'!I95</f>
        <v>25.003599999999999</v>
      </c>
      <c r="J30" s="218">
        <f>'Standaardisatie AD (per RNB)'!$I$126</f>
        <v>17</v>
      </c>
      <c r="K30" s="218">
        <f>'Standaardisatie AD (per RNB)'!$I$157</f>
        <v>22.37</v>
      </c>
      <c r="L30" s="218">
        <f>'Standaardisatie AD (per RNB)'!$I$188</f>
        <v>21.31</v>
      </c>
      <c r="M30" s="218">
        <f>'Standaardisatie AD (per RNB)'!$I$219</f>
        <v>22.41</v>
      </c>
      <c r="N30" s="218">
        <f>'Standaardisatie AD (per RNB)'!$I$250</f>
        <v>25.5</v>
      </c>
    </row>
    <row r="31" spans="1:14">
      <c r="A31" s="215"/>
      <c r="B31" s="222" t="s">
        <v>253</v>
      </c>
      <c r="C31" s="214"/>
      <c r="D31" s="214" t="s">
        <v>334</v>
      </c>
      <c r="E31" s="222"/>
      <c r="F31" s="216"/>
      <c r="G31" s="218">
        <f>'Standaardisatie AD (per RNB)'!$I$34</f>
        <v>24.2</v>
      </c>
      <c r="H31" s="218">
        <f>'Standaardisatie AD (per RNB)'!$I$65</f>
        <v>30.917757575757577</v>
      </c>
      <c r="I31" s="218">
        <f>'Standaardisatie AD (per RNB)'!I96</f>
        <v>41.49341402929921</v>
      </c>
      <c r="J31" s="218">
        <f>'Standaardisatie AD (per RNB)'!$I$127</f>
        <v>22</v>
      </c>
      <c r="K31" s="218">
        <f>'Standaardisatie AD (per RNB)'!$I$158</f>
        <v>29.709231775002667</v>
      </c>
      <c r="L31" s="218">
        <f>'Standaardisatie AD (per RNB)'!$I$189</f>
        <v>27.327407407407406</v>
      </c>
      <c r="M31" s="218">
        <f>'Standaardisatie AD (per RNB)'!$I$220</f>
        <v>30.880147554505786</v>
      </c>
      <c r="N31" s="218">
        <f>'Standaardisatie AD (per RNB)'!$I$251</f>
        <v>29.903568607247124</v>
      </c>
    </row>
    <row r="32" spans="1:14">
      <c r="A32" s="215"/>
      <c r="B32" s="222" t="s">
        <v>255</v>
      </c>
      <c r="C32" s="214"/>
      <c r="D32" s="214" t="s">
        <v>334</v>
      </c>
      <c r="E32" s="222"/>
      <c r="F32" s="216"/>
      <c r="G32" s="218">
        <f>'Standaardisatie AD (per RNB)'!$I$35</f>
        <v>42.664182655637397</v>
      </c>
      <c r="H32" s="218">
        <f>'Standaardisatie AD (per RNB)'!$I$66</f>
        <v>51.217625114934982</v>
      </c>
      <c r="I32" s="218">
        <f>'Standaardisatie AD (per RNB)'!I97</f>
        <v>58.053020692322562</v>
      </c>
      <c r="J32" s="218">
        <f>'Standaardisatie AD (per RNB)'!$I$128</f>
        <v>32.891843967542812</v>
      </c>
      <c r="K32" s="218">
        <f>'Standaardisatie AD (per RNB)'!$I$159</f>
        <v>62.653204945759938</v>
      </c>
      <c r="L32" s="218">
        <f>'Standaardisatie AD (per RNB)'!$I$190</f>
        <v>45.506176046176044</v>
      </c>
      <c r="M32" s="218">
        <f>'Standaardisatie AD (per RNB)'!$I$221</f>
        <v>53.814533210860375</v>
      </c>
      <c r="N32" s="218">
        <f>'Standaardisatie AD (per RNB)'!$I$252</f>
        <v>80.586181254841222</v>
      </c>
    </row>
    <row r="33" spans="1:34">
      <c r="A33" s="215"/>
      <c r="B33" s="222" t="s">
        <v>254</v>
      </c>
      <c r="C33" s="214"/>
      <c r="D33" s="214" t="s">
        <v>334</v>
      </c>
      <c r="E33" s="222"/>
      <c r="F33" s="216"/>
      <c r="G33" s="218">
        <f>'Standaardisatie AD (per RNB)'!$I$36</f>
        <v>0</v>
      </c>
      <c r="H33" s="218">
        <f>'Standaardisatie AD (per RNB)'!$I$67</f>
        <v>120.2580426298409</v>
      </c>
      <c r="I33" s="218" t="e">
        <f>'Standaardisatie AD (per RNB)'!I98</f>
        <v>#DIV/0!</v>
      </c>
      <c r="J33" s="218">
        <f>'Standaardisatie AD (per RNB)'!$I$129</f>
        <v>107.72320849559387</v>
      </c>
      <c r="K33" s="218">
        <f>'Standaardisatie AD (per RNB)'!$I$160</f>
        <v>135.04774497722269</v>
      </c>
      <c r="L33" s="218" t="e">
        <f>'Standaardisatie AD (per RNB)'!$I$191</f>
        <v>#DIV/0!</v>
      </c>
      <c r="M33" s="218">
        <f>'Standaardisatie AD (per RNB)'!$I$222</f>
        <v>147.54096842427572</v>
      </c>
      <c r="N33" s="218">
        <f>'Standaardisatie AD (per RNB)'!$I$253</f>
        <v>147.93595425496011</v>
      </c>
    </row>
    <row r="34" spans="1:34">
      <c r="A34" s="215"/>
      <c r="B34" s="214"/>
      <c r="C34" s="214"/>
      <c r="D34" s="222"/>
      <c r="E34" s="222"/>
      <c r="F34" s="222"/>
      <c r="G34" s="222"/>
      <c r="H34" s="222"/>
      <c r="I34" s="222"/>
      <c r="J34" s="222"/>
      <c r="K34" s="222"/>
      <c r="L34" s="222"/>
      <c r="M34" s="222"/>
      <c r="N34" s="222"/>
      <c r="O34" s="222"/>
    </row>
    <row r="35" spans="1:34">
      <c r="A35" s="215"/>
      <c r="B35" s="214"/>
      <c r="C35" s="214"/>
      <c r="D35" s="222"/>
      <c r="E35" s="222"/>
      <c r="F35" s="222"/>
      <c r="G35" s="222"/>
      <c r="H35" s="222"/>
      <c r="I35" s="222"/>
      <c r="J35" s="222"/>
      <c r="K35" s="222"/>
      <c r="L35" s="222"/>
      <c r="M35" s="222"/>
      <c r="N35" s="222"/>
      <c r="O35" s="222"/>
    </row>
    <row r="36" spans="1:34">
      <c r="A36" s="204"/>
      <c r="B36" s="205" t="s">
        <v>4</v>
      </c>
      <c r="C36" s="213"/>
      <c r="D36" s="213"/>
      <c r="E36" s="213"/>
      <c r="F36" s="213"/>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row>
    <row r="37" spans="1:34">
      <c r="A37" s="206"/>
      <c r="B37" s="207"/>
      <c r="C37" s="214"/>
      <c r="D37" s="214"/>
      <c r="E37" s="214"/>
      <c r="F37" s="214"/>
      <c r="G37" s="206"/>
      <c r="H37" s="206"/>
      <c r="I37" s="206"/>
      <c r="J37" s="206"/>
      <c r="K37" s="206"/>
      <c r="L37" s="206"/>
      <c r="M37" s="206"/>
      <c r="N37" s="206"/>
    </row>
    <row r="38" spans="1:34">
      <c r="A38" s="215"/>
      <c r="B38" s="206" t="s">
        <v>922</v>
      </c>
      <c r="C38" s="206"/>
      <c r="D38" s="206"/>
      <c r="E38" s="206"/>
      <c r="F38" s="216"/>
      <c r="G38" s="216"/>
      <c r="J38" s="216"/>
    </row>
    <row r="39" spans="1:34">
      <c r="A39" s="215"/>
      <c r="B39" s="214" t="s">
        <v>251</v>
      </c>
      <c r="C39" s="214"/>
      <c r="D39" s="214" t="s">
        <v>241</v>
      </c>
      <c r="E39" s="214"/>
      <c r="F39" s="216"/>
      <c r="G39" s="223">
        <f>'Standaardisatie AD (per RNB)'!$J$12</f>
        <v>22611</v>
      </c>
      <c r="H39" s="224">
        <f>'Standaardisatie AD (per RNB)'!$J$42</f>
        <v>84946</v>
      </c>
      <c r="I39" s="224">
        <f>'Standaardisatie AD (per RNB)'!$J$73</f>
        <v>44297.611249095964</v>
      </c>
      <c r="J39" s="223">
        <f>'Standaardisatie AD (per RNB)'!$J$104</f>
        <v>1062638.4827764828</v>
      </c>
      <c r="K39" s="224">
        <f>'Standaardisatie AD (per RNB)'!$J$135</f>
        <v>772155.88484414713</v>
      </c>
      <c r="L39" s="224">
        <f>'Standaardisatie AD (per RNB)'!$J$166</f>
        <v>18103</v>
      </c>
      <c r="M39" s="224">
        <f>'Standaardisatie AD (per RNB)'!$J$197</f>
        <v>569974.51022146514</v>
      </c>
      <c r="N39" s="224">
        <f>'Standaardisatie AD (per RNB)'!$J$228</f>
        <v>24409.276134309901</v>
      </c>
    </row>
    <row r="40" spans="1:34">
      <c r="A40" s="215"/>
      <c r="B40" s="214" t="s">
        <v>252</v>
      </c>
      <c r="C40" s="214"/>
      <c r="D40" s="214" t="s">
        <v>241</v>
      </c>
      <c r="E40" s="214"/>
      <c r="F40" s="216"/>
      <c r="G40" s="223">
        <f>'Standaardisatie AD (per RNB)'!$J$13</f>
        <v>50302</v>
      </c>
      <c r="H40" s="224">
        <f>'Standaardisatie AD (per RNB)'!$J$43</f>
        <v>194449.583499812</v>
      </c>
      <c r="I40" s="224">
        <f>'Standaardisatie AD (per RNB)'!$J$74</f>
        <v>99259.075222358428</v>
      </c>
      <c r="J40" s="223">
        <f>'Standaardisatie AD (per RNB)'!$J$105</f>
        <v>2405372.5004237108</v>
      </c>
      <c r="K40" s="224">
        <f>'Standaardisatie AD (per RNB)'!$J$136</f>
        <v>2710320.165338486</v>
      </c>
      <c r="L40" s="224">
        <f>'Standaardisatie AD (per RNB)'!$J$167</f>
        <v>29669</v>
      </c>
      <c r="M40" s="224">
        <f>'Standaardisatie AD (per RNB)'!$J$198</f>
        <v>1855895.1818693695</v>
      </c>
      <c r="N40" s="224">
        <f>'Standaardisatie AD (per RNB)'!$J$229</f>
        <v>48151.725703993958</v>
      </c>
    </row>
    <row r="41" spans="1:34">
      <c r="A41" s="215"/>
      <c r="B41" s="214" t="s">
        <v>253</v>
      </c>
      <c r="C41" s="214"/>
      <c r="D41" s="214" t="s">
        <v>241</v>
      </c>
      <c r="E41" s="214"/>
      <c r="F41" s="216"/>
      <c r="G41" s="223">
        <f>'Standaardisatie AD (per RNB)'!$J$14</f>
        <v>1651</v>
      </c>
      <c r="H41" s="224">
        <f>'Standaardisatie AD (per RNB)'!$J$44</f>
        <v>8433.4998335217369</v>
      </c>
      <c r="I41" s="224">
        <f>'Standaardisatie AD (per RNB)'!$J$75</f>
        <v>3388.0081076405322</v>
      </c>
      <c r="J41" s="223">
        <f>'Standaardisatie AD (per RNB)'!$J$106</f>
        <v>123839.80029904845</v>
      </c>
      <c r="K41" s="224">
        <f>'Standaardisatie AD (per RNB)'!$J$137</f>
        <v>113123.63377086108</v>
      </c>
      <c r="L41" s="224">
        <f>'Standaardisatie AD (per RNB)'!$J$168</f>
        <v>1213</v>
      </c>
      <c r="M41" s="224">
        <f>'Standaardisatie AD (per RNB)'!$J$199</f>
        <v>80422.636313465773</v>
      </c>
      <c r="N41" s="224">
        <f>'Standaardisatie AD (per RNB)'!$J$230</f>
        <v>3748.7742024512377</v>
      </c>
    </row>
    <row r="42" spans="1:34">
      <c r="A42" s="215"/>
      <c r="B42" s="214" t="s">
        <v>255</v>
      </c>
      <c r="C42" s="214"/>
      <c r="D42" s="214" t="s">
        <v>241</v>
      </c>
      <c r="E42" s="214"/>
      <c r="F42" s="216"/>
      <c r="G42" s="223">
        <f>'Standaardisatie AD (per RNB)'!$J$15</f>
        <v>305</v>
      </c>
      <c r="H42" s="224">
        <f>'Standaardisatie AD (per RNB)'!$J$45</f>
        <v>1444.9166666666665</v>
      </c>
      <c r="I42" s="224">
        <f>'Standaardisatie AD (per RNB)'!$J$76</f>
        <v>657.62311298566942</v>
      </c>
      <c r="J42" s="223">
        <f>'Standaardisatie AD (per RNB)'!$J$107</f>
        <v>12070.145313782992</v>
      </c>
      <c r="K42" s="224">
        <f>'Standaardisatie AD (per RNB)'!$J$138</f>
        <v>13284.360666666664</v>
      </c>
      <c r="L42" s="224">
        <f>'Standaardisatie AD (per RNB)'!$J$169</f>
        <v>122.1</v>
      </c>
      <c r="M42" s="224">
        <f>'Standaardisatie AD (per RNB)'!$J$200</f>
        <v>9659.6666666666661</v>
      </c>
      <c r="N42" s="224">
        <f>'Standaardisatie AD (per RNB)'!$J$231</f>
        <v>991.36316592188712</v>
      </c>
    </row>
    <row r="43" spans="1:34">
      <c r="A43" s="215"/>
      <c r="B43" s="214" t="s">
        <v>261</v>
      </c>
      <c r="C43" s="214"/>
      <c r="D43" s="214" t="s">
        <v>241</v>
      </c>
      <c r="E43" s="214"/>
      <c r="F43" s="216"/>
      <c r="G43" s="223">
        <f>'Standaardisatie AD (per RNB)'!$J$16</f>
        <v>239</v>
      </c>
      <c r="H43" s="224">
        <f>'Standaardisatie AD (per RNB)'!$J$46</f>
        <v>400.75000000000006</v>
      </c>
      <c r="I43" s="224">
        <f>'Standaardisatie AD (per RNB)'!$J$77</f>
        <v>583.941782793161</v>
      </c>
      <c r="J43" s="223">
        <f>'Standaardisatie AD (per RNB)'!$J$108</f>
        <v>14023.152449822903</v>
      </c>
      <c r="K43" s="224">
        <f>'Standaardisatie AD (per RNB)'!$J$139</f>
        <v>12598.80244914216</v>
      </c>
      <c r="L43" s="224">
        <f>'Standaardisatie AD (per RNB)'!$J$170</f>
        <v>151.79</v>
      </c>
      <c r="M43" s="224">
        <f>'Standaardisatie AD (per RNB)'!$J$201</f>
        <v>3828.75</v>
      </c>
      <c r="N43" s="224">
        <f>'Standaardisatie AD (per RNB)'!$J$232</f>
        <v>354.91364985360326</v>
      </c>
    </row>
    <row r="44" spans="1:34">
      <c r="A44" s="215"/>
      <c r="B44" s="214" t="s">
        <v>262</v>
      </c>
      <c r="C44" s="214"/>
      <c r="D44" s="214" t="s">
        <v>241</v>
      </c>
      <c r="E44" s="214"/>
      <c r="F44" s="216"/>
      <c r="G44" s="223">
        <f>'Standaardisatie AD (per RNB)'!$J$17</f>
        <v>0</v>
      </c>
      <c r="H44" s="224">
        <f>'Standaardisatie AD (per RNB)'!$J$47</f>
        <v>10</v>
      </c>
      <c r="I44" s="224">
        <f>'Standaardisatie AD (per RNB)'!$J$78</f>
        <v>4.9887021837756249</v>
      </c>
      <c r="J44" s="223">
        <f>'Standaardisatie AD (per RNB)'!$J$109</f>
        <v>832.50023573374381</v>
      </c>
      <c r="K44" s="224">
        <f>'Standaardisatie AD (per RNB)'!$J$140</f>
        <v>192.98944704263889</v>
      </c>
      <c r="L44" s="224">
        <f>'Standaardisatie AD (per RNB)'!$J$171</f>
        <v>1</v>
      </c>
      <c r="M44" s="224">
        <f>'Standaardisatie AD (per RNB)'!$J$202</f>
        <v>188.35875217850207</v>
      </c>
      <c r="N44" s="224">
        <f>'Standaardisatie AD (per RNB)'!$J$233</f>
        <v>28.815300988495299</v>
      </c>
    </row>
    <row r="45" spans="1:34">
      <c r="A45" s="215"/>
      <c r="B45" s="214"/>
      <c r="C45" s="214"/>
      <c r="D45" s="214"/>
      <c r="E45" s="214"/>
      <c r="F45" s="216"/>
      <c r="G45" s="225"/>
      <c r="H45" s="226"/>
      <c r="I45" s="226"/>
      <c r="J45" s="225"/>
      <c r="K45" s="226"/>
      <c r="L45" s="226"/>
      <c r="M45" s="226"/>
      <c r="N45" s="226"/>
    </row>
    <row r="46" spans="1:34">
      <c r="A46" s="215"/>
      <c r="B46" s="214" t="s">
        <v>1096</v>
      </c>
      <c r="C46" s="214"/>
      <c r="D46" s="214" t="s">
        <v>241</v>
      </c>
      <c r="E46" s="214"/>
      <c r="F46" s="216"/>
      <c r="G46" s="223">
        <f>'Standaardisatie AD (per RNB)'!$J$19</f>
        <v>0</v>
      </c>
      <c r="H46" s="224">
        <f>'Standaardisatie AD (per RNB)'!$J$49</f>
        <v>146306</v>
      </c>
      <c r="I46" s="224">
        <f>'Standaardisatie AD (per RNB)'!$J$80</f>
        <v>2834.9933333333333</v>
      </c>
      <c r="J46" s="223">
        <f>'Standaardisatie AD (per RNB)'!$J$111</f>
        <v>200840.48307220018</v>
      </c>
      <c r="K46" s="224">
        <f>'Standaardisatie AD (per RNB)'!$J$142</f>
        <v>766153.79734780919</v>
      </c>
      <c r="L46" s="224">
        <f>'Standaardisatie AD (per RNB)'!$J$173</f>
        <v>5615</v>
      </c>
      <c r="M46" s="224">
        <f>'Standaardisatie AD (per RNB)'!$J$204</f>
        <v>139095</v>
      </c>
      <c r="N46" s="224">
        <f>'Standaardisatie AD (per RNB)'!$J$235</f>
        <v>2300</v>
      </c>
    </row>
    <row r="47" spans="1:34">
      <c r="A47" s="215"/>
      <c r="B47" s="214"/>
      <c r="C47" s="214"/>
      <c r="D47" s="214"/>
      <c r="E47" s="214"/>
      <c r="F47" s="216"/>
      <c r="G47" s="225"/>
      <c r="H47" s="226"/>
      <c r="I47" s="226"/>
      <c r="J47" s="225"/>
      <c r="K47" s="226"/>
      <c r="L47" s="226"/>
      <c r="M47" s="226"/>
      <c r="N47" s="226"/>
    </row>
    <row r="48" spans="1:34">
      <c r="A48" s="215"/>
      <c r="B48" s="206" t="s">
        <v>923</v>
      </c>
      <c r="C48" s="206"/>
      <c r="D48" s="214"/>
      <c r="E48" s="214"/>
      <c r="F48" s="216"/>
      <c r="G48" s="225"/>
      <c r="H48" s="226"/>
      <c r="I48" s="226"/>
      <c r="J48" s="225"/>
      <c r="K48" s="226"/>
      <c r="L48" s="226"/>
      <c r="M48" s="226"/>
      <c r="N48" s="226"/>
    </row>
    <row r="49" spans="1:34">
      <c r="A49" s="215"/>
      <c r="B49" s="206" t="s">
        <v>328</v>
      </c>
      <c r="C49" s="214"/>
      <c r="E49" s="206"/>
      <c r="F49" s="216"/>
      <c r="G49" s="225"/>
      <c r="H49" s="226"/>
      <c r="I49" s="226"/>
      <c r="J49" s="225"/>
      <c r="K49" s="226"/>
      <c r="L49" s="226"/>
      <c r="M49" s="226"/>
      <c r="N49" s="226"/>
    </row>
    <row r="50" spans="1:34">
      <c r="A50" s="215"/>
      <c r="B50" s="222" t="s">
        <v>251</v>
      </c>
      <c r="C50" s="214"/>
      <c r="D50" s="214" t="s">
        <v>241</v>
      </c>
      <c r="E50" s="222"/>
      <c r="F50" s="216"/>
      <c r="G50" s="223">
        <f>'Standaardisatie AD (per RNB)'!$J$24</f>
        <v>541.60681758540704</v>
      </c>
      <c r="H50" s="223">
        <f>'Standaardisatie AD (per RNB)'!$J$54</f>
        <v>1360</v>
      </c>
      <c r="I50" s="223">
        <f>'Standaardisatie AD (per RNB)'!$J$85</f>
        <v>22</v>
      </c>
      <c r="J50" s="223">
        <f>'Standaardisatie AD (per RNB)'!$J$116</f>
        <v>29519.469354838711</v>
      </c>
      <c r="K50" s="223">
        <f>'Standaardisatie AD (per RNB)'!$J$147</f>
        <v>10610</v>
      </c>
      <c r="L50" s="223">
        <f>'Standaardisatie AD (per RNB)'!$J$178</f>
        <v>309</v>
      </c>
      <c r="M50" s="223">
        <f>'Standaardisatie AD (per RNB)'!$J$209</f>
        <v>16420.881275265918</v>
      </c>
      <c r="N50" s="223">
        <f>'Standaardisatie AD (per RNB)'!$J$240</f>
        <v>456</v>
      </c>
    </row>
    <row r="51" spans="1:34">
      <c r="A51" s="215"/>
      <c r="B51" s="222" t="s">
        <v>252</v>
      </c>
      <c r="C51" s="214"/>
      <c r="D51" s="214" t="s">
        <v>241</v>
      </c>
      <c r="E51" s="222"/>
      <c r="F51" s="216"/>
      <c r="G51" s="223">
        <f>'Standaardisatie AD (per RNB)'!$J$25</f>
        <v>658.00028046380021</v>
      </c>
      <c r="H51" s="223">
        <f>'Standaardisatie AD (per RNB)'!$J$55</f>
        <v>1868</v>
      </c>
      <c r="I51" s="223">
        <f>'Standaardisatie AD (per RNB)'!$J$86</f>
        <v>1781</v>
      </c>
      <c r="J51" s="223">
        <f>'Standaardisatie AD (per RNB)'!$J$117</f>
        <v>30436.479815126051</v>
      </c>
      <c r="K51" s="223">
        <f>'Standaardisatie AD (per RNB)'!$J$148</f>
        <v>36285</v>
      </c>
      <c r="L51" s="223">
        <f>'Standaardisatie AD (per RNB)'!$J$179</f>
        <v>315</v>
      </c>
      <c r="M51" s="223">
        <f>'Standaardisatie AD (per RNB)'!$J$210</f>
        <v>32022.209984711284</v>
      </c>
      <c r="N51" s="223">
        <f>'Standaardisatie AD (per RNB)'!$J$241</f>
        <v>930</v>
      </c>
    </row>
    <row r="52" spans="1:34">
      <c r="A52" s="215"/>
      <c r="B52" s="222" t="s">
        <v>253</v>
      </c>
      <c r="C52" s="214"/>
      <c r="D52" s="214" t="s">
        <v>241</v>
      </c>
      <c r="E52" s="222"/>
      <c r="F52" s="216"/>
      <c r="G52" s="223">
        <f>'Standaardisatie AD (per RNB)'!$J$26</f>
        <v>48.679241016142406</v>
      </c>
      <c r="H52" s="223">
        <f>'Standaardisatie AD (per RNB)'!$J$56</f>
        <v>204</v>
      </c>
      <c r="I52" s="223">
        <f>'Standaardisatie AD (per RNB)'!$J$87</f>
        <v>217</v>
      </c>
      <c r="J52" s="223">
        <f>'Standaardisatie AD (per RNB)'!$J$118</f>
        <v>3256.7349041259718</v>
      </c>
      <c r="K52" s="223">
        <f>'Standaardisatie AD (per RNB)'!$J$149</f>
        <v>3507</v>
      </c>
      <c r="L52" s="223">
        <f>'Standaardisatie AD (per RNB)'!$J$180</f>
        <v>51</v>
      </c>
      <c r="M52" s="223">
        <f>'Standaardisatie AD (per RNB)'!$J$211</f>
        <v>2806.3766300029688</v>
      </c>
      <c r="N52" s="223">
        <f>'Standaardisatie AD (per RNB)'!$J$242</f>
        <v>108</v>
      </c>
    </row>
    <row r="53" spans="1:34">
      <c r="A53" s="215"/>
      <c r="B53" s="222" t="s">
        <v>255</v>
      </c>
      <c r="C53" s="214"/>
      <c r="D53" s="214" t="s">
        <v>241</v>
      </c>
      <c r="E53" s="222"/>
      <c r="F53" s="216"/>
      <c r="G53" s="223">
        <f>'Standaardisatie AD (per RNB)'!$J$27</f>
        <v>16.998934134863916</v>
      </c>
      <c r="H53" s="223">
        <f>'Standaardisatie AD (per RNB)'!$J$57</f>
        <v>49</v>
      </c>
      <c r="I53" s="223">
        <f>'Standaardisatie AD (per RNB)'!$J$88</f>
        <v>55</v>
      </c>
      <c r="J53" s="223">
        <f>'Standaardisatie AD (per RNB)'!$J$119</f>
        <v>1273.0186849884831</v>
      </c>
      <c r="K53" s="223">
        <f>'Standaardisatie AD (per RNB)'!$J$150</f>
        <v>628</v>
      </c>
      <c r="L53" s="223">
        <f>'Standaardisatie AD (per RNB)'!$J$181</f>
        <v>9</v>
      </c>
      <c r="M53" s="223">
        <f>'Standaardisatie AD (per RNB)'!$J$212</f>
        <v>870.66318204558354</v>
      </c>
      <c r="N53" s="223">
        <f>'Standaardisatie AD (per RNB)'!$J$243</f>
        <v>40</v>
      </c>
    </row>
    <row r="54" spans="1:34">
      <c r="A54" s="215"/>
      <c r="B54" s="222" t="s">
        <v>254</v>
      </c>
      <c r="C54" s="214"/>
      <c r="D54" s="214" t="s">
        <v>241</v>
      </c>
      <c r="E54" s="222"/>
      <c r="F54" s="216"/>
      <c r="G54" s="223">
        <f>'Standaardisatie AD (per RNB)'!$J$28</f>
        <v>0</v>
      </c>
      <c r="H54" s="223">
        <f>'Standaardisatie AD (per RNB)'!$J$58</f>
        <v>11</v>
      </c>
      <c r="I54" s="223">
        <f>'Standaardisatie AD (per RNB)'!$J$89</f>
        <v>1</v>
      </c>
      <c r="J54" s="223">
        <f>'Standaardisatie AD (per RNB)'!$J$120</f>
        <v>217.89759846545434</v>
      </c>
      <c r="K54" s="223">
        <f>'Standaardisatie AD (per RNB)'!$J$151</f>
        <v>85</v>
      </c>
      <c r="L54" s="223">
        <f>'Standaardisatie AD (per RNB)'!$J$182</f>
        <v>0</v>
      </c>
      <c r="M54" s="223">
        <f>'Standaardisatie AD (per RNB)'!$J$213</f>
        <v>116.7812788181449</v>
      </c>
      <c r="N54" s="223">
        <f>'Standaardisatie AD (per RNB)'!$J$244</f>
        <v>23</v>
      </c>
    </row>
    <row r="55" spans="1:34">
      <c r="A55" s="215"/>
      <c r="B55" s="214"/>
      <c r="C55" s="214"/>
      <c r="E55" s="214"/>
      <c r="F55" s="216"/>
      <c r="G55" s="225"/>
      <c r="H55" s="225"/>
      <c r="I55" s="225"/>
      <c r="J55" s="225"/>
      <c r="K55" s="225"/>
      <c r="L55" s="225"/>
      <c r="M55" s="225"/>
      <c r="N55" s="225"/>
    </row>
    <row r="56" spans="1:34">
      <c r="A56" s="215"/>
      <c r="B56" s="206" t="s">
        <v>329</v>
      </c>
      <c r="C56" s="214"/>
      <c r="E56" s="206"/>
      <c r="F56" s="216"/>
      <c r="G56" s="225"/>
      <c r="H56" s="225"/>
      <c r="I56" s="225"/>
      <c r="J56" s="225"/>
      <c r="K56" s="225"/>
      <c r="L56" s="225"/>
      <c r="M56" s="225"/>
      <c r="N56" s="225"/>
    </row>
    <row r="57" spans="1:34">
      <c r="A57" s="215"/>
      <c r="B57" s="222" t="s">
        <v>251</v>
      </c>
      <c r="C57" s="214"/>
      <c r="D57" s="214" t="s">
        <v>241</v>
      </c>
      <c r="E57" s="222"/>
      <c r="F57" s="216"/>
      <c r="G57" s="223">
        <f>'Standaardisatie AD (per RNB)'!$J$32</f>
        <v>704.66971219735046</v>
      </c>
      <c r="H57" s="223">
        <f>'Standaardisatie AD (per RNB)'!$J$63</f>
        <v>680</v>
      </c>
      <c r="I57" s="223">
        <f>'Standaardisatie AD (per RNB)'!J94</f>
        <v>0</v>
      </c>
      <c r="J57" s="223">
        <f>'Standaardisatie AD (per RNB)'!$J$125</f>
        <v>44844.573333333334</v>
      </c>
      <c r="K57" s="223">
        <f>'Standaardisatie AD (per RNB)'!$J$156</f>
        <v>17007</v>
      </c>
      <c r="L57" s="223">
        <f>'Standaardisatie AD (per RNB)'!$J$187</f>
        <v>261</v>
      </c>
      <c r="M57" s="223">
        <f>'Standaardisatie AD (per RNB)'!$J$218</f>
        <v>8882.7921036397274</v>
      </c>
      <c r="N57" s="223">
        <f>'Standaardisatie AD (per RNB)'!$J$249</f>
        <v>992</v>
      </c>
    </row>
    <row r="58" spans="1:34">
      <c r="A58" s="215"/>
      <c r="B58" s="222" t="s">
        <v>252</v>
      </c>
      <c r="C58" s="214"/>
      <c r="D58" s="214" t="s">
        <v>241</v>
      </c>
      <c r="E58" s="222"/>
      <c r="F58" s="216"/>
      <c r="G58" s="223">
        <f>'Standaardisatie AD (per RNB)'!$J$33</f>
        <v>256.83500195815151</v>
      </c>
      <c r="H58" s="223">
        <f>'Standaardisatie AD (per RNB)'!$J$64</f>
        <v>7147</v>
      </c>
      <c r="I58" s="223">
        <f>'Standaardisatie AD (per RNB)'!J95</f>
        <v>600</v>
      </c>
      <c r="J58" s="223">
        <f>'Standaardisatie AD (per RNB)'!$J$126</f>
        <v>90185.23529411765</v>
      </c>
      <c r="K58" s="223">
        <f>'Standaardisatie AD (per RNB)'!$J$157</f>
        <v>34778</v>
      </c>
      <c r="L58" s="223">
        <f>'Standaardisatie AD (per RNB)'!$J$188</f>
        <v>583</v>
      </c>
      <c r="M58" s="223">
        <f>'Standaardisatie AD (per RNB)'!$J$219</f>
        <v>31081.591700133868</v>
      </c>
      <c r="N58" s="223">
        <f>'Standaardisatie AD (per RNB)'!$J$250</f>
        <v>318</v>
      </c>
    </row>
    <row r="59" spans="1:34">
      <c r="A59" s="215"/>
      <c r="B59" s="222" t="s">
        <v>253</v>
      </c>
      <c r="C59" s="214"/>
      <c r="D59" s="214" t="s">
        <v>241</v>
      </c>
      <c r="E59" s="222"/>
      <c r="F59" s="216"/>
      <c r="G59" s="223">
        <f>'Standaardisatie AD (per RNB)'!$J$34</f>
        <v>1218.6744561070743</v>
      </c>
      <c r="H59" s="223">
        <f>'Standaardisatie AD (per RNB)'!$J$65</f>
        <v>3465</v>
      </c>
      <c r="I59" s="223">
        <f>'Standaardisatie AD (per RNB)'!J96</f>
        <v>1666.5796637309847</v>
      </c>
      <c r="J59" s="223">
        <f>'Standaardisatie AD (per RNB)'!$J$127</f>
        <v>39048.409090909088</v>
      </c>
      <c r="K59" s="223">
        <f>'Standaardisatie AD (per RNB)'!$J$158</f>
        <v>37476</v>
      </c>
      <c r="L59" s="223">
        <f>'Standaardisatie AD (per RNB)'!$J$189</f>
        <v>81</v>
      </c>
      <c r="M59" s="223">
        <f>'Standaardisatie AD (per RNB)'!$J$220</f>
        <v>23615.545512300941</v>
      </c>
      <c r="N59" s="223">
        <f>'Standaardisatie AD (per RNB)'!$J$251</f>
        <v>2911.5</v>
      </c>
    </row>
    <row r="60" spans="1:34">
      <c r="A60" s="215"/>
      <c r="B60" s="222" t="s">
        <v>255</v>
      </c>
      <c r="C60" s="214"/>
      <c r="D60" s="214" t="s">
        <v>241</v>
      </c>
      <c r="E60" s="222"/>
      <c r="F60" s="216"/>
      <c r="G60" s="223">
        <f>'Standaardisatie AD (per RNB)'!$J$35</f>
        <v>3371.4763527398404</v>
      </c>
      <c r="H60" s="223">
        <f>'Standaardisatie AD (per RNB)'!$J$66</f>
        <v>7613</v>
      </c>
      <c r="I60" s="223">
        <f>'Standaardisatie AD (per RNB)'!J97</f>
        <v>5171</v>
      </c>
      <c r="J60" s="223">
        <f>'Standaardisatie AD (per RNB)'!$J$128</f>
        <v>165211.04761904763</v>
      </c>
      <c r="K60" s="223">
        <f>'Standaardisatie AD (per RNB)'!$J$159</f>
        <v>85730</v>
      </c>
      <c r="L60" s="223">
        <f>'Standaardisatie AD (per RNB)'!$J$190</f>
        <v>1386</v>
      </c>
      <c r="M60" s="223">
        <f>'Standaardisatie AD (per RNB)'!$J$221</f>
        <v>79992.047373761423</v>
      </c>
      <c r="N60" s="223">
        <f>'Standaardisatie AD (per RNB)'!$J$252</f>
        <v>2582</v>
      </c>
    </row>
    <row r="61" spans="1:34">
      <c r="A61" s="215"/>
      <c r="B61" s="222" t="s">
        <v>254</v>
      </c>
      <c r="C61" s="214"/>
      <c r="D61" s="214" t="s">
        <v>241</v>
      </c>
      <c r="E61" s="222"/>
      <c r="F61" s="216"/>
      <c r="G61" s="223">
        <f>'Standaardisatie AD (per RNB)'!$J$36</f>
        <v>0</v>
      </c>
      <c r="H61" s="223">
        <f>'Standaardisatie AD (per RNB)'!$J$67</f>
        <v>16655</v>
      </c>
      <c r="I61" s="223">
        <f>'Standaardisatie AD (per RNB)'!J98</f>
        <v>0</v>
      </c>
      <c r="J61" s="223">
        <f>'Standaardisatie AD (per RNB)'!$J$129</f>
        <v>41527.829169542209</v>
      </c>
      <c r="K61" s="223">
        <f>'Standaardisatie AD (per RNB)'!$J$160</f>
        <v>24073.666666666668</v>
      </c>
      <c r="L61" s="223">
        <f>'Standaardisatie AD (per RNB)'!$J$191</f>
        <v>0</v>
      </c>
      <c r="M61" s="223">
        <f>'Standaardisatie AD (per RNB)'!$J$222</f>
        <v>17756.215564930204</v>
      </c>
      <c r="N61" s="223">
        <f>'Standaardisatie AD (per RNB)'!$J$253</f>
        <v>855.27741134476605</v>
      </c>
    </row>
    <row r="62" spans="1:34">
      <c r="A62" s="215"/>
      <c r="B62" s="214"/>
      <c r="C62" s="214"/>
      <c r="D62" s="214"/>
      <c r="E62" s="214"/>
      <c r="F62" s="216"/>
      <c r="G62" s="216"/>
      <c r="J62" s="216"/>
    </row>
    <row r="63" spans="1:34">
      <c r="A63" s="215"/>
      <c r="B63" s="214"/>
      <c r="C63" s="214"/>
      <c r="D63" s="214"/>
      <c r="E63" s="214"/>
      <c r="F63" s="216"/>
      <c r="G63" s="216"/>
      <c r="J63" s="216"/>
    </row>
    <row r="64" spans="1:34">
      <c r="A64" s="213"/>
      <c r="B64" s="205" t="s">
        <v>5</v>
      </c>
      <c r="C64" s="213"/>
      <c r="D64" s="213"/>
      <c r="E64" s="213"/>
      <c r="F64" s="227"/>
      <c r="G64" s="227"/>
      <c r="H64" s="227"/>
      <c r="I64" s="227"/>
      <c r="J64" s="227"/>
      <c r="K64" s="227"/>
      <c r="L64" s="227"/>
      <c r="M64" s="227"/>
      <c r="N64" s="227"/>
      <c r="O64" s="204"/>
      <c r="P64" s="204"/>
      <c r="Q64" s="204"/>
      <c r="R64" s="204"/>
      <c r="S64" s="204"/>
      <c r="T64" s="204"/>
      <c r="U64" s="204"/>
      <c r="V64" s="204"/>
      <c r="W64" s="204"/>
      <c r="X64" s="204"/>
      <c r="Y64" s="204"/>
      <c r="Z64" s="204"/>
      <c r="AA64" s="204"/>
      <c r="AB64" s="204"/>
      <c r="AC64" s="204"/>
      <c r="AD64" s="204"/>
      <c r="AE64" s="204"/>
      <c r="AF64" s="204"/>
      <c r="AG64" s="204"/>
      <c r="AH64" s="204"/>
    </row>
    <row r="65" spans="1:14">
      <c r="A65" s="214"/>
      <c r="B65" s="207"/>
      <c r="C65" s="214"/>
      <c r="D65" s="214"/>
      <c r="E65" s="214"/>
      <c r="F65" s="216"/>
      <c r="G65" s="216"/>
      <c r="H65" s="216"/>
      <c r="I65" s="216"/>
      <c r="J65" s="216"/>
      <c r="K65" s="216"/>
      <c r="L65" s="216"/>
      <c r="M65" s="216"/>
      <c r="N65" s="216"/>
    </row>
    <row r="66" spans="1:14">
      <c r="A66" s="215"/>
      <c r="B66" s="206" t="s">
        <v>922</v>
      </c>
      <c r="C66" s="206"/>
      <c r="D66" s="206"/>
      <c r="E66" s="214"/>
      <c r="F66" s="216"/>
      <c r="G66" s="216"/>
      <c r="J66" s="216"/>
    </row>
    <row r="67" spans="1:14">
      <c r="A67" s="215"/>
      <c r="B67" s="214" t="s">
        <v>251</v>
      </c>
      <c r="C67" s="214"/>
      <c r="D67" s="214" t="s">
        <v>335</v>
      </c>
      <c r="E67" s="214"/>
      <c r="G67" s="218">
        <f>'Standaardisatie AD (per RNB)'!$L$12</f>
        <v>5.16</v>
      </c>
      <c r="H67" s="219">
        <f>'Standaardisatie AD (per RNB)'!$L$42</f>
        <v>1.92</v>
      </c>
      <c r="I67" s="219">
        <f>'Standaardisatie AD (per RNB)'!$L$73</f>
        <v>6.23</v>
      </c>
      <c r="J67" s="218">
        <f>'Standaardisatie AD (per RNB)'!$L$104</f>
        <v>3.26</v>
      </c>
      <c r="K67" s="219">
        <f>'Standaardisatie AD (per RNB)'!$L$135</f>
        <v>7.8</v>
      </c>
      <c r="L67" s="219">
        <f>'Standaardisatie AD (per RNB)'!$L$166</f>
        <v>10.6</v>
      </c>
      <c r="M67" s="219">
        <f>'Standaardisatie AD (per RNB)'!$L$197</f>
        <v>6.24</v>
      </c>
      <c r="N67" s="219">
        <f>'Standaardisatie AD (per RNB)'!$L$228</f>
        <v>2.54</v>
      </c>
    </row>
    <row r="68" spans="1:14">
      <c r="A68" s="215"/>
      <c r="B68" s="214" t="s">
        <v>252</v>
      </c>
      <c r="C68" s="214"/>
      <c r="D68" s="214" t="s">
        <v>335</v>
      </c>
      <c r="E68" s="214"/>
      <c r="G68" s="218">
        <f>'Standaardisatie AD (per RNB)'!$L$13</f>
        <v>14.75</v>
      </c>
      <c r="H68" s="219">
        <f>'Standaardisatie AD (per RNB)'!$L$43</f>
        <v>19.2</v>
      </c>
      <c r="I68" s="219">
        <f>'Standaardisatie AD (per RNB)'!$L$74</f>
        <v>13.47</v>
      </c>
      <c r="J68" s="218">
        <f>'Standaardisatie AD (per RNB)'!$L$105</f>
        <v>26.4</v>
      </c>
      <c r="K68" s="219">
        <f>'Standaardisatie AD (per RNB)'!$L$136</f>
        <v>15.96</v>
      </c>
      <c r="L68" s="219">
        <f>'Standaardisatie AD (per RNB)'!$L$167</f>
        <v>21.46</v>
      </c>
      <c r="M68" s="219">
        <f>'Standaardisatie AD (per RNB)'!$L$198</f>
        <v>16.559999999999999</v>
      </c>
      <c r="N68" s="219">
        <f>'Standaardisatie AD (per RNB)'!$L$229</f>
        <v>13.5</v>
      </c>
    </row>
    <row r="69" spans="1:14">
      <c r="A69" s="215"/>
      <c r="B69" s="214" t="s">
        <v>253</v>
      </c>
      <c r="C69" s="214"/>
      <c r="D69" s="214" t="s">
        <v>335</v>
      </c>
      <c r="E69" s="214"/>
      <c r="G69" s="218">
        <f>'Standaardisatie AD (per RNB)'!$L$14</f>
        <v>14.75</v>
      </c>
      <c r="H69" s="219">
        <f>'Standaardisatie AD (per RNB)'!$L$44</f>
        <v>31.560000000000002</v>
      </c>
      <c r="I69" s="219">
        <f>'Standaardisatie AD (per RNB)'!$L$75</f>
        <v>13.470000000000002</v>
      </c>
      <c r="J69" s="218">
        <f>'Standaardisatie AD (per RNB)'!$L$106</f>
        <v>30.1</v>
      </c>
      <c r="K69" s="219">
        <f>'Standaardisatie AD (per RNB)'!$L$137</f>
        <v>26.405994423252533</v>
      </c>
      <c r="L69" s="219">
        <f>'Standaardisatie AD (per RNB)'!$L$168</f>
        <v>34.799999999999997</v>
      </c>
      <c r="M69" s="219">
        <f>'Standaardisatie AD (per RNB)'!$L$199</f>
        <v>32.88000000000001</v>
      </c>
      <c r="N69" s="219">
        <f>'Standaardisatie AD (per RNB)'!$L$230</f>
        <v>36.26195136233391</v>
      </c>
    </row>
    <row r="70" spans="1:14">
      <c r="A70" s="215"/>
      <c r="B70" s="214" t="s">
        <v>255</v>
      </c>
      <c r="C70" s="214"/>
      <c r="D70" s="214" t="s">
        <v>335</v>
      </c>
      <c r="E70" s="214"/>
      <c r="G70" s="218">
        <f>'Standaardisatie AD (per RNB)'!$L$15</f>
        <v>17.7</v>
      </c>
      <c r="H70" s="219">
        <f>'Standaardisatie AD (per RNB)'!$L$45</f>
        <v>132.47999999999999</v>
      </c>
      <c r="I70" s="219">
        <f>'Standaardisatie AD (per RNB)'!$L$76</f>
        <v>202.37</v>
      </c>
      <c r="J70" s="218">
        <f>'Standaardisatie AD (per RNB)'!$L$107</f>
        <v>143</v>
      </c>
      <c r="K70" s="219">
        <f>'Standaardisatie AD (per RNB)'!$L$138</f>
        <v>112.33888003362779</v>
      </c>
      <c r="L70" s="219">
        <f>'Standaardisatie AD (per RNB)'!$L$169</f>
        <v>34.799999999999997</v>
      </c>
      <c r="M70" s="219">
        <f>'Standaardisatie AD (per RNB)'!$L$200</f>
        <v>46.8</v>
      </c>
      <c r="N70" s="219">
        <f>'Standaardisatie AD (per RNB)'!$L$231</f>
        <v>170.99888509310443</v>
      </c>
    </row>
    <row r="71" spans="1:14">
      <c r="A71" s="215"/>
      <c r="B71" s="214" t="s">
        <v>261</v>
      </c>
      <c r="C71" s="214"/>
      <c r="D71" s="214" t="s">
        <v>335</v>
      </c>
      <c r="E71" s="214"/>
      <c r="G71" s="218">
        <f>'Standaardisatie AD (per RNB)'!$L$16</f>
        <v>359.81008298755182</v>
      </c>
      <c r="H71" s="219">
        <f>'Standaardisatie AD (per RNB)'!$L$46</f>
        <v>915.3599999999999</v>
      </c>
      <c r="I71" s="219">
        <f>'Standaardisatie AD (per RNB)'!$L$77</f>
        <v>581.83000000000004</v>
      </c>
      <c r="J71" s="218">
        <f>'Standaardisatie AD (per RNB)'!$L$108</f>
        <v>569</v>
      </c>
      <c r="K71" s="219">
        <f>'Standaardisatie AD (per RNB)'!$L$139</f>
        <v>662.49591306184868</v>
      </c>
      <c r="L71" s="219">
        <f>'Standaardisatie AD (per RNB)'!$L$170</f>
        <v>186.6188746152817</v>
      </c>
      <c r="M71" s="219">
        <f>'Standaardisatie AD (per RNB)'!$L$201</f>
        <v>423.96</v>
      </c>
      <c r="N71" s="219">
        <f>'Standaardisatie AD (per RNB)'!$L$232</f>
        <v>1261.4285417086678</v>
      </c>
    </row>
    <row r="72" spans="1:14">
      <c r="A72" s="215"/>
      <c r="B72" s="214" t="s">
        <v>262</v>
      </c>
      <c r="C72" s="214"/>
      <c r="D72" s="214" t="s">
        <v>335</v>
      </c>
      <c r="E72" s="214"/>
      <c r="G72" s="218">
        <f>'Standaardisatie AD (per RNB)'!$L$17</f>
        <v>0</v>
      </c>
      <c r="H72" s="219">
        <f>'Standaardisatie AD (per RNB)'!$L$47</f>
        <v>6097.2</v>
      </c>
      <c r="I72" s="219">
        <f>'Standaardisatie AD (per RNB)'!$L$78</f>
        <v>2464.3440000000001</v>
      </c>
      <c r="J72" s="218">
        <f>'Standaardisatie AD (per RNB)'!$L$109</f>
        <v>1571.5994779015805</v>
      </c>
      <c r="K72" s="219">
        <f>'Standaardisatie AD (per RNB)'!$L$140</f>
        <v>7176.8244274809158</v>
      </c>
      <c r="L72" s="219">
        <f>'Standaardisatie AD (per RNB)'!$L$171</f>
        <v>1342.5</v>
      </c>
      <c r="M72" s="219">
        <f>'Standaardisatie AD (per RNB)'!$L$202</f>
        <v>4906.9464406779671</v>
      </c>
      <c r="N72" s="219">
        <f>'Standaardisatie AD (per RNB)'!$L$233</f>
        <v>5073.28</v>
      </c>
    </row>
    <row r="73" spans="1:14">
      <c r="A73" s="215"/>
      <c r="B73" s="214"/>
      <c r="C73" s="214"/>
      <c r="D73" s="214"/>
      <c r="E73" s="214"/>
      <c r="G73" s="220"/>
      <c r="H73" s="221"/>
      <c r="I73" s="221"/>
      <c r="J73" s="220"/>
      <c r="K73" s="221"/>
      <c r="L73" s="221"/>
      <c r="M73" s="221"/>
      <c r="N73" s="221"/>
    </row>
    <row r="74" spans="1:14">
      <c r="A74" s="215"/>
      <c r="B74" s="214" t="s">
        <v>1096</v>
      </c>
      <c r="C74" s="214"/>
      <c r="D74" s="214" t="s">
        <v>335</v>
      </c>
      <c r="E74" s="214"/>
      <c r="G74" s="218" t="e">
        <f>'Standaardisatie AD (per RNB)'!$L$19</f>
        <v>#DIV/0!</v>
      </c>
      <c r="H74" s="219">
        <f>'Standaardisatie AD (per RNB)'!$L$49</f>
        <v>1.47</v>
      </c>
      <c r="I74" s="219">
        <f>'Standaardisatie AD (per RNB)'!$L$80</f>
        <v>2.86</v>
      </c>
      <c r="J74" s="218">
        <f>'Standaardisatie AD (per RNB)'!$L$111</f>
        <v>2.1921820665233214</v>
      </c>
      <c r="K74" s="219">
        <f>'Standaardisatie AD (per RNB)'!$L$142</f>
        <v>1.44</v>
      </c>
      <c r="L74" s="219">
        <f>'Standaardisatie AD (per RNB)'!$L$173</f>
        <v>11.45</v>
      </c>
      <c r="M74" s="219">
        <f>'Standaardisatie AD (per RNB)'!$L$204</f>
        <v>5.28</v>
      </c>
      <c r="N74" s="219">
        <f>'Standaardisatie AD (per RNB)'!$L$235</f>
        <v>3.7599999999999993</v>
      </c>
    </row>
    <row r="75" spans="1:14">
      <c r="A75" s="215"/>
      <c r="B75" s="214"/>
      <c r="C75" s="214"/>
      <c r="D75" s="214"/>
      <c r="E75" s="214"/>
      <c r="G75" s="220"/>
      <c r="H75" s="221"/>
      <c r="I75" s="221"/>
      <c r="J75" s="220"/>
      <c r="K75" s="221"/>
      <c r="L75" s="221"/>
      <c r="M75" s="221"/>
      <c r="N75" s="221"/>
    </row>
    <row r="76" spans="1:14">
      <c r="A76" s="215"/>
      <c r="B76" s="206" t="s">
        <v>923</v>
      </c>
      <c r="C76" s="206"/>
      <c r="D76" s="214"/>
      <c r="E76" s="214"/>
      <c r="G76" s="220"/>
      <c r="H76" s="221"/>
      <c r="I76" s="221"/>
      <c r="J76" s="220"/>
      <c r="K76" s="221"/>
      <c r="L76" s="221"/>
      <c r="M76" s="221"/>
      <c r="N76" s="221"/>
    </row>
    <row r="77" spans="1:14">
      <c r="A77" s="215"/>
      <c r="B77" s="206" t="s">
        <v>328</v>
      </c>
      <c r="C77" s="214"/>
      <c r="E77" s="206"/>
      <c r="G77" s="220"/>
      <c r="H77" s="221"/>
      <c r="I77" s="221"/>
      <c r="J77" s="220"/>
      <c r="K77" s="221"/>
      <c r="L77" s="221"/>
      <c r="M77" s="221"/>
      <c r="N77" s="221"/>
    </row>
    <row r="78" spans="1:14">
      <c r="A78" s="215"/>
      <c r="B78" s="222" t="s">
        <v>251</v>
      </c>
      <c r="C78" s="214"/>
      <c r="D78" s="214" t="s">
        <v>335</v>
      </c>
      <c r="E78" s="222"/>
      <c r="G78" s="218">
        <f>'Standaardisatie AD (per RNB)'!$L$24</f>
        <v>350</v>
      </c>
      <c r="H78" s="218">
        <f>'Standaardisatie AD (per RNB)'!$L$54</f>
        <v>284.07</v>
      </c>
      <c r="I78" s="218">
        <f>'Standaardisatie AD (per RNB)'!$L$85</f>
        <v>345.18</v>
      </c>
      <c r="J78" s="218">
        <f>'Standaardisatie AD (per RNB)'!$L$116</f>
        <v>296</v>
      </c>
      <c r="K78" s="218">
        <f>'Standaardisatie AD (per RNB)'!$L$147</f>
        <v>329.4</v>
      </c>
      <c r="L78" s="218">
        <f>'Standaardisatie AD (per RNB)'!$L$178</f>
        <v>363</v>
      </c>
      <c r="M78" s="218">
        <f>'Standaardisatie AD (per RNB)'!$L$209</f>
        <v>327.86</v>
      </c>
      <c r="N78" s="218">
        <f>'Standaardisatie AD (per RNB)'!$L$240</f>
        <v>356.53</v>
      </c>
    </row>
    <row r="79" spans="1:14">
      <c r="A79" s="215"/>
      <c r="B79" s="222" t="s">
        <v>252</v>
      </c>
      <c r="C79" s="214"/>
      <c r="D79" s="214" t="s">
        <v>335</v>
      </c>
      <c r="E79" s="222"/>
      <c r="G79" s="218">
        <f>'Standaardisatie AD (per RNB)'!$L$25</f>
        <v>585</v>
      </c>
      <c r="H79" s="218">
        <f>'Standaardisatie AD (per RNB)'!$L$55</f>
        <v>539.30999999999995</v>
      </c>
      <c r="I79" s="218">
        <f>'Standaardisatie AD (per RNB)'!$L$86</f>
        <v>542.6</v>
      </c>
      <c r="J79" s="218">
        <f>'Standaardisatie AD (per RNB)'!$L$117</f>
        <v>568</v>
      </c>
      <c r="K79" s="218">
        <f>'Standaardisatie AD (per RNB)'!$L$148</f>
        <v>546.70000000000005</v>
      </c>
      <c r="L79" s="218">
        <f>'Standaardisatie AD (per RNB)'!$L$179</f>
        <v>615</v>
      </c>
      <c r="M79" s="218">
        <f>'Standaardisatie AD (per RNB)'!$L$210</f>
        <v>479.57</v>
      </c>
      <c r="N79" s="218">
        <f>'Standaardisatie AD (per RNB)'!$L$241</f>
        <v>678.65</v>
      </c>
    </row>
    <row r="80" spans="1:14">
      <c r="A80" s="215"/>
      <c r="B80" s="222" t="s">
        <v>253</v>
      </c>
      <c r="C80" s="214"/>
      <c r="D80" s="214" t="s">
        <v>335</v>
      </c>
      <c r="E80" s="222"/>
      <c r="G80" s="218">
        <f>'Standaardisatie AD (per RNB)'!$L$26</f>
        <v>990.80000000000007</v>
      </c>
      <c r="H80" s="218">
        <f>'Standaardisatie AD (per RNB)'!$L$56</f>
        <v>847.68622950819667</v>
      </c>
      <c r="I80" s="218">
        <f>'Standaardisatie AD (per RNB)'!$L$87</f>
        <v>740.04</v>
      </c>
      <c r="J80" s="218">
        <f>'Standaardisatie AD (per RNB)'!$L$118</f>
        <v>749.21130566707029</v>
      </c>
      <c r="K80" s="218">
        <f>'Standaardisatie AD (per RNB)'!$L$149</f>
        <v>910.54478341826143</v>
      </c>
      <c r="L80" s="218">
        <f>'Standaardisatie AD (per RNB)'!$L$180</f>
        <v>902.25</v>
      </c>
      <c r="M80" s="218">
        <f>'Standaardisatie AD (per RNB)'!$L$211</f>
        <v>824.29963768115556</v>
      </c>
      <c r="N80" s="218">
        <f>'Standaardisatie AD (per RNB)'!$L$242</f>
        <v>1022.1079310344828</v>
      </c>
    </row>
    <row r="81" spans="1:34">
      <c r="A81" s="215"/>
      <c r="B81" s="222" t="s">
        <v>255</v>
      </c>
      <c r="C81" s="214"/>
      <c r="D81" s="214" t="s">
        <v>335</v>
      </c>
      <c r="E81" s="222"/>
      <c r="G81" s="218">
        <f>'Standaardisatie AD (per RNB)'!$L$27</f>
        <v>11513.164444444445</v>
      </c>
      <c r="H81" s="218">
        <f>'Standaardisatie AD (per RNB)'!$L$57</f>
        <v>5557.1217187499997</v>
      </c>
      <c r="I81" s="218">
        <f>'Standaardisatie AD (per RNB)'!$L$88</f>
        <v>6299.7196306909864</v>
      </c>
      <c r="J81" s="218">
        <f>'Standaardisatie AD (per RNB)'!$L$119</f>
        <v>4583.1232005731199</v>
      </c>
      <c r="K81" s="218">
        <f>'Standaardisatie AD (per RNB)'!$L$150</f>
        <v>6931.5077912254164</v>
      </c>
      <c r="L81" s="218">
        <f>'Standaardisatie AD (per RNB)'!$L$181</f>
        <v>8102.1428571428569</v>
      </c>
      <c r="M81" s="218">
        <f>'Standaardisatie AD (per RNB)'!$L$212</f>
        <v>6826.7688103686032</v>
      </c>
      <c r="N81" s="218">
        <f>'Standaardisatie AD (per RNB)'!$L$243</f>
        <v>4935.4186363636372</v>
      </c>
    </row>
    <row r="82" spans="1:34">
      <c r="A82" s="215"/>
      <c r="B82" s="222" t="s">
        <v>254</v>
      </c>
      <c r="C82" s="214"/>
      <c r="D82" s="214" t="s">
        <v>335</v>
      </c>
      <c r="E82" s="222"/>
      <c r="G82" s="218">
        <f>'Standaardisatie AD (per RNB)'!$L$28</f>
        <v>0</v>
      </c>
      <c r="H82" s="218">
        <f>'Standaardisatie AD (per RNB)'!$L$58</f>
        <v>192464.63333333333</v>
      </c>
      <c r="I82" s="218">
        <f>'Standaardisatie AD (per RNB)'!$L$89</f>
        <v>32013.79</v>
      </c>
      <c r="J82" s="218">
        <f>'Standaardisatie AD (per RNB)'!$L$120</f>
        <v>28459.056997357355</v>
      </c>
      <c r="K82" s="218">
        <f>'Standaardisatie AD (per RNB)'!$L$151</f>
        <v>69916.066923076927</v>
      </c>
      <c r="L82" s="218">
        <f>'Standaardisatie AD (per RNB)'!$L$182</f>
        <v>48889.792650000003</v>
      </c>
      <c r="M82" s="218">
        <f>'Standaardisatie AD (per RNB)'!$L$213</f>
        <v>66720.72104272584</v>
      </c>
      <c r="N82" s="218">
        <f>'Standaardisatie AD (per RNB)'!$L$244</f>
        <v>63121.866999999991</v>
      </c>
    </row>
    <row r="83" spans="1:34">
      <c r="A83" s="215"/>
      <c r="B83" s="214"/>
      <c r="C83" s="214"/>
      <c r="E83" s="214"/>
      <c r="G83" s="220"/>
      <c r="H83" s="220"/>
      <c r="I83" s="220"/>
      <c r="J83" s="220"/>
      <c r="K83" s="220"/>
      <c r="L83" s="220"/>
      <c r="M83" s="220"/>
      <c r="N83" s="220"/>
    </row>
    <row r="84" spans="1:34">
      <c r="A84" s="215"/>
      <c r="B84" s="206" t="s">
        <v>329</v>
      </c>
      <c r="C84" s="214"/>
      <c r="E84" s="206"/>
      <c r="G84" s="220"/>
      <c r="H84" s="220"/>
      <c r="I84" s="220"/>
      <c r="J84" s="220"/>
      <c r="K84" s="220"/>
      <c r="L84" s="220"/>
      <c r="M84" s="220"/>
      <c r="N84" s="220"/>
    </row>
    <row r="85" spans="1:34">
      <c r="A85" s="215"/>
      <c r="B85" s="222" t="s">
        <v>251</v>
      </c>
      <c r="C85" s="214"/>
      <c r="D85" s="214" t="s">
        <v>335</v>
      </c>
      <c r="E85" s="222"/>
      <c r="G85" s="219">
        <f>'Standaardisatie AD (per RNB)'!$L$32</f>
        <v>17.36</v>
      </c>
      <c r="H85" s="218">
        <f>'Standaardisatie AD (per RNB)'!$L$63</f>
        <v>14.07</v>
      </c>
      <c r="I85" s="218">
        <f>'Standaardisatie AD (per RNB)'!L94</f>
        <v>23.04</v>
      </c>
      <c r="J85" s="218">
        <f>'Standaardisatie AD (per RNB)'!$L$125</f>
        <v>14</v>
      </c>
      <c r="K85" s="218">
        <f>'Standaardisatie AD (per RNB)'!$L$156</f>
        <v>16.350000000000001</v>
      </c>
      <c r="L85" s="218">
        <f>'Standaardisatie AD (per RNB)'!$L$187</f>
        <v>18.09</v>
      </c>
      <c r="M85" s="218">
        <f>'Standaardisatie AD (per RNB)'!$L$218</f>
        <v>15.23</v>
      </c>
      <c r="N85" s="218">
        <f>'Standaardisatie AD (per RNB)'!$L$249</f>
        <v>17.670000000000002</v>
      </c>
    </row>
    <row r="86" spans="1:34">
      <c r="A86" s="215"/>
      <c r="B86" s="222" t="s">
        <v>252</v>
      </c>
      <c r="C86" s="214"/>
      <c r="D86" s="214" t="s">
        <v>335</v>
      </c>
      <c r="E86" s="222"/>
      <c r="G86" s="218">
        <f>'Standaardisatie AD (per RNB)'!$L$33</f>
        <v>17.66</v>
      </c>
      <c r="H86" s="218">
        <f>'Standaardisatie AD (per RNB)'!$L$64</f>
        <v>22.89</v>
      </c>
      <c r="I86" s="218">
        <f>'Standaardisatie AD (per RNB)'!L95</f>
        <v>23.92</v>
      </c>
      <c r="J86" s="218">
        <f>'Standaardisatie AD (per RNB)'!$L$126</f>
        <v>16</v>
      </c>
      <c r="K86" s="218">
        <f>'Standaardisatie AD (per RNB)'!$L$157</f>
        <v>21.6</v>
      </c>
      <c r="L86" s="218">
        <f>'Standaardisatie AD (per RNB)'!$L$188</f>
        <v>21.2</v>
      </c>
      <c r="M86" s="218">
        <f>'Standaardisatie AD (per RNB)'!$L$219</f>
        <v>21.06</v>
      </c>
      <c r="N86" s="218">
        <f>'Standaardisatie AD (per RNB)'!$L$250</f>
        <v>25.53</v>
      </c>
    </row>
    <row r="87" spans="1:34">
      <c r="A87" s="215"/>
      <c r="B87" s="222" t="s">
        <v>253</v>
      </c>
      <c r="C87" s="214"/>
      <c r="D87" s="214" t="s">
        <v>335</v>
      </c>
      <c r="E87" s="222"/>
      <c r="G87" s="218">
        <f>'Standaardisatie AD (per RNB)'!$L$34</f>
        <v>24.729999999999997</v>
      </c>
      <c r="H87" s="218">
        <f>'Standaardisatie AD (per RNB)'!$L$65</f>
        <v>29.176295469049141</v>
      </c>
      <c r="I87" s="218">
        <f>'Standaardisatie AD (per RNB)'!L96</f>
        <v>27.49</v>
      </c>
      <c r="J87" s="218">
        <f>'Standaardisatie AD (per RNB)'!$L$127</f>
        <v>20.965036039774386</v>
      </c>
      <c r="K87" s="218">
        <f>'Standaardisatie AD (per RNB)'!$L$158</f>
        <v>28.734193226428904</v>
      </c>
      <c r="L87" s="218">
        <f>'Standaardisatie AD (per RNB)'!$L$189</f>
        <v>25.842533333333336</v>
      </c>
      <c r="M87" s="218">
        <f>'Standaardisatie AD (per RNB)'!$L$220</f>
        <v>29.16596194812238</v>
      </c>
      <c r="N87" s="218">
        <f>'Standaardisatie AD (per RNB)'!$L$251</f>
        <v>30.64</v>
      </c>
    </row>
    <row r="88" spans="1:34">
      <c r="A88" s="215"/>
      <c r="B88" s="222" t="s">
        <v>255</v>
      </c>
      <c r="C88" s="214"/>
      <c r="D88" s="214" t="s">
        <v>335</v>
      </c>
      <c r="E88" s="222"/>
      <c r="G88" s="218">
        <f>'Standaardisatie AD (per RNB)'!$L$35</f>
        <v>37.447695530726257</v>
      </c>
      <c r="H88" s="218">
        <f>'Standaardisatie AD (per RNB)'!$L$66</f>
        <v>50.008916146523823</v>
      </c>
      <c r="I88" s="218">
        <f>'Standaardisatie AD (per RNB)'!L97</f>
        <v>59.400158023026016</v>
      </c>
      <c r="J88" s="218">
        <f>'Standaardisatie AD (per RNB)'!$L$128</f>
        <v>29.745047600058921</v>
      </c>
      <c r="K88" s="218">
        <f>'Standaardisatie AD (per RNB)'!$L$159</f>
        <v>48.378328253886075</v>
      </c>
      <c r="L88" s="218">
        <f>'Standaardisatie AD (per RNB)'!$L$190</f>
        <v>45.479384835479259</v>
      </c>
      <c r="M88" s="218">
        <f>'Standaardisatie AD (per RNB)'!$L$221</f>
        <v>55.820886684363202</v>
      </c>
      <c r="N88" s="218">
        <f>'Standaardisatie AD (per RNB)'!$L$252</f>
        <v>71.944727238875444</v>
      </c>
    </row>
    <row r="89" spans="1:34">
      <c r="A89" s="215"/>
      <c r="B89" s="222" t="s">
        <v>254</v>
      </c>
      <c r="C89" s="214"/>
      <c r="D89" s="214" t="s">
        <v>335</v>
      </c>
      <c r="E89" s="222"/>
      <c r="G89" s="218">
        <f>IF(ISERROR('Standaardisatie AD (per RNB)'!$L$36),0, 'Standaardisatie AD (per RNB)'!$L$36)</f>
        <v>0</v>
      </c>
      <c r="H89" s="218">
        <f>'Standaardisatie AD (per RNB)'!$L$67</f>
        <v>133.19505319148936</v>
      </c>
      <c r="I89" s="218" t="e">
        <f>'Standaardisatie AD (per RNB)'!L98</f>
        <v>#DIV/0!</v>
      </c>
      <c r="J89" s="218">
        <f>'Standaardisatie AD (per RNB)'!$L$129</f>
        <v>71.898901134021003</v>
      </c>
      <c r="K89" s="218">
        <f>'Standaardisatie AD (per RNB)'!$L$160</f>
        <v>117.90732171080991</v>
      </c>
      <c r="L89" s="218">
        <f>'Standaardisatie AD (per RNB)'!$L$191</f>
        <v>101.24</v>
      </c>
      <c r="M89" s="218">
        <f>'Standaardisatie AD (per RNB)'!$L$222</f>
        <v>142.09905027862339</v>
      </c>
      <c r="N89" s="218">
        <f>'Standaardisatie AD (per RNB)'!$L$253</f>
        <v>178.53136094674556</v>
      </c>
    </row>
    <row r="90" spans="1:34">
      <c r="A90" s="215"/>
      <c r="B90" s="214"/>
      <c r="C90" s="214"/>
      <c r="D90" s="222"/>
      <c r="E90" s="222"/>
      <c r="F90" s="222"/>
      <c r="G90" s="222"/>
      <c r="H90" s="222"/>
      <c r="I90" s="222"/>
      <c r="J90" s="222"/>
      <c r="K90" s="222"/>
      <c r="L90" s="222"/>
      <c r="M90" s="222"/>
      <c r="N90" s="222"/>
      <c r="O90" s="222"/>
      <c r="P90" s="222"/>
    </row>
    <row r="91" spans="1:34">
      <c r="A91" s="215"/>
      <c r="B91" s="214"/>
      <c r="C91" s="214"/>
      <c r="D91" s="222"/>
      <c r="E91" s="222"/>
      <c r="F91" s="222"/>
      <c r="G91" s="222"/>
      <c r="H91" s="222"/>
      <c r="I91" s="222"/>
      <c r="J91" s="222"/>
      <c r="K91" s="222"/>
      <c r="L91" s="222"/>
      <c r="M91" s="222"/>
      <c r="N91" s="222"/>
      <c r="O91" s="222"/>
      <c r="P91" s="222"/>
    </row>
    <row r="92" spans="1:34" ht="12" customHeight="1">
      <c r="A92" s="213"/>
      <c r="B92" s="205" t="s">
        <v>6</v>
      </c>
      <c r="C92" s="213"/>
      <c r="D92" s="213"/>
      <c r="E92" s="213"/>
      <c r="F92" s="227"/>
      <c r="G92" s="227"/>
      <c r="H92" s="227"/>
      <c r="I92" s="227"/>
      <c r="J92" s="227"/>
      <c r="K92" s="227"/>
      <c r="L92" s="227"/>
      <c r="M92" s="227"/>
      <c r="N92" s="227"/>
      <c r="O92" s="204"/>
      <c r="P92" s="204"/>
      <c r="Q92" s="204"/>
      <c r="R92" s="204"/>
      <c r="S92" s="204"/>
      <c r="T92" s="204"/>
      <c r="U92" s="204"/>
      <c r="V92" s="204"/>
      <c r="W92" s="204"/>
      <c r="X92" s="204"/>
      <c r="Y92" s="204"/>
      <c r="Z92" s="204"/>
      <c r="AA92" s="204"/>
      <c r="AB92" s="204"/>
      <c r="AC92" s="204"/>
      <c r="AD92" s="204"/>
      <c r="AE92" s="204"/>
      <c r="AF92" s="204"/>
      <c r="AG92" s="204"/>
      <c r="AH92" s="204"/>
    </row>
    <row r="93" spans="1:34">
      <c r="A93" s="214"/>
      <c r="B93" s="207"/>
      <c r="C93" s="214"/>
      <c r="D93" s="214"/>
      <c r="E93" s="214"/>
      <c r="F93" s="216"/>
      <c r="G93" s="216"/>
      <c r="H93" s="216"/>
      <c r="I93" s="216"/>
      <c r="J93" s="216"/>
      <c r="K93" s="216"/>
      <c r="L93" s="216"/>
      <c r="M93" s="216"/>
      <c r="N93" s="216"/>
    </row>
    <row r="94" spans="1:34">
      <c r="A94" s="215"/>
      <c r="B94" s="206" t="s">
        <v>922</v>
      </c>
      <c r="C94" s="206"/>
      <c r="D94" s="206"/>
      <c r="E94" s="214"/>
      <c r="F94" s="216"/>
      <c r="G94" s="216"/>
      <c r="J94" s="216"/>
    </row>
    <row r="95" spans="1:34">
      <c r="A95" s="215"/>
      <c r="B95" s="214" t="s">
        <v>251</v>
      </c>
      <c r="C95" s="214"/>
      <c r="D95" s="214" t="s">
        <v>241</v>
      </c>
      <c r="E95" s="214"/>
      <c r="G95" s="223">
        <f>'Standaardisatie AD (per RNB)'!$M$12</f>
        <v>22807</v>
      </c>
      <c r="H95" s="224">
        <f>'Standaardisatie AD (per RNB)'!$M$42</f>
        <v>84946</v>
      </c>
      <c r="I95" s="224">
        <f>'Standaardisatie AD (per RNB)'!$M$73</f>
        <v>44092</v>
      </c>
      <c r="J95" s="223">
        <f>'Standaardisatie AD (per RNB)'!$M$104</f>
        <v>1066456.8786648926</v>
      </c>
      <c r="K95" s="224">
        <f>'Standaardisatie AD (per RNB)'!$M$135</f>
        <v>746470.63524900982</v>
      </c>
      <c r="L95" s="224">
        <f>'Standaardisatie AD (per RNB)'!$M$166</f>
        <v>18401</v>
      </c>
      <c r="M95" s="224">
        <f>'Standaardisatie AD (per RNB)'!$M$197</f>
        <v>579156.588444066</v>
      </c>
      <c r="N95" s="224">
        <f>'Standaardisatie AD (per RNB)'!$M$228</f>
        <v>24576.735632183911</v>
      </c>
    </row>
    <row r="96" spans="1:34">
      <c r="A96" s="215"/>
      <c r="B96" s="214" t="s">
        <v>252</v>
      </c>
      <c r="C96" s="214"/>
      <c r="D96" s="214" t="s">
        <v>241</v>
      </c>
      <c r="E96" s="214"/>
      <c r="G96" s="223">
        <f>'Standaardisatie AD (per RNB)'!$M$13</f>
        <v>50452</v>
      </c>
      <c r="H96" s="224">
        <f>'Standaardisatie AD (per RNB)'!$M$43</f>
        <v>196039.08333333337</v>
      </c>
      <c r="I96" s="224">
        <f>'Standaardisatie AD (per RNB)'!$M$74</f>
        <v>99929</v>
      </c>
      <c r="J96" s="223">
        <f>'Standaardisatie AD (per RNB)'!$M$105</f>
        <v>2415726.3667533835</v>
      </c>
      <c r="K96" s="224">
        <f>'Standaardisatie AD (per RNB)'!$M$136</f>
        <v>2738965.4637042978</v>
      </c>
      <c r="L96" s="224">
        <f>'Standaardisatie AD (per RNB)'!$M$167</f>
        <v>29926.6</v>
      </c>
      <c r="M96" s="224">
        <f>'Standaardisatie AD (per RNB)'!$M$198</f>
        <v>1879442.75</v>
      </c>
      <c r="N96" s="224">
        <f>'Standaardisatie AD (per RNB)'!$M$229</f>
        <v>49008.902754164825</v>
      </c>
    </row>
    <row r="97" spans="1:14">
      <c r="A97" s="215"/>
      <c r="B97" s="214" t="s">
        <v>253</v>
      </c>
      <c r="C97" s="214"/>
      <c r="D97" s="214" t="s">
        <v>241</v>
      </c>
      <c r="E97" s="214"/>
      <c r="G97" s="223">
        <f>'Standaardisatie AD (per RNB)'!$M$14</f>
        <v>1629</v>
      </c>
      <c r="H97" s="224">
        <f>'Standaardisatie AD (per RNB)'!$M$44</f>
        <v>8094</v>
      </c>
      <c r="I97" s="224">
        <f>'Standaardisatie AD (per RNB)'!$M$75</f>
        <v>3394</v>
      </c>
      <c r="J97" s="223">
        <f>'Standaardisatie AD (per RNB)'!$M$106</f>
        <v>124585.14716934915</v>
      </c>
      <c r="K97" s="224">
        <f>'Standaardisatie AD (per RNB)'!$M$137</f>
        <v>114027.85334934245</v>
      </c>
      <c r="L97" s="224">
        <f>'Standaardisatie AD (per RNB)'!$M$168</f>
        <v>1208.4000000000001</v>
      </c>
      <c r="M97" s="224">
        <f>'Standaardisatie AD (per RNB)'!$M$199</f>
        <v>81709.36405109489</v>
      </c>
      <c r="N97" s="224">
        <f>'Standaardisatie AD (per RNB)'!$M$230</f>
        <v>3299.4200402754004</v>
      </c>
    </row>
    <row r="98" spans="1:14">
      <c r="A98" s="215"/>
      <c r="B98" s="214" t="s">
        <v>255</v>
      </c>
      <c r="C98" s="214"/>
      <c r="D98" s="214" t="s">
        <v>241</v>
      </c>
      <c r="E98" s="214"/>
      <c r="G98" s="223">
        <f>'Standaardisatie AD (per RNB)'!$M$15</f>
        <v>307</v>
      </c>
      <c r="H98" s="224">
        <f>'Standaardisatie AD (per RNB)'!$M$45</f>
        <v>1493.4166666666667</v>
      </c>
      <c r="I98" s="224">
        <f>'Standaardisatie AD (per RNB)'!$M$76</f>
        <v>688</v>
      </c>
      <c r="J98" s="223">
        <f>'Standaardisatie AD (per RNB)'!$M$107</f>
        <v>12635.067234583596</v>
      </c>
      <c r="K98" s="224">
        <f>'Standaardisatie AD (per RNB)'!$M$138</f>
        <v>13712.438500000113</v>
      </c>
      <c r="L98" s="224">
        <f>'Standaardisatie AD (per RNB)'!$M$169</f>
        <v>128.72</v>
      </c>
      <c r="M98" s="224">
        <f>'Standaardisatie AD (per RNB)'!$M$200</f>
        <v>9731.6666666666697</v>
      </c>
      <c r="N98" s="224">
        <f>'Standaardisatie AD (per RNB)'!$M$231</f>
        <v>974.51272058293739</v>
      </c>
    </row>
    <row r="99" spans="1:14">
      <c r="A99" s="215"/>
      <c r="B99" s="214" t="s">
        <v>261</v>
      </c>
      <c r="C99" s="214"/>
      <c r="D99" s="214" t="s">
        <v>241</v>
      </c>
      <c r="E99" s="214"/>
      <c r="G99" s="223">
        <f>'Standaardisatie AD (per RNB)'!$M$16</f>
        <v>241</v>
      </c>
      <c r="H99" s="224">
        <f>'Standaardisatie AD (per RNB)'!$M$46</f>
        <v>412.25000000000006</v>
      </c>
      <c r="I99" s="224">
        <f>'Standaardisatie AD (per RNB)'!$M$77</f>
        <v>586</v>
      </c>
      <c r="J99" s="223">
        <f>'Standaardisatie AD (per RNB)'!$M$108</f>
        <v>14159.890103850457</v>
      </c>
      <c r="K99" s="224">
        <f>'Standaardisatie AD (per RNB)'!$M$139</f>
        <v>12550.8995</v>
      </c>
      <c r="L99" s="224">
        <f>'Standaardisatie AD (per RNB)'!$M$170</f>
        <v>149.45999999999998</v>
      </c>
      <c r="M99" s="224">
        <f>'Standaardisatie AD (per RNB)'!$M$201</f>
        <v>3675.8333333333298</v>
      </c>
      <c r="N99" s="224">
        <f>'Standaardisatie AD (per RNB)'!$M$232</f>
        <v>406.72215940429334</v>
      </c>
    </row>
    <row r="100" spans="1:14">
      <c r="A100" s="215"/>
      <c r="B100" s="214" t="s">
        <v>262</v>
      </c>
      <c r="C100" s="214"/>
      <c r="D100" s="214" t="s">
        <v>241</v>
      </c>
      <c r="E100" s="214"/>
      <c r="G100" s="223">
        <f>'Standaardisatie AD (per RNB)'!$M$17</f>
        <v>0</v>
      </c>
      <c r="H100" s="224">
        <f>'Standaardisatie AD (per RNB)'!$M$47</f>
        <v>10</v>
      </c>
      <c r="I100" s="224">
        <f>'Standaardisatie AD (per RNB)'!$M$78</f>
        <v>5</v>
      </c>
      <c r="J100" s="223">
        <f>'Standaardisatie AD (per RNB)'!$M$109</f>
        <v>847.32390767088577</v>
      </c>
      <c r="K100" s="224">
        <f>'Standaardisatie AD (per RNB)'!$M$140</f>
        <v>131</v>
      </c>
      <c r="L100" s="224">
        <f>'Standaardisatie AD (per RNB)'!$M$171</f>
        <v>1.75</v>
      </c>
      <c r="M100" s="224">
        <f>'Standaardisatie AD (per RNB)'!$M$202</f>
        <v>205.2498090565764</v>
      </c>
      <c r="N100" s="224">
        <f>'Standaardisatie AD (per RNB)'!$M$233</f>
        <v>29.385760379353922</v>
      </c>
    </row>
    <row r="101" spans="1:14">
      <c r="A101" s="215"/>
      <c r="B101" s="214"/>
      <c r="C101" s="214"/>
      <c r="D101" s="214"/>
      <c r="E101" s="214"/>
      <c r="G101" s="225"/>
      <c r="H101" s="226"/>
      <c r="I101" s="226"/>
      <c r="J101" s="225"/>
      <c r="K101" s="226"/>
      <c r="L101" s="226"/>
      <c r="M101" s="226"/>
      <c r="N101" s="226"/>
    </row>
    <row r="102" spans="1:14">
      <c r="A102" s="215"/>
      <c r="B102" s="214" t="s">
        <v>1096</v>
      </c>
      <c r="C102" s="214"/>
      <c r="D102" s="214" t="s">
        <v>241</v>
      </c>
      <c r="E102" s="214"/>
      <c r="G102" s="223">
        <f>'Standaardisatie AD (per RNB)'!$M$19</f>
        <v>0</v>
      </c>
      <c r="H102" s="224">
        <f>'Standaardisatie AD (per RNB)'!$M$49</f>
        <v>23200</v>
      </c>
      <c r="I102" s="224">
        <f>'Standaardisatie AD (per RNB)'!$M$80</f>
        <v>2835</v>
      </c>
      <c r="J102" s="223">
        <f>'Standaardisatie AD (per RNB)'!$M$111</f>
        <v>208782.74818181817</v>
      </c>
      <c r="K102" s="224">
        <f>'Standaardisatie AD (per RNB)'!$M$142</f>
        <v>780848.7414388468</v>
      </c>
      <c r="L102" s="224">
        <f>'Standaardisatie AD (per RNB)'!$M$173</f>
        <v>8240</v>
      </c>
      <c r="M102" s="224">
        <f>'Standaardisatie AD (per RNB)'!$M$204</f>
        <v>178593.426136364</v>
      </c>
      <c r="N102" s="224">
        <f>'Standaardisatie AD (per RNB)'!$M$235</f>
        <v>5076.0638297872338</v>
      </c>
    </row>
    <row r="103" spans="1:14">
      <c r="A103" s="215"/>
      <c r="B103" s="214"/>
      <c r="C103" s="214"/>
      <c r="D103" s="214"/>
      <c r="E103" s="214"/>
      <c r="G103" s="225"/>
      <c r="H103" s="226"/>
      <c r="I103" s="226"/>
      <c r="J103" s="225"/>
      <c r="K103" s="226"/>
      <c r="L103" s="226"/>
      <c r="M103" s="226"/>
      <c r="N103" s="226"/>
    </row>
    <row r="104" spans="1:14">
      <c r="A104" s="215"/>
      <c r="B104" s="206" t="s">
        <v>923</v>
      </c>
      <c r="C104" s="206"/>
      <c r="D104" s="214"/>
      <c r="E104" s="214"/>
      <c r="G104" s="225"/>
      <c r="H104" s="226"/>
      <c r="I104" s="226"/>
      <c r="J104" s="225"/>
      <c r="K104" s="226"/>
      <c r="L104" s="226"/>
      <c r="M104" s="226"/>
      <c r="N104" s="226"/>
    </row>
    <row r="105" spans="1:14">
      <c r="A105" s="215"/>
      <c r="B105" s="206" t="s">
        <v>328</v>
      </c>
      <c r="C105" s="214"/>
      <c r="E105" s="206"/>
      <c r="G105" s="225"/>
      <c r="H105" s="226"/>
      <c r="I105" s="226"/>
      <c r="J105" s="225"/>
      <c r="K105" s="226"/>
      <c r="L105" s="226"/>
      <c r="M105" s="226"/>
      <c r="N105" s="226"/>
    </row>
    <row r="106" spans="1:14">
      <c r="A106" s="215"/>
      <c r="B106" s="222" t="s">
        <v>251</v>
      </c>
      <c r="C106" s="214"/>
      <c r="D106" s="214" t="s">
        <v>241</v>
      </c>
      <c r="E106" s="222"/>
      <c r="G106" s="223">
        <f>'Standaardisatie AD (per RNB)'!$M$24</f>
        <v>141</v>
      </c>
      <c r="H106" s="223">
        <f>'Standaardisatie AD (per RNB)'!$M$54</f>
        <v>1237</v>
      </c>
      <c r="I106" s="223">
        <f>'Standaardisatie AD (per RNB)'!$M$85</f>
        <v>755.84510110666872</v>
      </c>
      <c r="J106" s="223">
        <f>'Standaardisatie AD (per RNB)'!$M$116</f>
        <v>25391.567533783782</v>
      </c>
      <c r="K106" s="223">
        <f>'Standaardisatie AD (per RNB)'!$M$147</f>
        <v>10247</v>
      </c>
      <c r="L106" s="223">
        <f>'Standaardisatie AD (per RNB)'!$M$178</f>
        <v>437</v>
      </c>
      <c r="M106" s="223">
        <f>'Standaardisatie AD (per RNB)'!$M$209</f>
        <v>6738.97322460328</v>
      </c>
      <c r="N106" s="223">
        <f>'Standaardisatie AD (per RNB)'!$M$240</f>
        <v>505</v>
      </c>
    </row>
    <row r="107" spans="1:14">
      <c r="A107" s="215"/>
      <c r="B107" s="222" t="s">
        <v>252</v>
      </c>
      <c r="C107" s="214"/>
      <c r="D107" s="214" t="s">
        <v>241</v>
      </c>
      <c r="E107" s="222"/>
      <c r="G107" s="223">
        <f>'Standaardisatie AD (per RNB)'!$M$25</f>
        <v>213</v>
      </c>
      <c r="H107" s="223">
        <f>'Standaardisatie AD (per RNB)'!$M$55</f>
        <v>1568</v>
      </c>
      <c r="I107" s="223">
        <f>'Standaardisatie AD (per RNB)'!$M$86</f>
        <v>509.77102838186511</v>
      </c>
      <c r="J107" s="223">
        <f>'Standaardisatie AD (per RNB)'!$M$117</f>
        <v>24397.998450704192</v>
      </c>
      <c r="K107" s="223">
        <f>'Standaardisatie AD (per RNB)'!$M$148</f>
        <v>29534.771026156941</v>
      </c>
      <c r="L107" s="223">
        <f>'Standaardisatie AD (per RNB)'!$M$179</f>
        <v>271</v>
      </c>
      <c r="M107" s="223">
        <f>'Standaardisatie AD (per RNB)'!$M$210</f>
        <v>21771.6470328408</v>
      </c>
      <c r="N107" s="223">
        <f>'Standaardisatie AD (per RNB)'!$M$241</f>
        <v>991</v>
      </c>
    </row>
    <row r="108" spans="1:14">
      <c r="A108" s="215"/>
      <c r="B108" s="222" t="s">
        <v>253</v>
      </c>
      <c r="C108" s="214"/>
      <c r="D108" s="214" t="s">
        <v>241</v>
      </c>
      <c r="E108" s="222"/>
      <c r="G108" s="223">
        <f>'Standaardisatie AD (per RNB)'!$M$26</f>
        <v>28</v>
      </c>
      <c r="H108" s="223">
        <f>'Standaardisatie AD (per RNB)'!$M$56</f>
        <v>244</v>
      </c>
      <c r="I108" s="223">
        <f>'Standaardisatie AD (per RNB)'!$M$87</f>
        <v>84.635046754229521</v>
      </c>
      <c r="J108" s="223">
        <f>'Standaardisatie AD (per RNB)'!$M$118</f>
        <v>2393.9713621954124</v>
      </c>
      <c r="K108" s="223">
        <f>'Standaardisatie AD (per RNB)'!$M$149</f>
        <v>3231.8425997156528</v>
      </c>
      <c r="L108" s="223">
        <f>'Standaardisatie AD (per RNB)'!$M$180</f>
        <v>36</v>
      </c>
      <c r="M108" s="223">
        <f>'Standaardisatie AD (per RNB)'!$M$211</f>
        <v>1833.483065417151</v>
      </c>
      <c r="N108" s="223">
        <f>'Standaardisatie AD (per RNB)'!$M$242</f>
        <v>58</v>
      </c>
    </row>
    <row r="109" spans="1:14">
      <c r="A109" s="215"/>
      <c r="B109" s="222" t="s">
        <v>255</v>
      </c>
      <c r="C109" s="214"/>
      <c r="D109" s="214" t="s">
        <v>241</v>
      </c>
      <c r="E109" s="222"/>
      <c r="G109" s="223">
        <f>'Standaardisatie AD (per RNB)'!$M$27</f>
        <v>9</v>
      </c>
      <c r="H109" s="223">
        <f>'Standaardisatie AD (per RNB)'!$M$57</f>
        <v>51.2</v>
      </c>
      <c r="I109" s="223">
        <f>'Standaardisatie AD (per RNB)'!$M$88</f>
        <v>24.389913997354657</v>
      </c>
      <c r="J109" s="223">
        <f>'Standaardisatie AD (per RNB)'!$M$119</f>
        <v>1148.2479260740615</v>
      </c>
      <c r="K109" s="223">
        <f>'Standaardisatie AD (per RNB)'!$M$150</f>
        <v>661</v>
      </c>
      <c r="L109" s="223">
        <f>'Standaardisatie AD (per RNB)'!$M$181</f>
        <v>7</v>
      </c>
      <c r="M109" s="223">
        <f>'Standaardisatie AD (per RNB)'!$M$212</f>
        <v>417.19761205638918</v>
      </c>
      <c r="N109" s="223">
        <f>'Standaardisatie AD (per RNB)'!$M$243</f>
        <v>22</v>
      </c>
    </row>
    <row r="110" spans="1:14">
      <c r="A110" s="215"/>
      <c r="B110" s="222" t="s">
        <v>254</v>
      </c>
      <c r="C110" s="214"/>
      <c r="D110" s="214" t="s">
        <v>241</v>
      </c>
      <c r="E110" s="222"/>
      <c r="G110" s="223">
        <f>'Standaardisatie AD (per RNB)'!$M$28</f>
        <v>0</v>
      </c>
      <c r="H110" s="223">
        <f>'Standaardisatie AD (per RNB)'!$M$58</f>
        <v>3</v>
      </c>
      <c r="I110" s="223">
        <f>'Standaardisatie AD (per RNB)'!$M$89</f>
        <v>1</v>
      </c>
      <c r="J110" s="223">
        <f>'Standaardisatie AD (per RNB)'!$M$120</f>
        <v>133.10390222528267</v>
      </c>
      <c r="K110" s="223">
        <f>'Standaardisatie AD (per RNB)'!$M$151</f>
        <v>78</v>
      </c>
      <c r="L110" s="223">
        <f>'Standaardisatie AD (per RNB)'!$M$182</f>
        <v>1</v>
      </c>
      <c r="M110" s="223">
        <f>'Standaardisatie AD (per RNB)'!$M$213</f>
        <v>53.014809067902824</v>
      </c>
      <c r="N110" s="223">
        <f>'Standaardisatie AD (per RNB)'!$M$244</f>
        <v>10</v>
      </c>
    </row>
    <row r="111" spans="1:14">
      <c r="A111" s="215"/>
      <c r="B111" s="214"/>
      <c r="C111" s="214"/>
      <c r="E111" s="214"/>
      <c r="G111" s="225"/>
      <c r="H111" s="225"/>
      <c r="I111" s="225"/>
      <c r="J111" s="225"/>
      <c r="K111" s="225"/>
      <c r="L111" s="225"/>
      <c r="M111" s="225"/>
      <c r="N111" s="225"/>
    </row>
    <row r="112" spans="1:14">
      <c r="A112" s="215"/>
      <c r="B112" s="206" t="s">
        <v>329</v>
      </c>
      <c r="C112" s="214"/>
      <c r="E112" s="206"/>
      <c r="G112" s="225"/>
      <c r="H112" s="225"/>
      <c r="I112" s="225"/>
      <c r="J112" s="225"/>
      <c r="K112" s="225"/>
      <c r="L112" s="225"/>
      <c r="M112" s="225"/>
      <c r="N112" s="225"/>
    </row>
    <row r="113" spans="1:34">
      <c r="A113" s="215"/>
      <c r="B113" s="222" t="s">
        <v>251</v>
      </c>
      <c r="C113" s="214"/>
      <c r="D113" s="214" t="s">
        <v>241</v>
      </c>
      <c r="E113" s="222"/>
      <c r="G113" s="223">
        <f>'Standaardisatie AD (per RNB)'!$M$32</f>
        <v>968</v>
      </c>
      <c r="H113" s="223">
        <f>'Standaardisatie AD (per RNB)'!$M$63</f>
        <v>2141</v>
      </c>
      <c r="I113" s="223">
        <f>'Standaardisatie AD (per RNB)'!M94</f>
        <v>69.388020833333314</v>
      </c>
      <c r="J113" s="223">
        <f>'Standaardisatie AD (per RNB)'!$M$125</f>
        <v>28214.471428571425</v>
      </c>
      <c r="K113" s="223">
        <f>'Standaardisatie AD (per RNB)'!$M$156</f>
        <v>12090</v>
      </c>
      <c r="L113" s="223">
        <f>'Standaardisatie AD (per RNB)'!$M$187</f>
        <v>169</v>
      </c>
      <c r="M113" s="223">
        <f>'Standaardisatie AD (per RNB)'!$M$218</f>
        <v>4151.2407952106396</v>
      </c>
      <c r="N113" s="223">
        <f>'Standaardisatie AD (per RNB)'!$M$249</f>
        <v>120</v>
      </c>
    </row>
    <row r="114" spans="1:34">
      <c r="A114" s="215"/>
      <c r="B114" s="222" t="s">
        <v>252</v>
      </c>
      <c r="C114" s="214"/>
      <c r="D114" s="214" t="s">
        <v>241</v>
      </c>
      <c r="E114" s="222"/>
      <c r="G114" s="223">
        <f>'Standaardisatie AD (per RNB)'!$M$33</f>
        <v>212</v>
      </c>
      <c r="H114" s="223">
        <f>'Standaardisatie AD (per RNB)'!$M$64</f>
        <v>5119</v>
      </c>
      <c r="I114" s="223">
        <f>'Standaardisatie AD (per RNB)'!M95</f>
        <v>644.55183946488296</v>
      </c>
      <c r="J114" s="223">
        <f>'Standaardisatie AD (per RNB)'!$M$126</f>
        <v>103878.09375</v>
      </c>
      <c r="K114" s="223">
        <f>'Standaardisatie AD (per RNB)'!$M$157</f>
        <v>24040</v>
      </c>
      <c r="L114" s="223">
        <f>'Standaardisatie AD (per RNB)'!$M$188</f>
        <v>487</v>
      </c>
      <c r="M114" s="223">
        <f>'Standaardisatie AD (per RNB)'!$M$219</f>
        <v>8050.5254911524798</v>
      </c>
      <c r="N114" s="223">
        <f>'Standaardisatie AD (per RNB)'!$M$250</f>
        <v>606</v>
      </c>
    </row>
    <row r="115" spans="1:34">
      <c r="A115" s="215"/>
      <c r="B115" s="222" t="s">
        <v>253</v>
      </c>
      <c r="C115" s="214"/>
      <c r="D115" s="214" t="s">
        <v>241</v>
      </c>
      <c r="E115" s="222"/>
      <c r="G115" s="223">
        <f>'Standaardisatie AD (per RNB)'!$M$34</f>
        <v>510</v>
      </c>
      <c r="H115" s="223">
        <f>'Standaardisatie AD (per RNB)'!$M$65</f>
        <v>3134</v>
      </c>
      <c r="I115" s="223">
        <f>'Standaardisatie AD (per RNB)'!M96</f>
        <v>837.27209894507087</v>
      </c>
      <c r="J115" s="223">
        <f>'Standaardisatie AD (per RNB)'!$M$127</f>
        <v>27885.857142857141</v>
      </c>
      <c r="K115" s="223">
        <f>'Standaardisatie AD (per RNB)'!$M$158</f>
        <v>30058</v>
      </c>
      <c r="L115" s="223">
        <f>'Standaardisatie AD (per RNB)'!$M$189</f>
        <v>150</v>
      </c>
      <c r="M115" s="223">
        <f>'Standaardisatie AD (per RNB)'!$M$220</f>
        <v>19814.150410724658</v>
      </c>
      <c r="N115" s="223">
        <f>'Standaardisatie AD (per RNB)'!$M$251</f>
        <v>2594</v>
      </c>
    </row>
    <row r="116" spans="1:34">
      <c r="A116" s="215"/>
      <c r="B116" s="222" t="s">
        <v>255</v>
      </c>
      <c r="C116" s="214"/>
      <c r="D116" s="214" t="s">
        <v>241</v>
      </c>
      <c r="E116" s="222"/>
      <c r="G116" s="223">
        <f>'Standaardisatie AD (per RNB)'!$M$35</f>
        <v>716</v>
      </c>
      <c r="H116" s="223">
        <f>'Standaardisatie AD (per RNB)'!$M$66</f>
        <v>7701.4100000000008</v>
      </c>
      <c r="I116" s="223">
        <f>'Standaardisatie AD (per RNB)'!M97</f>
        <v>1022.1519945530096</v>
      </c>
      <c r="J116" s="223">
        <f>'Standaardisatie AD (per RNB)'!$M$128</f>
        <v>157071.79974358977</v>
      </c>
      <c r="K116" s="223">
        <f>'Standaardisatie AD (per RNB)'!$M$159</f>
        <v>84983</v>
      </c>
      <c r="L116" s="223">
        <f>'Standaardisatie AD (per RNB)'!$M$190</f>
        <v>699</v>
      </c>
      <c r="M116" s="223">
        <f>'Standaardisatie AD (per RNB)'!$M$221</f>
        <v>38396.943027869915</v>
      </c>
      <c r="N116" s="223">
        <f>'Standaardisatie AD (per RNB)'!$M$252</f>
        <v>2685.5</v>
      </c>
    </row>
    <row r="117" spans="1:34">
      <c r="A117" s="215"/>
      <c r="B117" s="222" t="s">
        <v>254</v>
      </c>
      <c r="C117" s="214"/>
      <c r="D117" s="214" t="s">
        <v>241</v>
      </c>
      <c r="E117" s="222"/>
      <c r="G117" s="223">
        <f>'Standaardisatie AD (per RNB)'!$M$36</f>
        <v>0</v>
      </c>
      <c r="H117" s="223">
        <f>'Standaardisatie AD (per RNB)'!$M$67</f>
        <v>940</v>
      </c>
      <c r="I117" s="223">
        <f>'Standaardisatie AD (per RNB)'!M98</f>
        <v>0</v>
      </c>
      <c r="J117" s="223">
        <f>'Standaardisatie AD (per RNB)'!$M$129</f>
        <v>13790.555688073393</v>
      </c>
      <c r="K117" s="223">
        <f>'Standaardisatie AD (per RNB)'!$M$160</f>
        <v>20879</v>
      </c>
      <c r="L117" s="223">
        <f>'Standaardisatie AD (per RNB)'!$M$191</f>
        <v>1400</v>
      </c>
      <c r="M117" s="223">
        <f>'Standaardisatie AD (per RNB)'!$M$222</f>
        <v>13293.030891253238</v>
      </c>
      <c r="N117" s="223">
        <f>'Standaardisatie AD (per RNB)'!$M$253</f>
        <v>338</v>
      </c>
    </row>
    <row r="118" spans="1:34">
      <c r="A118" s="215"/>
      <c r="B118" s="214"/>
      <c r="C118" s="214"/>
      <c r="D118" s="214"/>
      <c r="E118" s="214"/>
    </row>
    <row r="119" spans="1:34">
      <c r="A119" s="215"/>
      <c r="B119" s="214"/>
      <c r="C119" s="214"/>
      <c r="D119" s="214"/>
      <c r="E119" s="214"/>
    </row>
    <row r="120" spans="1:34">
      <c r="A120" s="204"/>
      <c r="B120" s="205" t="s">
        <v>7</v>
      </c>
      <c r="C120" s="204"/>
      <c r="D120" s="213"/>
      <c r="E120" s="213"/>
      <c r="F120" s="227"/>
      <c r="G120" s="227"/>
      <c r="H120" s="227"/>
      <c r="I120" s="227"/>
      <c r="J120" s="227"/>
      <c r="K120" s="227"/>
      <c r="L120" s="227"/>
      <c r="M120" s="227"/>
      <c r="N120" s="227"/>
      <c r="O120" s="204"/>
      <c r="P120" s="204"/>
      <c r="Q120" s="204"/>
      <c r="R120" s="204"/>
      <c r="S120" s="204"/>
      <c r="T120" s="204"/>
      <c r="U120" s="204"/>
      <c r="V120" s="204"/>
      <c r="W120" s="204"/>
      <c r="X120" s="204"/>
      <c r="Y120" s="204"/>
      <c r="Z120" s="204"/>
      <c r="AA120" s="204"/>
      <c r="AB120" s="204"/>
      <c r="AC120" s="204"/>
      <c r="AD120" s="204"/>
      <c r="AE120" s="204"/>
      <c r="AF120" s="204"/>
      <c r="AG120" s="204"/>
      <c r="AH120" s="204"/>
    </row>
    <row r="121" spans="1:34">
      <c r="A121" s="206"/>
      <c r="B121" s="207"/>
      <c r="C121" s="206"/>
      <c r="D121" s="214"/>
      <c r="E121" s="214"/>
      <c r="F121" s="216"/>
      <c r="G121" s="216"/>
      <c r="H121" s="216"/>
      <c r="I121" s="216"/>
      <c r="J121" s="216"/>
      <c r="K121" s="216"/>
      <c r="L121" s="216"/>
      <c r="M121" s="216"/>
      <c r="N121" s="216"/>
    </row>
    <row r="122" spans="1:34">
      <c r="A122" s="215"/>
      <c r="B122" s="206" t="s">
        <v>922</v>
      </c>
      <c r="C122" s="206"/>
      <c r="D122" s="206"/>
      <c r="E122" s="214"/>
      <c r="F122" s="216"/>
      <c r="G122" s="216"/>
      <c r="J122" s="216"/>
    </row>
    <row r="123" spans="1:34">
      <c r="A123" s="215"/>
      <c r="B123" s="214" t="s">
        <v>251</v>
      </c>
      <c r="C123" s="214"/>
      <c r="D123" s="214" t="s">
        <v>336</v>
      </c>
      <c r="E123" s="214"/>
      <c r="F123" s="216"/>
      <c r="G123" s="218">
        <f>'Standaardisatie AD (per RNB)'!$O$12</f>
        <v>5.6795999999999998</v>
      </c>
      <c r="H123" s="219">
        <f>'Standaardisatie AD (per RNB)'!$O$42</f>
        <v>2.1</v>
      </c>
      <c r="I123" s="219">
        <f>'Standaardisatie AD (per RNB)'!$O$73</f>
        <v>6.55</v>
      </c>
      <c r="J123" s="218">
        <f>'Standaardisatie AD (per RNB)'!$O$104</f>
        <v>3.62</v>
      </c>
      <c r="K123" s="219">
        <f>'Standaardisatie AD (per RNB)'!$O$135</f>
        <v>8.4</v>
      </c>
      <c r="L123" s="219">
        <f>'Standaardisatie AD (per RNB)'!$O$166</f>
        <v>11.65</v>
      </c>
      <c r="M123" s="219">
        <f>'Standaardisatie AD (per RNB)'!$O$197</f>
        <v>6.8</v>
      </c>
      <c r="N123" s="219">
        <f>'Standaardisatie AD (per RNB)'!$O$228</f>
        <v>2.81</v>
      </c>
      <c r="O123" s="221"/>
    </row>
    <row r="124" spans="1:34">
      <c r="A124" s="215"/>
      <c r="B124" s="214" t="s">
        <v>252</v>
      </c>
      <c r="C124" s="214"/>
      <c r="D124" s="214" t="s">
        <v>336</v>
      </c>
      <c r="E124" s="214"/>
      <c r="F124" s="216"/>
      <c r="G124" s="218">
        <f>'Standaardisatie AD (per RNB)'!$O$13</f>
        <v>16.23</v>
      </c>
      <c r="H124" s="219">
        <f>'Standaardisatie AD (per RNB)'!$O$43</f>
        <v>20.64</v>
      </c>
      <c r="I124" s="219">
        <f>'Standaardisatie AD (per RNB)'!$O$74</f>
        <v>14.17</v>
      </c>
      <c r="J124" s="218">
        <f>'Standaardisatie AD (per RNB)'!$O$105</f>
        <v>28.5</v>
      </c>
      <c r="K124" s="219">
        <f>'Standaardisatie AD (per RNB)'!$O$136</f>
        <v>17.28</v>
      </c>
      <c r="L124" s="219">
        <f>'Standaardisatie AD (per RNB)'!$O$167</f>
        <v>23.6</v>
      </c>
      <c r="M124" s="219">
        <f>'Standaardisatie AD (per RNB)'!$O$198</f>
        <v>16.3</v>
      </c>
      <c r="N124" s="219">
        <f>'Standaardisatie AD (per RNB)'!$O$229</f>
        <v>14.959999999999999</v>
      </c>
      <c r="O124" s="221"/>
    </row>
    <row r="125" spans="1:34">
      <c r="A125" s="215"/>
      <c r="B125" s="214" t="s">
        <v>253</v>
      </c>
      <c r="C125" s="214"/>
      <c r="D125" s="214" t="s">
        <v>336</v>
      </c>
      <c r="E125" s="214"/>
      <c r="F125" s="216"/>
      <c r="G125" s="218">
        <f>'Standaardisatie AD (per RNB)'!$O$14</f>
        <v>16.23</v>
      </c>
      <c r="H125" s="219">
        <f>'Standaardisatie AD (per RNB)'!$O$44</f>
        <v>33.965194215127482</v>
      </c>
      <c r="I125" s="219">
        <f>'Standaardisatie AD (per RNB)'!$O$75</f>
        <v>14.17</v>
      </c>
      <c r="J125" s="218">
        <f>'Standaardisatie AD (per RNB)'!$O$106</f>
        <v>32.5</v>
      </c>
      <c r="K125" s="219">
        <f>'Standaardisatie AD (per RNB)'!$O$137</f>
        <v>28.617510550301422</v>
      </c>
      <c r="L125" s="219">
        <f>'Standaardisatie AD (per RNB)'!$O$168</f>
        <v>38.15</v>
      </c>
      <c r="M125" s="219">
        <f>'Standaardisatie AD (per RNB)'!$O$199</f>
        <v>32.4</v>
      </c>
      <c r="N125" s="219">
        <f>'Standaardisatie AD (per RNB)'!$O$230</f>
        <v>40.105321854655649</v>
      </c>
      <c r="O125" s="221"/>
    </row>
    <row r="126" spans="1:34">
      <c r="A126" s="215"/>
      <c r="B126" s="214" t="s">
        <v>255</v>
      </c>
      <c r="C126" s="214"/>
      <c r="D126" s="214" t="s">
        <v>336</v>
      </c>
      <c r="E126" s="214"/>
      <c r="F126" s="216"/>
      <c r="G126" s="218">
        <f>'Standaardisatie AD (per RNB)'!$O$15</f>
        <v>19.47</v>
      </c>
      <c r="H126" s="219">
        <f>'Standaardisatie AD (per RNB)'!$O$45</f>
        <v>143.03</v>
      </c>
      <c r="I126" s="219">
        <f>'Standaardisatie AD (per RNB)'!$O$76</f>
        <v>212.9</v>
      </c>
      <c r="J126" s="218">
        <f>'Standaardisatie AD (per RNB)'!$O$107</f>
        <v>155</v>
      </c>
      <c r="K126" s="219">
        <f>'Standaardisatie AD (per RNB)'!$O$138</f>
        <v>121.96782075255548</v>
      </c>
      <c r="L126" s="219">
        <f>'Standaardisatie AD (per RNB)'!$O$169</f>
        <v>38.15</v>
      </c>
      <c r="M126" s="219">
        <f>'Standaardisatie AD (per RNB)'!$O$200</f>
        <v>53.79999999999999</v>
      </c>
      <c r="N126" s="219">
        <f>'Standaardisatie AD (per RNB)'!$O$231</f>
        <v>189.39916408839457</v>
      </c>
      <c r="O126" s="221"/>
    </row>
    <row r="127" spans="1:34">
      <c r="A127" s="215"/>
      <c r="B127" s="214" t="s">
        <v>261</v>
      </c>
      <c r="C127" s="214"/>
      <c r="D127" s="214" t="s">
        <v>336</v>
      </c>
      <c r="E127" s="214"/>
      <c r="F127" s="216"/>
      <c r="G127" s="218">
        <f>'Standaardisatie AD (per RNB)'!$O$16</f>
        <v>395.8141897691828</v>
      </c>
      <c r="H127" s="219">
        <f>'Standaardisatie AD (per RNB)'!$O$46</f>
        <v>988.8</v>
      </c>
      <c r="I127" s="219">
        <f>'Standaardisatie AD (per RNB)'!$O$77</f>
        <v>612</v>
      </c>
      <c r="J127" s="218">
        <f>'Standaardisatie AD (per RNB)'!$O$108</f>
        <v>614.99999999999989</v>
      </c>
      <c r="K127" s="219">
        <f>'Standaardisatie AD (per RNB)'!$O$139</f>
        <v>717.28565346052733</v>
      </c>
      <c r="L127" s="219">
        <f>'Standaardisatie AD (per RNB)'!$O$170</f>
        <v>203.17783903718149</v>
      </c>
      <c r="M127" s="219">
        <f>'Standaardisatie AD (per RNB)'!$O$201</f>
        <v>487.4</v>
      </c>
      <c r="N127" s="219">
        <f>'Standaardisatie AD (per RNB)'!$O$232</f>
        <v>1405.6442993946316</v>
      </c>
      <c r="O127" s="221"/>
    </row>
    <row r="128" spans="1:34">
      <c r="A128" s="215"/>
      <c r="B128" s="214" t="s">
        <v>262</v>
      </c>
      <c r="C128" s="214"/>
      <c r="D128" s="214" t="s">
        <v>336</v>
      </c>
      <c r="E128" s="214"/>
      <c r="F128" s="216"/>
      <c r="G128" s="218">
        <f>'Standaardisatie AD (per RNB)'!$O$17</f>
        <v>0</v>
      </c>
      <c r="H128" s="219">
        <f>'Standaardisatie AD (per RNB)'!$O$47</f>
        <v>6586.8</v>
      </c>
      <c r="I128" s="219">
        <f>'Standaardisatie AD (per RNB)'!$O$78</f>
        <v>2592.6</v>
      </c>
      <c r="J128" s="218">
        <f>'Standaardisatie AD (per RNB)'!$O$109</f>
        <v>1693.4042333469088</v>
      </c>
      <c r="K128" s="219">
        <f>'Standaardisatie AD (per RNB)'!$O$140</f>
        <v>7757.0463660995047</v>
      </c>
      <c r="L128" s="219">
        <f>'Standaardisatie AD (per RNB)'!$O$171</f>
        <v>1475</v>
      </c>
      <c r="M128" s="219">
        <f>'Standaardisatie AD (per RNB)'!$O$202</f>
        <v>5272.18</v>
      </c>
      <c r="N128" s="219">
        <f>'Standaardisatie AD (per RNB)'!$O$233</f>
        <v>5622.13</v>
      </c>
      <c r="O128" s="221"/>
    </row>
    <row r="129" spans="1:15">
      <c r="A129" s="215"/>
      <c r="B129" s="214"/>
      <c r="C129" s="214"/>
      <c r="D129" s="214"/>
      <c r="E129" s="214"/>
      <c r="F129" s="216"/>
      <c r="G129" s="220"/>
      <c r="H129" s="221"/>
      <c r="I129" s="221"/>
      <c r="J129" s="220"/>
      <c r="K129" s="221"/>
      <c r="L129" s="221"/>
      <c r="M129" s="221"/>
      <c r="N129" s="221"/>
      <c r="O129" s="221"/>
    </row>
    <row r="130" spans="1:15">
      <c r="A130" s="215"/>
      <c r="B130" s="214" t="s">
        <v>1096</v>
      </c>
      <c r="C130" s="214"/>
      <c r="D130" s="214" t="s">
        <v>336</v>
      </c>
      <c r="E130" s="214"/>
      <c r="F130" s="216"/>
      <c r="G130" s="218" t="e">
        <f>'Standaardisatie AD (per RNB)'!$O$19</f>
        <v>#DIV/0!</v>
      </c>
      <c r="H130" s="219">
        <f>'Standaardisatie AD (per RNB)'!$O$49</f>
        <v>1.58</v>
      </c>
      <c r="I130" s="219">
        <f>'Standaardisatie AD (per RNB)'!$O$80</f>
        <v>3.0099999999999993</v>
      </c>
      <c r="J130" s="218">
        <f>'Standaardisatie AD (per RNB)'!$O$111</f>
        <v>2.3725609604080851</v>
      </c>
      <c r="K130" s="219">
        <f>'Standaardisatie AD (per RNB)'!$O$142</f>
        <v>1.56</v>
      </c>
      <c r="L130" s="219">
        <f>'Standaardisatie AD (per RNB)'!$O$173</f>
        <v>12.55</v>
      </c>
      <c r="M130" s="219">
        <f>'Standaardisatie AD (per RNB)'!$O$204</f>
        <v>5.2</v>
      </c>
      <c r="N130" s="219">
        <f>'Standaardisatie AD (per RNB)'!$O$235</f>
        <v>4.17</v>
      </c>
      <c r="O130" s="221"/>
    </row>
    <row r="131" spans="1:15">
      <c r="A131" s="215"/>
      <c r="B131" s="214"/>
      <c r="C131" s="214"/>
      <c r="D131" s="214"/>
      <c r="E131" s="214"/>
      <c r="F131" s="216"/>
      <c r="G131" s="220"/>
      <c r="H131" s="221"/>
      <c r="I131" s="221"/>
      <c r="J131" s="220"/>
      <c r="K131" s="221"/>
      <c r="L131" s="221"/>
      <c r="M131" s="221"/>
      <c r="N131" s="221"/>
      <c r="O131" s="221"/>
    </row>
    <row r="132" spans="1:15">
      <c r="A132" s="215"/>
      <c r="B132" s="206" t="s">
        <v>923</v>
      </c>
      <c r="C132" s="206"/>
      <c r="D132" s="214"/>
      <c r="E132" s="214"/>
      <c r="F132" s="216"/>
      <c r="G132" s="220"/>
      <c r="H132" s="221"/>
      <c r="I132" s="221"/>
      <c r="J132" s="220"/>
      <c r="K132" s="221"/>
      <c r="L132" s="221"/>
      <c r="M132" s="221"/>
      <c r="N132" s="221"/>
      <c r="O132" s="221"/>
    </row>
    <row r="133" spans="1:15">
      <c r="A133" s="215"/>
      <c r="B133" s="206" t="s">
        <v>328</v>
      </c>
      <c r="C133" s="214"/>
      <c r="E133" s="206"/>
      <c r="F133" s="216"/>
      <c r="G133" s="220"/>
      <c r="H133" s="221"/>
      <c r="I133" s="221"/>
      <c r="J133" s="220"/>
      <c r="K133" s="221"/>
      <c r="L133" s="221"/>
      <c r="M133" s="221"/>
      <c r="N133" s="221"/>
      <c r="O133" s="221"/>
    </row>
    <row r="134" spans="1:15">
      <c r="A134" s="215"/>
      <c r="B134" s="222" t="s">
        <v>251</v>
      </c>
      <c r="C134" s="214"/>
      <c r="D134" s="214" t="s">
        <v>336</v>
      </c>
      <c r="E134" s="222"/>
      <c r="F134" s="216"/>
      <c r="G134" s="218">
        <f>'Standaardisatie AD (per RNB)'!$O$24</f>
        <v>369.79</v>
      </c>
      <c r="H134" s="218">
        <f>'Standaardisatie AD (per RNB)'!$O$54</f>
        <v>307.22000000000003</v>
      </c>
      <c r="I134" s="218">
        <f>'Standaardisatie AD (per RNB)'!$O$85</f>
        <v>372</v>
      </c>
      <c r="J134" s="218">
        <f>'Standaardisatie AD (per RNB)'!$O$116</f>
        <v>318</v>
      </c>
      <c r="K134" s="218">
        <f>'Standaardisatie AD (per RNB)'!$O$147</f>
        <v>356.9</v>
      </c>
      <c r="L134" s="218">
        <f>'Standaardisatie AD (per RNB)'!$O$178</f>
        <v>372.55</v>
      </c>
      <c r="M134" s="218">
        <f>'Standaardisatie AD (per RNB)'!$O$209</f>
        <v>366.1</v>
      </c>
      <c r="N134" s="218">
        <f>'Standaardisatie AD (per RNB)'!$O$240</f>
        <v>401.06</v>
      </c>
      <c r="O134" s="221"/>
    </row>
    <row r="135" spans="1:15">
      <c r="A135" s="215"/>
      <c r="B135" s="222" t="s">
        <v>252</v>
      </c>
      <c r="C135" s="214"/>
      <c r="D135" s="214" t="s">
        <v>336</v>
      </c>
      <c r="E135" s="222"/>
      <c r="F135" s="216"/>
      <c r="G135" s="218">
        <f>'Standaardisatie AD (per RNB)'!$O$25</f>
        <v>583.15</v>
      </c>
      <c r="H135" s="218">
        <f>'Standaardisatie AD (per RNB)'!$O$55</f>
        <v>583.26</v>
      </c>
      <c r="I135" s="218">
        <f>'Standaardisatie AD (per RNB)'!$O$86</f>
        <v>585</v>
      </c>
      <c r="J135" s="218">
        <f>'Standaardisatie AD (per RNB)'!$O$117</f>
        <v>611</v>
      </c>
      <c r="K135" s="218">
        <f>'Standaardisatie AD (per RNB)'!$O$148</f>
        <v>592.45000000000005</v>
      </c>
      <c r="L135" s="218">
        <f>'Standaardisatie AD (per RNB)'!$O$179</f>
        <v>660.94</v>
      </c>
      <c r="M135" s="218">
        <f>'Standaardisatie AD (per RNB)'!$O$210</f>
        <v>500</v>
      </c>
      <c r="N135" s="218">
        <f>'Standaardisatie AD (per RNB)'!$O$241</f>
        <v>763.42</v>
      </c>
      <c r="O135" s="221"/>
    </row>
    <row r="136" spans="1:15">
      <c r="A136" s="215"/>
      <c r="B136" s="222" t="s">
        <v>253</v>
      </c>
      <c r="C136" s="214"/>
      <c r="D136" s="214" t="s">
        <v>336</v>
      </c>
      <c r="E136" s="222"/>
      <c r="F136" s="216"/>
      <c r="G136" s="218">
        <f>'Standaardisatie AD (per RNB)'!$O$26</f>
        <v>950.38636363636363</v>
      </c>
      <c r="H136" s="218">
        <f>'Standaardisatie AD (per RNB)'!$O$56</f>
        <v>917.79921686747002</v>
      </c>
      <c r="I136" s="218">
        <f>'Standaardisatie AD (per RNB)'!$O$87</f>
        <v>901.92100644136474</v>
      </c>
      <c r="J136" s="218">
        <f>'Standaardisatie AD (per RNB)'!$O$118</f>
        <v>805.92333995842671</v>
      </c>
      <c r="K136" s="218">
        <f>'Standaardisatie AD (per RNB)'!$O$149</f>
        <v>986.0408578959981</v>
      </c>
      <c r="L136" s="218">
        <f>'Standaardisatie AD (per RNB)'!$O$180</f>
        <v>1001.2857142857143</v>
      </c>
      <c r="M136" s="218">
        <f>'Standaardisatie AD (per RNB)'!$O$211</f>
        <v>865.33837972426306</v>
      </c>
      <c r="N136" s="218">
        <f>'Standaardisatie AD (per RNB)'!$O$242</f>
        <v>1127.7458333333334</v>
      </c>
      <c r="O136" s="221"/>
    </row>
    <row r="137" spans="1:15">
      <c r="A137" s="215"/>
      <c r="B137" s="222" t="s">
        <v>255</v>
      </c>
      <c r="C137" s="214"/>
      <c r="D137" s="214" t="s">
        <v>336</v>
      </c>
      <c r="E137" s="222"/>
      <c r="F137" s="216"/>
      <c r="G137" s="218">
        <f>'Standaardisatie AD (per RNB)'!$O$27</f>
        <v>14151.258823529412</v>
      </c>
      <c r="H137" s="218">
        <f>'Standaardisatie AD (per RNB)'!$O$57</f>
        <v>5192.2870588235301</v>
      </c>
      <c r="I137" s="218">
        <f>'Standaardisatie AD (per RNB)'!$O$88</f>
        <v>5625.8674954805065</v>
      </c>
      <c r="J137" s="218">
        <f>'Standaardisatie AD (per RNB)'!$O$119</f>
        <v>4481.641138394355</v>
      </c>
      <c r="K137" s="218">
        <f>'Standaardisatie AD (per RNB)'!$O$150</f>
        <v>7413.3137019230771</v>
      </c>
      <c r="L137" s="218">
        <f>'Standaardisatie AD (per RNB)'!$O$181</f>
        <v>4186.5012500000003</v>
      </c>
      <c r="M137" s="218">
        <f>'Standaardisatie AD (per RNB)'!$O$212</f>
        <v>6932.729382145445</v>
      </c>
      <c r="N137" s="218">
        <f>'Standaardisatie AD (per RNB)'!$O$243</f>
        <v>6589.5011999999988</v>
      </c>
      <c r="O137" s="221"/>
    </row>
    <row r="138" spans="1:15">
      <c r="A138" s="215"/>
      <c r="B138" s="222" t="s">
        <v>254</v>
      </c>
      <c r="C138" s="214"/>
      <c r="D138" s="214" t="s">
        <v>336</v>
      </c>
      <c r="E138" s="222"/>
      <c r="F138" s="216"/>
      <c r="G138" s="218">
        <f>'Standaardisatie AD (per RNB)'!$O$28</f>
        <v>174413</v>
      </c>
      <c r="H138" s="218">
        <f>'Standaardisatie AD (per RNB)'!$O$58</f>
        <v>51708.68</v>
      </c>
      <c r="I138" s="218">
        <f>'Standaardisatie AD (per RNB)'!$O$89</f>
        <v>48003.404826041267</v>
      </c>
      <c r="J138" s="218">
        <f>'Standaardisatie AD (per RNB)'!$O$120</f>
        <v>31886.439832867803</v>
      </c>
      <c r="K138" s="218">
        <f>'Standaardisatie AD (per RNB)'!$O$151</f>
        <v>84928.423076923078</v>
      </c>
      <c r="L138" s="218" t="e">
        <f>'Standaardisatie AD (per RNB)'!$O$182</f>
        <v>#DIV/0!</v>
      </c>
      <c r="M138" s="218">
        <f>'Standaardisatie AD (per RNB)'!$O$213</f>
        <v>68433.627568533586</v>
      </c>
      <c r="N138" s="218">
        <f>'Standaardisatie AD (per RNB)'!$O$244</f>
        <v>87028.035000000003</v>
      </c>
      <c r="O138" s="221"/>
    </row>
    <row r="139" spans="1:15">
      <c r="A139" s="215"/>
      <c r="B139" s="214"/>
      <c r="C139" s="214"/>
      <c r="E139" s="214"/>
      <c r="F139" s="216"/>
      <c r="G139" s="220"/>
      <c r="H139" s="220"/>
      <c r="I139" s="220"/>
      <c r="J139" s="220"/>
      <c r="K139" s="220"/>
      <c r="L139" s="220"/>
      <c r="M139" s="220"/>
      <c r="N139" s="220"/>
      <c r="O139" s="221"/>
    </row>
    <row r="140" spans="1:15">
      <c r="A140" s="215"/>
      <c r="B140" s="206" t="s">
        <v>329</v>
      </c>
      <c r="C140" s="214"/>
      <c r="E140" s="206"/>
      <c r="F140" s="216"/>
      <c r="G140" s="220"/>
      <c r="H140" s="220"/>
      <c r="I140" s="220"/>
      <c r="J140" s="220"/>
      <c r="K140" s="220"/>
      <c r="L140" s="220"/>
      <c r="M140" s="220"/>
      <c r="N140" s="220"/>
      <c r="O140" s="221"/>
    </row>
    <row r="141" spans="1:15">
      <c r="A141" s="215"/>
      <c r="B141" s="222" t="s">
        <v>251</v>
      </c>
      <c r="C141" s="214"/>
      <c r="D141" s="214" t="s">
        <v>336</v>
      </c>
      <c r="E141" s="222"/>
      <c r="F141" s="216"/>
      <c r="G141" s="219">
        <f>'Standaardisatie AD (per RNB)'!$O$32</f>
        <v>17.36</v>
      </c>
      <c r="H141" s="218">
        <f>'Standaardisatie AD (per RNB)'!$O$63</f>
        <v>15.21</v>
      </c>
      <c r="I141" s="218">
        <f>'Standaardisatie AD (per RNB)'!O94</f>
        <v>24.84</v>
      </c>
      <c r="J141" s="218">
        <f>'Standaardisatie AD (per RNB)'!$O$125</f>
        <v>15</v>
      </c>
      <c r="K141" s="218">
        <f>'Standaardisatie AD (per RNB)'!$O$156</f>
        <v>17.71</v>
      </c>
      <c r="L141" s="218">
        <f>'Standaardisatie AD (per RNB)'!$O$187</f>
        <v>18.25</v>
      </c>
      <c r="M141" s="218">
        <f>'Standaardisatie AD (per RNB)'!$O$218</f>
        <v>16.7</v>
      </c>
      <c r="N141" s="218">
        <f>'Standaardisatie AD (per RNB)'!$O$249</f>
        <v>19.88</v>
      </c>
      <c r="O141" s="221"/>
    </row>
    <row r="142" spans="1:15">
      <c r="A142" s="215"/>
      <c r="B142" s="222" t="s">
        <v>252</v>
      </c>
      <c r="C142" s="214"/>
      <c r="D142" s="214" t="s">
        <v>336</v>
      </c>
      <c r="E142" s="222"/>
      <c r="F142" s="216"/>
      <c r="G142" s="218">
        <f>'Standaardisatie AD (per RNB)'!$O$33</f>
        <v>17.66</v>
      </c>
      <c r="H142" s="218">
        <f>'Standaardisatie AD (per RNB)'!$O$64</f>
        <v>24.75</v>
      </c>
      <c r="I142" s="218">
        <f>'Standaardisatie AD (per RNB)'!O95</f>
        <v>25.79</v>
      </c>
      <c r="J142" s="218">
        <f>'Standaardisatie AD (per RNB)'!$O$126</f>
        <v>17</v>
      </c>
      <c r="K142" s="218">
        <f>'Standaardisatie AD (per RNB)'!$O$157</f>
        <v>23.4</v>
      </c>
      <c r="L142" s="218">
        <f>'Standaardisatie AD (per RNB)'!$O$188</f>
        <v>21.8</v>
      </c>
      <c r="M142" s="218">
        <f>'Standaardisatie AD (per RNB)'!$O$219</f>
        <v>23.5</v>
      </c>
      <c r="N142" s="218">
        <f>'Standaardisatie AD (per RNB)'!$O$250</f>
        <v>28.72</v>
      </c>
      <c r="O142" s="221"/>
    </row>
    <row r="143" spans="1:15">
      <c r="A143" s="215"/>
      <c r="B143" s="222" t="s">
        <v>253</v>
      </c>
      <c r="C143" s="214"/>
      <c r="D143" s="214" t="s">
        <v>336</v>
      </c>
      <c r="E143" s="222"/>
      <c r="F143" s="216"/>
      <c r="G143" s="218">
        <f>'Standaardisatie AD (per RNB)'!$O$34</f>
        <v>24.730000000000004</v>
      </c>
      <c r="H143" s="218">
        <f>'Standaardisatie AD (per RNB)'!$O$65</f>
        <v>31.685199556541018</v>
      </c>
      <c r="I143" s="218">
        <f>'Standaardisatie AD (per RNB)'!O96</f>
        <v>37.162413282670308</v>
      </c>
      <c r="J143" s="218">
        <f>'Standaardisatie AD (per RNB)'!$O$127</f>
        <v>22.000000000000004</v>
      </c>
      <c r="K143" s="218">
        <f>'Standaardisatie AD (per RNB)'!$O$158</f>
        <v>31.177029622659873</v>
      </c>
      <c r="L143" s="218">
        <f>'Standaardisatie AD (per RNB)'!$O$189</f>
        <v>29</v>
      </c>
      <c r="M143" s="218">
        <f>'Standaardisatie AD (per RNB)'!$O$220</f>
        <v>30.821059755242683</v>
      </c>
      <c r="N143" s="218">
        <f>'Standaardisatie AD (per RNB)'!$O$251</f>
        <v>33.797747466874512</v>
      </c>
      <c r="O143" s="221"/>
    </row>
    <row r="144" spans="1:15">
      <c r="A144" s="215"/>
      <c r="B144" s="222" t="s">
        <v>255</v>
      </c>
      <c r="C144" s="214"/>
      <c r="D144" s="214" t="s">
        <v>336</v>
      </c>
      <c r="E144" s="222"/>
      <c r="F144" s="216"/>
      <c r="G144" s="218">
        <f>'Standaardisatie AD (per RNB)'!$O$35</f>
        <v>66.854894736842112</v>
      </c>
      <c r="H144" s="218">
        <f>'Standaardisatie AD (per RNB)'!$O$66</f>
        <v>49.69966028894963</v>
      </c>
      <c r="I144" s="218">
        <f>'Standaardisatie AD (per RNB)'!O97</f>
        <v>55.145823007921628</v>
      </c>
      <c r="J144" s="218">
        <f>'Standaardisatie AD (per RNB)'!$O$128</f>
        <v>31.447186790095945</v>
      </c>
      <c r="K144" s="218">
        <f>'Standaardisatie AD (per RNB)'!$O$159</f>
        <v>52.021781089188636</v>
      </c>
      <c r="L144" s="218">
        <f>'Standaardisatie AD (per RNB)'!$O$190</f>
        <v>43.179699924981243</v>
      </c>
      <c r="M144" s="218">
        <f>'Standaardisatie AD (per RNB)'!$O$221</f>
        <v>47.168250306315855</v>
      </c>
      <c r="N144" s="218">
        <f>'Standaardisatie AD (per RNB)'!$O$252</f>
        <v>94.05188481675394</v>
      </c>
      <c r="O144" s="221"/>
    </row>
    <row r="145" spans="1:34">
      <c r="A145" s="215"/>
      <c r="B145" s="222" t="s">
        <v>254</v>
      </c>
      <c r="C145" s="214"/>
      <c r="D145" s="214" t="s">
        <v>336</v>
      </c>
      <c r="E145" s="222"/>
      <c r="F145" s="216"/>
      <c r="G145" s="218">
        <f>'Standaardisatie AD (per RNB)'!$O$36</f>
        <v>150.75</v>
      </c>
      <c r="H145" s="218">
        <f>'Standaardisatie AD (per RNB)'!$O$67</f>
        <v>91.7</v>
      </c>
      <c r="I145" s="218">
        <f>'Standaardisatie AD (per RNB)'!O98</f>
        <v>143.05000000000001</v>
      </c>
      <c r="J145" s="218">
        <f>'Standaardisatie AD (per RNB)'!$O$129</f>
        <v>79.894497507989541</v>
      </c>
      <c r="K145" s="218">
        <f>'Standaardisatie AD (per RNB)'!$O$160</f>
        <v>157.65725961538462</v>
      </c>
      <c r="L145" s="218" t="e">
        <f>'Standaardisatie AD (per RNB)'!$O$191</f>
        <v>#DIV/0!</v>
      </c>
      <c r="M145" s="218">
        <f>'Standaardisatie AD (per RNB)'!$O$222</f>
        <v>138.40275780877832</v>
      </c>
      <c r="N145" s="218">
        <f>'Standaardisatie AD (per RNB)'!$O$253</f>
        <v>159.46302702702701</v>
      </c>
      <c r="O145" s="221"/>
    </row>
    <row r="146" spans="1:34">
      <c r="A146" s="215"/>
      <c r="B146" s="214"/>
      <c r="C146" s="214"/>
      <c r="D146" s="222"/>
      <c r="E146" s="222"/>
      <c r="F146" s="222"/>
      <c r="G146" s="222"/>
      <c r="H146" s="222"/>
      <c r="I146" s="222"/>
      <c r="J146" s="222"/>
      <c r="K146" s="222"/>
      <c r="L146" s="222"/>
      <c r="M146" s="222"/>
      <c r="N146" s="222"/>
      <c r="O146" s="222"/>
    </row>
    <row r="147" spans="1:34">
      <c r="A147" s="215"/>
      <c r="B147" s="214"/>
      <c r="C147" s="214"/>
      <c r="D147" s="222"/>
      <c r="E147" s="222"/>
      <c r="F147" s="222"/>
      <c r="G147" s="222"/>
      <c r="H147" s="222"/>
      <c r="I147" s="222"/>
      <c r="J147" s="222"/>
      <c r="K147" s="222"/>
      <c r="L147" s="222"/>
      <c r="M147" s="222"/>
      <c r="N147" s="222"/>
      <c r="O147" s="222"/>
    </row>
    <row r="148" spans="1:34">
      <c r="A148" s="204"/>
      <c r="B148" s="205" t="s">
        <v>8</v>
      </c>
      <c r="C148" s="204"/>
      <c r="D148" s="213"/>
      <c r="E148" s="213"/>
      <c r="F148" s="227"/>
      <c r="G148" s="227"/>
      <c r="H148" s="227"/>
      <c r="I148" s="227"/>
      <c r="J148" s="227"/>
      <c r="K148" s="227"/>
      <c r="L148" s="227"/>
      <c r="M148" s="227"/>
      <c r="N148" s="227"/>
      <c r="O148" s="204"/>
      <c r="P148" s="204"/>
      <c r="Q148" s="204"/>
      <c r="R148" s="204"/>
      <c r="S148" s="204"/>
      <c r="T148" s="204"/>
      <c r="U148" s="204"/>
      <c r="V148" s="204"/>
      <c r="W148" s="204"/>
      <c r="X148" s="204"/>
      <c r="Y148" s="204"/>
      <c r="Z148" s="204"/>
      <c r="AA148" s="204"/>
      <c r="AB148" s="204"/>
      <c r="AC148" s="204"/>
      <c r="AD148" s="204"/>
      <c r="AE148" s="204"/>
      <c r="AF148" s="204"/>
      <c r="AG148" s="204"/>
      <c r="AH148" s="204"/>
    </row>
    <row r="149" spans="1:34">
      <c r="A149" s="206"/>
      <c r="B149" s="207"/>
      <c r="C149" s="206"/>
      <c r="D149" s="214"/>
      <c r="E149" s="214"/>
      <c r="F149" s="216"/>
      <c r="G149" s="216"/>
      <c r="H149" s="216"/>
      <c r="I149" s="216"/>
      <c r="J149" s="216"/>
      <c r="K149" s="216"/>
      <c r="L149" s="216"/>
      <c r="M149" s="216"/>
      <c r="N149" s="216"/>
    </row>
    <row r="150" spans="1:34">
      <c r="A150" s="215"/>
      <c r="B150" s="206" t="s">
        <v>922</v>
      </c>
      <c r="C150" s="206"/>
      <c r="D150" s="206"/>
      <c r="E150" s="214"/>
      <c r="F150" s="216"/>
      <c r="G150" s="216"/>
      <c r="J150" s="216"/>
    </row>
    <row r="151" spans="1:34">
      <c r="A151" s="215"/>
      <c r="B151" s="214" t="s">
        <v>251</v>
      </c>
      <c r="C151" s="214"/>
      <c r="D151" s="214" t="s">
        <v>241</v>
      </c>
      <c r="E151" s="214"/>
      <c r="F151" s="216"/>
      <c r="G151" s="223">
        <f>'Standaardisatie AD (per RNB)'!$P$12</f>
        <v>22945</v>
      </c>
      <c r="H151" s="224">
        <f>'Standaardisatie AD (per RNB)'!$P$42</f>
        <v>87552.999999999985</v>
      </c>
      <c r="I151" s="224">
        <f>'Standaardisatie AD (per RNB)'!$P$73</f>
        <v>44951</v>
      </c>
      <c r="J151" s="223">
        <f>'Standaardisatie AD (per RNB)'!$P$104</f>
        <v>1112427</v>
      </c>
      <c r="K151" s="224">
        <f>'Standaardisatie AD (per RNB)'!$P$135</f>
        <v>744308.33943279029</v>
      </c>
      <c r="L151" s="224">
        <f>'Standaardisatie AD (per RNB)'!$P$166</f>
        <v>18696</v>
      </c>
      <c r="M151" s="224">
        <f>'Standaardisatie AD (per RNB)'!$P$197</f>
        <v>588338.66666666698</v>
      </c>
      <c r="N151" s="224">
        <f>'Standaardisatie AD (per RNB)'!$P$228</f>
        <v>24194.920808279134</v>
      </c>
    </row>
    <row r="152" spans="1:34">
      <c r="A152" s="215"/>
      <c r="B152" s="214" t="s">
        <v>252</v>
      </c>
      <c r="C152" s="214"/>
      <c r="D152" s="214" t="s">
        <v>241</v>
      </c>
      <c r="E152" s="214"/>
      <c r="F152" s="216"/>
      <c r="G152" s="223">
        <f>'Standaardisatie AD (per RNB)'!$P$13</f>
        <v>50485.230769230766</v>
      </c>
      <c r="H152" s="224">
        <f>'Standaardisatie AD (per RNB)'!$P$43</f>
        <v>196921.25000000003</v>
      </c>
      <c r="I152" s="224">
        <f>'Standaardisatie AD (per RNB)'!$P$74</f>
        <v>101199</v>
      </c>
      <c r="J152" s="223">
        <f>'Standaardisatie AD (per RNB)'!$P$105</f>
        <v>2443010</v>
      </c>
      <c r="K152" s="224">
        <f>'Standaardisatie AD (per RNB)'!$P$136</f>
        <v>2769580.7728032786</v>
      </c>
      <c r="L152" s="224">
        <f>'Standaardisatie AD (per RNB)'!$P$167</f>
        <v>30167.599999999999</v>
      </c>
      <c r="M152" s="224">
        <f>'Standaardisatie AD (per RNB)'!$P$198</f>
        <v>1899622.3699386499</v>
      </c>
      <c r="N152" s="224">
        <f>'Standaardisatie AD (per RNB)'!$P$229</f>
        <v>49989.515088817716</v>
      </c>
    </row>
    <row r="153" spans="1:34">
      <c r="A153" s="215"/>
      <c r="B153" s="214" t="s">
        <v>253</v>
      </c>
      <c r="C153" s="214"/>
      <c r="D153" s="214" t="s">
        <v>241</v>
      </c>
      <c r="E153" s="214"/>
      <c r="F153" s="216"/>
      <c r="G153" s="223">
        <f>'Standaardisatie AD (per RNB)'!$P$14</f>
        <v>1667.7692307692309</v>
      </c>
      <c r="H153" s="224">
        <f>'Standaardisatie AD (per RNB)'!$P$44</f>
        <v>8216.8333333333339</v>
      </c>
      <c r="I153" s="224">
        <f>'Standaardisatie AD (per RNB)'!$P$75</f>
        <v>3441</v>
      </c>
      <c r="J153" s="223">
        <f>'Standaardisatie AD (per RNB)'!$P$106</f>
        <v>124714.86525582839</v>
      </c>
      <c r="K153" s="224">
        <f>'Standaardisatie AD (per RNB)'!$P$137</f>
        <v>116531.34015593254</v>
      </c>
      <c r="L153" s="224">
        <f>'Standaardisatie AD (per RNB)'!$P$168</f>
        <v>1225.2</v>
      </c>
      <c r="M153" s="224">
        <f>'Standaardisatie AD (per RNB)'!$P$199</f>
        <v>82791.946913580265</v>
      </c>
      <c r="N153" s="224">
        <f>'Standaardisatie AD (per RNB)'!$P$230</f>
        <v>3445.3694915373139</v>
      </c>
    </row>
    <row r="154" spans="1:34">
      <c r="A154" s="215"/>
      <c r="B154" s="214" t="s">
        <v>255</v>
      </c>
      <c r="C154" s="214"/>
      <c r="D154" s="214" t="s">
        <v>241</v>
      </c>
      <c r="E154" s="214"/>
      <c r="F154" s="216"/>
      <c r="G154" s="223">
        <f>'Standaardisatie AD (per RNB)'!$P$15</f>
        <v>307.23076923076923</v>
      </c>
      <c r="H154" s="224">
        <f>'Standaardisatie AD (per RNB)'!$P$45</f>
        <v>1532.7500000000002</v>
      </c>
      <c r="I154" s="224">
        <f>'Standaardisatie AD (per RNB)'!$P$76</f>
        <v>711</v>
      </c>
      <c r="J154" s="223">
        <f>'Standaardisatie AD (per RNB)'!$P$107</f>
        <v>13169.823202346039</v>
      </c>
      <c r="K154" s="224">
        <f>'Standaardisatie AD (per RNB)'!$P$138</f>
        <v>14134.82767506737</v>
      </c>
      <c r="L154" s="224">
        <f>'Standaardisatie AD (per RNB)'!$P$169</f>
        <v>133.4</v>
      </c>
      <c r="M154" s="224">
        <f>'Standaardisatie AD (per RNB)'!$P$200</f>
        <v>10036</v>
      </c>
      <c r="N154" s="224">
        <f>'Standaardisatie AD (per RNB)'!$P$231</f>
        <v>968.06132053115948</v>
      </c>
    </row>
    <row r="155" spans="1:34">
      <c r="A155" s="215"/>
      <c r="B155" s="214" t="s">
        <v>261</v>
      </c>
      <c r="C155" s="214"/>
      <c r="D155" s="214" t="s">
        <v>241</v>
      </c>
      <c r="E155" s="214"/>
      <c r="F155" s="216"/>
      <c r="G155" s="223">
        <f>'Standaardisatie AD (per RNB)'!$P$16</f>
        <v>246.61538461538461</v>
      </c>
      <c r="H155" s="224">
        <f>'Standaardisatie AD (per RNB)'!$P$46</f>
        <v>410.91666666666669</v>
      </c>
      <c r="I155" s="224">
        <f>'Standaardisatie AD (per RNB)'!$P$77</f>
        <v>581</v>
      </c>
      <c r="J155" s="223">
        <f>'Standaardisatie AD (per RNB)'!$P$108</f>
        <v>14195.544141906874</v>
      </c>
      <c r="K155" s="224">
        <f>'Standaardisatie AD (per RNB)'!$P$139</f>
        <v>12499.398813998185</v>
      </c>
      <c r="L155" s="224">
        <f>'Standaardisatie AD (per RNB)'!$P$170</f>
        <v>148.72999999999999</v>
      </c>
      <c r="M155" s="224">
        <f>'Standaardisatie AD (per RNB)'!$P$201</f>
        <v>3762</v>
      </c>
      <c r="N155" s="224">
        <f>'Standaardisatie AD (per RNB)'!$P$232</f>
        <v>403.90311212233001</v>
      </c>
    </row>
    <row r="156" spans="1:34">
      <c r="A156" s="215"/>
      <c r="B156" s="214" t="s">
        <v>262</v>
      </c>
      <c r="C156" s="214"/>
      <c r="D156" s="214" t="s">
        <v>241</v>
      </c>
      <c r="E156" s="214"/>
      <c r="F156" s="216"/>
      <c r="G156" s="223">
        <f>'Standaardisatie AD (per RNB)'!$P$17</f>
        <v>0</v>
      </c>
      <c r="H156" s="224">
        <f>'Standaardisatie AD (per RNB)'!$P$47</f>
        <v>10</v>
      </c>
      <c r="I156" s="224">
        <f>'Standaardisatie AD (per RNB)'!$P$78</f>
        <v>5</v>
      </c>
      <c r="J156" s="223">
        <f>'Standaardisatie AD (per RNB)'!$P$109</f>
        <v>854.35269202977349</v>
      </c>
      <c r="K156" s="224">
        <f>'Standaardisatie AD (per RNB)'!$P$140</f>
        <v>136.50712528503502</v>
      </c>
      <c r="L156" s="224">
        <f>'Standaardisatie AD (per RNB)'!$P$171</f>
        <v>2</v>
      </c>
      <c r="M156" s="224">
        <f>'Standaardisatie AD (per RNB)'!$P$202</f>
        <v>165</v>
      </c>
      <c r="N156" s="224">
        <f>'Standaardisatie AD (per RNB)'!$P$233</f>
        <v>30.490257243802681</v>
      </c>
    </row>
    <row r="157" spans="1:34">
      <c r="A157" s="215"/>
      <c r="B157" s="214"/>
      <c r="C157" s="214"/>
      <c r="D157" s="214"/>
      <c r="E157" s="214"/>
      <c r="F157" s="216"/>
      <c r="G157" s="225"/>
      <c r="H157" s="226"/>
      <c r="I157" s="226"/>
      <c r="J157" s="225"/>
      <c r="K157" s="226"/>
      <c r="L157" s="226"/>
      <c r="M157" s="226"/>
      <c r="N157" s="226"/>
    </row>
    <row r="158" spans="1:34">
      <c r="A158" s="215"/>
      <c r="B158" s="214" t="s">
        <v>1096</v>
      </c>
      <c r="C158" s="214"/>
      <c r="D158" s="214" t="s">
        <v>241</v>
      </c>
      <c r="E158" s="214"/>
      <c r="F158" s="216"/>
      <c r="G158" s="223">
        <f>'Standaardisatie AD (per RNB)'!$P$19</f>
        <v>0</v>
      </c>
      <c r="H158" s="224">
        <f>'Standaardisatie AD (per RNB)'!$P$49</f>
        <v>23200</v>
      </c>
      <c r="I158" s="224">
        <f>'Standaardisatie AD (per RNB)'!$P$80</f>
        <v>2835</v>
      </c>
      <c r="J158" s="223">
        <f>'Standaardisatie AD (per RNB)'!$P$111</f>
        <v>207680.24895104894</v>
      </c>
      <c r="K158" s="224">
        <f>'Standaardisatie AD (per RNB)'!$P$142</f>
        <v>801236.09851126652</v>
      </c>
      <c r="L158" s="224">
        <f>'Standaardisatie AD (per RNB)'!$P$173</f>
        <v>9115</v>
      </c>
      <c r="M158" s="224">
        <f>'Standaardisatie AD (per RNB)'!$P$204</f>
        <v>203362.21923076923</v>
      </c>
      <c r="N158" s="224">
        <f>'Standaardisatie AD (per RNB)'!$P$235</f>
        <v>5241.8920863309349</v>
      </c>
    </row>
    <row r="159" spans="1:34">
      <c r="A159" s="215"/>
      <c r="B159" s="214"/>
      <c r="C159" s="214"/>
      <c r="D159" s="214"/>
      <c r="E159" s="214"/>
      <c r="F159" s="216"/>
      <c r="G159" s="225"/>
      <c r="H159" s="226"/>
      <c r="I159" s="226"/>
      <c r="J159" s="225"/>
      <c r="K159" s="226"/>
      <c r="L159" s="226"/>
      <c r="M159" s="226"/>
      <c r="N159" s="226"/>
    </row>
    <row r="160" spans="1:34">
      <c r="A160" s="215"/>
      <c r="B160" s="206" t="s">
        <v>923</v>
      </c>
      <c r="C160" s="206"/>
      <c r="D160" s="214"/>
      <c r="E160" s="214"/>
      <c r="F160" s="216"/>
      <c r="G160" s="225"/>
      <c r="H160" s="226"/>
      <c r="I160" s="226"/>
      <c r="J160" s="225"/>
      <c r="K160" s="226"/>
      <c r="L160" s="226"/>
      <c r="M160" s="226"/>
      <c r="N160" s="226"/>
    </row>
    <row r="161" spans="1:34">
      <c r="A161" s="215"/>
      <c r="B161" s="206" t="s">
        <v>328</v>
      </c>
      <c r="C161" s="214"/>
      <c r="E161" s="206"/>
      <c r="F161" s="216"/>
      <c r="G161" s="225"/>
      <c r="H161" s="226"/>
      <c r="I161" s="226"/>
      <c r="J161" s="225"/>
      <c r="K161" s="226"/>
      <c r="L161" s="226"/>
      <c r="M161" s="226"/>
      <c r="N161" s="226"/>
    </row>
    <row r="162" spans="1:34">
      <c r="A162" s="215"/>
      <c r="B162" s="222" t="s">
        <v>251</v>
      </c>
      <c r="C162" s="214"/>
      <c r="D162" s="214" t="s">
        <v>241</v>
      </c>
      <c r="E162" s="222"/>
      <c r="F162" s="216"/>
      <c r="G162" s="223">
        <f>'Standaardisatie AD (per RNB)'!$P$24</f>
        <v>286</v>
      </c>
      <c r="H162" s="223">
        <f>'Standaardisatie AD (per RNB)'!$P$54</f>
        <v>1248</v>
      </c>
      <c r="I162" s="223">
        <f>'Standaardisatie AD (per RNB)'!$P$85</f>
        <v>952.79261427956976</v>
      </c>
      <c r="J162" s="223">
        <f>'Standaardisatie AD (per RNB)'!$P$116</f>
        <v>24977.239905660379</v>
      </c>
      <c r="K162" s="223">
        <f>'Standaardisatie AD (per RNB)'!$P$147</f>
        <v>9232</v>
      </c>
      <c r="L162" s="223">
        <f>'Standaardisatie AD (per RNB)'!$P$178</f>
        <v>536</v>
      </c>
      <c r="M162" s="223">
        <f>'Standaardisatie AD (per RNB)'!$P$209</f>
        <v>7599.20035509424</v>
      </c>
      <c r="N162" s="223">
        <f>'Standaardisatie AD (per RNB)'!$P$240</f>
        <v>515</v>
      </c>
    </row>
    <row r="163" spans="1:34">
      <c r="A163" s="215"/>
      <c r="B163" s="222" t="s">
        <v>252</v>
      </c>
      <c r="C163" s="214"/>
      <c r="D163" s="214" t="s">
        <v>241</v>
      </c>
      <c r="E163" s="222"/>
      <c r="F163" s="216"/>
      <c r="G163" s="223">
        <f>'Standaardisatie AD (per RNB)'!$P$25</f>
        <v>323</v>
      </c>
      <c r="H163" s="223">
        <f>'Standaardisatie AD (per RNB)'!$P$55</f>
        <v>1725</v>
      </c>
      <c r="I163" s="223">
        <f>'Standaardisatie AD (per RNB)'!$P$86</f>
        <v>1057.4221538461541</v>
      </c>
      <c r="J163" s="223">
        <f>'Standaardisatie AD (per RNB)'!$P$117</f>
        <v>21820.355139116211</v>
      </c>
      <c r="K163" s="223">
        <f>'Standaardisatie AD (per RNB)'!$P$148</f>
        <v>30595</v>
      </c>
      <c r="L163" s="223">
        <f>'Standaardisatie AD (per RNB)'!$P$179</f>
        <v>224</v>
      </c>
      <c r="M163" s="223">
        <f>'Standaardisatie AD (per RNB)'!$P$210</f>
        <v>13145.23366</v>
      </c>
      <c r="N163" s="223">
        <f>'Standaardisatie AD (per RNB)'!$P$241</f>
        <v>914</v>
      </c>
    </row>
    <row r="164" spans="1:34">
      <c r="A164" s="215"/>
      <c r="B164" s="222" t="s">
        <v>253</v>
      </c>
      <c r="C164" s="214"/>
      <c r="D164" s="214" t="s">
        <v>241</v>
      </c>
      <c r="E164" s="222"/>
      <c r="F164" s="216"/>
      <c r="G164" s="223">
        <f>'Standaardisatie AD (per RNB)'!$P$26</f>
        <v>22</v>
      </c>
      <c r="H164" s="223">
        <f>'Standaardisatie AD (per RNB)'!$P$56</f>
        <v>498</v>
      </c>
      <c r="I164" s="223">
        <f>'Standaardisatie AD (per RNB)'!$P$87</f>
        <v>89.886131291998595</v>
      </c>
      <c r="J164" s="223">
        <f>'Standaardisatie AD (per RNB)'!$P$118</f>
        <v>2244.5079082748885</v>
      </c>
      <c r="K164" s="223">
        <f>'Standaardisatie AD (per RNB)'!$P$149</f>
        <v>4173</v>
      </c>
      <c r="L164" s="223">
        <f>'Standaardisatie AD (per RNB)'!$P$180</f>
        <v>21</v>
      </c>
      <c r="M164" s="223">
        <f>'Standaardisatie AD (per RNB)'!$P$211</f>
        <v>2430.9099414616189</v>
      </c>
      <c r="N164" s="223">
        <f>'Standaardisatie AD (per RNB)'!$P$242</f>
        <v>60</v>
      </c>
    </row>
    <row r="165" spans="1:34">
      <c r="A165" s="215"/>
      <c r="B165" s="222" t="s">
        <v>255</v>
      </c>
      <c r="C165" s="214"/>
      <c r="D165" s="214" t="s">
        <v>241</v>
      </c>
      <c r="E165" s="222"/>
      <c r="F165" s="216"/>
      <c r="G165" s="223">
        <f>'Standaardisatie AD (per RNB)'!$P$27</f>
        <v>17</v>
      </c>
      <c r="H165" s="223">
        <f>'Standaardisatie AD (per RNB)'!$P$57</f>
        <v>85</v>
      </c>
      <c r="I165" s="223">
        <f>'Standaardisatie AD (per RNB)'!$P$88</f>
        <v>16.749011610333348</v>
      </c>
      <c r="J165" s="223">
        <f>'Standaardisatie AD (per RNB)'!$P$119</f>
        <v>1003.4605094711358</v>
      </c>
      <c r="K165" s="223">
        <f>'Standaardisatie AD (per RNB)'!$P$150</f>
        <v>832</v>
      </c>
      <c r="L165" s="223">
        <f>'Standaardisatie AD (per RNB)'!$P$181</f>
        <v>8</v>
      </c>
      <c r="M165" s="223">
        <f>'Standaardisatie AD (per RNB)'!$P$212</f>
        <v>492.75338783566156</v>
      </c>
      <c r="N165" s="223">
        <f>'Standaardisatie AD (per RNB)'!$P$243</f>
        <v>25</v>
      </c>
    </row>
    <row r="166" spans="1:34">
      <c r="A166" s="215"/>
      <c r="B166" s="222" t="s">
        <v>254</v>
      </c>
      <c r="C166" s="214"/>
      <c r="D166" s="214" t="s">
        <v>241</v>
      </c>
      <c r="E166" s="222"/>
      <c r="F166" s="216"/>
      <c r="G166" s="223">
        <f>'Standaardisatie AD (per RNB)'!$P$28</f>
        <v>1</v>
      </c>
      <c r="H166" s="223">
        <f>'Standaardisatie AD (per RNB)'!$P$58</f>
        <v>1</v>
      </c>
      <c r="I166" s="223">
        <f>'Standaardisatie AD (per RNB)'!$P$89</f>
        <v>3.8198227951640416</v>
      </c>
      <c r="J166" s="223">
        <f>'Standaardisatie AD (per RNB)'!$P$120</f>
        <v>102.65901797621896</v>
      </c>
      <c r="K166" s="223">
        <f>'Standaardisatie AD (per RNB)'!$P$151</f>
        <v>78</v>
      </c>
      <c r="L166" s="223">
        <f>'Standaardisatie AD (per RNB)'!$P$182</f>
        <v>0</v>
      </c>
      <c r="M166" s="223">
        <f>'Standaardisatie AD (per RNB)'!$P$213</f>
        <v>55.944079921321638</v>
      </c>
      <c r="N166" s="223">
        <f>'Standaardisatie AD (per RNB)'!$P$244</f>
        <v>4</v>
      </c>
    </row>
    <row r="167" spans="1:34">
      <c r="A167" s="215"/>
      <c r="B167" s="214"/>
      <c r="C167" s="214"/>
      <c r="E167" s="214"/>
      <c r="F167" s="216"/>
      <c r="G167" s="225"/>
      <c r="H167" s="225"/>
      <c r="I167" s="225"/>
      <c r="J167" s="225"/>
      <c r="K167" s="225"/>
      <c r="L167" s="225"/>
      <c r="M167" s="225"/>
      <c r="N167" s="225"/>
    </row>
    <row r="168" spans="1:34">
      <c r="A168" s="215"/>
      <c r="B168" s="206" t="s">
        <v>329</v>
      </c>
      <c r="C168" s="214"/>
      <c r="E168" s="206"/>
      <c r="F168" s="216"/>
      <c r="G168" s="225"/>
      <c r="H168" s="225"/>
      <c r="I168" s="225"/>
      <c r="J168" s="225"/>
      <c r="K168" s="225"/>
      <c r="L168" s="225"/>
      <c r="M168" s="225"/>
      <c r="N168" s="225"/>
    </row>
    <row r="169" spans="1:34">
      <c r="A169" s="215"/>
      <c r="B169" s="222" t="s">
        <v>251</v>
      </c>
      <c r="C169" s="214"/>
      <c r="D169" s="214" t="s">
        <v>241</v>
      </c>
      <c r="E169" s="222"/>
      <c r="F169" s="216"/>
      <c r="G169" s="223">
        <f>'Standaardisatie AD (per RNB)'!$P$32</f>
        <v>126</v>
      </c>
      <c r="H169" s="223">
        <f>'Standaardisatie AD (per RNB)'!$P$63</f>
        <v>1930</v>
      </c>
      <c r="I169" s="223">
        <f>'Standaardisatie AD (per RNB)'!P94</f>
        <v>134.49275362318841</v>
      </c>
      <c r="J169" s="223">
        <f>'Standaardisatie AD (per RNB)'!$P$125</f>
        <v>18536.96</v>
      </c>
      <c r="K169" s="223">
        <f>'Standaardisatie AD (per RNB)'!$P$156</f>
        <v>12904</v>
      </c>
      <c r="L169" s="223">
        <f>'Standaardisatie AD (per RNB)'!$P$187</f>
        <v>648</v>
      </c>
      <c r="M169" s="223">
        <f>'Standaardisatie AD (per RNB)'!$P$218</f>
        <v>4757.2634730538903</v>
      </c>
      <c r="N169" s="223">
        <f>'Standaardisatie AD (per RNB)'!$P$249</f>
        <v>877</v>
      </c>
    </row>
    <row r="170" spans="1:34">
      <c r="A170" s="215"/>
      <c r="B170" s="222" t="s">
        <v>252</v>
      </c>
      <c r="C170" s="214"/>
      <c r="D170" s="214" t="s">
        <v>241</v>
      </c>
      <c r="E170" s="222"/>
      <c r="F170" s="216"/>
      <c r="G170" s="223">
        <f>'Standaardisatie AD (per RNB)'!$P$33</f>
        <v>217</v>
      </c>
      <c r="H170" s="223">
        <f>'Standaardisatie AD (per RNB)'!$P$64</f>
        <v>4386</v>
      </c>
      <c r="I170" s="223">
        <f>'Standaardisatie AD (per RNB)'!P95</f>
        <v>623.31407522295467</v>
      </c>
      <c r="J170" s="223">
        <f>'Standaardisatie AD (per RNB)'!$P$126</f>
        <v>45853.597058823529</v>
      </c>
      <c r="K170" s="223">
        <f>'Standaardisatie AD (per RNB)'!$P$157</f>
        <v>37836</v>
      </c>
      <c r="L170" s="223">
        <f>'Standaardisatie AD (per RNB)'!$P$188</f>
        <v>420</v>
      </c>
      <c r="M170" s="223">
        <f>'Standaardisatie AD (per RNB)'!$P$219</f>
        <v>16571.597446808501</v>
      </c>
      <c r="N170" s="223">
        <f>'Standaardisatie AD (per RNB)'!$P$250</f>
        <v>261</v>
      </c>
    </row>
    <row r="171" spans="1:34">
      <c r="A171" s="215"/>
      <c r="B171" s="222" t="s">
        <v>253</v>
      </c>
      <c r="C171" s="214"/>
      <c r="D171" s="214" t="s">
        <v>241</v>
      </c>
      <c r="E171" s="222"/>
      <c r="F171" s="216"/>
      <c r="G171" s="223">
        <f>'Standaardisatie AD (per RNB)'!$P$34</f>
        <v>36</v>
      </c>
      <c r="H171" s="223">
        <f>'Standaardisatie AD (per RNB)'!$P$65</f>
        <v>2706</v>
      </c>
      <c r="I171" s="223">
        <f>'Standaardisatie AD (per RNB)'!P96</f>
        <v>174.5602458768488</v>
      </c>
      <c r="J171" s="223">
        <f>'Standaardisatie AD (per RNB)'!$P$127</f>
        <v>55279.834999999999</v>
      </c>
      <c r="K171" s="223">
        <f>'Standaardisatie AD (per RNB)'!$P$158</f>
        <v>30821</v>
      </c>
      <c r="L171" s="223">
        <f>'Standaardisatie AD (per RNB)'!$P$189</f>
        <v>293</v>
      </c>
      <c r="M171" s="223">
        <f>'Standaardisatie AD (per RNB)'!$P$220</f>
        <v>27833.38525061835</v>
      </c>
      <c r="N171" s="223">
        <f>'Standaardisatie AD (per RNB)'!$P$251</f>
        <v>1283</v>
      </c>
    </row>
    <row r="172" spans="1:34">
      <c r="A172" s="215"/>
      <c r="B172" s="222" t="s">
        <v>255</v>
      </c>
      <c r="C172" s="214"/>
      <c r="D172" s="214" t="s">
        <v>241</v>
      </c>
      <c r="E172" s="222"/>
      <c r="F172" s="216"/>
      <c r="G172" s="223">
        <f>'Standaardisatie AD (per RNB)'!$P$35</f>
        <v>1140</v>
      </c>
      <c r="H172" s="223">
        <f>'Standaardisatie AD (per RNB)'!$P$66</f>
        <v>10244</v>
      </c>
      <c r="I172" s="223">
        <f>'Standaardisatie AD (per RNB)'!P97</f>
        <v>991.15956601370158</v>
      </c>
      <c r="J172" s="223">
        <f>'Standaardisatie AD (per RNB)'!$P$128</f>
        <v>135273.4627232143</v>
      </c>
      <c r="K172" s="223">
        <f>'Standaardisatie AD (per RNB)'!$P$159</f>
        <v>82562.05112693859</v>
      </c>
      <c r="L172" s="223">
        <f>'Standaardisatie AD (per RNB)'!$P$190</f>
        <v>1333</v>
      </c>
      <c r="M172" s="223">
        <f>'Standaardisatie AD (per RNB)'!$P$221</f>
        <v>58175.713158318453</v>
      </c>
      <c r="N172" s="223">
        <f>'Standaardisatie AD (per RNB)'!$P$252</f>
        <v>2865</v>
      </c>
    </row>
    <row r="173" spans="1:34">
      <c r="A173" s="215"/>
      <c r="B173" s="222" t="s">
        <v>254</v>
      </c>
      <c r="C173" s="214"/>
      <c r="D173" s="214" t="s">
        <v>241</v>
      </c>
      <c r="E173" s="222"/>
      <c r="F173" s="216"/>
      <c r="G173" s="223">
        <f>'Standaardisatie AD (per RNB)'!$P$36</f>
        <v>150</v>
      </c>
      <c r="H173" s="223">
        <f>'Standaardisatie AD (per RNB)'!$P$67</f>
        <v>15</v>
      </c>
      <c r="I173" s="223">
        <f>'Standaardisatie AD (per RNB)'!P98</f>
        <v>333.8776651520447</v>
      </c>
      <c r="J173" s="223">
        <f>'Standaardisatie AD (per RNB)'!$P$129</f>
        <v>6973.8094284188028</v>
      </c>
      <c r="K173" s="223">
        <f>'Standaardisatie AD (per RNB)'!$P$160</f>
        <v>34320</v>
      </c>
      <c r="L173" s="223">
        <f>'Standaardisatie AD (per RNB)'!$P$191</f>
        <v>0</v>
      </c>
      <c r="M173" s="223">
        <f>'Standaardisatie AD (per RNB)'!$P$222</f>
        <v>7359.8313800029882</v>
      </c>
      <c r="N173" s="223">
        <f>'Standaardisatie AD (per RNB)'!$P$253</f>
        <v>1850</v>
      </c>
    </row>
    <row r="174" spans="1:34">
      <c r="A174" s="215"/>
      <c r="B174" s="214"/>
      <c r="C174" s="214"/>
      <c r="D174" s="214"/>
      <c r="E174" s="214"/>
    </row>
    <row r="175" spans="1:34">
      <c r="A175" s="215"/>
      <c r="B175" s="214"/>
      <c r="C175" s="214"/>
      <c r="D175" s="214"/>
      <c r="E175" s="214"/>
    </row>
    <row r="176" spans="1:34">
      <c r="A176" s="213"/>
      <c r="B176" s="204" t="s">
        <v>9</v>
      </c>
      <c r="C176" s="213"/>
      <c r="D176" s="213"/>
      <c r="E176" s="213"/>
      <c r="F176" s="213"/>
      <c r="G176" s="204"/>
      <c r="H176" s="204"/>
      <c r="I176" s="204"/>
      <c r="J176" s="204"/>
      <c r="K176" s="204"/>
      <c r="L176" s="204"/>
      <c r="M176" s="204"/>
      <c r="N176" s="204"/>
      <c r="O176" s="204"/>
      <c r="P176" s="204"/>
      <c r="Q176" s="204"/>
      <c r="R176" s="204"/>
      <c r="S176" s="204"/>
      <c r="T176" s="204"/>
      <c r="U176" s="204"/>
      <c r="V176" s="204"/>
      <c r="W176" s="204"/>
      <c r="X176" s="204"/>
      <c r="Y176" s="204"/>
      <c r="Z176" s="204"/>
      <c r="AA176" s="204"/>
      <c r="AB176" s="204"/>
      <c r="AC176" s="204"/>
      <c r="AD176" s="204"/>
      <c r="AE176" s="204"/>
      <c r="AF176" s="204"/>
      <c r="AG176" s="204"/>
      <c r="AH176" s="204"/>
    </row>
    <row r="177" spans="1:14">
      <c r="A177" s="214"/>
      <c r="B177" s="206"/>
      <c r="C177" s="214"/>
      <c r="D177" s="214"/>
      <c r="E177" s="214"/>
      <c r="F177" s="214"/>
      <c r="G177" s="206"/>
      <c r="H177" s="206"/>
      <c r="I177" s="206"/>
      <c r="J177" s="206"/>
      <c r="K177" s="206"/>
      <c r="L177" s="206"/>
      <c r="M177" s="206"/>
      <c r="N177" s="206"/>
    </row>
    <row r="178" spans="1:14">
      <c r="A178" s="215"/>
      <c r="B178" s="206" t="s">
        <v>922</v>
      </c>
      <c r="C178" s="206"/>
      <c r="D178" s="206"/>
      <c r="E178" s="214"/>
      <c r="F178" s="216"/>
      <c r="G178" s="216"/>
      <c r="J178" s="216"/>
    </row>
    <row r="179" spans="1:14">
      <c r="A179" s="215"/>
      <c r="B179" s="214" t="s">
        <v>251</v>
      </c>
      <c r="C179" s="214"/>
      <c r="D179" s="214" t="s">
        <v>337</v>
      </c>
      <c r="E179" s="214"/>
      <c r="F179" s="216"/>
      <c r="G179" s="218">
        <f>'Standaardisatie AD (per RNB)'!$R$12</f>
        <v>6.48</v>
      </c>
      <c r="H179" s="219">
        <f>'Standaardisatie AD (per RNB)'!$R$42</f>
        <v>2.34</v>
      </c>
      <c r="I179" s="219">
        <f>'Standaardisatie AD (per RNB)'!$R$73</f>
        <v>7.32</v>
      </c>
      <c r="J179" s="218">
        <f>'Standaardisatie AD (per RNB)'!$R$104</f>
        <v>3.95</v>
      </c>
      <c r="K179" s="219">
        <f>'Standaardisatie AD (per RNB)'!$R$135</f>
        <v>9.24</v>
      </c>
      <c r="L179" s="219">
        <f>'Standaardisatie AD (per RNB)'!$R$166</f>
        <v>13.25</v>
      </c>
      <c r="M179" s="219">
        <f>'Standaardisatie AD (per RNB)'!$R$197</f>
        <v>7.5000000000000009</v>
      </c>
      <c r="N179" s="219">
        <f>'Standaardisatie AD (per RNB)'!$R$228</f>
        <v>3.15</v>
      </c>
    </row>
    <row r="180" spans="1:14">
      <c r="A180" s="215"/>
      <c r="B180" s="214" t="s">
        <v>252</v>
      </c>
      <c r="C180" s="214"/>
      <c r="D180" s="214" t="s">
        <v>337</v>
      </c>
      <c r="E180" s="214"/>
      <c r="F180" s="216"/>
      <c r="G180" s="218">
        <f>'Standaardisatie AD (per RNB)'!$R$13</f>
        <v>18.5</v>
      </c>
      <c r="H180" s="219">
        <f>'Standaardisatie AD (per RNB)'!$R$43</f>
        <v>23.04</v>
      </c>
      <c r="I180" s="219">
        <f>'Standaardisatie AD (per RNB)'!$R$74</f>
        <v>15.84</v>
      </c>
      <c r="J180" s="218">
        <f>'Standaardisatie AD (per RNB)'!$R$105</f>
        <v>31.599999999999998</v>
      </c>
      <c r="K180" s="219">
        <f>'Standaardisatie AD (per RNB)'!$R$136</f>
        <v>19.2</v>
      </c>
      <c r="L180" s="219">
        <f>'Standaardisatie AD (per RNB)'!$R$167</f>
        <v>26.75</v>
      </c>
      <c r="M180" s="219">
        <f>'Standaardisatie AD (per RNB)'!$R$198</f>
        <v>18.5</v>
      </c>
      <c r="N180" s="219">
        <f>'Standaardisatie AD (per RNB)'!$R$229</f>
        <v>16.899999999999999</v>
      </c>
    </row>
    <row r="181" spans="1:14">
      <c r="A181" s="215"/>
      <c r="B181" s="214" t="s">
        <v>253</v>
      </c>
      <c r="C181" s="214"/>
      <c r="D181" s="214" t="s">
        <v>337</v>
      </c>
      <c r="E181" s="214"/>
      <c r="F181" s="216"/>
      <c r="G181" s="218">
        <f>'Standaardisatie AD (per RNB)'!$R$14</f>
        <v>18.5</v>
      </c>
      <c r="H181" s="219">
        <f>'Standaardisatie AD (per RNB)'!$R$44</f>
        <v>37.815482841499545</v>
      </c>
      <c r="I181" s="219">
        <f>'Standaardisatie AD (per RNB)'!$R$75</f>
        <v>15.84</v>
      </c>
      <c r="J181" s="218">
        <f>'Standaardisatie AD (per RNB)'!$R$106</f>
        <v>36</v>
      </c>
      <c r="K181" s="219">
        <f>'Standaardisatie AD (per RNB)'!$R$137</f>
        <v>31.823113367085249</v>
      </c>
      <c r="L181" s="219">
        <f>'Standaardisatie AD (per RNB)'!$R$168</f>
        <v>43.25</v>
      </c>
      <c r="M181" s="219">
        <f>'Standaardisatie AD (per RNB)'!$R$199</f>
        <v>36.799999999999997</v>
      </c>
      <c r="N181" s="219">
        <f>'Standaardisatie AD (per RNB)'!$R$230</f>
        <v>45.029452723177847</v>
      </c>
    </row>
    <row r="182" spans="1:14">
      <c r="A182" s="215"/>
      <c r="B182" s="214" t="s">
        <v>255</v>
      </c>
      <c r="C182" s="214"/>
      <c r="D182" s="214" t="s">
        <v>337</v>
      </c>
      <c r="E182" s="214"/>
      <c r="F182" s="216"/>
      <c r="G182" s="218">
        <f>'Standaardisatie AD (per RNB)'!$R$15</f>
        <v>22.2</v>
      </c>
      <c r="H182" s="219">
        <f>'Standaardisatie AD (per RNB)'!$R$45</f>
        <v>159.23999999999998</v>
      </c>
      <c r="I182" s="219">
        <f>'Standaardisatie AD (per RNB)'!$R$76</f>
        <v>238.31999999999996</v>
      </c>
      <c r="J182" s="218">
        <f>'Standaardisatie AD (per RNB)'!$R$107</f>
        <v>172</v>
      </c>
      <c r="K182" s="219">
        <f>'Standaardisatie AD (per RNB)'!$R$138</f>
        <v>136.30989367042395</v>
      </c>
      <c r="L182" s="219">
        <f>'Standaardisatie AD (per RNB)'!$R$169</f>
        <v>43.25</v>
      </c>
      <c r="M182" s="219">
        <f>'Standaardisatie AD (per RNB)'!$R$200</f>
        <v>63.2</v>
      </c>
      <c r="N182" s="219">
        <f>'Standaardisatie AD (per RNB)'!$R$231</f>
        <v>213.77431327902775</v>
      </c>
    </row>
    <row r="183" spans="1:14">
      <c r="A183" s="215"/>
      <c r="B183" s="214" t="s">
        <v>261</v>
      </c>
      <c r="C183" s="214"/>
      <c r="D183" s="214" t="s">
        <v>337</v>
      </c>
      <c r="E183" s="214"/>
      <c r="F183" s="216"/>
      <c r="G183" s="218">
        <f>'Standaardisatie AD (per RNB)'!$R$16</f>
        <v>450.971</v>
      </c>
      <c r="H183" s="219">
        <f>'Standaardisatie AD (per RNB)'!$R$46</f>
        <v>1100.0400000000002</v>
      </c>
      <c r="I183" s="219">
        <f>'Standaardisatie AD (per RNB)'!$R$77</f>
        <v>685.2</v>
      </c>
      <c r="J183" s="218">
        <f>'Standaardisatie AD (per RNB)'!$R$108</f>
        <v>682</v>
      </c>
      <c r="K183" s="219">
        <f>'Standaardisatie AD (per RNB)'!$R$139</f>
        <v>795.74179554571856</v>
      </c>
      <c r="L183" s="219">
        <f>'Standaardisatie AD (per RNB)'!$R$170</f>
        <v>229.1921456719663</v>
      </c>
      <c r="M183" s="219">
        <f>'Standaardisatie AD (per RNB)'!$R$201</f>
        <v>565.95000000000005</v>
      </c>
      <c r="N183" s="219">
        <f>'Standaardisatie AD (per RNB)'!$R$232</f>
        <v>1606.4718595712461</v>
      </c>
    </row>
    <row r="184" spans="1:14">
      <c r="A184" s="215"/>
      <c r="B184" s="214" t="s">
        <v>262</v>
      </c>
      <c r="C184" s="214"/>
      <c r="D184" s="214" t="s">
        <v>337</v>
      </c>
      <c r="E184" s="214"/>
      <c r="F184" s="216"/>
      <c r="G184" s="218">
        <f>'Standaardisatie AD (per RNB)'!$R$17</f>
        <v>1345.2</v>
      </c>
      <c r="H184" s="219">
        <f>'Standaardisatie AD (per RNB)'!$R$47</f>
        <v>7328.64</v>
      </c>
      <c r="I184" s="219">
        <f>'Standaardisatie AD (per RNB)'!$R$78</f>
        <v>2902.8</v>
      </c>
      <c r="J184" s="218">
        <f>'Standaardisatie AD (per RNB)'!$R$109</f>
        <v>1876.6145415084497</v>
      </c>
      <c r="K184" s="219">
        <f>'Standaardisatie AD (per RNB)'!$R$140</f>
        <v>8583.652173913044</v>
      </c>
      <c r="L184" s="219">
        <f>'Standaardisatie AD (per RNB)'!$R$171</f>
        <v>1670</v>
      </c>
      <c r="M184" s="219">
        <f>'Standaardisatie AD (per RNB)'!$R$202</f>
        <v>6041.5284615384608</v>
      </c>
      <c r="N184" s="219">
        <f>'Standaardisatie AD (per RNB)'!$R$233</f>
        <v>6371</v>
      </c>
    </row>
    <row r="185" spans="1:14">
      <c r="A185" s="215"/>
      <c r="B185" s="214"/>
      <c r="C185" s="214"/>
      <c r="D185" s="214"/>
      <c r="E185" s="214"/>
      <c r="F185" s="216"/>
      <c r="G185" s="220"/>
      <c r="H185" s="221"/>
      <c r="I185" s="221"/>
      <c r="J185" s="220"/>
      <c r="K185" s="221"/>
      <c r="L185" s="221"/>
      <c r="M185" s="221"/>
      <c r="N185" s="221"/>
    </row>
    <row r="186" spans="1:14">
      <c r="A186" s="215"/>
      <c r="B186" s="214" t="s">
        <v>1096</v>
      </c>
      <c r="C186" s="214"/>
      <c r="D186" s="214" t="s">
        <v>337</v>
      </c>
      <c r="E186" s="214"/>
      <c r="F186" s="216"/>
      <c r="G186" s="218" t="e">
        <f>'Standaardisatie AD (per RNB)'!$R$19</f>
        <v>#DIV/0!</v>
      </c>
      <c r="H186" s="219">
        <f>'Standaardisatie AD (per RNB)'!$R$49</f>
        <v>1.76</v>
      </c>
      <c r="I186" s="219">
        <f>'Standaardisatie AD (per RNB)'!$R$80</f>
        <v>3.3600000000000003</v>
      </c>
      <c r="J186" s="218">
        <f>'Standaardisatie AD (per RNB)'!$R$111</f>
        <v>2.6604081453366644</v>
      </c>
      <c r="K186" s="219">
        <f>'Standaardisatie AD (per RNB)'!$R$142</f>
        <v>1.8</v>
      </c>
      <c r="L186" s="219">
        <f>'Standaardisatie AD (per RNB)'!$R$173</f>
        <v>13.9</v>
      </c>
      <c r="M186" s="219">
        <f>'Standaardisatie AD (per RNB)'!$R$204</f>
        <v>5.9</v>
      </c>
      <c r="N186" s="219">
        <f>'Standaardisatie AD (per RNB)'!$R$235</f>
        <v>4.75</v>
      </c>
    </row>
    <row r="187" spans="1:14">
      <c r="A187" s="215"/>
      <c r="B187" s="214"/>
      <c r="C187" s="214"/>
      <c r="D187" s="214"/>
      <c r="E187" s="214"/>
      <c r="F187" s="216"/>
      <c r="G187" s="220"/>
      <c r="H187" s="221"/>
      <c r="I187" s="221"/>
      <c r="J187" s="220"/>
      <c r="K187" s="221"/>
      <c r="L187" s="221"/>
      <c r="M187" s="221"/>
      <c r="N187" s="221"/>
    </row>
    <row r="188" spans="1:14">
      <c r="A188" s="215"/>
      <c r="B188" s="206" t="s">
        <v>923</v>
      </c>
      <c r="C188" s="206"/>
      <c r="D188" s="214"/>
      <c r="E188" s="214"/>
      <c r="F188" s="216"/>
      <c r="G188" s="220"/>
      <c r="H188" s="221"/>
      <c r="I188" s="221"/>
      <c r="J188" s="220"/>
      <c r="K188" s="221"/>
      <c r="L188" s="221"/>
      <c r="M188" s="221"/>
      <c r="N188" s="221"/>
    </row>
    <row r="189" spans="1:14">
      <c r="A189" s="215"/>
      <c r="B189" s="206" t="s">
        <v>328</v>
      </c>
      <c r="C189" s="214"/>
      <c r="E189" s="206"/>
      <c r="F189" s="216"/>
      <c r="G189" s="220"/>
      <c r="H189" s="221"/>
      <c r="I189" s="221"/>
      <c r="J189" s="220"/>
      <c r="K189" s="221"/>
      <c r="L189" s="221"/>
      <c r="M189" s="221"/>
      <c r="N189" s="221"/>
    </row>
    <row r="190" spans="1:14">
      <c r="A190" s="215"/>
      <c r="B190" s="222" t="s">
        <v>251</v>
      </c>
      <c r="C190" s="214"/>
      <c r="D190" s="214" t="s">
        <v>337</v>
      </c>
      <c r="E190" s="222"/>
      <c r="F190" s="216"/>
      <c r="G190" s="218">
        <f>'Standaardisatie AD (per RNB)'!$R$24</f>
        <v>406.77</v>
      </c>
      <c r="H190" s="218">
        <f>'Standaardisatie AD (per RNB)'!$R$54</f>
        <v>341.82</v>
      </c>
      <c r="I190" s="218">
        <f>'Standaardisatie AD (per RNB)'!$R$85</f>
        <v>410</v>
      </c>
      <c r="J190" s="218">
        <f>'Standaardisatie AD (per RNB)'!$R$116</f>
        <v>346</v>
      </c>
      <c r="K190" s="218">
        <f>'Standaardisatie AD (per RNB)'!$R$147</f>
        <v>398</v>
      </c>
      <c r="L190" s="218">
        <f>'Standaardisatie AD (per RNB)'!$R$178</f>
        <v>436</v>
      </c>
      <c r="M190" s="218">
        <f>'Standaardisatie AD (per RNB)'!$R$209</f>
        <v>402</v>
      </c>
      <c r="N190" s="218">
        <f>'Standaardisatie AD (per RNB)'!$R$240</f>
        <v>445.79</v>
      </c>
    </row>
    <row r="191" spans="1:14">
      <c r="A191" s="215"/>
      <c r="B191" s="222" t="s">
        <v>252</v>
      </c>
      <c r="C191" s="214"/>
      <c r="D191" s="214" t="s">
        <v>337</v>
      </c>
      <c r="E191" s="222"/>
      <c r="F191" s="216"/>
      <c r="G191" s="218">
        <f>'Standaardisatie AD (per RNB)'!$R$25</f>
        <v>641.46</v>
      </c>
      <c r="H191" s="218">
        <f>'Standaardisatie AD (per RNB)'!$R$55</f>
        <v>648.94000000000005</v>
      </c>
      <c r="I191" s="218">
        <f>'Standaardisatie AD (per RNB)'!$R$86</f>
        <v>645</v>
      </c>
      <c r="J191" s="218">
        <f>'Standaardisatie AD (per RNB)'!$R$117</f>
        <v>664</v>
      </c>
      <c r="K191" s="218">
        <f>'Standaardisatie AD (per RNB)'!$R$148</f>
        <v>661</v>
      </c>
      <c r="L191" s="218">
        <f>'Standaardisatie AD (per RNB)'!$R$179</f>
        <v>738</v>
      </c>
      <c r="M191" s="218">
        <f>'Standaardisatie AD (per RNB)'!$R$210</f>
        <v>579</v>
      </c>
      <c r="N191" s="218">
        <f>'Standaardisatie AD (per RNB)'!$R$241</f>
        <v>848.55</v>
      </c>
    </row>
    <row r="192" spans="1:14">
      <c r="A192" s="215"/>
      <c r="B192" s="222" t="s">
        <v>253</v>
      </c>
      <c r="C192" s="214"/>
      <c r="D192" s="214" t="s">
        <v>337</v>
      </c>
      <c r="E192" s="222"/>
      <c r="F192" s="216"/>
      <c r="G192" s="218">
        <f>'Standaardisatie AD (per RNB)'!$R$26</f>
        <v>1017.7985714285712</v>
      </c>
      <c r="H192" s="218">
        <f>'Standaardisatie AD (per RNB)'!$R$56</f>
        <v>1006.1228095238096</v>
      </c>
      <c r="I192" s="218">
        <f>'Standaardisatie AD (per RNB)'!$R$87</f>
        <v>1004.6308331326417</v>
      </c>
      <c r="J192" s="218">
        <f>'Standaardisatie AD (per RNB)'!$R$118</f>
        <v>870.41020135186159</v>
      </c>
      <c r="K192" s="218">
        <f>'Standaardisatie AD (per RNB)'!$R$149</f>
        <v>1100.2537900056147</v>
      </c>
      <c r="L192" s="218">
        <f>'Standaardisatie AD (per RNB)'!$R$180</f>
        <v>1112.6521739130435</v>
      </c>
      <c r="M192" s="218">
        <f>'Standaardisatie AD (per RNB)'!$R$211</f>
        <v>1013.8499365676589</v>
      </c>
      <c r="N192" s="218">
        <f>'Standaardisatie AD (per RNB)'!$R$242</f>
        <v>1225.9056363636364</v>
      </c>
    </row>
    <row r="193" spans="1:34">
      <c r="A193" s="215"/>
      <c r="B193" s="222" t="s">
        <v>255</v>
      </c>
      <c r="C193" s="214"/>
      <c r="D193" s="214" t="s">
        <v>337</v>
      </c>
      <c r="E193" s="222"/>
      <c r="F193" s="216"/>
      <c r="G193" s="218">
        <f>'Standaardisatie AD (per RNB)'!$R$27</f>
        <v>10095.209999999999</v>
      </c>
      <c r="H193" s="218">
        <f>'Standaardisatie AD (per RNB)'!$R$57</f>
        <v>5651.7211764705871</v>
      </c>
      <c r="I193" s="218">
        <f>'Standaardisatie AD (per RNB)'!$R$88</f>
        <v>8785.7465522726143</v>
      </c>
      <c r="J193" s="218">
        <f>'Standaardisatie AD (per RNB)'!$R$119</f>
        <v>5254.2382473481202</v>
      </c>
      <c r="K193" s="218">
        <f>'Standaardisatie AD (per RNB)'!$R$150</f>
        <v>7915.2531592087807</v>
      </c>
      <c r="L193" s="218">
        <f>'Standaardisatie AD (per RNB)'!$R$181</f>
        <v>5181.2857142857147</v>
      </c>
      <c r="M193" s="218">
        <f>'Standaardisatie AD (per RNB)'!$R$212</f>
        <v>8174.3031969982276</v>
      </c>
      <c r="N193" s="218">
        <f>'Standaardisatie AD (per RNB)'!$R$243</f>
        <v>6794.5458333333336</v>
      </c>
    </row>
    <row r="194" spans="1:34">
      <c r="A194" s="215"/>
      <c r="B194" s="222" t="s">
        <v>254</v>
      </c>
      <c r="C194" s="214"/>
      <c r="D194" s="214" t="s">
        <v>337</v>
      </c>
      <c r="E194" s="222"/>
      <c r="F194" s="216"/>
      <c r="G194" s="218">
        <f>'Standaardisatie AD (per RNB)'!$R$28</f>
        <v>0</v>
      </c>
      <c r="H194" s="218">
        <f>'Standaardisatie AD (per RNB)'!$R$58</f>
        <v>57531.82</v>
      </c>
      <c r="I194" s="218">
        <f>'Standaardisatie AD (per RNB)'!$R$89</f>
        <v>79746.831676597183</v>
      </c>
      <c r="J194" s="218">
        <f>'Standaardisatie AD (per RNB)'!$R$120</f>
        <v>31376.584983078283</v>
      </c>
      <c r="K194" s="218">
        <f>'Standaardisatie AD (per RNB)'!$R$151</f>
        <v>99418.632492801975</v>
      </c>
      <c r="L194" s="218" t="e">
        <f>'Standaardisatie AD (per RNB)'!$R$182</f>
        <v>#DIV/0!</v>
      </c>
      <c r="M194" s="218">
        <f>'Standaardisatie AD (per RNB)'!$R$213</f>
        <v>74796.291668231905</v>
      </c>
      <c r="N194" s="218">
        <f>'Standaardisatie AD (per RNB)'!$R$244</f>
        <v>73444.97</v>
      </c>
    </row>
    <row r="195" spans="1:34">
      <c r="A195" s="215"/>
      <c r="B195" s="214"/>
      <c r="C195" s="214"/>
      <c r="E195" s="214"/>
      <c r="F195" s="216"/>
      <c r="G195" s="220"/>
      <c r="H195" s="220"/>
      <c r="I195" s="220"/>
      <c r="J195" s="220"/>
      <c r="K195" s="220"/>
      <c r="L195" s="220"/>
      <c r="M195" s="220"/>
      <c r="N195" s="220"/>
    </row>
    <row r="196" spans="1:34">
      <c r="A196" s="215"/>
      <c r="B196" s="206" t="s">
        <v>329</v>
      </c>
      <c r="C196" s="214"/>
      <c r="E196" s="206"/>
      <c r="F196" s="216"/>
      <c r="G196" s="220"/>
      <c r="H196" s="220"/>
      <c r="I196" s="220"/>
      <c r="J196" s="220"/>
      <c r="K196" s="220"/>
      <c r="L196" s="220"/>
      <c r="M196" s="220"/>
      <c r="N196" s="220"/>
    </row>
    <row r="197" spans="1:34">
      <c r="A197" s="215"/>
      <c r="B197" s="222" t="s">
        <v>251</v>
      </c>
      <c r="C197" s="214"/>
      <c r="D197" s="214" t="s">
        <v>337</v>
      </c>
      <c r="E197" s="222"/>
      <c r="F197" s="216"/>
      <c r="G197" s="219">
        <f>'Standaardisatie AD (per RNB)'!$R$32</f>
        <v>0</v>
      </c>
      <c r="H197" s="218">
        <f>'Standaardisatie AD (per RNB)'!$R$63</f>
        <v>16.930000000000003</v>
      </c>
      <c r="I197" s="218">
        <f>'Standaardisatie AD (per RNB)'!R94</f>
        <v>27.299999999999997</v>
      </c>
      <c r="J197" s="218">
        <f>'Standaardisatie AD (per RNB)'!$R$125</f>
        <v>16.3</v>
      </c>
      <c r="K197" s="218">
        <f>'Standaardisatie AD (per RNB)'!$R$156</f>
        <v>19.7</v>
      </c>
      <c r="L197" s="218">
        <f>'Standaardisatie AD (per RNB)'!$R$187</f>
        <v>21.25</v>
      </c>
      <c r="M197" s="218">
        <f>'Standaardisatie AD (per RNB)'!$R$218</f>
        <v>19.64</v>
      </c>
      <c r="N197" s="218">
        <f>'Standaardisatie AD (per RNB)'!$R$249</f>
        <v>22.1</v>
      </c>
    </row>
    <row r="198" spans="1:34">
      <c r="A198" s="215"/>
      <c r="B198" s="222" t="s">
        <v>252</v>
      </c>
      <c r="C198" s="214"/>
      <c r="D198" s="214" t="s">
        <v>337</v>
      </c>
      <c r="E198" s="222"/>
      <c r="F198" s="216"/>
      <c r="G198" s="218">
        <f>'Standaardisatie AD (per RNB)'!$R$33</f>
        <v>19.43</v>
      </c>
      <c r="H198" s="218">
        <f>'Standaardisatie AD (per RNB)'!$R$64</f>
        <v>27.55</v>
      </c>
      <c r="I198" s="218">
        <f>'Standaardisatie AD (per RNB)'!R95</f>
        <v>28.299999999999997</v>
      </c>
      <c r="J198" s="218">
        <f>'Standaardisatie AD (per RNB)'!$R$126</f>
        <v>18.399999999999999</v>
      </c>
      <c r="K198" s="218">
        <f>'Standaardisatie AD (per RNB)'!$R$157</f>
        <v>26.1</v>
      </c>
      <c r="L198" s="218">
        <f>'Standaardisatie AD (per RNB)'!$R$188</f>
        <v>24.5</v>
      </c>
      <c r="M198" s="218">
        <f>'Standaardisatie AD (per RNB)'!$R$219</f>
        <v>27.64</v>
      </c>
      <c r="N198" s="218">
        <f>'Standaardisatie AD (per RNB)'!$R$250</f>
        <v>31.92</v>
      </c>
    </row>
    <row r="199" spans="1:34">
      <c r="A199" s="215"/>
      <c r="B199" s="222" t="s">
        <v>253</v>
      </c>
      <c r="C199" s="214"/>
      <c r="D199" s="214" t="s">
        <v>337</v>
      </c>
      <c r="E199" s="222"/>
      <c r="F199" s="216"/>
      <c r="G199" s="218">
        <f>'Standaardisatie AD (per RNB)'!$R$34</f>
        <v>27.2</v>
      </c>
      <c r="H199" s="218">
        <f>'Standaardisatie AD (per RNB)'!$R$65</f>
        <v>34.808632075471699</v>
      </c>
      <c r="I199" s="218">
        <f>'Standaardisatie AD (per RNB)'!R96</f>
        <v>40.710444703365518</v>
      </c>
      <c r="J199" s="218">
        <f>'Standaardisatie AD (per RNB)'!$R$127</f>
        <v>23.9</v>
      </c>
      <c r="K199" s="218">
        <f>'Standaardisatie AD (per RNB)'!$R$158</f>
        <v>34.740561327756033</v>
      </c>
      <c r="L199" s="218">
        <f>'Standaardisatie AD (per RNB)'!$R$189</f>
        <v>32.054020100502512</v>
      </c>
      <c r="M199" s="218">
        <f>'Standaardisatie AD (per RNB)'!$R$220</f>
        <v>35.099178555816955</v>
      </c>
      <c r="N199" s="218">
        <f>'Standaardisatie AD (per RNB)'!$R$251</f>
        <v>36.904869109947654</v>
      </c>
    </row>
    <row r="200" spans="1:34">
      <c r="A200" s="215"/>
      <c r="B200" s="222" t="s">
        <v>255</v>
      </c>
      <c r="C200" s="214"/>
      <c r="D200" s="214" t="s">
        <v>337</v>
      </c>
      <c r="E200" s="222"/>
      <c r="F200" s="216"/>
      <c r="G200" s="218">
        <f>'Standaardisatie AD (per RNB)'!$R$35</f>
        <v>64.873129770992378</v>
      </c>
      <c r="H200" s="218">
        <f>'Standaardisatie AD (per RNB)'!$R$66</f>
        <v>55.79723957000256</v>
      </c>
      <c r="I200" s="218">
        <f>'Standaardisatie AD (per RNB)'!R97</f>
        <v>69.214515546981843</v>
      </c>
      <c r="J200" s="218">
        <f>'Standaardisatie AD (per RNB)'!$R$128</f>
        <v>34.963595851156384</v>
      </c>
      <c r="K200" s="218">
        <f>'Standaardisatie AD (per RNB)'!$R$159</f>
        <v>58.419326009804273</v>
      </c>
      <c r="L200" s="218">
        <f>'Standaardisatie AD (per RNB)'!$R$190</f>
        <v>58.781212484994001</v>
      </c>
      <c r="M200" s="218">
        <f>'Standaardisatie AD (per RNB)'!$R$221</f>
        <v>54.42242186055848</v>
      </c>
      <c r="N200" s="218">
        <f>'Standaardisatie AD (per RNB)'!$R$252</f>
        <v>97.246283851554679</v>
      </c>
    </row>
    <row r="201" spans="1:34">
      <c r="A201" s="215"/>
      <c r="B201" s="222" t="s">
        <v>254</v>
      </c>
      <c r="C201" s="214"/>
      <c r="D201" s="214" t="s">
        <v>337</v>
      </c>
      <c r="E201" s="222"/>
      <c r="F201" s="216"/>
      <c r="G201" s="218">
        <f>'Standaardisatie AD (per RNB)'!$R$36</f>
        <v>0</v>
      </c>
      <c r="H201" s="218">
        <f>'Standaardisatie AD (per RNB)'!$R$67</f>
        <v>102.06</v>
      </c>
      <c r="I201" s="218">
        <f>'Standaardisatie AD (per RNB)'!R98</f>
        <v>182.78950472470873</v>
      </c>
      <c r="J201" s="218">
        <f>'Standaardisatie AD (per RNB)'!$R$129</f>
        <v>95.154795660644382</v>
      </c>
      <c r="K201" s="218">
        <f>'Standaardisatie AD (per RNB)'!$R$160</f>
        <v>161.53035309094142</v>
      </c>
      <c r="L201" s="218" t="e">
        <f>'Standaardisatie AD (per RNB)'!$R$191</f>
        <v>#DIV/0!</v>
      </c>
      <c r="M201" s="218">
        <f>'Standaardisatie AD (per RNB)'!$R$222</f>
        <v>158.91049336321731</v>
      </c>
      <c r="N201" s="218">
        <f>'Standaardisatie AD (per RNB)'!$R$253</f>
        <v>161.29</v>
      </c>
    </row>
    <row r="202" spans="1:34">
      <c r="A202" s="215"/>
      <c r="B202" s="214"/>
      <c r="C202" s="214"/>
      <c r="D202" s="222"/>
      <c r="E202" s="222"/>
      <c r="F202" s="222"/>
      <c r="G202" s="222"/>
      <c r="H202" s="222"/>
      <c r="I202" s="222"/>
      <c r="J202" s="222"/>
      <c r="K202" s="222"/>
      <c r="L202" s="222"/>
      <c r="M202" s="222"/>
      <c r="N202" s="222"/>
      <c r="O202" s="222"/>
    </row>
    <row r="203" spans="1:34">
      <c r="A203" s="215"/>
      <c r="B203" s="214"/>
      <c r="C203" s="214"/>
      <c r="D203" s="222"/>
      <c r="E203" s="222"/>
      <c r="F203" s="222"/>
      <c r="G203" s="222"/>
      <c r="H203" s="222"/>
      <c r="I203" s="222"/>
      <c r="J203" s="222"/>
      <c r="K203" s="222"/>
      <c r="L203" s="222"/>
      <c r="M203" s="222"/>
      <c r="N203" s="222"/>
      <c r="O203" s="222"/>
    </row>
    <row r="204" spans="1:34">
      <c r="A204" s="213"/>
      <c r="B204" s="204" t="s">
        <v>10</v>
      </c>
      <c r="C204" s="213"/>
      <c r="D204" s="213"/>
      <c r="E204" s="213"/>
      <c r="F204" s="213"/>
      <c r="G204" s="204"/>
      <c r="H204" s="204"/>
      <c r="I204" s="204"/>
      <c r="J204" s="204"/>
      <c r="K204" s="204"/>
      <c r="L204" s="204"/>
      <c r="M204" s="204"/>
      <c r="N204" s="204"/>
      <c r="O204" s="204"/>
      <c r="P204" s="204"/>
      <c r="Q204" s="204"/>
      <c r="R204" s="204"/>
      <c r="S204" s="204"/>
      <c r="T204" s="204"/>
      <c r="U204" s="204"/>
      <c r="V204" s="204"/>
      <c r="W204" s="204"/>
      <c r="X204" s="204"/>
      <c r="Y204" s="204"/>
      <c r="Z204" s="204"/>
      <c r="AA204" s="204"/>
      <c r="AB204" s="204"/>
      <c r="AC204" s="204"/>
      <c r="AD204" s="204"/>
      <c r="AE204" s="204"/>
      <c r="AF204" s="204"/>
      <c r="AG204" s="204"/>
      <c r="AH204" s="204"/>
    </row>
    <row r="205" spans="1:34">
      <c r="A205" s="214"/>
      <c r="B205" s="206"/>
      <c r="C205" s="214"/>
      <c r="D205" s="214"/>
      <c r="E205" s="214"/>
      <c r="F205" s="214"/>
      <c r="G205" s="206"/>
      <c r="H205" s="206"/>
      <c r="I205" s="206"/>
      <c r="J205" s="206"/>
      <c r="K205" s="206"/>
      <c r="L205" s="206"/>
      <c r="M205" s="206"/>
      <c r="N205" s="206"/>
    </row>
    <row r="206" spans="1:34">
      <c r="A206" s="215"/>
      <c r="B206" s="206" t="s">
        <v>922</v>
      </c>
      <c r="C206" s="206"/>
      <c r="D206" s="206"/>
      <c r="E206" s="214"/>
      <c r="F206" s="216"/>
      <c r="G206" s="216"/>
      <c r="J206" s="216"/>
    </row>
    <row r="207" spans="1:34">
      <c r="A207" s="215"/>
      <c r="B207" s="214" t="s">
        <v>251</v>
      </c>
      <c r="C207" s="214"/>
      <c r="D207" s="214" t="s">
        <v>241</v>
      </c>
      <c r="E207" s="214"/>
      <c r="F207" s="216"/>
      <c r="G207" s="223">
        <f>'Standaardisatie AD (per RNB)'!$S$12</f>
        <v>24005</v>
      </c>
      <c r="H207" s="224">
        <f>'Standaardisatie AD (per RNB)'!$S$42</f>
        <v>87171.333333333358</v>
      </c>
      <c r="I207" s="224">
        <f>'Standaardisatie AD (per RNB)'!$S$73</f>
        <v>44951</v>
      </c>
      <c r="J207" s="223">
        <f>'Standaardisatie AD (per RNB)'!$S$104</f>
        <v>1113337.3484909644</v>
      </c>
      <c r="K207" s="224">
        <f>'Standaardisatie AD (per RNB)'!$S$135</f>
        <v>783087.09252802003</v>
      </c>
      <c r="L207" s="224">
        <f>'Standaardisatie AD (per RNB)'!$S$166</f>
        <v>18957.5</v>
      </c>
      <c r="M207" s="224">
        <f>'Standaardisatie AD (per RNB)'!$S$197</f>
        <v>588773.54166666663</v>
      </c>
      <c r="N207" s="224">
        <f>'Standaardisatie AD (per RNB)'!$S$228</f>
        <v>24715.039258468842</v>
      </c>
      <c r="Q207" s="228"/>
      <c r="R207" s="228"/>
      <c r="S207" s="228"/>
      <c r="T207" s="228"/>
      <c r="U207" s="228"/>
      <c r="V207" s="228"/>
      <c r="W207" s="228"/>
      <c r="X207" s="228"/>
      <c r="Y207" s="228"/>
      <c r="Z207" s="228"/>
      <c r="AA207" s="228"/>
      <c r="AB207" s="228"/>
    </row>
    <row r="208" spans="1:34">
      <c r="A208" s="215"/>
      <c r="B208" s="214" t="s">
        <v>252</v>
      </c>
      <c r="C208" s="214"/>
      <c r="D208" s="214" t="s">
        <v>241</v>
      </c>
      <c r="E208" s="214"/>
      <c r="F208" s="216"/>
      <c r="G208" s="223">
        <f>'Standaardisatie AD (per RNB)'!$S$13</f>
        <v>50364</v>
      </c>
      <c r="H208" s="224">
        <f>'Standaardisatie AD (per RNB)'!$S$43</f>
        <v>198196.83333333331</v>
      </c>
      <c r="I208" s="224">
        <f>'Standaardisatie AD (per RNB)'!$S$74</f>
        <v>102012</v>
      </c>
      <c r="J208" s="223">
        <f>'Standaardisatie AD (per RNB)'!$S$105</f>
        <v>2455968.687544202</v>
      </c>
      <c r="K208" s="224">
        <f>'Standaardisatie AD (per RNB)'!$S$136</f>
        <v>2788761.2125838064</v>
      </c>
      <c r="L208" s="224">
        <f>'Standaardisatie AD (per RNB)'!$S$167</f>
        <v>30304.6</v>
      </c>
      <c r="M208" s="224">
        <f>'Standaardisatie AD (per RNB)'!$S$198</f>
        <v>1905963.1156265354</v>
      </c>
      <c r="N208" s="224">
        <f>'Standaardisatie AD (per RNB)'!$S$229</f>
        <v>51029.162940187271</v>
      </c>
      <c r="Q208" s="228"/>
      <c r="R208" s="228"/>
      <c r="S208" s="228"/>
      <c r="T208" s="228"/>
      <c r="U208" s="228"/>
      <c r="V208" s="228"/>
      <c r="W208" s="228"/>
      <c r="X208" s="228"/>
      <c r="Y208" s="228"/>
      <c r="Z208" s="228"/>
      <c r="AA208" s="228"/>
      <c r="AB208" s="228"/>
    </row>
    <row r="209" spans="1:28">
      <c r="A209" s="215"/>
      <c r="B209" s="214" t="s">
        <v>253</v>
      </c>
      <c r="C209" s="214"/>
      <c r="D209" s="214" t="s">
        <v>241</v>
      </c>
      <c r="E209" s="214"/>
      <c r="F209" s="216"/>
      <c r="G209" s="223">
        <f>'Standaardisatie AD (per RNB)'!$S$14</f>
        <v>1753</v>
      </c>
      <c r="H209" s="224">
        <f>'Standaardisatie AD (per RNB)'!$S$44</f>
        <v>8355.9166666666661</v>
      </c>
      <c r="I209" s="224">
        <f>'Standaardisatie AD (per RNB)'!$S$75</f>
        <v>3553</v>
      </c>
      <c r="J209" s="223">
        <f>'Standaardisatie AD (per RNB)'!$S$106</f>
        <v>127454.96878291687</v>
      </c>
      <c r="K209" s="224">
        <f>'Standaardisatie AD (per RNB)'!$S$137</f>
        <v>118378.93357500415</v>
      </c>
      <c r="L209" s="224">
        <f>'Standaardisatie AD (per RNB)'!$S$168</f>
        <v>1227.8</v>
      </c>
      <c r="M209" s="224">
        <f>'Standaardisatie AD (per RNB)'!$S$199</f>
        <v>82853.583333333328</v>
      </c>
      <c r="N209" s="224">
        <f>'Standaardisatie AD (per RNB)'!$S$230</f>
        <v>3489.9470934977817</v>
      </c>
      <c r="Q209" s="228"/>
      <c r="R209" s="228"/>
      <c r="S209" s="228"/>
      <c r="T209" s="228"/>
      <c r="U209" s="228"/>
      <c r="V209" s="228"/>
      <c r="W209" s="228"/>
      <c r="X209" s="228"/>
      <c r="Y209" s="228"/>
      <c r="Z209" s="228"/>
      <c r="AA209" s="228"/>
      <c r="AB209" s="228"/>
    </row>
    <row r="210" spans="1:28">
      <c r="A210" s="215"/>
      <c r="B210" s="214" t="s">
        <v>255</v>
      </c>
      <c r="C210" s="214"/>
      <c r="D210" s="214" t="s">
        <v>241</v>
      </c>
      <c r="E210" s="214"/>
      <c r="F210" s="216"/>
      <c r="G210" s="223">
        <f>'Standaardisatie AD (per RNB)'!$S$15</f>
        <v>312.76923076923077</v>
      </c>
      <c r="H210" s="224">
        <f>'Standaardisatie AD (per RNB)'!$S$45</f>
        <v>1572.0833333333333</v>
      </c>
      <c r="I210" s="224">
        <f>'Standaardisatie AD (per RNB)'!$S$76</f>
        <v>677</v>
      </c>
      <c r="J210" s="223">
        <f>'Standaardisatie AD (per RNB)'!$S$107</f>
        <v>13611.673687821611</v>
      </c>
      <c r="K210" s="224">
        <f>'Standaardisatie AD (per RNB)'!$S$138</f>
        <v>14608.666666666666</v>
      </c>
      <c r="L210" s="224">
        <f>'Standaardisatie AD (per RNB)'!$S$169</f>
        <v>141.13</v>
      </c>
      <c r="M210" s="224">
        <f>'Standaardisatie AD (per RNB)'!$S$200</f>
        <v>10321.181818181818</v>
      </c>
      <c r="N210" s="224">
        <f>'Standaardisatie AD (per RNB)'!$S$231</f>
        <v>956.07731179964821</v>
      </c>
      <c r="Q210" s="228"/>
      <c r="R210" s="228"/>
      <c r="S210" s="228"/>
      <c r="T210" s="228"/>
      <c r="U210" s="228"/>
      <c r="V210" s="228"/>
      <c r="W210" s="228"/>
      <c r="X210" s="228"/>
      <c r="Y210" s="228"/>
      <c r="Z210" s="228"/>
      <c r="AA210" s="228"/>
      <c r="AB210" s="228"/>
    </row>
    <row r="211" spans="1:28">
      <c r="A211" s="215"/>
      <c r="B211" s="214" t="s">
        <v>261</v>
      </c>
      <c r="C211" s="214"/>
      <c r="D211" s="214" t="s">
        <v>241</v>
      </c>
      <c r="E211" s="214"/>
      <c r="F211" s="216"/>
      <c r="G211" s="223">
        <f>'Standaardisatie AD (per RNB)'!$S$16</f>
        <v>253.84615384615384</v>
      </c>
      <c r="H211" s="224">
        <f>'Standaardisatie AD (per RNB)'!$S$46</f>
        <v>410.91666666666663</v>
      </c>
      <c r="I211" s="224">
        <f>'Standaardisatie AD (per RNB)'!$S$77</f>
        <v>546</v>
      </c>
      <c r="J211" s="223">
        <f>'Standaardisatie AD (per RNB)'!$S$108</f>
        <v>14239.582613456274</v>
      </c>
      <c r="K211" s="224">
        <f>'Standaardisatie AD (per RNB)'!$S$139</f>
        <v>12650.75</v>
      </c>
      <c r="L211" s="224">
        <f>'Standaardisatie AD (per RNB)'!$S$170</f>
        <v>147.18</v>
      </c>
      <c r="M211" s="224">
        <f>'Standaardisatie AD (per RNB)'!$S$201</f>
        <v>3750</v>
      </c>
      <c r="N211" s="224">
        <f>'Standaardisatie AD (per RNB)'!$S$232</f>
        <v>395.65252915544659</v>
      </c>
      <c r="Q211" s="228"/>
      <c r="R211" s="228"/>
      <c r="S211" s="228"/>
      <c r="T211" s="228"/>
      <c r="U211" s="228"/>
      <c r="V211" s="228"/>
      <c r="W211" s="228"/>
      <c r="X211" s="228"/>
      <c r="Y211" s="228"/>
      <c r="Z211" s="228"/>
      <c r="AA211" s="228"/>
      <c r="AB211" s="228"/>
    </row>
    <row r="212" spans="1:28">
      <c r="A212" s="215"/>
      <c r="B212" s="214" t="s">
        <v>262</v>
      </c>
      <c r="C212" s="214"/>
      <c r="D212" s="214" t="s">
        <v>241</v>
      </c>
      <c r="E212" s="214"/>
      <c r="F212" s="216"/>
      <c r="G212" s="223">
        <f>'Standaardisatie AD (per RNB)'!$S$17</f>
        <v>0</v>
      </c>
      <c r="H212" s="224">
        <f>'Standaardisatie AD (per RNB)'!$S$47</f>
        <v>10</v>
      </c>
      <c r="I212" s="224">
        <f>'Standaardisatie AD (per RNB)'!$S$78</f>
        <v>5</v>
      </c>
      <c r="J212" s="223">
        <f>'Standaardisatie AD (per RNB)'!$S$109</f>
        <v>882.08056280854817</v>
      </c>
      <c r="K212" s="224">
        <f>'Standaardisatie AD (per RNB)'!$S$140</f>
        <v>145.66666666666666</v>
      </c>
      <c r="L212" s="224">
        <f>'Standaardisatie AD (per RNB)'!$S$171</f>
        <v>2</v>
      </c>
      <c r="M212" s="224">
        <f>'Standaardisatie AD (per RNB)'!$S$202</f>
        <v>156</v>
      </c>
      <c r="N212" s="224">
        <f>'Standaardisatie AD (per RNB)'!$S$233</f>
        <v>33.148489439396265</v>
      </c>
      <c r="Q212" s="228"/>
      <c r="R212" s="228"/>
      <c r="S212" s="228"/>
      <c r="T212" s="228"/>
      <c r="U212" s="228"/>
      <c r="V212" s="228"/>
      <c r="W212" s="228"/>
      <c r="X212" s="228"/>
      <c r="Y212" s="228"/>
      <c r="Z212" s="228"/>
      <c r="AA212" s="228"/>
      <c r="AB212" s="228"/>
    </row>
    <row r="213" spans="1:28">
      <c r="A213" s="215"/>
      <c r="B213" s="214"/>
      <c r="C213" s="214"/>
      <c r="D213" s="214"/>
      <c r="E213" s="214"/>
      <c r="F213" s="216"/>
      <c r="G213" s="225"/>
      <c r="H213" s="226"/>
      <c r="I213" s="226"/>
      <c r="J213" s="225"/>
      <c r="K213" s="226"/>
      <c r="L213" s="226"/>
      <c r="M213" s="226"/>
      <c r="N213" s="226"/>
      <c r="Q213" s="228"/>
      <c r="R213" s="228"/>
      <c r="S213" s="228"/>
      <c r="T213" s="228"/>
      <c r="U213" s="228"/>
      <c r="V213" s="228"/>
      <c r="W213" s="228"/>
      <c r="X213" s="228"/>
      <c r="Y213" s="228"/>
      <c r="Z213" s="228"/>
      <c r="AA213" s="228"/>
      <c r="AB213" s="228"/>
    </row>
    <row r="214" spans="1:28">
      <c r="A214" s="215"/>
      <c r="B214" s="214" t="s">
        <v>1096</v>
      </c>
      <c r="C214" s="214"/>
      <c r="D214" s="214" t="s">
        <v>241</v>
      </c>
      <c r="E214" s="214"/>
      <c r="F214" s="216"/>
      <c r="G214" s="223">
        <f>'Standaardisatie AD (per RNB)'!$S$19</f>
        <v>0</v>
      </c>
      <c r="H214" s="224">
        <f>'Standaardisatie AD (per RNB)'!$S$49</f>
        <v>23200</v>
      </c>
      <c r="I214" s="224">
        <f>'Standaardisatie AD (per RNB)'!$S$80</f>
        <v>2835</v>
      </c>
      <c r="J214" s="223">
        <f>'Standaardisatie AD (per RNB)'!$S$111</f>
        <v>215334.0686868687</v>
      </c>
      <c r="K214" s="224">
        <f>'Standaardisatie AD (per RNB)'!$S$142</f>
        <v>816522</v>
      </c>
      <c r="L214" s="224">
        <f>'Standaardisatie AD (per RNB)'!$S$173</f>
        <v>9115</v>
      </c>
      <c r="M214" s="224">
        <f>'Standaardisatie AD (per RNB)'!$S$204</f>
        <v>239187.68690292738</v>
      </c>
      <c r="N214" s="224">
        <f>'Standaardisatie AD (per RNB)'!$S$235</f>
        <v>5882.7157894736847</v>
      </c>
      <c r="Q214" s="228"/>
      <c r="R214" s="228"/>
      <c r="S214" s="228"/>
      <c r="T214" s="228"/>
      <c r="U214" s="228"/>
      <c r="V214" s="228"/>
      <c r="W214" s="228"/>
      <c r="X214" s="228"/>
      <c r="Y214" s="228"/>
      <c r="Z214" s="228"/>
      <c r="AA214" s="228"/>
      <c r="AB214" s="228"/>
    </row>
    <row r="215" spans="1:28">
      <c r="A215" s="215"/>
      <c r="B215" s="214"/>
      <c r="C215" s="214"/>
      <c r="D215" s="214"/>
      <c r="E215" s="214"/>
      <c r="F215" s="216"/>
      <c r="G215" s="225"/>
      <c r="H215" s="226"/>
      <c r="I215" s="226"/>
      <c r="J215" s="225"/>
      <c r="K215" s="226"/>
      <c r="L215" s="226"/>
      <c r="M215" s="226"/>
      <c r="N215" s="226"/>
      <c r="Q215" s="228"/>
      <c r="R215" s="228"/>
      <c r="S215" s="228"/>
      <c r="T215" s="228"/>
      <c r="U215" s="228"/>
      <c r="V215" s="228"/>
      <c r="W215" s="228"/>
      <c r="X215" s="228"/>
      <c r="Y215" s="228"/>
      <c r="Z215" s="228"/>
      <c r="AA215" s="228"/>
      <c r="AB215" s="228"/>
    </row>
    <row r="216" spans="1:28">
      <c r="A216" s="215"/>
      <c r="B216" s="206" t="s">
        <v>923</v>
      </c>
      <c r="C216" s="206"/>
      <c r="D216" s="214"/>
      <c r="E216" s="214"/>
      <c r="F216" s="216"/>
      <c r="G216" s="225"/>
      <c r="H216" s="226"/>
      <c r="I216" s="226"/>
      <c r="J216" s="225"/>
      <c r="K216" s="226"/>
      <c r="L216" s="226"/>
      <c r="M216" s="226"/>
      <c r="N216" s="226"/>
      <c r="Q216" s="228"/>
      <c r="R216" s="228"/>
      <c r="S216" s="228"/>
      <c r="T216" s="228"/>
      <c r="U216" s="228"/>
      <c r="V216" s="228"/>
      <c r="W216" s="228"/>
      <c r="X216" s="228"/>
      <c r="Y216" s="228"/>
      <c r="Z216" s="228"/>
      <c r="AA216" s="228"/>
      <c r="AB216" s="228"/>
    </row>
    <row r="217" spans="1:28">
      <c r="A217" s="215"/>
      <c r="B217" s="206" t="s">
        <v>328</v>
      </c>
      <c r="C217" s="214"/>
      <c r="E217" s="206"/>
      <c r="F217" s="216"/>
      <c r="G217" s="225"/>
      <c r="H217" s="226"/>
      <c r="I217" s="226"/>
      <c r="J217" s="225"/>
      <c r="K217" s="226"/>
      <c r="L217" s="226"/>
      <c r="M217" s="226"/>
      <c r="N217" s="226"/>
      <c r="Q217" s="228"/>
      <c r="R217" s="228"/>
      <c r="S217" s="228"/>
      <c r="T217" s="228"/>
      <c r="U217" s="228"/>
      <c r="V217" s="228"/>
      <c r="W217" s="228"/>
      <c r="X217" s="228"/>
      <c r="Y217" s="228"/>
      <c r="Z217" s="228"/>
      <c r="AA217" s="228"/>
      <c r="AB217" s="228"/>
    </row>
    <row r="218" spans="1:28">
      <c r="A218" s="215"/>
      <c r="B218" s="222" t="s">
        <v>251</v>
      </c>
      <c r="C218" s="214"/>
      <c r="D218" s="214" t="s">
        <v>241</v>
      </c>
      <c r="E218" s="222"/>
      <c r="F218" s="216"/>
      <c r="G218" s="223">
        <f>'Standaardisatie AD (per RNB)'!$S$24</f>
        <v>291</v>
      </c>
      <c r="H218" s="223">
        <f>'Standaardisatie AD (per RNB)'!$S$54</f>
        <v>1385</v>
      </c>
      <c r="I218" s="223">
        <f>'Standaardisatie AD (per RNB)'!$S$85</f>
        <v>524.97219512195124</v>
      </c>
      <c r="J218" s="223">
        <f>'Standaardisatie AD (per RNB)'!$S$116</f>
        <v>21566.288030769232</v>
      </c>
      <c r="K218" s="223">
        <f>'Standaardisatie AD (per RNB)'!$S$147</f>
        <v>8427</v>
      </c>
      <c r="L218" s="223">
        <f>'Standaardisatie AD (per RNB)'!$S$178</f>
        <v>350</v>
      </c>
      <c r="M218" s="223">
        <f>'Standaardisatie AD (per RNB)'!$S$209</f>
        <v>7318.2568656716412</v>
      </c>
      <c r="N218" s="223">
        <f>'Standaardisatie AD (per RNB)'!$S$240</f>
        <v>322</v>
      </c>
      <c r="Q218" s="228"/>
      <c r="R218" s="228"/>
      <c r="S218" s="228"/>
      <c r="T218" s="228"/>
      <c r="U218" s="228"/>
      <c r="V218" s="228"/>
      <c r="W218" s="228"/>
      <c r="X218" s="228"/>
      <c r="Y218" s="228"/>
      <c r="Z218" s="228"/>
      <c r="AA218" s="228"/>
      <c r="AB218" s="228"/>
    </row>
    <row r="219" spans="1:28">
      <c r="A219" s="215"/>
      <c r="B219" s="222" t="s">
        <v>252</v>
      </c>
      <c r="C219" s="214"/>
      <c r="D219" s="214" t="s">
        <v>241</v>
      </c>
      <c r="E219" s="222"/>
      <c r="F219" s="216"/>
      <c r="G219" s="223">
        <f>'Standaardisatie AD (per RNB)'!$S$25</f>
        <v>132</v>
      </c>
      <c r="H219" s="223">
        <f>'Standaardisatie AD (per RNB)'!$S$55</f>
        <v>1959</v>
      </c>
      <c r="I219" s="223">
        <f>'Standaardisatie AD (per RNB)'!$S$86</f>
        <v>962.55382945736449</v>
      </c>
      <c r="J219" s="223">
        <f>'Standaardisatie AD (per RNB)'!$S$117</f>
        <v>18539.352523961661</v>
      </c>
      <c r="K219" s="223">
        <f>'Standaardisatie AD (per RNB)'!$S$148</f>
        <v>25504</v>
      </c>
      <c r="L219" s="223">
        <f>'Standaardisatie AD (per RNB)'!$S$179</f>
        <v>209</v>
      </c>
      <c r="M219" s="223">
        <f>'Standaardisatie AD (per RNB)'!$S$210</f>
        <v>14450.064404145078</v>
      </c>
      <c r="N219" s="223">
        <f>'Standaardisatie AD (per RNB)'!$S$241</f>
        <v>1088</v>
      </c>
      <c r="Q219" s="228"/>
      <c r="R219" s="228"/>
      <c r="S219" s="228"/>
      <c r="T219" s="228"/>
      <c r="U219" s="228"/>
      <c r="V219" s="228"/>
      <c r="W219" s="228"/>
      <c r="X219" s="228"/>
      <c r="Y219" s="228"/>
      <c r="Z219" s="228"/>
      <c r="AA219" s="228"/>
      <c r="AB219" s="228"/>
    </row>
    <row r="220" spans="1:28">
      <c r="A220" s="215"/>
      <c r="B220" s="222" t="s">
        <v>253</v>
      </c>
      <c r="C220" s="214"/>
      <c r="D220" s="214" t="s">
        <v>241</v>
      </c>
      <c r="E220" s="222"/>
      <c r="F220" s="216"/>
      <c r="G220" s="223">
        <f>'Standaardisatie AD (per RNB)'!$S$26</f>
        <v>21</v>
      </c>
      <c r="H220" s="223">
        <f>'Standaardisatie AD (per RNB)'!$S$56</f>
        <v>210</v>
      </c>
      <c r="I220" s="223">
        <f>'Standaardisatie AD (per RNB)'!$S$87</f>
        <v>117.89991516651132</v>
      </c>
      <c r="J220" s="223">
        <f>'Standaardisatie AD (per RNB)'!$S$118</f>
        <v>2256.2606697377187</v>
      </c>
      <c r="K220" s="223">
        <f>'Standaardisatie AD (per RNB)'!$S$149</f>
        <v>3562</v>
      </c>
      <c r="L220" s="223">
        <f>'Standaardisatie AD (per RNB)'!$S$180</f>
        <v>23</v>
      </c>
      <c r="M220" s="223">
        <f>'Standaardisatie AD (per RNB)'!$S$211</f>
        <v>2018.8903073067404</v>
      </c>
      <c r="N220" s="223">
        <f>'Standaardisatie AD (per RNB)'!$S$242</f>
        <v>110</v>
      </c>
      <c r="Q220" s="228"/>
      <c r="R220" s="228"/>
      <c r="S220" s="228"/>
      <c r="T220" s="228"/>
      <c r="U220" s="228"/>
      <c r="V220" s="228"/>
      <c r="W220" s="228"/>
      <c r="X220" s="228"/>
      <c r="Y220" s="228"/>
      <c r="Z220" s="228"/>
      <c r="AA220" s="228"/>
      <c r="AB220" s="228"/>
    </row>
    <row r="221" spans="1:28">
      <c r="A221" s="215"/>
      <c r="B221" s="222" t="s">
        <v>255</v>
      </c>
      <c r="C221" s="214"/>
      <c r="D221" s="214" t="s">
        <v>241</v>
      </c>
      <c r="E221" s="222"/>
      <c r="F221" s="216"/>
      <c r="G221" s="223">
        <f>'Standaardisatie AD (per RNB)'!$S$27</f>
        <v>11</v>
      </c>
      <c r="H221" s="223">
        <f>'Standaardisatie AD (per RNB)'!$S$57</f>
        <v>68</v>
      </c>
      <c r="I221" s="223">
        <f>'Standaardisatie AD (per RNB)'!$S$88</f>
        <v>32.896842434549647</v>
      </c>
      <c r="J221" s="223">
        <f>'Standaardisatie AD (per RNB)'!$S$119</f>
        <v>874.40351491622971</v>
      </c>
      <c r="K221" s="223">
        <f>'Standaardisatie AD (per RNB)'!$S$150</f>
        <v>700.17400915925202</v>
      </c>
      <c r="L221" s="223">
        <f>'Standaardisatie AD (per RNB)'!$S$181</f>
        <v>7</v>
      </c>
      <c r="M221" s="223">
        <f>'Standaardisatie AD (per RNB)'!$S$212</f>
        <v>422.93265452516459</v>
      </c>
      <c r="N221" s="223">
        <f>'Standaardisatie AD (per RNB)'!$S$243</f>
        <v>12</v>
      </c>
      <c r="Q221" s="228"/>
      <c r="R221" s="228"/>
      <c r="S221" s="228"/>
      <c r="T221" s="228"/>
      <c r="U221" s="228"/>
      <c r="V221" s="228"/>
      <c r="W221" s="228"/>
      <c r="X221" s="228"/>
      <c r="Y221" s="228"/>
      <c r="Z221" s="228"/>
      <c r="AA221" s="228"/>
      <c r="AB221" s="228"/>
    </row>
    <row r="222" spans="1:28">
      <c r="A222" s="215"/>
      <c r="B222" s="222" t="s">
        <v>254</v>
      </c>
      <c r="C222" s="214"/>
      <c r="D222" s="214" t="s">
        <v>241</v>
      </c>
      <c r="E222" s="222"/>
      <c r="F222" s="216"/>
      <c r="G222" s="223">
        <f>'Standaardisatie AD (per RNB)'!$S$28</f>
        <v>0</v>
      </c>
      <c r="H222" s="223">
        <f>'Standaardisatie AD (per RNB)'!$S$58</f>
        <v>2</v>
      </c>
      <c r="I222" s="223">
        <f>'Standaardisatie AD (per RNB)'!$S$89</f>
        <v>2.6621413733519095</v>
      </c>
      <c r="J222" s="223">
        <f>'Standaardisatie AD (per RNB)'!$S$120</f>
        <v>88.319011054137803</v>
      </c>
      <c r="K222" s="223">
        <f>'Standaardisatie AD (per RNB)'!$S$151</f>
        <v>96.157629349401105</v>
      </c>
      <c r="L222" s="223">
        <f>'Standaardisatie AD (per RNB)'!$S$182</f>
        <v>0</v>
      </c>
      <c r="M222" s="223">
        <f>'Standaardisatie AD (per RNB)'!$S$213</f>
        <v>46.247281688019676</v>
      </c>
      <c r="N222" s="223">
        <f>'Standaardisatie AD (per RNB)'!$S$244</f>
        <v>4</v>
      </c>
      <c r="Q222" s="228"/>
      <c r="R222" s="228"/>
      <c r="S222" s="228"/>
      <c r="T222" s="228"/>
      <c r="U222" s="228"/>
      <c r="V222" s="228"/>
      <c r="W222" s="228"/>
      <c r="X222" s="228"/>
      <c r="Y222" s="228"/>
      <c r="Z222" s="228"/>
      <c r="AA222" s="228"/>
      <c r="AB222" s="228"/>
    </row>
    <row r="223" spans="1:28">
      <c r="A223" s="215"/>
      <c r="B223" s="214"/>
      <c r="C223" s="214"/>
      <c r="E223" s="214"/>
      <c r="F223" s="216"/>
      <c r="G223" s="225"/>
      <c r="H223" s="225"/>
      <c r="I223" s="225"/>
      <c r="J223" s="225"/>
      <c r="K223" s="225"/>
      <c r="L223" s="225"/>
      <c r="M223" s="225"/>
      <c r="N223" s="225"/>
      <c r="Q223" s="228"/>
      <c r="R223" s="228"/>
      <c r="S223" s="228"/>
      <c r="T223" s="228"/>
      <c r="U223" s="228"/>
      <c r="V223" s="228"/>
      <c r="W223" s="228"/>
      <c r="X223" s="228"/>
      <c r="Y223" s="228"/>
      <c r="Z223" s="228"/>
      <c r="AA223" s="228"/>
      <c r="AB223" s="228"/>
    </row>
    <row r="224" spans="1:28">
      <c r="A224" s="215"/>
      <c r="B224" s="206" t="s">
        <v>329</v>
      </c>
      <c r="C224" s="214"/>
      <c r="E224" s="206"/>
      <c r="F224" s="216"/>
      <c r="G224" s="225"/>
      <c r="H224" s="225"/>
      <c r="I224" s="225"/>
      <c r="J224" s="225"/>
      <c r="K224" s="225"/>
      <c r="L224" s="225"/>
      <c r="M224" s="225"/>
      <c r="N224" s="225"/>
      <c r="Q224" s="228"/>
      <c r="R224" s="228"/>
      <c r="S224" s="228"/>
      <c r="T224" s="228"/>
      <c r="U224" s="228"/>
      <c r="V224" s="228"/>
      <c r="W224" s="228"/>
      <c r="X224" s="228"/>
      <c r="Y224" s="228"/>
      <c r="Z224" s="228"/>
      <c r="AA224" s="228"/>
      <c r="AB224" s="228"/>
    </row>
    <row r="225" spans="1:34">
      <c r="A225" s="215"/>
      <c r="B225" s="222" t="s">
        <v>251</v>
      </c>
      <c r="C225" s="214"/>
      <c r="D225" s="214" t="s">
        <v>241</v>
      </c>
      <c r="E225" s="222"/>
      <c r="F225" s="216"/>
      <c r="G225" s="223">
        <f>'Standaardisatie AD (per RNB)'!$S$32</f>
        <v>0</v>
      </c>
      <c r="H225" s="223">
        <f>'Standaardisatie AD (per RNB)'!$S$63</f>
        <v>1592</v>
      </c>
      <c r="I225" s="223">
        <f>'Standaardisatie AD (per RNB)'!$S$94</f>
        <v>0</v>
      </c>
      <c r="J225" s="223">
        <f>'Standaardisatie AD (per RNB)'!$S$125</f>
        <v>8189.8169934640573</v>
      </c>
      <c r="K225" s="223">
        <f>'Standaardisatie AD (per RNB)'!$S$156</f>
        <v>7761.5</v>
      </c>
      <c r="L225" s="223">
        <f>'Standaardisatie AD (per RNB)'!$S$187</f>
        <v>89</v>
      </c>
      <c r="M225" s="223">
        <f>'Standaardisatie AD (per RNB)'!$S$218</f>
        <v>3785.5590631364562</v>
      </c>
      <c r="N225" s="223">
        <f>'Standaardisatie AD (per RNB)'!$S$249</f>
        <v>285</v>
      </c>
      <c r="Q225" s="228"/>
      <c r="R225" s="228"/>
      <c r="S225" s="228"/>
      <c r="T225" s="228"/>
      <c r="U225" s="228"/>
      <c r="V225" s="228"/>
      <c r="W225" s="228"/>
      <c r="X225" s="228"/>
      <c r="Y225" s="228"/>
      <c r="Z225" s="228"/>
      <c r="AA225" s="228"/>
      <c r="AB225" s="228"/>
    </row>
    <row r="226" spans="1:34">
      <c r="A226" s="215"/>
      <c r="B226" s="222" t="s">
        <v>252</v>
      </c>
      <c r="C226" s="214"/>
      <c r="D226" s="214" t="s">
        <v>241</v>
      </c>
      <c r="E226" s="222"/>
      <c r="F226" s="216"/>
      <c r="G226" s="223">
        <f>'Standaardisatie AD (per RNB)'!$S$33</f>
        <v>321</v>
      </c>
      <c r="H226" s="223">
        <f>'Standaardisatie AD (per RNB)'!$S$64</f>
        <v>3747</v>
      </c>
      <c r="I226" s="223">
        <f>'Standaardisatie AD (per RNB)'!$S$95</f>
        <v>596.99187279151943</v>
      </c>
      <c r="J226" s="223">
        <f>'Standaardisatie AD (per RNB)'!$S$126</f>
        <v>59235.298850574734</v>
      </c>
      <c r="K226" s="223">
        <f>'Standaardisatie AD (per RNB)'!$S$157</f>
        <v>38233</v>
      </c>
      <c r="L226" s="223">
        <f>'Standaardisatie AD (per RNB)'!$S$188</f>
        <v>447</v>
      </c>
      <c r="M226" s="223">
        <f>'Standaardisatie AD (per RNB)'!$S$219</f>
        <v>16821.488060781474</v>
      </c>
      <c r="N226" s="223">
        <f>'Standaardisatie AD (per RNB)'!$S$250</f>
        <v>3294</v>
      </c>
      <c r="Q226" s="228"/>
      <c r="R226" s="228"/>
      <c r="S226" s="228"/>
      <c r="T226" s="228"/>
      <c r="U226" s="228"/>
      <c r="V226" s="228"/>
      <c r="W226" s="228"/>
      <c r="X226" s="228"/>
      <c r="Y226" s="228"/>
      <c r="Z226" s="228"/>
      <c r="AA226" s="228"/>
      <c r="AB226" s="228"/>
    </row>
    <row r="227" spans="1:34">
      <c r="A227" s="215"/>
      <c r="B227" s="222" t="s">
        <v>253</v>
      </c>
      <c r="C227" s="214"/>
      <c r="D227" s="214" t="s">
        <v>241</v>
      </c>
      <c r="E227" s="222"/>
      <c r="F227" s="216"/>
      <c r="G227" s="223">
        <f>'Standaardisatie AD (per RNB)'!$S$34</f>
        <v>222</v>
      </c>
      <c r="H227" s="223">
        <f>'Standaardisatie AD (per RNB)'!$S$65</f>
        <v>2120</v>
      </c>
      <c r="I227" s="223">
        <f>'Standaardisatie AD (per RNB)'!$S$96</f>
        <v>651.33653521126757</v>
      </c>
      <c r="J227" s="223">
        <f>'Standaardisatie AD (per RNB)'!$S$127</f>
        <v>31270.94222222222</v>
      </c>
      <c r="K227" s="223">
        <f>'Standaardisatie AD (per RNB)'!$S$158</f>
        <v>29644</v>
      </c>
      <c r="L227" s="223">
        <f>'Standaardisatie AD (per RNB)'!$S$189</f>
        <v>199</v>
      </c>
      <c r="M227" s="223">
        <f>'Standaardisatie AD (per RNB)'!$S$220</f>
        <v>18630.461934033709</v>
      </c>
      <c r="N227" s="223">
        <f>'Standaardisatie AD (per RNB)'!$S$251</f>
        <v>955</v>
      </c>
      <c r="Q227" s="228"/>
      <c r="R227" s="228"/>
      <c r="S227" s="228"/>
      <c r="T227" s="228"/>
      <c r="U227" s="228"/>
      <c r="V227" s="228"/>
      <c r="W227" s="228"/>
      <c r="X227" s="228"/>
      <c r="Y227" s="228"/>
      <c r="Z227" s="228"/>
      <c r="AA227" s="228"/>
      <c r="AB227" s="228"/>
    </row>
    <row r="228" spans="1:34">
      <c r="A228" s="215"/>
      <c r="B228" s="222" t="s">
        <v>255</v>
      </c>
      <c r="C228" s="214"/>
      <c r="D228" s="214" t="s">
        <v>241</v>
      </c>
      <c r="E228" s="222"/>
      <c r="F228" s="216"/>
      <c r="G228" s="223">
        <f>'Standaardisatie AD (per RNB)'!$S$35</f>
        <v>1048</v>
      </c>
      <c r="H228" s="223">
        <f>'Standaardisatie AD (per RNB)'!$S$66</f>
        <v>7814</v>
      </c>
      <c r="I228" s="223">
        <f>'Standaardisatie AD (per RNB)'!$S$97</f>
        <v>2243.4934171372843</v>
      </c>
      <c r="J228" s="223">
        <f>'Standaardisatie AD (per RNB)'!$S$128</f>
        <v>108296.22752613248</v>
      </c>
      <c r="K228" s="223">
        <f>'Standaardisatie AD (per RNB)'!$S$159</f>
        <v>70873.931903277145</v>
      </c>
      <c r="L228" s="223">
        <f>'Standaardisatie AD (per RNB)'!$S$190</f>
        <v>833</v>
      </c>
      <c r="M228" s="223">
        <f>'Standaardisatie AD (per RNB)'!$S$221</f>
        <v>46822.613600861354</v>
      </c>
      <c r="N228" s="223">
        <f>'Standaardisatie AD (per RNB)'!$S$252</f>
        <v>1994</v>
      </c>
      <c r="Q228" s="228"/>
      <c r="R228" s="228"/>
      <c r="S228" s="228"/>
      <c r="T228" s="228"/>
      <c r="U228" s="228"/>
      <c r="V228" s="228"/>
      <c r="W228" s="228"/>
      <c r="X228" s="228"/>
      <c r="Y228" s="228"/>
      <c r="Z228" s="228"/>
      <c r="AA228" s="228"/>
      <c r="AB228" s="228"/>
    </row>
    <row r="229" spans="1:34">
      <c r="A229" s="215"/>
      <c r="B229" s="222" t="s">
        <v>254</v>
      </c>
      <c r="C229" s="214"/>
      <c r="D229" s="214" t="s">
        <v>241</v>
      </c>
      <c r="E229" s="222"/>
      <c r="F229" s="216"/>
      <c r="G229" s="223">
        <f>'Standaardisatie AD (per RNB)'!$S$36</f>
        <v>0</v>
      </c>
      <c r="H229" s="223">
        <f>'Standaardisatie AD (per RNB)'!$S$67</f>
        <v>60</v>
      </c>
      <c r="I229" s="223">
        <f>'Standaardisatie AD (per RNB)'!$S$98</f>
        <v>249.58271028037382</v>
      </c>
      <c r="J229" s="223">
        <f>'Standaardisatie AD (per RNB)'!$S$129</f>
        <v>9705.4570475396158</v>
      </c>
      <c r="K229" s="223">
        <f>'Standaardisatie AD (per RNB)'!$S$160</f>
        <v>41379.500118605283</v>
      </c>
      <c r="L229" s="223">
        <f>'Standaardisatie AD (per RNB)'!$S$191</f>
        <v>0</v>
      </c>
      <c r="M229" s="223">
        <f>'Standaardisatie AD (per RNB)'!$S$222</f>
        <v>11697.479132175829</v>
      </c>
      <c r="N229" s="223">
        <f>'Standaardisatie AD (per RNB)'!$S$253</f>
        <v>260</v>
      </c>
      <c r="Q229" s="228"/>
      <c r="R229" s="228"/>
      <c r="S229" s="228"/>
      <c r="T229" s="228"/>
      <c r="U229" s="228"/>
      <c r="V229" s="228"/>
      <c r="W229" s="228"/>
      <c r="X229" s="228"/>
      <c r="Y229" s="228"/>
      <c r="Z229" s="228"/>
      <c r="AA229" s="228"/>
      <c r="AB229" s="228"/>
    </row>
    <row r="230" spans="1:34">
      <c r="A230" s="215"/>
      <c r="B230" s="214"/>
      <c r="C230" s="214"/>
      <c r="D230" s="214"/>
      <c r="E230" s="214"/>
    </row>
    <row r="232" spans="1:34">
      <c r="A232" s="204"/>
      <c r="B232" s="205" t="s">
        <v>625</v>
      </c>
      <c r="C232" s="204"/>
      <c r="D232" s="213"/>
      <c r="E232" s="213"/>
      <c r="F232" s="227"/>
      <c r="G232" s="227"/>
      <c r="H232" s="227"/>
      <c r="I232" s="227"/>
      <c r="J232" s="227"/>
      <c r="K232" s="227"/>
      <c r="L232" s="227"/>
      <c r="M232" s="227"/>
      <c r="N232" s="227"/>
      <c r="O232" s="204"/>
      <c r="P232" s="204"/>
      <c r="Q232" s="204"/>
      <c r="R232" s="204"/>
      <c r="S232" s="204"/>
      <c r="T232" s="204"/>
      <c r="U232" s="204"/>
      <c r="V232" s="204"/>
      <c r="W232" s="204"/>
      <c r="X232" s="204"/>
      <c r="Y232" s="204"/>
      <c r="Z232" s="204"/>
      <c r="AA232" s="204"/>
      <c r="AB232" s="204"/>
      <c r="AC232" s="204"/>
      <c r="AD232" s="204"/>
      <c r="AE232" s="204"/>
      <c r="AF232" s="204"/>
      <c r="AG232" s="204"/>
      <c r="AH232" s="204"/>
    </row>
    <row r="233" spans="1:34" s="229" customFormat="1">
      <c r="A233" s="206"/>
      <c r="B233" s="206"/>
      <c r="C233" s="206"/>
      <c r="D233" s="206"/>
      <c r="E233" s="206"/>
      <c r="F233" s="206"/>
      <c r="G233" s="206"/>
      <c r="H233" s="206"/>
      <c r="I233" s="217"/>
      <c r="J233" s="217"/>
      <c r="K233" s="217"/>
      <c r="L233" s="217"/>
      <c r="M233" s="217"/>
      <c r="N233" s="217"/>
      <c r="O233" s="217"/>
      <c r="P233" s="217"/>
      <c r="Q233" s="217"/>
      <c r="R233" s="217"/>
      <c r="S233" s="217"/>
    </row>
    <row r="234" spans="1:34">
      <c r="A234" s="215"/>
      <c r="B234" s="206" t="s">
        <v>922</v>
      </c>
      <c r="C234" s="206"/>
      <c r="D234" s="206"/>
      <c r="E234" s="206"/>
      <c r="F234" s="216"/>
      <c r="G234" s="216"/>
    </row>
    <row r="235" spans="1:34">
      <c r="A235" s="215"/>
      <c r="B235" s="214" t="s">
        <v>251</v>
      </c>
      <c r="C235" s="214"/>
      <c r="D235" s="214" t="s">
        <v>338</v>
      </c>
      <c r="E235" s="214"/>
      <c r="F235" s="216"/>
      <c r="G235" s="218">
        <f>'Standaardisatie AD (per RNB)'!V12</f>
        <v>7.4</v>
      </c>
      <c r="H235" s="218">
        <f>'Standaardisatie AD (per RNB)'!$V$42</f>
        <v>2.5499999999999998</v>
      </c>
      <c r="I235" s="218">
        <f>'Standaardisatie AD (per RNB)'!$V$73</f>
        <v>8.2899999999999991</v>
      </c>
      <c r="J235" s="218">
        <f>'Standaardisatie AD (per RNB)'!$V$104</f>
        <v>4.24</v>
      </c>
      <c r="K235" s="218">
        <f>'Standaardisatie AD (per RNB)'!$V$135</f>
        <v>9.7200000000000006</v>
      </c>
      <c r="L235" s="218">
        <f>'Standaardisatie AD (per RNB)'!$V$166</f>
        <v>15.000000000000002</v>
      </c>
      <c r="M235" s="218">
        <f>'Standaardisatie AD (per RNB)'!$V$197</f>
        <v>8.5400000000000009</v>
      </c>
      <c r="N235" s="218">
        <f>'Standaardisatie AD (per RNB)'!$V$228</f>
        <v>2.94</v>
      </c>
    </row>
    <row r="236" spans="1:34">
      <c r="A236" s="215"/>
      <c r="B236" s="214" t="s">
        <v>252</v>
      </c>
      <c r="C236" s="214"/>
      <c r="D236" s="214" t="s">
        <v>338</v>
      </c>
      <c r="E236" s="214"/>
      <c r="F236" s="216"/>
      <c r="G236" s="218">
        <f>'Standaardisatie AD (per RNB)'!V13</f>
        <v>21.14</v>
      </c>
      <c r="H236" s="218">
        <f>'Standaardisatie AD (per RNB)'!$V$43</f>
        <v>24.96</v>
      </c>
      <c r="I236" s="218">
        <f>'Standaardisatie AD (per RNB)'!$V$74</f>
        <v>17.930000000000003</v>
      </c>
      <c r="J236" s="218">
        <f>'Standaardisatie AD (per RNB)'!$V$105</f>
        <v>34.200000000000003</v>
      </c>
      <c r="K236" s="218">
        <f>'Standaardisatie AD (per RNB)'!$V$136</f>
        <v>20.399999999999999</v>
      </c>
      <c r="L236" s="218">
        <f>'Standaardisatie AD (per RNB)'!$V$167</f>
        <v>30.45</v>
      </c>
      <c r="M236" s="218">
        <f>'Standaardisatie AD (per RNB)'!$V$198</f>
        <v>19.630000000000003</v>
      </c>
      <c r="N236" s="218">
        <f>'Standaardisatie AD (per RNB)'!$V$229</f>
        <v>15.6</v>
      </c>
    </row>
    <row r="237" spans="1:34">
      <c r="A237" s="215"/>
      <c r="B237" s="214" t="s">
        <v>253</v>
      </c>
      <c r="C237" s="214"/>
      <c r="D237" s="214" t="s">
        <v>338</v>
      </c>
      <c r="E237" s="214"/>
      <c r="F237" s="216"/>
      <c r="G237" s="218">
        <f>'Standaardisatie AD (per RNB)'!V14</f>
        <v>21.14</v>
      </c>
      <c r="H237" s="218">
        <f>'Standaardisatie AD (per RNB)'!$V$44</f>
        <v>41.050452126850928</v>
      </c>
      <c r="I237" s="218">
        <f>'Standaardisatie AD (per RNB)'!$V$75</f>
        <v>17.930000000000003</v>
      </c>
      <c r="J237" s="218">
        <f>'Standaardisatie AD (per RNB)'!$V$106</f>
        <v>39</v>
      </c>
      <c r="K237" s="218">
        <f>'Standaardisatie AD (per RNB)'!$V$137</f>
        <v>33.744160213487703</v>
      </c>
      <c r="L237" s="218">
        <f>'Standaardisatie AD (per RNB)'!$V$168</f>
        <v>49</v>
      </c>
      <c r="M237" s="218">
        <f>'Standaardisatie AD (per RNB)'!$V$199</f>
        <v>39.050000000000004</v>
      </c>
      <c r="N237" s="218">
        <f>'Standaardisatie AD (per RNB)'!$V$230</f>
        <v>41.607118999166268</v>
      </c>
    </row>
    <row r="238" spans="1:34">
      <c r="A238" s="215"/>
      <c r="B238" s="214" t="s">
        <v>255</v>
      </c>
      <c r="C238" s="214"/>
      <c r="D238" s="214" t="s">
        <v>338</v>
      </c>
      <c r="E238" s="214"/>
      <c r="F238" s="216"/>
      <c r="G238" s="218">
        <f>'Standaardisatie AD (per RNB)'!V15</f>
        <v>25.37</v>
      </c>
      <c r="H238" s="218">
        <f>'Standaardisatie AD (per RNB)'!$V$45</f>
        <v>172.92000000000002</v>
      </c>
      <c r="I238" s="218">
        <f>'Standaardisatie AD (per RNB)'!$V$76</f>
        <v>269.95999999999998</v>
      </c>
      <c r="J238" s="218">
        <f>'Standaardisatie AD (per RNB)'!$V$107</f>
        <v>186</v>
      </c>
      <c r="K238" s="218">
        <f>'Standaardisatie AD (per RNB)'!$V$138</f>
        <v>144.21995556371877</v>
      </c>
      <c r="L238" s="218">
        <f>'Standaardisatie AD (per RNB)'!$V$169</f>
        <v>49</v>
      </c>
      <c r="M238" s="218">
        <f>'Standaardisatie AD (per RNB)'!$V$200</f>
        <v>72</v>
      </c>
      <c r="N238" s="218">
        <f>'Standaardisatie AD (per RNB)'!$V$231</f>
        <v>197.42658682270488</v>
      </c>
    </row>
    <row r="239" spans="1:34">
      <c r="A239" s="215"/>
      <c r="B239" s="214" t="s">
        <v>261</v>
      </c>
      <c r="C239" s="214"/>
      <c r="D239" s="214" t="s">
        <v>338</v>
      </c>
      <c r="E239" s="214"/>
      <c r="F239" s="216"/>
      <c r="G239" s="218">
        <f>'Standaardisatie AD (per RNB)'!V16</f>
        <v>515.63991596638664</v>
      </c>
      <c r="H239" s="218">
        <f>'Standaardisatie AD (per RNB)'!$V$46</f>
        <v>1194.24</v>
      </c>
      <c r="I239" s="218">
        <f>'Standaardisatie AD (per RNB)'!$V$77</f>
        <v>776.21</v>
      </c>
      <c r="J239" s="218">
        <f>'Standaardisatie AD (per RNB)'!$V$108</f>
        <v>739</v>
      </c>
      <c r="K239" s="218">
        <f>'Standaardisatie AD (per RNB)'!$V$139</f>
        <v>833.98397662756884</v>
      </c>
      <c r="L239" s="218">
        <f>'Standaardisatie AD (per RNB)'!$V$170</f>
        <v>260.96683656285785</v>
      </c>
      <c r="M239" s="218">
        <f>'Standaardisatie AD (per RNB)'!$V$201</f>
        <v>644.5</v>
      </c>
      <c r="N239" s="218">
        <f>'Standaardisatie AD (per RNB)'!$V$232</f>
        <v>1468.753854971128</v>
      </c>
    </row>
    <row r="240" spans="1:34">
      <c r="A240" s="215"/>
      <c r="B240" s="214" t="s">
        <v>262</v>
      </c>
      <c r="C240" s="214"/>
      <c r="D240" s="214" t="s">
        <v>338</v>
      </c>
      <c r="E240" s="214"/>
      <c r="F240" s="216"/>
      <c r="G240" s="218">
        <f>'Standaardisatie AD (per RNB)'!V17</f>
        <v>1537.56</v>
      </c>
      <c r="H240" s="218">
        <f>'Standaardisatie AD (per RNB)'!$V$47</f>
        <v>7955.76</v>
      </c>
      <c r="I240" s="218">
        <f>'Standaardisatie AD (per RNB)'!$V$78</f>
        <v>3288.35</v>
      </c>
      <c r="J240" s="218">
        <f>'Standaardisatie AD (per RNB)'!$V$109</f>
        <v>2035.932307554785</v>
      </c>
      <c r="K240" s="218">
        <f>'Standaardisatie AD (per RNB)'!$V$140</f>
        <v>8824.8210418142698</v>
      </c>
      <c r="L240" s="218">
        <f>'Standaardisatie AD (per RNB)'!$V$171</f>
        <v>1910</v>
      </c>
      <c r="M240" s="218">
        <f>'Standaardisatie AD (per RNB)'!$V$202</f>
        <v>6892.520416709126</v>
      </c>
      <c r="N240" s="218">
        <f>'Standaardisatie AD (per RNB)'!$V$233</f>
        <v>5869.62</v>
      </c>
    </row>
    <row r="241" spans="1:14">
      <c r="A241" s="215"/>
      <c r="B241" s="214"/>
      <c r="C241" s="214"/>
      <c r="D241" s="214"/>
      <c r="E241" s="214"/>
      <c r="F241" s="216"/>
      <c r="G241" s="230"/>
      <c r="H241" s="231"/>
      <c r="I241" s="221"/>
      <c r="J241" s="221"/>
      <c r="K241" s="221"/>
      <c r="L241" s="221"/>
      <c r="M241" s="221"/>
      <c r="N241" s="221"/>
    </row>
    <row r="242" spans="1:14">
      <c r="A242" s="215"/>
      <c r="B242" s="214" t="s">
        <v>1096</v>
      </c>
      <c r="C242" s="214"/>
      <c r="D242" s="214" t="s">
        <v>338</v>
      </c>
      <c r="E242" s="214"/>
      <c r="F242" s="216"/>
      <c r="G242" s="218" t="e">
        <f>'Standaardisatie AD (per RNB)'!$V$19</f>
        <v>#DIV/0!</v>
      </c>
      <c r="H242" s="218">
        <f>'Standaardisatie AD (per RNB)'!$V$49</f>
        <v>1.92</v>
      </c>
      <c r="I242" s="218">
        <f>'Standaardisatie AD (per RNB)'!$V$80</f>
        <v>3.8</v>
      </c>
      <c r="J242" s="218">
        <f>'Standaardisatie AD (per RNB)'!$V$111</f>
        <v>2.8455022853979015</v>
      </c>
      <c r="K242" s="218">
        <f>'Standaardisatie AD (per RNB)'!$V$142</f>
        <v>1.92</v>
      </c>
      <c r="L242" s="218">
        <f>'Standaardisatie AD (per RNB)'!$V$173</f>
        <v>15.350000000000001</v>
      </c>
      <c r="M242" s="218">
        <f>'Standaardisatie AD (per RNB)'!$V$204</f>
        <v>6.7000000000000011</v>
      </c>
      <c r="N242" s="218">
        <f>'Standaardisatie AD (per RNB)'!$V$235</f>
        <v>4.41</v>
      </c>
    </row>
    <row r="243" spans="1:14">
      <c r="A243" s="215"/>
      <c r="B243" s="214"/>
      <c r="C243" s="214"/>
      <c r="D243" s="214"/>
      <c r="E243" s="214"/>
      <c r="F243" s="216"/>
      <c r="G243" s="230"/>
      <c r="H243" s="231"/>
      <c r="I243" s="221"/>
      <c r="J243" s="221"/>
      <c r="K243" s="221"/>
      <c r="L243" s="221"/>
      <c r="M243" s="221"/>
      <c r="N243" s="221"/>
    </row>
    <row r="244" spans="1:14">
      <c r="A244" s="215"/>
      <c r="B244" s="206" t="s">
        <v>923</v>
      </c>
      <c r="C244" s="206"/>
      <c r="D244" s="214"/>
      <c r="E244" s="214"/>
      <c r="F244" s="216"/>
      <c r="G244" s="230"/>
      <c r="H244" s="231"/>
      <c r="I244" s="221"/>
      <c r="J244" s="221"/>
      <c r="K244" s="221"/>
      <c r="L244" s="221"/>
      <c r="M244" s="221"/>
      <c r="N244" s="221"/>
    </row>
    <row r="245" spans="1:14">
      <c r="A245" s="215"/>
      <c r="B245" s="206" t="s">
        <v>328</v>
      </c>
      <c r="C245" s="214"/>
      <c r="E245" s="206"/>
      <c r="F245" s="216"/>
      <c r="G245" s="230"/>
      <c r="H245" s="231"/>
      <c r="I245" s="221"/>
      <c r="J245" s="221"/>
      <c r="K245" s="221"/>
      <c r="L245" s="221"/>
      <c r="M245" s="221"/>
      <c r="N245" s="221"/>
    </row>
    <row r="246" spans="1:14">
      <c r="A246" s="215"/>
      <c r="B246" s="222" t="s">
        <v>251</v>
      </c>
      <c r="C246" s="214"/>
      <c r="D246" s="214" t="s">
        <v>338</v>
      </c>
      <c r="E246" s="222"/>
      <c r="F246" s="216"/>
      <c r="G246" s="218">
        <f>'Standaardisatie AD (per RNB)'!$V$24</f>
        <v>447.45</v>
      </c>
      <c r="H246" s="218">
        <f>'Standaardisatie AD (per RNB)'!$V$54</f>
        <v>371.46999999999997</v>
      </c>
      <c r="I246" s="218">
        <f>'Standaardisatie AD (per RNB)'!$V$85</f>
        <v>460</v>
      </c>
      <c r="J246" s="218">
        <f>'Standaardisatie AD (per RNB)'!$V$116</f>
        <v>372</v>
      </c>
      <c r="K246" s="218">
        <f>'Standaardisatie AD (per RNB)'!$V$147</f>
        <v>421</v>
      </c>
      <c r="L246" s="218">
        <f>'Standaardisatie AD (per RNB)'!$V$178</f>
        <v>482</v>
      </c>
      <c r="M246" s="218">
        <f>'Standaardisatie AD (per RNB)'!$V$209</f>
        <v>430</v>
      </c>
      <c r="N246" s="218">
        <f>'Standaardisatie AD (per RNB)'!$V$240</f>
        <v>409.88</v>
      </c>
    </row>
    <row r="247" spans="1:14">
      <c r="A247" s="215"/>
      <c r="B247" s="222" t="s">
        <v>252</v>
      </c>
      <c r="C247" s="214"/>
      <c r="D247" s="214" t="s">
        <v>338</v>
      </c>
      <c r="E247" s="222"/>
      <c r="F247" s="216"/>
      <c r="G247" s="218">
        <f>'Standaardisatie AD (per RNB)'!$V$25</f>
        <v>705.61</v>
      </c>
      <c r="H247" s="218">
        <f>'Standaardisatie AD (per RNB)'!$V$55</f>
        <v>704.87</v>
      </c>
      <c r="I247" s="218">
        <f>'Standaardisatie AD (per RNB)'!$V$86</f>
        <v>725</v>
      </c>
      <c r="J247" s="218">
        <f>'Standaardisatie AD (per RNB)'!$V$117</f>
        <v>717</v>
      </c>
      <c r="K247" s="218">
        <f>'Standaardisatie AD (per RNB)'!$V$148</f>
        <v>700</v>
      </c>
      <c r="L247" s="218">
        <f>'Standaardisatie AD (per RNB)'!$V$179</f>
        <v>815</v>
      </c>
      <c r="M247" s="218">
        <f>'Standaardisatie AD (per RNB)'!$V$210</f>
        <v>616</v>
      </c>
      <c r="N247" s="218">
        <f>'Standaardisatie AD (per RNB)'!$V$241</f>
        <v>780.19</v>
      </c>
    </row>
    <row r="248" spans="1:14">
      <c r="A248" s="215"/>
      <c r="B248" s="222" t="s">
        <v>253</v>
      </c>
      <c r="C248" s="214"/>
      <c r="D248" s="214" t="s">
        <v>338</v>
      </c>
      <c r="E248" s="222"/>
      <c r="F248" s="216"/>
      <c r="G248" s="218">
        <f>'Standaardisatie AD (per RNB)'!$V$26</f>
        <v>1118.0107042253521</v>
      </c>
      <c r="H248" s="218">
        <f>'Standaardisatie AD (per RNB)'!$V$56</f>
        <v>1105.0117016806723</v>
      </c>
      <c r="I248" s="218">
        <f>'Standaardisatie AD (per RNB)'!$V$87</f>
        <v>1088.1940593076511</v>
      </c>
      <c r="J248" s="218">
        <f>'Standaardisatie AD (per RNB)'!$V$118</f>
        <v>944.02119159431209</v>
      </c>
      <c r="K248" s="218">
        <f>'Standaardisatie AD (per RNB)'!$V$149</f>
        <v>1165.3871566657781</v>
      </c>
      <c r="L248" s="218">
        <f>'Standaardisatie AD (per RNB)'!$V$180</f>
        <v>1216.05</v>
      </c>
      <c r="M248" s="218">
        <f>'Standaardisatie AD (per RNB)'!$V$211</f>
        <v>1090.6206604325271</v>
      </c>
      <c r="N248" s="218">
        <f>'Standaardisatie AD (per RNB)'!$V$242</f>
        <v>1145.9998245614036</v>
      </c>
    </row>
    <row r="249" spans="1:14">
      <c r="A249" s="215"/>
      <c r="B249" s="222" t="s">
        <v>255</v>
      </c>
      <c r="C249" s="214"/>
      <c r="D249" s="214" t="s">
        <v>338</v>
      </c>
      <c r="E249" s="222"/>
      <c r="F249" s="216"/>
      <c r="G249" s="218">
        <f>'Standaardisatie AD (per RNB)'!$V$27</f>
        <v>14200.890540540538</v>
      </c>
      <c r="H249" s="218">
        <f>'Standaardisatie AD (per RNB)'!$V$57</f>
        <v>6474.1189422135149</v>
      </c>
      <c r="I249" s="218">
        <f>'Standaardisatie AD (per RNB)'!$V$88</f>
        <v>8705.1336492043083</v>
      </c>
      <c r="J249" s="218">
        <f>'Standaardisatie AD (per RNB)'!$V$119</f>
        <v>5587.9286905991612</v>
      </c>
      <c r="K249" s="218">
        <f>'Standaardisatie AD (per RNB)'!$V$150</f>
        <v>8665.6720632685556</v>
      </c>
      <c r="L249" s="218">
        <f>'Standaardisatie AD (per RNB)'!$V$181</f>
        <v>7416.8181818181811</v>
      </c>
      <c r="M249" s="218">
        <f>'Standaardisatie AD (per RNB)'!$V$212</f>
        <v>8886.957822337281</v>
      </c>
      <c r="N249" s="218">
        <f>'Standaardisatie AD (per RNB)'!$V$243</f>
        <v>6239.6954237288137</v>
      </c>
    </row>
    <row r="250" spans="1:14">
      <c r="A250" s="215"/>
      <c r="B250" s="222" t="s">
        <v>254</v>
      </c>
      <c r="C250" s="214"/>
      <c r="D250" s="214" t="s">
        <v>338</v>
      </c>
      <c r="E250" s="222"/>
      <c r="F250" s="216"/>
      <c r="G250" s="218">
        <f>'Standaardisatie AD (per RNB)'!$V$28</f>
        <v>211039.72999999998</v>
      </c>
      <c r="H250" s="218">
        <f>'Standaardisatie AD (per RNB)'!$V$58</f>
        <v>156932.06666666665</v>
      </c>
      <c r="I250" s="218">
        <f>'Standaardisatie AD (per RNB)'!$V$89</f>
        <v>67745.585434795066</v>
      </c>
      <c r="J250" s="218">
        <f>'Standaardisatie AD (per RNB)'!$V$120</f>
        <v>35908.473165744872</v>
      </c>
      <c r="K250" s="218">
        <f>'Standaardisatie AD (per RNB)'!$V$151</f>
        <v>95433.21701795148</v>
      </c>
      <c r="L250" s="218">
        <f>'Standaardisatie AD (per RNB)'!$V$182</f>
        <v>64755</v>
      </c>
      <c r="M250" s="1018">
        <f>'Standaardisatie AD (per RNB)'!$V$213</f>
        <v>83525.258310990801</v>
      </c>
      <c r="N250" s="218">
        <f>'Standaardisatie AD (per RNB)'!$V$244</f>
        <v>75084.316111111097</v>
      </c>
    </row>
    <row r="251" spans="1:14">
      <c r="A251" s="215"/>
      <c r="B251" s="214"/>
      <c r="C251" s="214"/>
      <c r="E251" s="214"/>
      <c r="F251" s="216"/>
      <c r="G251" s="230"/>
      <c r="H251" s="230"/>
      <c r="I251" s="221"/>
      <c r="J251" s="221"/>
      <c r="K251" s="221"/>
      <c r="L251" s="221"/>
      <c r="M251" s="221"/>
      <c r="N251" s="221"/>
    </row>
    <row r="252" spans="1:14">
      <c r="A252" s="215"/>
      <c r="B252" s="206" t="s">
        <v>329</v>
      </c>
      <c r="C252" s="214"/>
      <c r="E252" s="206"/>
      <c r="F252" s="216"/>
      <c r="G252" s="230"/>
      <c r="H252" s="230"/>
      <c r="I252" s="221"/>
      <c r="J252" s="221"/>
      <c r="K252" s="221"/>
      <c r="L252" s="221"/>
      <c r="M252" s="221"/>
      <c r="N252" s="221"/>
    </row>
    <row r="253" spans="1:14">
      <c r="A253" s="215"/>
      <c r="B253" s="222" t="s">
        <v>251</v>
      </c>
      <c r="C253" s="214"/>
      <c r="D253" s="214" t="s">
        <v>338</v>
      </c>
      <c r="E253" s="222"/>
      <c r="F253" s="216"/>
      <c r="G253" s="218">
        <f>'Standaardisatie AD (per RNB)'!$V$32</f>
        <v>21.01</v>
      </c>
      <c r="H253" s="218">
        <f>'Standaardisatie AD (per RNB)'!$V$63</f>
        <v>18.440000000000001</v>
      </c>
      <c r="I253" s="218">
        <f>'Standaardisatie AD (per RNB)'!$V$94</f>
        <v>30.6</v>
      </c>
      <c r="J253" s="218">
        <f>'Standaardisatie AD (per RNB)'!$V$125</f>
        <v>17.5</v>
      </c>
      <c r="K253" s="218">
        <f>'Standaardisatie AD (per RNB)'!$V$156</f>
        <v>20.9</v>
      </c>
      <c r="L253" s="218">
        <f>'Standaardisatie AD (per RNB)'!$V$187</f>
        <v>23.5</v>
      </c>
      <c r="M253" s="218">
        <f>'Standaardisatie AD (per RNB)'!$V$218</f>
        <v>20.9</v>
      </c>
      <c r="N253" s="218">
        <f>'Standaardisatie AD (per RNB)'!$V$249</f>
        <v>20.32</v>
      </c>
    </row>
    <row r="254" spans="1:14">
      <c r="A254" s="215"/>
      <c r="B254" s="222" t="s">
        <v>252</v>
      </c>
      <c r="C254" s="214"/>
      <c r="D254" s="214" t="s">
        <v>338</v>
      </c>
      <c r="E254" s="222"/>
      <c r="F254" s="216"/>
      <c r="G254" s="218">
        <f>'Standaardisatie AD (per RNB)'!$V$33</f>
        <v>21.37</v>
      </c>
      <c r="H254" s="218">
        <f>'Standaardisatie AD (per RNB)'!$V$64</f>
        <v>30.02</v>
      </c>
      <c r="I254" s="218">
        <f>'Standaardisatie AD (per RNB)'!$V$95</f>
        <v>31.699999999999996</v>
      </c>
      <c r="J254" s="218">
        <f>'Standaardisatie AD (per RNB)'!$V$126</f>
        <v>19.899999999999999</v>
      </c>
      <c r="K254" s="218">
        <f>'Standaardisatie AD (per RNB)'!$V$157</f>
        <v>27.6</v>
      </c>
      <c r="L254" s="218">
        <f>'Standaardisatie AD (per RNB)'!$V$188</f>
        <v>27.5</v>
      </c>
      <c r="M254" s="218">
        <f>'Standaardisatie AD (per RNB)'!$V$219</f>
        <v>29.3</v>
      </c>
      <c r="N254" s="218">
        <f>'Standaardisatie AD (per RNB)'!$V$250</f>
        <v>29.35</v>
      </c>
    </row>
    <row r="255" spans="1:14">
      <c r="A255" s="215"/>
      <c r="B255" s="222" t="s">
        <v>253</v>
      </c>
      <c r="C255" s="214"/>
      <c r="D255" s="214" t="s">
        <v>338</v>
      </c>
      <c r="E255" s="222"/>
      <c r="F255" s="216"/>
      <c r="G255" s="218">
        <f>'Standaardisatie AD (per RNB)'!$V$34</f>
        <v>29.919999999999998</v>
      </c>
      <c r="H255" s="218">
        <f>'Standaardisatie AD (per RNB)'!$V$65</f>
        <v>38.18917085427136</v>
      </c>
      <c r="I255" s="218">
        <f>'Standaardisatie AD (per RNB)'!$V$96</f>
        <v>41.069982334674634</v>
      </c>
      <c r="J255" s="218">
        <f>'Standaardisatie AD (per RNB)'!$V$127</f>
        <v>25.789946401286766</v>
      </c>
      <c r="K255" s="218">
        <f>'Standaardisatie AD (per RNB)'!$V$158</f>
        <v>36.787173425538256</v>
      </c>
      <c r="L255" s="218">
        <f>'Standaardisatie AD (per RNB)'!$V$189</f>
        <v>35.542056074766357</v>
      </c>
      <c r="M255" s="218">
        <f>'Standaardisatie AD (per RNB)'!$V$220</f>
        <v>37.2771758745033</v>
      </c>
      <c r="N255" s="218">
        <f>'Standaardisatie AD (per RNB)'!$V$251</f>
        <v>34.782665562913905</v>
      </c>
    </row>
    <row r="256" spans="1:14">
      <c r="A256" s="215"/>
      <c r="B256" s="222" t="s">
        <v>255</v>
      </c>
      <c r="C256" s="214"/>
      <c r="D256" s="214" t="s">
        <v>338</v>
      </c>
      <c r="E256" s="222"/>
      <c r="F256" s="216"/>
      <c r="G256" s="218">
        <f>'Standaardisatie AD (per RNB)'!$V$35</f>
        <v>68.660940082644629</v>
      </c>
      <c r="H256" s="218">
        <f>'Standaardisatie AD (per RNB)'!$V$66</f>
        <v>61.928230402016197</v>
      </c>
      <c r="I256" s="218">
        <f>'Standaardisatie AD (per RNB)'!$V$97</f>
        <v>75.667095176285784</v>
      </c>
      <c r="J256" s="218">
        <f>'Standaardisatie AD (per RNB)'!$V$128</f>
        <v>37.32540018080946</v>
      </c>
      <c r="K256" s="218">
        <f>'Standaardisatie AD (per RNB)'!$V$159</f>
        <v>61.710192833949932</v>
      </c>
      <c r="L256" s="218">
        <f>'Standaardisatie AD (per RNB)'!$V$190</f>
        <v>60.171204188481674</v>
      </c>
      <c r="M256" s="218">
        <f>'Standaardisatie AD (per RNB)'!$V$221</f>
        <v>59.735649699023455</v>
      </c>
      <c r="N256" s="218">
        <f>'Standaardisatie AD (per RNB)'!$V$252</f>
        <v>89.571230697859363</v>
      </c>
    </row>
    <row r="257" spans="1:34">
      <c r="A257" s="215"/>
      <c r="B257" s="222" t="s">
        <v>254</v>
      </c>
      <c r="C257" s="214"/>
      <c r="D257" s="214" t="s">
        <v>338</v>
      </c>
      <c r="E257" s="222"/>
      <c r="F257" s="216"/>
      <c r="G257" s="218">
        <f>'Standaardisatie AD (per RNB)'!$V$36</f>
        <v>182.41</v>
      </c>
      <c r="H257" s="218">
        <f>'Standaardisatie AD (per RNB)'!$V$67</f>
        <v>169.63522167487687</v>
      </c>
      <c r="I257" s="218">
        <f>'Standaardisatie AD (per RNB)'!$V$98</f>
        <v>188.40408734282968</v>
      </c>
      <c r="J257" s="218">
        <f>'Standaardisatie AD (per RNB)'!$V$129</f>
        <v>95.012197144290766</v>
      </c>
      <c r="K257" s="218">
        <f>'Standaardisatie AD (per RNB)'!$V$160</f>
        <v>172.0292885617302</v>
      </c>
      <c r="L257" s="218">
        <f>'Standaardisatie AD (per RNB)'!$V$191</f>
        <v>133.69999999999999</v>
      </c>
      <c r="M257" s="218">
        <f>'Standaardisatie AD (per RNB)'!$V$222</f>
        <v>164.86301681391964</v>
      </c>
      <c r="N257" s="218">
        <f>'Standaardisatie AD (per RNB)'!$V$253</f>
        <v>167.24179738562088</v>
      </c>
    </row>
    <row r="260" spans="1:34">
      <c r="A260" s="204"/>
      <c r="B260" s="204" t="s">
        <v>924</v>
      </c>
      <c r="C260" s="204"/>
      <c r="D260" s="213"/>
      <c r="E260" s="213"/>
      <c r="F260" s="227"/>
      <c r="G260" s="227"/>
      <c r="H260" s="227"/>
      <c r="I260" s="227"/>
      <c r="J260" s="227"/>
      <c r="K260" s="227"/>
      <c r="L260" s="227"/>
      <c r="M260" s="227"/>
      <c r="N260" s="227"/>
      <c r="O260" s="204"/>
      <c r="P260" s="204"/>
      <c r="Q260" s="204"/>
      <c r="R260" s="204"/>
      <c r="S260" s="204"/>
      <c r="T260" s="204"/>
      <c r="U260" s="204"/>
      <c r="V260" s="204"/>
      <c r="W260" s="204"/>
      <c r="X260" s="204"/>
      <c r="Y260" s="204"/>
      <c r="Z260" s="204"/>
      <c r="AA260" s="204"/>
      <c r="AB260" s="204"/>
      <c r="AC260" s="204"/>
      <c r="AD260" s="204"/>
      <c r="AE260" s="204"/>
      <c r="AF260" s="204"/>
      <c r="AG260" s="204"/>
      <c r="AH260" s="204"/>
    </row>
    <row r="261" spans="1:34">
      <c r="A261" s="206"/>
      <c r="B261" s="206"/>
      <c r="C261" s="206"/>
      <c r="D261" s="206"/>
      <c r="E261" s="206"/>
      <c r="F261" s="206"/>
      <c r="G261" s="206"/>
      <c r="H261" s="206"/>
      <c r="I261" s="206"/>
      <c r="J261" s="206"/>
      <c r="K261" s="206"/>
      <c r="L261" s="206"/>
      <c r="M261" s="206"/>
      <c r="N261" s="206"/>
    </row>
    <row r="262" spans="1:34">
      <c r="A262" s="215"/>
      <c r="B262" s="206" t="s">
        <v>922</v>
      </c>
      <c r="C262" s="206"/>
      <c r="D262" s="206"/>
      <c r="E262" s="206"/>
      <c r="F262" s="216"/>
      <c r="G262" s="216"/>
      <c r="J262" s="216"/>
    </row>
    <row r="263" spans="1:34">
      <c r="A263" s="215"/>
      <c r="B263" s="214" t="s">
        <v>251</v>
      </c>
      <c r="C263" s="214"/>
      <c r="D263" s="214" t="s">
        <v>241</v>
      </c>
      <c r="E263" s="214"/>
      <c r="F263" s="216"/>
      <c r="G263" s="223">
        <f>'Standaardisatie AD (per RNB)'!$W$12</f>
        <v>23252.333333333332</v>
      </c>
      <c r="H263" s="223">
        <f>'Standaardisatie AD (per RNB)'!$W$42</f>
        <v>86556.777777777796</v>
      </c>
      <c r="I263" s="223">
        <f>'Standaardisatie AD (per RNB)'!$W$73</f>
        <v>44664.666666666664</v>
      </c>
      <c r="J263" s="223">
        <f>'Standaardisatie AD (per RNB)'!$W$104</f>
        <v>1097407.0757186192</v>
      </c>
      <c r="K263" s="223">
        <f>'Standaardisatie AD (per RNB)'!$W$135</f>
        <v>757955.35573660675</v>
      </c>
      <c r="L263" s="223">
        <f>'Standaardisatie AD (per RNB)'!$W$166</f>
        <v>18684.833333333332</v>
      </c>
      <c r="M263" s="223">
        <f>'Standaardisatie AD (per RNB)'!$W$197</f>
        <v>585422.9322591332</v>
      </c>
      <c r="N263" s="223">
        <f>'Standaardisatie AD (per RNB)'!$W$228</f>
        <v>24495.565232977297</v>
      </c>
    </row>
    <row r="264" spans="1:34">
      <c r="A264" s="215"/>
      <c r="B264" s="214" t="s">
        <v>252</v>
      </c>
      <c r="C264" s="214"/>
      <c r="D264" s="214" t="s">
        <v>241</v>
      </c>
      <c r="E264" s="214"/>
      <c r="F264" s="216"/>
      <c r="G264" s="223">
        <f>'Standaardisatie AD (per RNB)'!$W$13</f>
        <v>50433.743589743586</v>
      </c>
      <c r="H264" s="223">
        <f>'Standaardisatie AD (per RNB)'!$W$43</f>
        <v>197052.38888888891</v>
      </c>
      <c r="I264" s="223">
        <f>'Standaardisatie AD (per RNB)'!$W$74</f>
        <v>101046.66666666667</v>
      </c>
      <c r="J264" s="223">
        <f>'Standaardisatie AD (per RNB)'!$W$105</f>
        <v>2438235.0180991953</v>
      </c>
      <c r="K264" s="223">
        <f>'Standaardisatie AD (per RNB)'!$W$136</f>
        <v>2765769.1496971273</v>
      </c>
      <c r="L264" s="223">
        <f>'Standaardisatie AD (per RNB)'!$W$167</f>
        <v>30132.933333333331</v>
      </c>
      <c r="M264" s="223">
        <f>'Standaardisatie AD (per RNB)'!$W$198</f>
        <v>1895009.4118550618</v>
      </c>
      <c r="N264" s="223">
        <f>'Standaardisatie AD (per RNB)'!$W$229</f>
        <v>50009.193594389937</v>
      </c>
    </row>
    <row r="265" spans="1:34">
      <c r="A265" s="215"/>
      <c r="B265" s="214" t="s">
        <v>253</v>
      </c>
      <c r="C265" s="214"/>
      <c r="D265" s="214" t="s">
        <v>241</v>
      </c>
      <c r="E265" s="214"/>
      <c r="F265" s="216"/>
      <c r="G265" s="223">
        <f>'Standaardisatie AD (per RNB)'!$W$14</f>
        <v>1683.2564102564102</v>
      </c>
      <c r="H265" s="223">
        <f>'Standaardisatie AD (per RNB)'!$W$44</f>
        <v>8222.25</v>
      </c>
      <c r="I265" s="223">
        <f>'Standaardisatie AD (per RNB)'!$W$75</f>
        <v>3462.6666666666665</v>
      </c>
      <c r="J265" s="223">
        <f>'Standaardisatie AD (per RNB)'!$W$106</f>
        <v>125584.99373603147</v>
      </c>
      <c r="K265" s="223">
        <f>'Standaardisatie AD (per RNB)'!$W$137</f>
        <v>116312.70902675971</v>
      </c>
      <c r="L265" s="223">
        <f>'Standaardisatie AD (per RNB)'!$W$168</f>
        <v>1220.4666666666669</v>
      </c>
      <c r="M265" s="223">
        <f>'Standaardisatie AD (per RNB)'!$W$199</f>
        <v>82451.631432669485</v>
      </c>
      <c r="N265" s="223">
        <f>'Standaardisatie AD (per RNB)'!$W$230</f>
        <v>3411.5788751034988</v>
      </c>
    </row>
    <row r="266" spans="1:34">
      <c r="A266" s="215"/>
      <c r="B266" s="214" t="s">
        <v>255</v>
      </c>
      <c r="C266" s="214"/>
      <c r="D266" s="214" t="s">
        <v>241</v>
      </c>
      <c r="E266" s="214"/>
      <c r="F266" s="216"/>
      <c r="G266" s="223">
        <f>'Standaardisatie AD (per RNB)'!$W$15</f>
        <v>309</v>
      </c>
      <c r="H266" s="223">
        <f>'Standaardisatie AD (per RNB)'!$W$45</f>
        <v>1532.75</v>
      </c>
      <c r="I266" s="223">
        <f>'Standaardisatie AD (per RNB)'!$W$76</f>
        <v>692</v>
      </c>
      <c r="J266" s="223">
        <f>'Standaardisatie AD (per RNB)'!$W$107</f>
        <v>13138.854708250414</v>
      </c>
      <c r="K266" s="223">
        <f>'Standaardisatie AD (per RNB)'!$W$138</f>
        <v>14151.977613911382</v>
      </c>
      <c r="L266" s="223">
        <f>'Standaardisatie AD (per RNB)'!$W$169</f>
        <v>134.41666666666666</v>
      </c>
      <c r="M266" s="223">
        <f>'Standaardisatie AD (per RNB)'!$W$200</f>
        <v>10029.616161616163</v>
      </c>
      <c r="N266" s="223">
        <f>'Standaardisatie AD (per RNB)'!$W$231</f>
        <v>966.21711763791507</v>
      </c>
    </row>
    <row r="267" spans="1:34">
      <c r="A267" s="215"/>
      <c r="B267" s="214" t="s">
        <v>261</v>
      </c>
      <c r="C267" s="214"/>
      <c r="D267" s="214" t="s">
        <v>241</v>
      </c>
      <c r="E267" s="214"/>
      <c r="F267" s="216"/>
      <c r="G267" s="223">
        <f>'Standaardisatie AD (per RNB)'!$W$16</f>
        <v>247.15384615384616</v>
      </c>
      <c r="H267" s="223">
        <f>'Standaardisatie AD (per RNB)'!$W$46</f>
        <v>411.36111111111114</v>
      </c>
      <c r="I267" s="223">
        <f>'Standaardisatie AD (per RNB)'!$W$77</f>
        <v>571</v>
      </c>
      <c r="J267" s="223">
        <f>'Standaardisatie AD (per RNB)'!$W$108</f>
        <v>14198.338953071201</v>
      </c>
      <c r="K267" s="223">
        <f>'Standaardisatie AD (per RNB)'!$W$139</f>
        <v>12567.016104666061</v>
      </c>
      <c r="L267" s="223">
        <f>'Standaardisatie AD (per RNB)'!$W$170</f>
        <v>148.45666666666668</v>
      </c>
      <c r="M267" s="223">
        <f>'Standaardisatie AD (per RNB)'!$W$201</f>
        <v>3729.2777777777769</v>
      </c>
      <c r="N267" s="223">
        <f>'Standaardisatie AD (per RNB)'!$W$232</f>
        <v>402.09260022735668</v>
      </c>
    </row>
    <row r="268" spans="1:34">
      <c r="A268" s="215"/>
      <c r="B268" s="214" t="s">
        <v>262</v>
      </c>
      <c r="C268" s="214"/>
      <c r="D268" s="214" t="s">
        <v>241</v>
      </c>
      <c r="E268" s="214"/>
      <c r="F268" s="216"/>
      <c r="G268" s="223">
        <f>'Standaardisatie AD (per RNB)'!$W$17</f>
        <v>0</v>
      </c>
      <c r="H268" s="223">
        <f>'Standaardisatie AD (per RNB)'!$W$47</f>
        <v>10</v>
      </c>
      <c r="I268" s="223">
        <f>'Standaardisatie AD (per RNB)'!$W$78</f>
        <v>5</v>
      </c>
      <c r="J268" s="223">
        <f>'Standaardisatie AD (per RNB)'!$W$109</f>
        <v>861.25238750306903</v>
      </c>
      <c r="K268" s="223">
        <f>'Standaardisatie AD (per RNB)'!$W$140</f>
        <v>137.72459731723387</v>
      </c>
      <c r="L268" s="223">
        <f>'Standaardisatie AD (per RNB)'!$W$171</f>
        <v>1.9166666666666667</v>
      </c>
      <c r="M268" s="223">
        <f>'Standaardisatie AD (per RNB)'!$W$202</f>
        <v>175.41660301885881</v>
      </c>
      <c r="N268" s="223">
        <f>'Standaardisatie AD (per RNB)'!$W$233</f>
        <v>31.008169020850954</v>
      </c>
    </row>
    <row r="269" spans="1:34">
      <c r="A269" s="215"/>
      <c r="B269" s="214"/>
      <c r="C269" s="214"/>
      <c r="D269" s="214"/>
      <c r="E269" s="214"/>
      <c r="F269" s="216"/>
      <c r="G269" s="232"/>
      <c r="H269" s="176"/>
      <c r="I269" s="226"/>
      <c r="J269" s="226"/>
      <c r="K269" s="226"/>
      <c r="L269" s="226"/>
      <c r="M269" s="226"/>
      <c r="N269" s="226"/>
    </row>
    <row r="270" spans="1:34">
      <c r="A270" s="215"/>
      <c r="B270" s="214" t="s">
        <v>1096</v>
      </c>
      <c r="C270" s="214"/>
      <c r="D270" s="214" t="s">
        <v>241</v>
      </c>
      <c r="E270" s="214"/>
      <c r="F270" s="216"/>
      <c r="G270" s="223">
        <f>'Standaardisatie AD (per RNB)'!$W$19</f>
        <v>0</v>
      </c>
      <c r="H270" s="223">
        <f>'Standaardisatie AD (per RNB)'!$W$49</f>
        <v>23200</v>
      </c>
      <c r="I270" s="223">
        <f>'Standaardisatie AD (per RNB)'!$W$80</f>
        <v>2835</v>
      </c>
      <c r="J270" s="223">
        <f>'Standaardisatie AD (per RNB)'!$W$111</f>
        <v>210599.02193991194</v>
      </c>
      <c r="K270" s="223">
        <f>'Standaardisatie AD (per RNB)'!$W$142</f>
        <v>799535.61331670452</v>
      </c>
      <c r="L270" s="223">
        <f>'Standaardisatie AD (per RNB)'!$W$173</f>
        <v>8823.3333333333339</v>
      </c>
      <c r="M270" s="223">
        <f>'Standaardisatie AD (per RNB)'!$W$204</f>
        <v>207047.77742335352</v>
      </c>
      <c r="N270" s="223">
        <f>'Standaardisatie AD (per RNB)'!$W$235</f>
        <v>5400.2239018639511</v>
      </c>
    </row>
    <row r="271" spans="1:34">
      <c r="A271" s="215"/>
      <c r="B271" s="214"/>
      <c r="C271" s="214"/>
      <c r="D271" s="214"/>
      <c r="E271" s="214"/>
      <c r="F271" s="216"/>
      <c r="G271" s="232"/>
      <c r="H271" s="176"/>
      <c r="I271" s="226"/>
      <c r="J271" s="226"/>
      <c r="K271" s="226"/>
      <c r="L271" s="226"/>
      <c r="M271" s="226"/>
      <c r="N271" s="226"/>
    </row>
    <row r="272" spans="1:34">
      <c r="A272" s="215"/>
      <c r="B272" s="206" t="s">
        <v>923</v>
      </c>
      <c r="C272" s="206"/>
      <c r="D272" s="214"/>
      <c r="E272" s="214"/>
      <c r="F272" s="216"/>
      <c r="G272" s="232"/>
      <c r="H272" s="176"/>
      <c r="I272" s="226"/>
      <c r="J272" s="226"/>
      <c r="K272" s="226"/>
      <c r="L272" s="226"/>
      <c r="M272" s="226"/>
      <c r="N272" s="226"/>
    </row>
    <row r="273" spans="1:14">
      <c r="A273" s="215"/>
      <c r="B273" s="206" t="s">
        <v>328</v>
      </c>
      <c r="C273" s="214"/>
      <c r="E273" s="206"/>
      <c r="F273" s="216"/>
      <c r="G273" s="232"/>
      <c r="H273" s="176"/>
      <c r="I273" s="226"/>
      <c r="J273" s="226"/>
      <c r="K273" s="226"/>
      <c r="L273" s="226"/>
      <c r="M273" s="226"/>
      <c r="N273" s="226"/>
    </row>
    <row r="274" spans="1:14">
      <c r="A274" s="215"/>
      <c r="B274" s="222" t="s">
        <v>251</v>
      </c>
      <c r="C274" s="214"/>
      <c r="D274" s="214" t="s">
        <v>241</v>
      </c>
      <c r="E274" s="222"/>
      <c r="F274" s="216"/>
      <c r="G274" s="223">
        <f>'Standaardisatie AD (per RNB)'!$W$24</f>
        <v>239.33333333333334</v>
      </c>
      <c r="H274" s="223">
        <f>'Standaardisatie AD (per RNB)'!$W$54</f>
        <v>1290</v>
      </c>
      <c r="I274" s="223">
        <f>'Standaardisatie AD (per RNB)'!$W$85</f>
        <v>744.53663683606328</v>
      </c>
      <c r="J274" s="223">
        <f>'Standaardisatie AD (per RNB)'!$W$116</f>
        <v>23978.365156737796</v>
      </c>
      <c r="K274" s="223">
        <f>'Standaardisatie AD (per RNB)'!$W$147</f>
        <v>9302</v>
      </c>
      <c r="L274" s="223">
        <f>'Standaardisatie AD (per RNB)'!$W$178</f>
        <v>441</v>
      </c>
      <c r="M274" s="223">
        <f>'Standaardisatie AD (per RNB)'!$W$209</f>
        <v>7218.8101484563858</v>
      </c>
      <c r="N274" s="223">
        <f>'Standaardisatie AD (per RNB)'!$W$240</f>
        <v>447.33333333333331</v>
      </c>
    </row>
    <row r="275" spans="1:14">
      <c r="A275" s="215"/>
      <c r="B275" s="222" t="s">
        <v>252</v>
      </c>
      <c r="C275" s="214"/>
      <c r="D275" s="214" t="s">
        <v>241</v>
      </c>
      <c r="E275" s="222"/>
      <c r="F275" s="216"/>
      <c r="G275" s="223">
        <f>'Standaardisatie AD (per RNB)'!$W$25</f>
        <v>222.66666666666666</v>
      </c>
      <c r="H275" s="223">
        <f>'Standaardisatie AD (per RNB)'!$W$55</f>
        <v>1750.6666666666667</v>
      </c>
      <c r="I275" s="223">
        <f>'Standaardisatie AD (per RNB)'!$W$86</f>
        <v>843.24900389512788</v>
      </c>
      <c r="J275" s="223">
        <f>'Standaardisatie AD (per RNB)'!$W$117</f>
        <v>21585.902037927353</v>
      </c>
      <c r="K275" s="223">
        <f>'Standaardisatie AD (per RNB)'!$W$148</f>
        <v>28544.590342052314</v>
      </c>
      <c r="L275" s="223">
        <f>'Standaardisatie AD (per RNB)'!$W$179</f>
        <v>234.66666666666666</v>
      </c>
      <c r="M275" s="223">
        <f>'Standaardisatie AD (per RNB)'!$W$210</f>
        <v>16455.64836566196</v>
      </c>
      <c r="N275" s="223">
        <f>'Standaardisatie AD (per RNB)'!$W$241</f>
        <v>997.66666666666663</v>
      </c>
    </row>
    <row r="276" spans="1:14">
      <c r="A276" s="215"/>
      <c r="B276" s="222" t="s">
        <v>253</v>
      </c>
      <c r="C276" s="214"/>
      <c r="D276" s="214" t="s">
        <v>241</v>
      </c>
      <c r="E276" s="222"/>
      <c r="F276" s="216"/>
      <c r="G276" s="223">
        <f>'Standaardisatie AD (per RNB)'!$W$26</f>
        <v>23.666666666666664</v>
      </c>
      <c r="H276" s="223">
        <f>'Standaardisatie AD (per RNB)'!$W$56</f>
        <v>317.33333333333331</v>
      </c>
      <c r="I276" s="223">
        <f>'Standaardisatie AD (per RNB)'!$W$87</f>
        <v>97.473697737579812</v>
      </c>
      <c r="J276" s="223">
        <f>'Standaardisatie AD (per RNB)'!$W$118</f>
        <v>2298.2466467360064</v>
      </c>
      <c r="K276" s="223">
        <f>'Standaardisatie AD (per RNB)'!$W$149</f>
        <v>3655.6141999052179</v>
      </c>
      <c r="L276" s="223">
        <f>'Standaardisatie AD (per RNB)'!$W$180</f>
        <v>26.666666666666668</v>
      </c>
      <c r="M276" s="223">
        <f>'Standaardisatie AD (per RNB)'!$W$211</f>
        <v>2094.4277713951701</v>
      </c>
      <c r="N276" s="223">
        <f>'Standaardisatie AD (per RNB)'!$W$242</f>
        <v>76</v>
      </c>
    </row>
    <row r="277" spans="1:14">
      <c r="A277" s="215"/>
      <c r="B277" s="222" t="s">
        <v>255</v>
      </c>
      <c r="C277" s="214"/>
      <c r="D277" s="214" t="s">
        <v>241</v>
      </c>
      <c r="E277" s="222"/>
      <c r="F277" s="216"/>
      <c r="G277" s="223">
        <f>'Standaardisatie AD (per RNB)'!$W$27</f>
        <v>12.333333333333334</v>
      </c>
      <c r="H277" s="223">
        <f>'Standaardisatie AD (per RNB)'!$W$57</f>
        <v>68.066666666666663</v>
      </c>
      <c r="I277" s="223">
        <f>'Standaardisatie AD (per RNB)'!$W$88</f>
        <v>24.678589347412554</v>
      </c>
      <c r="J277" s="223">
        <f>'Standaardisatie AD (per RNB)'!$W$119</f>
        <v>1008.7039834871424</v>
      </c>
      <c r="K277" s="223">
        <f>'Standaardisatie AD (per RNB)'!$W$150</f>
        <v>731.05800305308401</v>
      </c>
      <c r="L277" s="223">
        <f>'Standaardisatie AD (per RNB)'!$W$181</f>
        <v>7.333333333333333</v>
      </c>
      <c r="M277" s="223">
        <f>'Standaardisatie AD (per RNB)'!$W$212</f>
        <v>444.29455147240509</v>
      </c>
      <c r="N277" s="223">
        <f>'Standaardisatie AD (per RNB)'!$W$243</f>
        <v>19.666666666666664</v>
      </c>
    </row>
    <row r="278" spans="1:14">
      <c r="A278" s="215"/>
      <c r="B278" s="222" t="s">
        <v>254</v>
      </c>
      <c r="C278" s="214"/>
      <c r="D278" s="214" t="s">
        <v>241</v>
      </c>
      <c r="E278" s="222"/>
      <c r="F278" s="216"/>
      <c r="G278" s="223">
        <f>'Standaardisatie AD (per RNB)'!$W$28</f>
        <v>0.33333333333333331</v>
      </c>
      <c r="H278" s="223">
        <f>'Standaardisatie AD (per RNB)'!$W$58</f>
        <v>2</v>
      </c>
      <c r="I278" s="223">
        <f>'Standaardisatie AD (per RNB)'!$W$89</f>
        <v>2.4939880561719843</v>
      </c>
      <c r="J278" s="223">
        <f>'Standaardisatie AD (per RNB)'!$W$120</f>
        <v>108.02731041854648</v>
      </c>
      <c r="K278" s="223">
        <f>'Standaardisatie AD (per RNB)'!$W$151</f>
        <v>84.052543116467049</v>
      </c>
      <c r="L278" s="223">
        <f>'Standaardisatie AD (per RNB)'!$W$182</f>
        <v>0.33333333333333331</v>
      </c>
      <c r="M278" s="223">
        <f>'Standaardisatie AD (per RNB)'!$W$213</f>
        <v>51.735390225748048</v>
      </c>
      <c r="N278" s="223">
        <f>'Standaardisatie AD (per RNB)'!$W$244</f>
        <v>6</v>
      </c>
    </row>
    <row r="279" spans="1:14">
      <c r="A279" s="215"/>
      <c r="B279" s="214"/>
      <c r="C279" s="214"/>
      <c r="E279" s="214"/>
      <c r="F279" s="216"/>
      <c r="G279" s="232"/>
      <c r="H279" s="232"/>
      <c r="I279" s="226"/>
      <c r="J279" s="226"/>
      <c r="K279" s="226"/>
      <c r="L279" s="226"/>
      <c r="M279" s="226"/>
      <c r="N279" s="226"/>
    </row>
    <row r="280" spans="1:14">
      <c r="A280" s="215"/>
      <c r="B280" s="206" t="s">
        <v>329</v>
      </c>
      <c r="C280" s="214"/>
      <c r="E280" s="206"/>
      <c r="F280" s="216"/>
      <c r="G280" s="232"/>
      <c r="H280" s="232"/>
      <c r="I280" s="226"/>
      <c r="J280" s="226"/>
      <c r="K280" s="226"/>
      <c r="L280" s="226"/>
      <c r="M280" s="226"/>
      <c r="N280" s="226"/>
    </row>
    <row r="281" spans="1:14">
      <c r="A281" s="215"/>
      <c r="B281" s="222" t="s">
        <v>251</v>
      </c>
      <c r="C281" s="214"/>
      <c r="D281" s="214" t="s">
        <v>241</v>
      </c>
      <c r="E281" s="222"/>
      <c r="F281" s="216"/>
      <c r="G281" s="223">
        <f>'Standaardisatie AD (per RNB)'!$W$32</f>
        <v>364.66666666666669</v>
      </c>
      <c r="H281" s="223">
        <f>'Standaardisatie AD (per RNB)'!$W$63</f>
        <v>1887.6666666666667</v>
      </c>
      <c r="I281" s="223">
        <f>'Standaardisatie AD (per RNB)'!$W$94</f>
        <v>67.960258152173907</v>
      </c>
      <c r="J281" s="223">
        <f>'Standaardisatie AD (per RNB)'!$W$125</f>
        <v>18313.749474011827</v>
      </c>
      <c r="K281" s="223">
        <f>'Standaardisatie AD (per RNB)'!$W$156</f>
        <v>10918.5</v>
      </c>
      <c r="L281" s="223">
        <f>'Standaardisatie AD (per RNB)'!$W$187</f>
        <v>302</v>
      </c>
      <c r="M281" s="223">
        <f>'Standaardisatie AD (per RNB)'!$W$218</f>
        <v>4231.3544438003282</v>
      </c>
      <c r="N281" s="223">
        <f>'Standaardisatie AD (per RNB)'!$W$249</f>
        <v>427.33333333333331</v>
      </c>
    </row>
    <row r="282" spans="1:14">
      <c r="A282" s="215"/>
      <c r="B282" s="222" t="s">
        <v>252</v>
      </c>
      <c r="C282" s="214"/>
      <c r="D282" s="214" t="s">
        <v>241</v>
      </c>
      <c r="E282" s="222"/>
      <c r="F282" s="216"/>
      <c r="G282" s="223">
        <f>'Standaardisatie AD (per RNB)'!$W$33</f>
        <v>250</v>
      </c>
      <c r="H282" s="223">
        <f>'Standaardisatie AD (per RNB)'!$W$64</f>
        <v>4417.333333333333</v>
      </c>
      <c r="I282" s="223">
        <f>'Standaardisatie AD (per RNB)'!$W$95</f>
        <v>621.61926249311898</v>
      </c>
      <c r="J282" s="223">
        <f>'Standaardisatie AD (per RNB)'!$W$126</f>
        <v>69655.663219799419</v>
      </c>
      <c r="K282" s="223">
        <f>'Standaardisatie AD (per RNB)'!$W$157</f>
        <v>33369.666666666664</v>
      </c>
      <c r="L282" s="223">
        <f>'Standaardisatie AD (per RNB)'!$W$188</f>
        <v>451.33333333333331</v>
      </c>
      <c r="M282" s="223">
        <f>'Standaardisatie AD (per RNB)'!$W$219</f>
        <v>13814.53699958082</v>
      </c>
      <c r="N282" s="223">
        <f>'Standaardisatie AD (per RNB)'!$W$250</f>
        <v>1387</v>
      </c>
    </row>
    <row r="283" spans="1:14">
      <c r="A283" s="215"/>
      <c r="B283" s="222" t="s">
        <v>253</v>
      </c>
      <c r="C283" s="214"/>
      <c r="D283" s="214" t="s">
        <v>241</v>
      </c>
      <c r="E283" s="222"/>
      <c r="F283" s="216"/>
      <c r="G283" s="223">
        <f>'Standaardisatie AD (per RNB)'!$W$34</f>
        <v>256</v>
      </c>
      <c r="H283" s="223">
        <f>'Standaardisatie AD (per RNB)'!$W$65</f>
        <v>2653.333333333333</v>
      </c>
      <c r="I283" s="223">
        <f>'Standaardisatie AD (per RNB)'!$W$96</f>
        <v>554.3896266777291</v>
      </c>
      <c r="J283" s="223">
        <f>'Standaardisatie AD (per RNB)'!$W$127</f>
        <v>38145.544788359781</v>
      </c>
      <c r="K283" s="223">
        <f>'Standaardisatie AD (per RNB)'!$W$158</f>
        <v>30174.333333333336</v>
      </c>
      <c r="L283" s="223">
        <f>'Standaardisatie AD (per RNB)'!$W$189</f>
        <v>214</v>
      </c>
      <c r="M283" s="223">
        <f>'Standaardisatie AD (per RNB)'!$W$220</f>
        <v>22092.665865125575</v>
      </c>
      <c r="N283" s="223">
        <f>'Standaardisatie AD (per RNB)'!$W$251</f>
        <v>1610.6666666666667</v>
      </c>
    </row>
    <row r="284" spans="1:14">
      <c r="A284" s="215"/>
      <c r="B284" s="222" t="s">
        <v>255</v>
      </c>
      <c r="C284" s="214"/>
      <c r="D284" s="214" t="s">
        <v>241</v>
      </c>
      <c r="E284" s="222"/>
      <c r="F284" s="216"/>
      <c r="G284" s="223">
        <f>'Standaardisatie AD (per RNB)'!$W$35</f>
        <v>967.99999999999989</v>
      </c>
      <c r="H284" s="223">
        <f>'Standaardisatie AD (per RNB)'!$W$66</f>
        <v>8586.4700000000012</v>
      </c>
      <c r="I284" s="223">
        <f>'Standaardisatie AD (per RNB)'!$W$97</f>
        <v>1418.9349925679983</v>
      </c>
      <c r="J284" s="223">
        <f>'Standaardisatie AD (per RNB)'!$W$128</f>
        <v>133547.16333097886</v>
      </c>
      <c r="K284" s="223">
        <f>'Standaardisatie AD (per RNB)'!$W$159</f>
        <v>79472.994343405255</v>
      </c>
      <c r="L284" s="223">
        <f>'Standaardisatie AD (per RNB)'!$W$190</f>
        <v>955</v>
      </c>
      <c r="M284" s="223">
        <f>'Standaardisatie AD (per RNB)'!$W$221</f>
        <v>47798.423262349905</v>
      </c>
      <c r="N284" s="223">
        <f>'Standaardisatie AD (per RNB)'!$W$252</f>
        <v>2514.833333333333</v>
      </c>
    </row>
    <row r="285" spans="1:14">
      <c r="A285" s="215"/>
      <c r="B285" s="222" t="s">
        <v>254</v>
      </c>
      <c r="C285" s="214"/>
      <c r="D285" s="214" t="s">
        <v>241</v>
      </c>
      <c r="E285" s="222"/>
      <c r="F285" s="216"/>
      <c r="G285" s="223">
        <f>'Standaardisatie AD (per RNB)'!$W$36</f>
        <v>50</v>
      </c>
      <c r="H285" s="223">
        <f>'Standaardisatie AD (per RNB)'!$W$67</f>
        <v>338.33333333333331</v>
      </c>
      <c r="I285" s="223">
        <f>'Standaardisatie AD (per RNB)'!$W$98</f>
        <v>194.48679181080618</v>
      </c>
      <c r="J285" s="223">
        <f>'Standaardisatie AD (per RNB)'!$W$129</f>
        <v>10156.607388010605</v>
      </c>
      <c r="K285" s="223">
        <f>'Standaardisatie AD (per RNB)'!$W$160</f>
        <v>32192.83337286843</v>
      </c>
      <c r="L285" s="223">
        <f>'Standaardisatie AD (per RNB)'!$W$191</f>
        <v>466.66666666666669</v>
      </c>
      <c r="M285" s="223">
        <f>'Standaardisatie AD (per RNB)'!$W$222</f>
        <v>10783.447134477352</v>
      </c>
      <c r="N285" s="223">
        <f>'Standaardisatie AD (per RNB)'!$W$253</f>
        <v>816.00000000000011</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enableFormatConditionsCalculation="0">
    <tabColor rgb="FFFFCC99"/>
  </sheetPr>
  <dimension ref="A2:BO285"/>
  <sheetViews>
    <sheetView showGridLines="0" zoomScale="85" zoomScaleNormal="85" workbookViewId="0">
      <pane xSplit="4" ySplit="3" topLeftCell="E4" activePane="bottomRight" state="frozen"/>
      <selection pane="topRight"/>
      <selection pane="bottomLeft"/>
      <selection pane="bottomRight" activeCell="E4" sqref="E4"/>
    </sheetView>
  </sheetViews>
  <sheetFormatPr defaultRowHeight="12.75"/>
  <cols>
    <col min="1" max="1" width="2.42578125" style="58" customWidth="1"/>
    <col min="2" max="2" width="50.42578125" style="58" customWidth="1"/>
    <col min="3" max="3" width="3" style="58" customWidth="1"/>
    <col min="4" max="4" width="14.7109375" style="58" customWidth="1"/>
    <col min="5" max="5" width="4.42578125" style="58" customWidth="1"/>
    <col min="6" max="6" width="19.42578125" style="58" customWidth="1"/>
    <col min="7" max="14" width="14.42578125" style="58" customWidth="1"/>
    <col min="15" max="15" width="11.5703125" style="58" bestFit="1" customWidth="1"/>
    <col min="16" max="16" width="20.85546875" style="58" customWidth="1"/>
    <col min="17" max="17" width="11.5703125" style="58" bestFit="1" customWidth="1"/>
    <col min="18" max="18" width="13.42578125" style="58" customWidth="1"/>
    <col min="19" max="19" width="11.5703125" style="58" bestFit="1" customWidth="1"/>
    <col min="20" max="20" width="10.7109375" style="58" bestFit="1" customWidth="1"/>
    <col min="21" max="21" width="11.5703125" style="58" bestFit="1" customWidth="1"/>
    <col min="22" max="22" width="10.7109375" style="58" bestFit="1" customWidth="1"/>
    <col min="23" max="16384" width="9.140625" style="58"/>
  </cols>
  <sheetData>
    <row r="2" spans="1:67" s="1" customFormat="1" ht="18">
      <c r="B2" s="1" t="s">
        <v>65</v>
      </c>
      <c r="F2" s="5" t="s">
        <v>177</v>
      </c>
      <c r="G2" s="5" t="s">
        <v>168</v>
      </c>
      <c r="H2" s="5" t="s">
        <v>169</v>
      </c>
      <c r="I2" s="5" t="s">
        <v>170</v>
      </c>
      <c r="J2" s="5" t="s">
        <v>171</v>
      </c>
      <c r="K2" s="5" t="s">
        <v>172</v>
      </c>
      <c r="L2" s="5" t="s">
        <v>173</v>
      </c>
      <c r="M2" s="5" t="s">
        <v>174</v>
      </c>
      <c r="N2" s="5" t="s">
        <v>175</v>
      </c>
      <c r="P2" s="5" t="s">
        <v>438</v>
      </c>
    </row>
    <row r="4" spans="1:67" ht="12" customHeight="1">
      <c r="B4" s="170" t="s">
        <v>427</v>
      </c>
    </row>
    <row r="5" spans="1:67" ht="12" customHeight="1">
      <c r="B5" s="170" t="s">
        <v>529</v>
      </c>
    </row>
    <row r="6" spans="1:67" ht="12" customHeight="1"/>
    <row r="7" spans="1:67">
      <c r="A7" s="61"/>
      <c r="B7" s="61"/>
      <c r="C7" s="61"/>
      <c r="D7" s="62"/>
      <c r="E7" s="62"/>
      <c r="F7" s="62"/>
      <c r="G7" s="63"/>
      <c r="H7" s="63"/>
      <c r="I7" s="63"/>
      <c r="J7" s="63"/>
      <c r="K7" s="63"/>
      <c r="L7" s="63"/>
      <c r="M7" s="63"/>
      <c r="N7" s="63"/>
    </row>
    <row r="8" spans="1:67">
      <c r="A8" s="64"/>
      <c r="B8" s="205" t="s">
        <v>3</v>
      </c>
      <c r="C8" s="65"/>
      <c r="D8" s="65"/>
      <c r="E8" s="65"/>
      <c r="F8" s="65"/>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row>
    <row r="9" spans="1:67">
      <c r="A9" s="60"/>
      <c r="B9" s="207"/>
      <c r="C9" s="59"/>
      <c r="D9" s="59"/>
      <c r="E9" s="59"/>
      <c r="F9" s="59"/>
      <c r="G9" s="60"/>
      <c r="H9" s="60"/>
      <c r="I9" s="60"/>
      <c r="J9" s="60"/>
      <c r="K9" s="60"/>
      <c r="L9" s="60"/>
      <c r="M9" s="60"/>
      <c r="N9" s="60"/>
    </row>
    <row r="10" spans="1:67">
      <c r="A10" s="66"/>
      <c r="B10" s="206" t="s">
        <v>922</v>
      </c>
      <c r="C10" s="60"/>
      <c r="D10" s="60"/>
      <c r="E10" s="60"/>
      <c r="F10" s="23"/>
      <c r="G10"/>
      <c r="H10"/>
      <c r="I10"/>
      <c r="J10"/>
      <c r="K10"/>
      <c r="L10"/>
      <c r="M10"/>
      <c r="N10"/>
    </row>
    <row r="11" spans="1:67">
      <c r="A11" s="66"/>
      <c r="B11" s="214" t="s">
        <v>251</v>
      </c>
      <c r="C11" s="59"/>
      <c r="D11" s="59" t="s">
        <v>334</v>
      </c>
      <c r="E11" s="59"/>
      <c r="F11" s="23"/>
      <c r="G11" s="876">
        <f>IF(ISERROR('Overzicht Vol &amp; Tar AD'!G11),0,'Overzicht Vol &amp; Tar AD'!G11)</f>
        <v>5.96</v>
      </c>
      <c r="H11" s="876">
        <f>IF(ISERROR('Overzicht Vol &amp; Tar AD'!H11),0,'Overzicht Vol &amp; Tar AD'!H11)</f>
        <v>1.92</v>
      </c>
      <c r="I11" s="876">
        <f>IF(ISERROR('Overzicht Vol &amp; Tar AD'!I11),0,'Overzicht Vol &amp; Tar AD'!I11)</f>
        <v>6.54</v>
      </c>
      <c r="J11" s="876">
        <f>IF(ISERROR('Overzicht Vol &amp; Tar AD'!J11),0,'Overzicht Vol &amp; Tar AD'!J11)</f>
        <v>3.51</v>
      </c>
      <c r="K11" s="876">
        <f>IF(ISERROR('Overzicht Vol &amp; Tar AD'!K11),0,'Overzicht Vol &amp; Tar AD'!K11)</f>
        <v>8.4</v>
      </c>
      <c r="L11" s="876">
        <f>IF(ISERROR('Overzicht Vol &amp; Tar AD'!L11),0,'Overzicht Vol &amp; Tar AD'!L11)</f>
        <v>12.64</v>
      </c>
      <c r="M11" s="876">
        <f>IF(ISERROR('Overzicht Vol &amp; Tar AD'!M11),0,'Overzicht Vol &amp; Tar AD'!M11)</f>
        <v>6.84</v>
      </c>
      <c r="N11" s="876">
        <f>IF(ISERROR('Overzicht Vol &amp; Tar AD'!N11),0,'Overzicht Vol &amp; Tar AD'!N11)</f>
        <v>2.61</v>
      </c>
    </row>
    <row r="12" spans="1:67">
      <c r="A12" s="66"/>
      <c r="B12" s="214" t="s">
        <v>252</v>
      </c>
      <c r="C12" s="59"/>
      <c r="D12" s="59" t="s">
        <v>334</v>
      </c>
      <c r="E12" s="59"/>
      <c r="F12" s="23"/>
      <c r="G12" s="876">
        <f>IF(ISERROR('Overzicht Vol &amp; Tar AD'!G12),0,'Overzicht Vol &amp; Tar AD'!G12)</f>
        <v>17.05</v>
      </c>
      <c r="H12" s="876">
        <f>IF(ISERROR('Overzicht Vol &amp; Tar AD'!H12),0,'Overzicht Vol &amp; Tar AD'!H12)</f>
        <v>18.809999999999999</v>
      </c>
      <c r="I12" s="876">
        <f>IF(ISERROR('Overzicht Vol &amp; Tar AD'!I12),0,'Overzicht Vol &amp; Tar AD'!I12)</f>
        <v>13.830000000000002</v>
      </c>
      <c r="J12" s="876">
        <f>IF(ISERROR('Overzicht Vol &amp; Tar AD'!J12),0,'Overzicht Vol &amp; Tar AD'!J12)</f>
        <v>28.6</v>
      </c>
      <c r="K12" s="876">
        <f>IF(ISERROR('Overzicht Vol &amp; Tar AD'!K12),0,'Overzicht Vol &amp; Tar AD'!K12)</f>
        <v>16.440000000000001</v>
      </c>
      <c r="L12" s="876">
        <f>IF(ISERROR('Overzicht Vol &amp; Tar AD'!L12),0,'Overzicht Vol &amp; Tar AD'!L12)</f>
        <v>25.56</v>
      </c>
      <c r="M12" s="876">
        <f>IF(ISERROR('Overzicht Vol &amp; Tar AD'!M12),0,'Overzicht Vol &amp; Tar AD'!M12)</f>
        <v>17.760000000000002</v>
      </c>
      <c r="N12" s="876">
        <f>IF(ISERROR('Overzicht Vol &amp; Tar AD'!N12),0,'Overzicht Vol &amp; Tar AD'!N12)</f>
        <v>13.75</v>
      </c>
    </row>
    <row r="13" spans="1:67">
      <c r="A13" s="66"/>
      <c r="B13" s="214" t="s">
        <v>253</v>
      </c>
      <c r="C13" s="59"/>
      <c r="D13" s="59" t="s">
        <v>334</v>
      </c>
      <c r="E13" s="59"/>
      <c r="F13" s="23"/>
      <c r="G13" s="876">
        <f>IF(ISERROR('Overzicht Vol &amp; Tar AD'!G13),0,'Overzicht Vol &amp; Tar AD'!G13)</f>
        <v>17.05</v>
      </c>
      <c r="H13" s="876">
        <f>IF(ISERROR('Overzicht Vol &amp; Tar AD'!H13),0,'Overzicht Vol &amp; Tar AD'!H13)</f>
        <v>30.93</v>
      </c>
      <c r="I13" s="876">
        <f>IF(ISERROR('Overzicht Vol &amp; Tar AD'!I13),0,'Overzicht Vol &amp; Tar AD'!I13)</f>
        <v>13.83</v>
      </c>
      <c r="J13" s="876">
        <f>IF(ISERROR('Overzicht Vol &amp; Tar AD'!J13),0,'Overzicht Vol &amp; Tar AD'!J13)</f>
        <v>32.6</v>
      </c>
      <c r="K13" s="876">
        <f>IF(ISERROR('Overzicht Vol &amp; Tar AD'!K13),0,'Overzicht Vol &amp; Tar AD'!K13)</f>
        <v>27.262787426525581</v>
      </c>
      <c r="L13" s="876">
        <f>IF(ISERROR('Overzicht Vol &amp; Tar AD'!L13),0,'Overzicht Vol &amp; Tar AD'!L13)</f>
        <v>41.45</v>
      </c>
      <c r="M13" s="876">
        <f>IF(ISERROR('Overzicht Vol &amp; Tar AD'!M13),0,'Overzicht Vol &amp; Tar AD'!M13)</f>
        <v>36.24</v>
      </c>
      <c r="N13" s="876">
        <f>IF(ISERROR('Overzicht Vol &amp; Tar AD'!N13),0,'Overzicht Vol &amp; Tar AD'!N13)</f>
        <v>36.466657409347135</v>
      </c>
    </row>
    <row r="14" spans="1:67">
      <c r="A14" s="66"/>
      <c r="B14" s="214" t="s">
        <v>255</v>
      </c>
      <c r="C14" s="59"/>
      <c r="D14" s="59" t="s">
        <v>334</v>
      </c>
      <c r="E14" s="59"/>
      <c r="F14" s="23"/>
      <c r="G14" s="876">
        <f>IF(ISERROR('Overzicht Vol &amp; Tar AD'!G14),0,'Overzicht Vol &amp; Tar AD'!G14)</f>
        <v>20.46</v>
      </c>
      <c r="H14" s="876">
        <f>IF(ISERROR('Overzicht Vol &amp; Tar AD'!H14),0,'Overzicht Vol &amp; Tar AD'!H14)</f>
        <v>129.44999999999999</v>
      </c>
      <c r="I14" s="876">
        <f>IF(ISERROR('Overzicht Vol &amp; Tar AD'!I14),0,'Overzicht Vol &amp; Tar AD'!I14)</f>
        <v>212.43</v>
      </c>
      <c r="J14" s="876">
        <f>IF(ISERROR('Overzicht Vol &amp; Tar AD'!J14),0,'Overzicht Vol &amp; Tar AD'!J14)</f>
        <v>155</v>
      </c>
      <c r="K14" s="876">
        <f>IF(ISERROR('Overzicht Vol &amp; Tar AD'!K14),0,'Overzicht Vol &amp; Tar AD'!K14)</f>
        <v>116.08458782158931</v>
      </c>
      <c r="L14" s="876">
        <f>IF(ISERROR('Overzicht Vol &amp; Tar AD'!L14),0,'Overzicht Vol &amp; Tar AD'!L14)</f>
        <v>41.45</v>
      </c>
      <c r="M14" s="876">
        <f>IF(ISERROR('Overzicht Vol &amp; Tar AD'!M14),0,'Overzicht Vol &amp; Tar AD'!M14)</f>
        <v>51.6</v>
      </c>
      <c r="N14" s="876">
        <f>IF(ISERROR('Overzicht Vol &amp; Tar AD'!N14),0,'Overzicht Vol &amp; Tar AD'!N14)</f>
        <v>175.91007784851618</v>
      </c>
    </row>
    <row r="15" spans="1:67">
      <c r="A15" s="66"/>
      <c r="B15" s="214" t="s">
        <v>261</v>
      </c>
      <c r="C15" s="59"/>
      <c r="D15" s="59" t="s">
        <v>334</v>
      </c>
      <c r="E15" s="59"/>
      <c r="F15" s="23"/>
      <c r="G15" s="876">
        <f>IF(ISERROR('Overzicht Vol &amp; Tar AD'!G15),0,'Overzicht Vol &amp; Tar AD'!G15)</f>
        <v>416.16949790794979</v>
      </c>
      <c r="H15" s="876">
        <f>IF(ISERROR('Overzicht Vol &amp; Tar AD'!H15),0,'Overzicht Vol &amp; Tar AD'!H15)</f>
        <v>894.2700000000001</v>
      </c>
      <c r="I15" s="876">
        <f>IF(ISERROR('Overzicht Vol &amp; Tar AD'!I15),0,'Overzicht Vol &amp; Tar AD'!I15)</f>
        <v>610.76</v>
      </c>
      <c r="J15" s="876">
        <f>IF(ISERROR('Overzicht Vol &amp; Tar AD'!J15),0,'Overzicht Vol &amp; Tar AD'!J15)</f>
        <v>616</v>
      </c>
      <c r="K15" s="876">
        <f>IF(ISERROR('Overzicht Vol &amp; Tar AD'!K15),0,'Overzicht Vol &amp; Tar AD'!K15)</f>
        <v>685.57685831784079</v>
      </c>
      <c r="L15" s="876">
        <f>IF(ISERROR('Overzicht Vol &amp; Tar AD'!L15),0,'Overzicht Vol &amp; Tar AD'!L15)</f>
        <v>224.40633770340602</v>
      </c>
      <c r="M15" s="876">
        <f>IF(ISERROR('Overzicht Vol &amp; Tar AD'!M15),0,'Overzicht Vol &amp; Tar AD'!M15)</f>
        <v>463.92</v>
      </c>
      <c r="N15" s="876">
        <f>IF(ISERROR('Overzicht Vol &amp; Tar AD'!N15),0,'Overzicht Vol &amp; Tar AD'!N15)</f>
        <v>1333.5055782810937</v>
      </c>
    </row>
    <row r="16" spans="1:67">
      <c r="A16" s="66"/>
      <c r="B16" s="214" t="s">
        <v>262</v>
      </c>
      <c r="C16" s="59"/>
      <c r="D16" s="59" t="s">
        <v>334</v>
      </c>
      <c r="E16" s="59"/>
      <c r="F16" s="23"/>
      <c r="G16" s="876">
        <f>IF(ISERROR('Overzicht Vol &amp; Tar AD'!G16),0,'Overzicht Vol &amp; Tar AD'!G16)</f>
        <v>0</v>
      </c>
      <c r="H16" s="876">
        <f>IF(ISERROR('Overzicht Vol &amp; Tar AD'!H16),0,'Overzicht Vol &amp; Tar AD'!H16)</f>
        <v>5958.84</v>
      </c>
      <c r="I16" s="876">
        <f>IF(ISERROR('Overzicht Vol &amp; Tar AD'!I16),0,'Overzicht Vol &amp; Tar AD'!I16)</f>
        <v>2586.864950307137</v>
      </c>
      <c r="J16" s="876">
        <f>IF(ISERROR('Overzicht Vol &amp; Tar AD'!J16),0,'Overzicht Vol &amp; Tar AD'!J16)</f>
        <v>1704.296613774236</v>
      </c>
      <c r="K16" s="876">
        <f>IF(ISERROR('Overzicht Vol &amp; Tar AD'!K16),0,'Overzicht Vol &amp; Tar AD'!K16)</f>
        <v>7638.4377877729094</v>
      </c>
      <c r="L16" s="876">
        <f>IF(ISERROR('Overzicht Vol &amp; Tar AD'!L16),0,'Overzicht Vol &amp; Tar AD'!L16)</f>
        <v>1599.35</v>
      </c>
      <c r="M16" s="876">
        <f>IF(ISERROR('Overzicht Vol &amp; Tar AD'!M16),0,'Overzicht Vol &amp; Tar AD'!M16)</f>
        <v>5235.669585798817</v>
      </c>
      <c r="N16" s="876">
        <f>IF(ISERROR('Overzicht Vol &amp; Tar AD'!N16),0,'Overzicht Vol &amp; Tar AD'!N16)</f>
        <v>5222.28</v>
      </c>
    </row>
    <row r="17" spans="1:14">
      <c r="A17" s="66"/>
      <c r="B17" s="214"/>
      <c r="C17" s="59"/>
      <c r="D17" s="59"/>
      <c r="E17" s="59"/>
      <c r="F17" s="23"/>
      <c r="G17" s="88"/>
      <c r="H17" s="89"/>
      <c r="I17" s="89"/>
      <c r="J17" s="88"/>
      <c r="K17" s="89"/>
      <c r="L17" s="89"/>
      <c r="M17" s="89"/>
      <c r="N17" s="89"/>
    </row>
    <row r="18" spans="1:14">
      <c r="A18" s="66"/>
      <c r="B18" s="214" t="s">
        <v>1096</v>
      </c>
      <c r="C18" s="59"/>
      <c r="D18" s="59" t="s">
        <v>334</v>
      </c>
      <c r="E18" s="59"/>
      <c r="F18" s="23"/>
      <c r="G18" s="876">
        <f>IF(ISERROR('Overzicht Vol &amp; Tar AD'!G18),0,'Overzicht Vol &amp; Tar AD'!G18)</f>
        <v>0</v>
      </c>
      <c r="H18" s="876">
        <f>IF(ISERROR('Overzicht Vol &amp; Tar AD'!H18),0,'Overzicht Vol &amp; Tar AD'!H18)</f>
        <v>1.44</v>
      </c>
      <c r="I18" s="876">
        <f>IF(ISERROR('Overzicht Vol &amp; Tar AD'!I18),0,'Overzicht Vol &amp; Tar AD'!I18)</f>
        <v>3</v>
      </c>
      <c r="J18" s="876">
        <f>IF(ISERROR('Overzicht Vol &amp; Tar AD'!J18),0,'Overzicht Vol &amp; Tar AD'!J18)</f>
        <v>2.3751464480819537</v>
      </c>
      <c r="K18" s="876">
        <f>IF(ISERROR('Overzicht Vol &amp; Tar AD'!K18),0,'Overzicht Vol &amp; Tar AD'!K18)</f>
        <v>1.5</v>
      </c>
      <c r="L18" s="876">
        <f>IF(ISERROR('Overzicht Vol &amp; Tar AD'!L18),0,'Overzicht Vol &amp; Tar AD'!L18)</f>
        <v>13.64</v>
      </c>
      <c r="M18" s="876">
        <f>IF(ISERROR('Overzicht Vol &amp; Tar AD'!M18),0,'Overzicht Vol &amp; Tar AD'!M18)</f>
        <v>5.85</v>
      </c>
      <c r="N18" s="876">
        <f>IF(ISERROR('Overzicht Vol &amp; Tar AD'!N18),0,'Overzicht Vol &amp; Tar AD'!N18)</f>
        <v>3.87</v>
      </c>
    </row>
    <row r="19" spans="1:14">
      <c r="A19" s="66"/>
      <c r="B19" s="214"/>
      <c r="C19" s="59"/>
      <c r="D19" s="59"/>
      <c r="E19" s="59"/>
      <c r="F19" s="23"/>
      <c r="G19" s="88"/>
      <c r="H19" s="89"/>
      <c r="I19" s="89"/>
      <c r="J19" s="88"/>
      <c r="K19" s="89"/>
      <c r="L19" s="89"/>
      <c r="M19" s="89"/>
      <c r="N19" s="89"/>
    </row>
    <row r="20" spans="1:14">
      <c r="A20" s="66"/>
      <c r="B20" s="206" t="s">
        <v>923</v>
      </c>
      <c r="C20" s="60"/>
      <c r="D20" s="59"/>
      <c r="E20" s="59"/>
      <c r="F20" s="23"/>
      <c r="G20" s="88"/>
      <c r="H20" s="89"/>
      <c r="I20" s="89"/>
      <c r="J20" s="88"/>
      <c r="K20" s="89"/>
      <c r="L20" s="89"/>
      <c r="M20" s="89"/>
      <c r="N20" s="89"/>
    </row>
    <row r="21" spans="1:14">
      <c r="A21" s="66"/>
      <c r="B21" s="206" t="s">
        <v>328</v>
      </c>
      <c r="C21" s="59"/>
      <c r="D21" s="59"/>
      <c r="E21" s="60"/>
      <c r="F21" s="23"/>
      <c r="G21" s="88"/>
      <c r="H21" s="89"/>
      <c r="I21" s="89"/>
      <c r="J21" s="88"/>
      <c r="K21" s="89"/>
      <c r="L21" s="89"/>
      <c r="M21" s="89"/>
      <c r="N21" s="89"/>
    </row>
    <row r="22" spans="1:14">
      <c r="A22" s="66"/>
      <c r="B22" s="222" t="s">
        <v>251</v>
      </c>
      <c r="C22" s="59"/>
      <c r="D22" s="59" t="s">
        <v>334</v>
      </c>
      <c r="E22" s="67"/>
      <c r="F22" s="23"/>
      <c r="G22" s="876">
        <f>IF(ISERROR('Overzicht Vol &amp; Tar AD'!G22),0,'Overzicht Vol &amp; Tar AD'!G22)</f>
        <v>424.02</v>
      </c>
      <c r="H22" s="876">
        <f>IF(ISERROR('Overzicht Vol &amp; Tar AD'!H22),0,'Overzicht Vol &amp; Tar AD'!H22)</f>
        <v>299.97000000000003</v>
      </c>
      <c r="I22" s="876">
        <f>IF(ISERROR('Overzicht Vol &amp; Tar AD'!I22),0,'Overzicht Vol &amp; Tar AD'!I22)</f>
        <v>361.28090909090906</v>
      </c>
      <c r="J22" s="876">
        <f>IF(ISERROR('Overzicht Vol &amp; Tar AD'!J22),0,'Overzicht Vol &amp; Tar AD'!J22)</f>
        <v>310</v>
      </c>
      <c r="K22" s="876">
        <f>IF(ISERROR('Overzicht Vol &amp; Tar AD'!K22),0,'Overzicht Vol &amp; Tar AD'!K22)</f>
        <v>341</v>
      </c>
      <c r="L22" s="876">
        <f>IF(ISERROR('Overzicht Vol &amp; Tar AD'!L22),0,'Overzicht Vol &amp; Tar AD'!L22)</f>
        <v>366.84</v>
      </c>
      <c r="M22" s="876">
        <f>IF(ISERROR('Overzicht Vol &amp; Tar AD'!M22),0,'Overzicht Vol &amp; Tar AD'!M22)</f>
        <v>348.79</v>
      </c>
      <c r="N22" s="876">
        <f>IF(ISERROR('Overzicht Vol &amp; Tar AD'!N22),0,'Overzicht Vol &amp; Tar AD'!N22)</f>
        <v>356.17</v>
      </c>
    </row>
    <row r="23" spans="1:14">
      <c r="A23" s="66"/>
      <c r="B23" s="222" t="s">
        <v>252</v>
      </c>
      <c r="C23" s="59"/>
      <c r="D23" s="59" t="s">
        <v>334</v>
      </c>
      <c r="E23" s="67"/>
      <c r="F23" s="23"/>
      <c r="G23" s="876">
        <f>IF(ISERROR('Overzicht Vol &amp; Tar AD'!G23),0,'Overzicht Vol &amp; Tar AD'!G23)</f>
        <v>604.57000000000005</v>
      </c>
      <c r="H23" s="876">
        <f>IF(ISERROR('Overzicht Vol &amp; Tar AD'!H23),0,'Overzicht Vol &amp; Tar AD'!H23)</f>
        <v>569.5</v>
      </c>
      <c r="I23" s="876">
        <f>IF(ISERROR('Overzicht Vol &amp; Tar AD'!I23),0,'Overzicht Vol &amp; Tar AD'!I23)</f>
        <v>466.80005614823136</v>
      </c>
      <c r="J23" s="876">
        <f>IF(ISERROR('Overzicht Vol &amp; Tar AD'!J23),0,'Overzicht Vol &amp; Tar AD'!J23)</f>
        <v>595</v>
      </c>
      <c r="K23" s="876">
        <f>IF(ISERROR('Overzicht Vol &amp; Tar AD'!K23),0,'Overzicht Vol &amp; Tar AD'!K23)</f>
        <v>565.95000000000005</v>
      </c>
      <c r="L23" s="876">
        <f>IF(ISERROR('Overzicht Vol &amp; Tar AD'!L23),0,'Overzicht Vol &amp; Tar AD'!L23)</f>
        <v>620.97</v>
      </c>
      <c r="M23" s="876">
        <f>IF(ISERROR('Overzicht Vol &amp; Tar AD'!M23),0,'Overzicht Vol &amp; Tar AD'!M23)</f>
        <v>510.18</v>
      </c>
      <c r="N23" s="876">
        <f>IF(ISERROR('Overzicht Vol &amp; Tar AD'!N23),0,'Overzicht Vol &amp; Tar AD'!N23)</f>
        <v>677.97</v>
      </c>
    </row>
    <row r="24" spans="1:14">
      <c r="A24" s="66"/>
      <c r="B24" s="222" t="s">
        <v>253</v>
      </c>
      <c r="C24" s="59"/>
      <c r="D24" s="59" t="s">
        <v>334</v>
      </c>
      <c r="E24" s="67"/>
      <c r="F24" s="23"/>
      <c r="G24" s="876">
        <f>IF(ISERROR('Overzicht Vol &amp; Tar AD'!G24),0,'Overzicht Vol &amp; Tar AD'!G24)</f>
        <v>969.47</v>
      </c>
      <c r="H24" s="876">
        <f>IF(ISERROR('Overzicht Vol &amp; Tar AD'!H24),0,'Overzicht Vol &amp; Tar AD'!H24)</f>
        <v>911.6001960784314</v>
      </c>
      <c r="I24" s="876">
        <f>IF(ISERROR('Overzicht Vol &amp; Tar AD'!I24),0,'Overzicht Vol &amp; Tar AD'!I24)</f>
        <v>804.53493087557615</v>
      </c>
      <c r="J24" s="876">
        <f>IF(ISERROR('Overzicht Vol &amp; Tar AD'!J24),0,'Overzicht Vol &amp; Tar AD'!J24)</f>
        <v>783.56694822382531</v>
      </c>
      <c r="K24" s="876">
        <f>IF(ISERROR('Overzicht Vol &amp; Tar AD'!K24),0,'Overzicht Vol &amp; Tar AD'!K24)</f>
        <v>949.27416595380669</v>
      </c>
      <c r="L24" s="876">
        <f>IF(ISERROR('Overzicht Vol &amp; Tar AD'!L24),0,'Overzicht Vol &amp; Tar AD'!L24)</f>
        <v>955.22235294117638</v>
      </c>
      <c r="M24" s="876">
        <f>IF(ISERROR('Overzicht Vol &amp; Tar AD'!M24),0,'Overzicht Vol &amp; Tar AD'!M24)</f>
        <v>851.57578083076874</v>
      </c>
      <c r="N24" s="876">
        <f>IF(ISERROR('Overzicht Vol &amp; Tar AD'!N24),0,'Overzicht Vol &amp; Tar AD'!N24)</f>
        <v>916.15351851851858</v>
      </c>
    </row>
    <row r="25" spans="1:14">
      <c r="A25" s="66"/>
      <c r="B25" s="222" t="s">
        <v>255</v>
      </c>
      <c r="C25" s="59"/>
      <c r="D25" s="59" t="s">
        <v>334</v>
      </c>
      <c r="E25" s="67"/>
      <c r="F25" s="23"/>
      <c r="G25" s="876">
        <f>IF(ISERROR('Overzicht Vol &amp; Tar AD'!G25),0,'Overzicht Vol &amp; Tar AD'!G25)</f>
        <v>7620.7501583473295</v>
      </c>
      <c r="H25" s="876">
        <f>IF(ISERROR('Overzicht Vol &amp; Tar AD'!H25),0,'Overzicht Vol &amp; Tar AD'!H25)</f>
        <v>5767.557959183674</v>
      </c>
      <c r="I25" s="876">
        <f>IF(ISERROR('Overzicht Vol &amp; Tar AD'!I25),0,'Overzicht Vol &amp; Tar AD'!I25)</f>
        <v>6024.8714545454541</v>
      </c>
      <c r="J25" s="876">
        <f>IF(ISERROR('Overzicht Vol &amp; Tar AD'!J25),0,'Overzicht Vol &amp; Tar AD'!J25)</f>
        <v>5070.9755136535186</v>
      </c>
      <c r="K25" s="876">
        <f>IF(ISERROR('Overzicht Vol &amp; Tar AD'!K25),0,'Overzicht Vol &amp; Tar AD'!K25)</f>
        <v>7673.0541401273886</v>
      </c>
      <c r="L25" s="876">
        <f>IF(ISERROR('Overzicht Vol &amp; Tar AD'!L25),0,'Overzicht Vol &amp; Tar AD'!L25)</f>
        <v>5663.8833333333341</v>
      </c>
      <c r="M25" s="876">
        <f>IF(ISERROR('Overzicht Vol &amp; Tar AD'!M25),0,'Overzicht Vol &amp; Tar AD'!M25)</f>
        <v>7642.8261091343747</v>
      </c>
      <c r="N25" s="876">
        <f>IF(ISERROR('Overzicht Vol &amp; Tar AD'!N25),0,'Overzicht Vol &amp; Tar AD'!N25)</f>
        <v>5499.5725000000002</v>
      </c>
    </row>
    <row r="26" spans="1:14">
      <c r="A26" s="66"/>
      <c r="B26" s="222" t="s">
        <v>254</v>
      </c>
      <c r="C26" s="59"/>
      <c r="D26" s="59" t="s">
        <v>334</v>
      </c>
      <c r="E26" s="67"/>
      <c r="F26" s="23"/>
      <c r="G26" s="876">
        <f>IF(ISERROR('Overzicht Vol &amp; Tar AD'!G26),0,'Overzicht Vol &amp; Tar AD'!G26)</f>
        <v>0</v>
      </c>
      <c r="H26" s="876">
        <f>IF(ISERROR('Overzicht Vol &amp; Tar AD'!H26),0,'Overzicht Vol &amp; Tar AD'!H26)</f>
        <v>79319.244545454538</v>
      </c>
      <c r="I26" s="876">
        <f>IF(ISERROR('Overzicht Vol &amp; Tar AD'!I26),0,'Overzicht Vol &amp; Tar AD'!I26)</f>
        <v>23227.39</v>
      </c>
      <c r="J26" s="876">
        <f>IF(ISERROR('Overzicht Vol &amp; Tar AD'!J26),0,'Overzicht Vol &amp; Tar AD'!J26)</f>
        <v>35983.565515262329</v>
      </c>
      <c r="K26" s="876">
        <f>IF(ISERROR('Overzicht Vol &amp; Tar AD'!K26),0,'Overzicht Vol &amp; Tar AD'!K26)</f>
        <v>92183.117647058825</v>
      </c>
      <c r="L26" s="876">
        <f>IF(ISERROR('Overzicht Vol &amp; Tar AD'!L26),0,'Overzicht Vol &amp; Tar AD'!L26)</f>
        <v>0</v>
      </c>
      <c r="M26" s="876">
        <f>IF(ISERROR('Overzicht Vol &amp; Tar AD'!M26),0,'Overzicht Vol &amp; Tar AD'!M26)</f>
        <v>80991.585943571772</v>
      </c>
      <c r="N26" s="876">
        <f>IF(ISERROR('Overzicht Vol &amp; Tar AD'!N26),0,'Overzicht Vol &amp; Tar AD'!N26)</f>
        <v>52308.988695652173</v>
      </c>
    </row>
    <row r="27" spans="1:14">
      <c r="A27" s="66"/>
      <c r="B27" s="214"/>
      <c r="C27" s="59"/>
      <c r="D27" s="59"/>
      <c r="E27" s="59"/>
      <c r="F27" s="23"/>
      <c r="G27" s="88"/>
      <c r="H27" s="88"/>
      <c r="I27" s="88"/>
      <c r="J27" s="88"/>
      <c r="K27" s="88"/>
      <c r="L27" s="88"/>
      <c r="M27" s="88"/>
      <c r="N27" s="88"/>
    </row>
    <row r="28" spans="1:14">
      <c r="A28" s="66"/>
      <c r="B28" s="206" t="s">
        <v>329</v>
      </c>
      <c r="C28" s="59"/>
      <c r="D28" s="59"/>
      <c r="E28" s="60"/>
      <c r="F28" s="23"/>
      <c r="G28" s="88"/>
      <c r="H28" s="88"/>
      <c r="I28" s="88"/>
      <c r="J28" s="88"/>
      <c r="K28" s="88"/>
      <c r="L28" s="88"/>
      <c r="M28" s="88"/>
      <c r="N28" s="88"/>
    </row>
    <row r="29" spans="1:14">
      <c r="A29" s="66"/>
      <c r="B29" s="222" t="s">
        <v>251</v>
      </c>
      <c r="C29" s="59"/>
      <c r="D29" s="59" t="s">
        <v>334</v>
      </c>
      <c r="E29" s="67"/>
      <c r="F29" s="23"/>
      <c r="G29" s="876">
        <f>IF(ISERROR('Overzicht Vol &amp; Tar AD'!G29),0,'Overzicht Vol &amp; Tar AD'!G29)</f>
        <v>21.89</v>
      </c>
      <c r="H29" s="876">
        <f>IF(ISERROR('Overzicht Vol &amp; Tar AD'!H29),0,'Overzicht Vol &amp; Tar AD'!H29)</f>
        <v>14.86</v>
      </c>
      <c r="I29" s="876">
        <f>IF(ISERROR('Overzicht Vol &amp; Tar AD'!I29),0,'Overzicht Vol &amp; Tar AD'!I29)</f>
        <v>23.97</v>
      </c>
      <c r="J29" s="876">
        <f>IF(ISERROR('Overzicht Vol &amp; Tar AD'!J29),0,'Overzicht Vol &amp; Tar AD'!J29)</f>
        <v>15</v>
      </c>
      <c r="K29" s="876">
        <f>IF(ISERROR('Overzicht Vol &amp; Tar AD'!K29),0,'Overzicht Vol &amp; Tar AD'!K29)</f>
        <v>16.93</v>
      </c>
      <c r="L29" s="876">
        <f>IF(ISERROR('Overzicht Vol &amp; Tar AD'!L29),0,'Overzicht Vol &amp; Tar AD'!L29)</f>
        <v>18.18</v>
      </c>
      <c r="M29" s="876">
        <f>IF(ISERROR('Overzicht Vol &amp; Tar AD'!M29),0,'Overzicht Vol &amp; Tar AD'!M29)</f>
        <v>16.21</v>
      </c>
      <c r="N29" s="876">
        <f>IF(ISERROR('Overzicht Vol &amp; Tar AD'!N29),0,'Overzicht Vol &amp; Tar AD'!N29)</f>
        <v>17.649999999999999</v>
      </c>
    </row>
    <row r="30" spans="1:14">
      <c r="A30" s="66"/>
      <c r="B30" s="222" t="s">
        <v>252</v>
      </c>
      <c r="C30" s="59"/>
      <c r="D30" s="59" t="s">
        <v>334</v>
      </c>
      <c r="E30" s="67"/>
      <c r="F30" s="23"/>
      <c r="G30" s="876">
        <f>IF(ISERROR('Overzicht Vol &amp; Tar AD'!G30),0,'Overzicht Vol &amp; Tar AD'!G30)</f>
        <v>17.28</v>
      </c>
      <c r="H30" s="876">
        <f>IF(ISERROR('Overzicht Vol &amp; Tar AD'!H30),0,'Overzicht Vol &amp; Tar AD'!H30)</f>
        <v>24.18</v>
      </c>
      <c r="I30" s="876">
        <f>IF(ISERROR('Overzicht Vol &amp; Tar AD'!I30),0,'Overzicht Vol &amp; Tar AD'!I30)</f>
        <v>25.003599999999999</v>
      </c>
      <c r="J30" s="876">
        <f>IF(ISERROR('Overzicht Vol &amp; Tar AD'!J30),0,'Overzicht Vol &amp; Tar AD'!J30)</f>
        <v>17</v>
      </c>
      <c r="K30" s="876">
        <f>IF(ISERROR('Overzicht Vol &amp; Tar AD'!K30),0,'Overzicht Vol &amp; Tar AD'!K30)</f>
        <v>22.37</v>
      </c>
      <c r="L30" s="876">
        <f>IF(ISERROR('Overzicht Vol &amp; Tar AD'!L30),0,'Overzicht Vol &amp; Tar AD'!L30)</f>
        <v>21.31</v>
      </c>
      <c r="M30" s="876">
        <f>IF(ISERROR('Overzicht Vol &amp; Tar AD'!M30),0,'Overzicht Vol &amp; Tar AD'!M30)</f>
        <v>22.41</v>
      </c>
      <c r="N30" s="876">
        <f>IF(ISERROR('Overzicht Vol &amp; Tar AD'!N30),0,'Overzicht Vol &amp; Tar AD'!N30)</f>
        <v>25.5</v>
      </c>
    </row>
    <row r="31" spans="1:14">
      <c r="A31" s="66"/>
      <c r="B31" s="222" t="s">
        <v>253</v>
      </c>
      <c r="C31" s="59"/>
      <c r="D31" s="59" t="s">
        <v>334</v>
      </c>
      <c r="E31" s="67"/>
      <c r="F31" s="23"/>
      <c r="G31" s="876">
        <f>IF(ISERROR('Overzicht Vol &amp; Tar AD'!G31),0,'Overzicht Vol &amp; Tar AD'!G31)</f>
        <v>24.2</v>
      </c>
      <c r="H31" s="876">
        <f>IF(ISERROR('Overzicht Vol &amp; Tar AD'!H31),0,'Overzicht Vol &amp; Tar AD'!H31)</f>
        <v>30.917757575757577</v>
      </c>
      <c r="I31" s="876">
        <f>IF(ISERROR('Overzicht Vol &amp; Tar AD'!I31),0,'Overzicht Vol &amp; Tar AD'!I31)</f>
        <v>41.49341402929921</v>
      </c>
      <c r="J31" s="876">
        <f>IF(ISERROR('Overzicht Vol &amp; Tar AD'!J31),0,'Overzicht Vol &amp; Tar AD'!J31)</f>
        <v>22</v>
      </c>
      <c r="K31" s="876">
        <f>IF(ISERROR('Overzicht Vol &amp; Tar AD'!K31),0,'Overzicht Vol &amp; Tar AD'!K31)</f>
        <v>29.709231775002667</v>
      </c>
      <c r="L31" s="876">
        <f>IF(ISERROR('Overzicht Vol &amp; Tar AD'!L31),0,'Overzicht Vol &amp; Tar AD'!L31)</f>
        <v>27.327407407407406</v>
      </c>
      <c r="M31" s="876">
        <f>IF(ISERROR('Overzicht Vol &amp; Tar AD'!M31),0,'Overzicht Vol &amp; Tar AD'!M31)</f>
        <v>30.880147554505786</v>
      </c>
      <c r="N31" s="876">
        <f>IF(ISERROR('Overzicht Vol &amp; Tar AD'!N31),0,'Overzicht Vol &amp; Tar AD'!N31)</f>
        <v>29.903568607247124</v>
      </c>
    </row>
    <row r="32" spans="1:14">
      <c r="A32" s="66"/>
      <c r="B32" s="222" t="s">
        <v>255</v>
      </c>
      <c r="C32" s="59"/>
      <c r="D32" s="59" t="s">
        <v>334</v>
      </c>
      <c r="E32" s="67"/>
      <c r="F32" s="23"/>
      <c r="G32" s="876">
        <f>IF(ISERROR('Overzicht Vol &amp; Tar AD'!G32),0,'Overzicht Vol &amp; Tar AD'!G32)</f>
        <v>42.664182655637397</v>
      </c>
      <c r="H32" s="876">
        <f>IF(ISERROR('Overzicht Vol &amp; Tar AD'!H32),0,'Overzicht Vol &amp; Tar AD'!H32)</f>
        <v>51.217625114934982</v>
      </c>
      <c r="I32" s="876">
        <f>IF(ISERROR('Overzicht Vol &amp; Tar AD'!I32),0,'Overzicht Vol &amp; Tar AD'!I32)</f>
        <v>58.053020692322562</v>
      </c>
      <c r="J32" s="876">
        <f>IF(ISERROR('Overzicht Vol &amp; Tar AD'!J32),0,'Overzicht Vol &amp; Tar AD'!J32)</f>
        <v>32.891843967542812</v>
      </c>
      <c r="K32" s="876">
        <f>IF(ISERROR('Overzicht Vol &amp; Tar AD'!K32),0,'Overzicht Vol &amp; Tar AD'!K32)</f>
        <v>62.653204945759938</v>
      </c>
      <c r="L32" s="876">
        <f>IF(ISERROR('Overzicht Vol &amp; Tar AD'!L32),0,'Overzicht Vol &amp; Tar AD'!L32)</f>
        <v>45.506176046176044</v>
      </c>
      <c r="M32" s="876">
        <f>IF(ISERROR('Overzicht Vol &amp; Tar AD'!M32),0,'Overzicht Vol &amp; Tar AD'!M32)</f>
        <v>53.814533210860375</v>
      </c>
      <c r="N32" s="876">
        <f>IF(ISERROR('Overzicht Vol &amp; Tar AD'!N32),0,'Overzicht Vol &amp; Tar AD'!N32)</f>
        <v>80.586181254841222</v>
      </c>
    </row>
    <row r="33" spans="1:67">
      <c r="A33" s="66"/>
      <c r="B33" s="222" t="s">
        <v>254</v>
      </c>
      <c r="C33" s="59"/>
      <c r="D33" s="59" t="s">
        <v>334</v>
      </c>
      <c r="E33" s="67"/>
      <c r="F33" s="23"/>
      <c r="G33" s="876">
        <f>IF(ISERROR('Overzicht Vol &amp; Tar AD'!G33),0,'Overzicht Vol &amp; Tar AD'!G33)</f>
        <v>0</v>
      </c>
      <c r="H33" s="876">
        <f>IF(ISERROR('Overzicht Vol &amp; Tar AD'!H33),0,'Overzicht Vol &amp; Tar AD'!H33)</f>
        <v>120.2580426298409</v>
      </c>
      <c r="I33" s="876">
        <f>IF(ISERROR('Overzicht Vol &amp; Tar AD'!I33),0,'Overzicht Vol &amp; Tar AD'!I33)</f>
        <v>0</v>
      </c>
      <c r="J33" s="876">
        <f>IF(ISERROR('Overzicht Vol &amp; Tar AD'!J33),0,'Overzicht Vol &amp; Tar AD'!J33)</f>
        <v>107.72320849559387</v>
      </c>
      <c r="K33" s="876">
        <f>IF(ISERROR('Overzicht Vol &amp; Tar AD'!K33),0,'Overzicht Vol &amp; Tar AD'!K33)</f>
        <v>135.04774497722269</v>
      </c>
      <c r="L33" s="876">
        <f>IF(ISERROR('Overzicht Vol &amp; Tar AD'!L33),0,'Overzicht Vol &amp; Tar AD'!L33)</f>
        <v>0</v>
      </c>
      <c r="M33" s="876">
        <f>IF(ISERROR('Overzicht Vol &amp; Tar AD'!M33),0,'Overzicht Vol &amp; Tar AD'!M33)</f>
        <v>147.54096842427572</v>
      </c>
      <c r="N33" s="876">
        <f>IF(ISERROR('Overzicht Vol &amp; Tar AD'!N33),0,'Overzicht Vol &amp; Tar AD'!N33)</f>
        <v>147.93595425496011</v>
      </c>
    </row>
    <row r="34" spans="1:67">
      <c r="A34" s="66"/>
      <c r="B34" s="214"/>
      <c r="C34" s="59"/>
      <c r="D34" s="67"/>
      <c r="E34" s="67"/>
      <c r="F34" s="67"/>
      <c r="G34" s="67"/>
      <c r="H34" s="67"/>
      <c r="I34" s="67"/>
      <c r="J34" s="67"/>
      <c r="K34" s="67"/>
      <c r="L34" s="67"/>
      <c r="M34" s="67"/>
      <c r="N34" s="67"/>
    </row>
    <row r="35" spans="1:67">
      <c r="A35" s="66"/>
      <c r="B35" s="214"/>
      <c r="C35" s="59"/>
      <c r="D35" s="67"/>
      <c r="E35" s="67"/>
      <c r="F35" s="67"/>
      <c r="G35" s="67"/>
      <c r="H35" s="67"/>
      <c r="I35" s="67"/>
      <c r="J35" s="67"/>
      <c r="K35" s="67"/>
      <c r="L35" s="67"/>
      <c r="M35" s="67"/>
      <c r="N35" s="67"/>
    </row>
    <row r="36" spans="1:67">
      <c r="A36" s="64"/>
      <c r="B36" s="205" t="s">
        <v>4</v>
      </c>
      <c r="C36" s="65"/>
      <c r="D36" s="65"/>
      <c r="E36" s="65"/>
      <c r="F36" s="65"/>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row>
    <row r="37" spans="1:67">
      <c r="A37" s="60"/>
      <c r="B37" s="207"/>
      <c r="C37" s="59"/>
      <c r="D37" s="59"/>
      <c r="E37" s="59"/>
      <c r="F37" s="59"/>
      <c r="G37" s="60"/>
      <c r="H37" s="60"/>
      <c r="I37" s="60"/>
      <c r="J37" s="60"/>
      <c r="K37" s="60"/>
      <c r="L37" s="60"/>
      <c r="M37" s="60"/>
      <c r="N37" s="60"/>
    </row>
    <row r="38" spans="1:67">
      <c r="A38" s="66"/>
      <c r="B38" s="206" t="s">
        <v>922</v>
      </c>
      <c r="C38" s="60"/>
      <c r="D38" s="60"/>
      <c r="E38" s="60"/>
      <c r="F38" s="23"/>
      <c r="G38" s="23"/>
      <c r="H38"/>
      <c r="I38"/>
      <c r="J38" s="23"/>
      <c r="K38"/>
      <c r="L38"/>
      <c r="M38"/>
      <c r="N38"/>
    </row>
    <row r="39" spans="1:67">
      <c r="A39" s="66"/>
      <c r="B39" s="214" t="s">
        <v>251</v>
      </c>
      <c r="C39" s="59"/>
      <c r="D39" s="59" t="s">
        <v>164</v>
      </c>
      <c r="E39" s="59"/>
      <c r="F39" s="90">
        <f>SUM(G39:N39)</f>
        <v>2599135.7652255008</v>
      </c>
      <c r="G39" s="211">
        <f>IF(ISERROR('Overzicht Vol &amp; Tar AD'!G39),0,'Overzicht Vol &amp; Tar AD'!G39)</f>
        <v>22611</v>
      </c>
      <c r="H39" s="211">
        <f>IF(ISERROR('Overzicht Vol &amp; Tar AD'!H39),0,'Overzicht Vol &amp; Tar AD'!H39)</f>
        <v>84946</v>
      </c>
      <c r="I39" s="211">
        <f>IF(ISERROR('Overzicht Vol &amp; Tar AD'!I39),0,'Overzicht Vol &amp; Tar AD'!I39)</f>
        <v>44297.611249095964</v>
      </c>
      <c r="J39" s="211">
        <f>IF(ISERROR('Overzicht Vol &amp; Tar AD'!J39),0,'Overzicht Vol &amp; Tar AD'!J39)</f>
        <v>1062638.4827764828</v>
      </c>
      <c r="K39" s="211">
        <f>IF(ISERROR('Overzicht Vol &amp; Tar AD'!K39),0,'Overzicht Vol &amp; Tar AD'!K39)</f>
        <v>772155.88484414713</v>
      </c>
      <c r="L39" s="211">
        <f>IF(ISERROR('Overzicht Vol &amp; Tar AD'!L39),0,'Overzicht Vol &amp; Tar AD'!L39)</f>
        <v>18103</v>
      </c>
      <c r="M39" s="211">
        <f>IF(ISERROR('Overzicht Vol &amp; Tar AD'!M39),0,'Overzicht Vol &amp; Tar AD'!M39)</f>
        <v>569974.51022146514</v>
      </c>
      <c r="N39" s="211">
        <f>IF(ISERROR('Overzicht Vol &amp; Tar AD'!N39),0,'Overzicht Vol &amp; Tar AD'!N39)</f>
        <v>24409.276134309901</v>
      </c>
    </row>
    <row r="40" spans="1:67">
      <c r="A40" s="66"/>
      <c r="B40" s="214" t="s">
        <v>252</v>
      </c>
      <c r="C40" s="59"/>
      <c r="D40" s="59" t="s">
        <v>164</v>
      </c>
      <c r="E40" s="59"/>
      <c r="F40" s="90">
        <f t="shared" ref="F40:F46" si="0">SUM(G40:N40)</f>
        <v>7393419.2320577297</v>
      </c>
      <c r="G40" s="211">
        <f>IF(ISERROR('Overzicht Vol &amp; Tar AD'!G40),0,'Overzicht Vol &amp; Tar AD'!G40)</f>
        <v>50302</v>
      </c>
      <c r="H40" s="211">
        <f>IF(ISERROR('Overzicht Vol &amp; Tar AD'!H40),0,'Overzicht Vol &amp; Tar AD'!H40)</f>
        <v>194449.583499812</v>
      </c>
      <c r="I40" s="211">
        <f>IF(ISERROR('Overzicht Vol &amp; Tar AD'!I40),0,'Overzicht Vol &amp; Tar AD'!I40)</f>
        <v>99259.075222358428</v>
      </c>
      <c r="J40" s="211">
        <f>IF(ISERROR('Overzicht Vol &amp; Tar AD'!J40),0,'Overzicht Vol &amp; Tar AD'!J40)</f>
        <v>2405372.5004237108</v>
      </c>
      <c r="K40" s="211">
        <f>IF(ISERROR('Overzicht Vol &amp; Tar AD'!K40),0,'Overzicht Vol &amp; Tar AD'!K40)</f>
        <v>2710320.165338486</v>
      </c>
      <c r="L40" s="211">
        <f>IF(ISERROR('Overzicht Vol &amp; Tar AD'!L40),0,'Overzicht Vol &amp; Tar AD'!L40)</f>
        <v>29669</v>
      </c>
      <c r="M40" s="211">
        <f>IF(ISERROR('Overzicht Vol &amp; Tar AD'!M40),0,'Overzicht Vol &amp; Tar AD'!M40)</f>
        <v>1855895.1818693695</v>
      </c>
      <c r="N40" s="211">
        <f>IF(ISERROR('Overzicht Vol &amp; Tar AD'!N40),0,'Overzicht Vol &amp; Tar AD'!N40)</f>
        <v>48151.725703993958</v>
      </c>
    </row>
    <row r="41" spans="1:67">
      <c r="A41" s="66"/>
      <c r="B41" s="214" t="s">
        <v>253</v>
      </c>
      <c r="C41" s="59"/>
      <c r="D41" s="59" t="s">
        <v>164</v>
      </c>
      <c r="E41" s="59"/>
      <c r="F41" s="90">
        <f t="shared" si="0"/>
        <v>335820.35252698883</v>
      </c>
      <c r="G41" s="211">
        <f>IF(ISERROR('Overzicht Vol &amp; Tar AD'!G41),0,'Overzicht Vol &amp; Tar AD'!G41)</f>
        <v>1651</v>
      </c>
      <c r="H41" s="211">
        <f>IF(ISERROR('Overzicht Vol &amp; Tar AD'!H41),0,'Overzicht Vol &amp; Tar AD'!H41)</f>
        <v>8433.4998335217369</v>
      </c>
      <c r="I41" s="211">
        <f>IF(ISERROR('Overzicht Vol &amp; Tar AD'!I41),0,'Overzicht Vol &amp; Tar AD'!I41)</f>
        <v>3388.0081076405322</v>
      </c>
      <c r="J41" s="211">
        <f>IF(ISERROR('Overzicht Vol &amp; Tar AD'!J41),0,'Overzicht Vol &amp; Tar AD'!J41)</f>
        <v>123839.80029904845</v>
      </c>
      <c r="K41" s="211">
        <f>IF(ISERROR('Overzicht Vol &amp; Tar AD'!K41),0,'Overzicht Vol &amp; Tar AD'!K41)</f>
        <v>113123.63377086108</v>
      </c>
      <c r="L41" s="211">
        <f>IF(ISERROR('Overzicht Vol &amp; Tar AD'!L41),0,'Overzicht Vol &amp; Tar AD'!L41)</f>
        <v>1213</v>
      </c>
      <c r="M41" s="211">
        <f>IF(ISERROR('Overzicht Vol &amp; Tar AD'!M41),0,'Overzicht Vol &amp; Tar AD'!M41)</f>
        <v>80422.636313465773</v>
      </c>
      <c r="N41" s="211">
        <f>IF(ISERROR('Overzicht Vol &amp; Tar AD'!N41),0,'Overzicht Vol &amp; Tar AD'!N41)</f>
        <v>3748.7742024512377</v>
      </c>
    </row>
    <row r="42" spans="1:67">
      <c r="A42" s="66"/>
      <c r="B42" s="214" t="s">
        <v>255</v>
      </c>
      <c r="C42" s="59"/>
      <c r="D42" s="59" t="s">
        <v>164</v>
      </c>
      <c r="E42" s="59"/>
      <c r="F42" s="90">
        <f t="shared" si="0"/>
        <v>38535.175592690546</v>
      </c>
      <c r="G42" s="211">
        <f>IF(ISERROR('Overzicht Vol &amp; Tar AD'!G42),0,'Overzicht Vol &amp; Tar AD'!G42)</f>
        <v>305</v>
      </c>
      <c r="H42" s="211">
        <f>IF(ISERROR('Overzicht Vol &amp; Tar AD'!H42),0,'Overzicht Vol &amp; Tar AD'!H42)</f>
        <v>1444.9166666666665</v>
      </c>
      <c r="I42" s="211">
        <f>IF(ISERROR('Overzicht Vol &amp; Tar AD'!I42),0,'Overzicht Vol &amp; Tar AD'!I42)</f>
        <v>657.62311298566942</v>
      </c>
      <c r="J42" s="211">
        <f>IF(ISERROR('Overzicht Vol &amp; Tar AD'!J42),0,'Overzicht Vol &amp; Tar AD'!J42)</f>
        <v>12070.145313782992</v>
      </c>
      <c r="K42" s="211">
        <f>IF(ISERROR('Overzicht Vol &amp; Tar AD'!K42),0,'Overzicht Vol &amp; Tar AD'!K42)</f>
        <v>13284.360666666664</v>
      </c>
      <c r="L42" s="211">
        <f>IF(ISERROR('Overzicht Vol &amp; Tar AD'!L42),0,'Overzicht Vol &amp; Tar AD'!L42)</f>
        <v>122.1</v>
      </c>
      <c r="M42" s="211">
        <f>IF(ISERROR('Overzicht Vol &amp; Tar AD'!M42),0,'Overzicht Vol &amp; Tar AD'!M42)</f>
        <v>9659.6666666666661</v>
      </c>
      <c r="N42" s="211">
        <f>IF(ISERROR('Overzicht Vol &amp; Tar AD'!N42),0,'Overzicht Vol &amp; Tar AD'!N42)</f>
        <v>991.36316592188712</v>
      </c>
      <c r="R42" s="167"/>
    </row>
    <row r="43" spans="1:67">
      <c r="A43" s="66"/>
      <c r="B43" s="214" t="s">
        <v>261</v>
      </c>
      <c r="C43" s="59"/>
      <c r="D43" s="59" t="s">
        <v>164</v>
      </c>
      <c r="E43" s="59"/>
      <c r="F43" s="90">
        <f t="shared" si="0"/>
        <v>32181.100331611829</v>
      </c>
      <c r="G43" s="211">
        <f>IF(ISERROR('Overzicht Vol &amp; Tar AD'!G43),0,'Overzicht Vol &amp; Tar AD'!G43)</f>
        <v>239</v>
      </c>
      <c r="H43" s="211">
        <f>IF(ISERROR('Overzicht Vol &amp; Tar AD'!H43),0,'Overzicht Vol &amp; Tar AD'!H43)</f>
        <v>400.75000000000006</v>
      </c>
      <c r="I43" s="211">
        <f>IF(ISERROR('Overzicht Vol &amp; Tar AD'!I43),0,'Overzicht Vol &amp; Tar AD'!I43)</f>
        <v>583.941782793161</v>
      </c>
      <c r="J43" s="211">
        <f>IF(ISERROR('Overzicht Vol &amp; Tar AD'!J43),0,'Overzicht Vol &amp; Tar AD'!J43)</f>
        <v>14023.152449822903</v>
      </c>
      <c r="K43" s="211">
        <f>IF(ISERROR('Overzicht Vol &amp; Tar AD'!K43),0,'Overzicht Vol &amp; Tar AD'!K43)</f>
        <v>12598.80244914216</v>
      </c>
      <c r="L43" s="211">
        <f>IF(ISERROR('Overzicht Vol &amp; Tar AD'!L43),0,'Overzicht Vol &amp; Tar AD'!L43)</f>
        <v>151.79</v>
      </c>
      <c r="M43" s="211">
        <f>IF(ISERROR('Overzicht Vol &amp; Tar AD'!M43),0,'Overzicht Vol &amp; Tar AD'!M43)</f>
        <v>3828.75</v>
      </c>
      <c r="N43" s="211">
        <f>IF(ISERROR('Overzicht Vol &amp; Tar AD'!N43),0,'Overzicht Vol &amp; Tar AD'!N43)</f>
        <v>354.91364985360326</v>
      </c>
      <c r="R43" s="167"/>
    </row>
    <row r="44" spans="1:67">
      <c r="A44" s="66"/>
      <c r="B44" s="214" t="s">
        <v>262</v>
      </c>
      <c r="C44" s="59"/>
      <c r="D44" s="59" t="s">
        <v>164</v>
      </c>
      <c r="E44" s="59"/>
      <c r="F44" s="90">
        <f t="shared" si="0"/>
        <v>1258.6524381271556</v>
      </c>
      <c r="G44" s="211">
        <f>IF(ISERROR('Overzicht Vol &amp; Tar AD'!G44),0,'Overzicht Vol &amp; Tar AD'!G44)</f>
        <v>0</v>
      </c>
      <c r="H44" s="211">
        <f>IF(ISERROR('Overzicht Vol &amp; Tar AD'!H44),0,'Overzicht Vol &amp; Tar AD'!H44)</f>
        <v>10</v>
      </c>
      <c r="I44" s="211">
        <f>IF(ISERROR('Overzicht Vol &amp; Tar AD'!I44),0,'Overzicht Vol &amp; Tar AD'!I44)</f>
        <v>4.9887021837756249</v>
      </c>
      <c r="J44" s="211">
        <f>IF(ISERROR('Overzicht Vol &amp; Tar AD'!J44),0,'Overzicht Vol &amp; Tar AD'!J44)</f>
        <v>832.50023573374381</v>
      </c>
      <c r="K44" s="211">
        <f>IF(ISERROR('Overzicht Vol &amp; Tar AD'!K44),0,'Overzicht Vol &amp; Tar AD'!K44)</f>
        <v>192.98944704263889</v>
      </c>
      <c r="L44" s="211">
        <f>IF(ISERROR('Overzicht Vol &amp; Tar AD'!L44),0,'Overzicht Vol &amp; Tar AD'!L44)</f>
        <v>1</v>
      </c>
      <c r="M44" s="211">
        <f>IF(ISERROR('Overzicht Vol &amp; Tar AD'!M44),0,'Overzicht Vol &amp; Tar AD'!M44)</f>
        <v>188.35875217850207</v>
      </c>
      <c r="N44" s="211">
        <f>IF(ISERROR('Overzicht Vol &amp; Tar AD'!N44),0,'Overzicht Vol &amp; Tar AD'!N44)</f>
        <v>28.815300988495299</v>
      </c>
      <c r="R44" s="167"/>
    </row>
    <row r="45" spans="1:67">
      <c r="A45" s="66"/>
      <c r="B45" s="214"/>
      <c r="C45" s="59"/>
      <c r="D45" s="59"/>
      <c r="E45" s="59"/>
      <c r="F45" s="91"/>
      <c r="G45" s="91"/>
      <c r="H45" s="69"/>
      <c r="I45" s="69"/>
      <c r="J45" s="91"/>
      <c r="K45" s="69"/>
      <c r="L45" s="69"/>
      <c r="M45" s="69"/>
      <c r="N45" s="69"/>
    </row>
    <row r="46" spans="1:67">
      <c r="A46" s="66"/>
      <c r="B46" s="214" t="s">
        <v>1096</v>
      </c>
      <c r="C46" s="59"/>
      <c r="D46" s="59" t="s">
        <v>164</v>
      </c>
      <c r="E46" s="59"/>
      <c r="F46" s="90">
        <f t="shared" si="0"/>
        <v>1263145.2737533427</v>
      </c>
      <c r="G46" s="211">
        <f>IF(ISERROR('Overzicht Vol &amp; Tar AD'!G46),0,'Overzicht Vol &amp; Tar AD'!G46)</f>
        <v>0</v>
      </c>
      <c r="H46" s="211">
        <f>IF(ISERROR('Overzicht Vol &amp; Tar AD'!H46),0,'Overzicht Vol &amp; Tar AD'!H46)</f>
        <v>146306</v>
      </c>
      <c r="I46" s="211">
        <f>IF(ISERROR('Overzicht Vol &amp; Tar AD'!I46),0,'Overzicht Vol &amp; Tar AD'!I46)</f>
        <v>2834.9933333333333</v>
      </c>
      <c r="J46" s="211">
        <f>IF(ISERROR('Overzicht Vol &amp; Tar AD'!J46),0,'Overzicht Vol &amp; Tar AD'!J46)</f>
        <v>200840.48307220018</v>
      </c>
      <c r="K46" s="211">
        <f>IF(ISERROR('Overzicht Vol &amp; Tar AD'!K46),0,'Overzicht Vol &amp; Tar AD'!K46)</f>
        <v>766153.79734780919</v>
      </c>
      <c r="L46" s="211">
        <f>IF(ISERROR('Overzicht Vol &amp; Tar AD'!L46),0,'Overzicht Vol &amp; Tar AD'!L46)</f>
        <v>5615</v>
      </c>
      <c r="M46" s="211">
        <f>IF(ISERROR('Overzicht Vol &amp; Tar AD'!M46),0,'Overzicht Vol &amp; Tar AD'!M46)</f>
        <v>139095</v>
      </c>
      <c r="N46" s="211">
        <f>IF(ISERROR('Overzicht Vol &amp; Tar AD'!N46),0,'Overzicht Vol &amp; Tar AD'!N46)</f>
        <v>2300</v>
      </c>
    </row>
    <row r="47" spans="1:67">
      <c r="A47" s="66"/>
      <c r="B47" s="214"/>
      <c r="C47" s="59"/>
      <c r="D47" s="59"/>
      <c r="E47" s="59"/>
      <c r="F47" s="91"/>
      <c r="G47" s="91"/>
      <c r="H47" s="69"/>
      <c r="I47" s="69"/>
      <c r="J47" s="91"/>
      <c r="K47" s="69"/>
      <c r="L47" s="69"/>
      <c r="M47" s="69"/>
      <c r="N47" s="69"/>
    </row>
    <row r="48" spans="1:67">
      <c r="A48" s="66"/>
      <c r="B48" s="206" t="s">
        <v>923</v>
      </c>
      <c r="C48" s="60"/>
      <c r="D48" s="59"/>
      <c r="E48" s="59"/>
      <c r="F48" s="91"/>
      <c r="G48" s="91"/>
      <c r="H48" s="69"/>
      <c r="I48" s="69"/>
      <c r="J48" s="91"/>
      <c r="K48" s="69"/>
      <c r="L48" s="69"/>
      <c r="M48" s="69"/>
      <c r="N48" s="69"/>
    </row>
    <row r="49" spans="1:67">
      <c r="A49" s="66"/>
      <c r="B49" s="206" t="s">
        <v>328</v>
      </c>
      <c r="C49" s="59"/>
      <c r="D49" s="59"/>
      <c r="E49" s="60"/>
      <c r="F49" s="91"/>
      <c r="G49" s="91"/>
      <c r="H49" s="69"/>
      <c r="I49" s="69"/>
      <c r="J49" s="91"/>
      <c r="K49" s="69"/>
      <c r="L49" s="69"/>
      <c r="M49" s="69"/>
      <c r="N49" s="69"/>
    </row>
    <row r="50" spans="1:67">
      <c r="A50" s="66"/>
      <c r="B50" s="222" t="s">
        <v>251</v>
      </c>
      <c r="C50" s="59"/>
      <c r="D50" s="59" t="s">
        <v>164</v>
      </c>
      <c r="E50" s="67"/>
      <c r="F50" s="90">
        <f>SUM(G50:N50)</f>
        <v>59238.957447690031</v>
      </c>
      <c r="G50" s="211">
        <f>IF(ISERROR('Overzicht Vol &amp; Tar AD'!G50),0,'Overzicht Vol &amp; Tar AD'!G50)</f>
        <v>541.60681758540704</v>
      </c>
      <c r="H50" s="211">
        <f>IF(ISERROR('Overzicht Vol &amp; Tar AD'!H50),0,'Overzicht Vol &amp; Tar AD'!H50)</f>
        <v>1360</v>
      </c>
      <c r="I50" s="211">
        <f>IF(ISERROR('Overzicht Vol &amp; Tar AD'!I50),0,'Overzicht Vol &amp; Tar AD'!I50)</f>
        <v>22</v>
      </c>
      <c r="J50" s="211">
        <f>IF(ISERROR('Overzicht Vol &amp; Tar AD'!J50),0,'Overzicht Vol &amp; Tar AD'!J50)</f>
        <v>29519.469354838711</v>
      </c>
      <c r="K50" s="211">
        <f>IF(ISERROR('Overzicht Vol &amp; Tar AD'!K50),0,'Overzicht Vol &amp; Tar AD'!K50)</f>
        <v>10610</v>
      </c>
      <c r="L50" s="211">
        <f>IF(ISERROR('Overzicht Vol &amp; Tar AD'!L50),0,'Overzicht Vol &amp; Tar AD'!L50)</f>
        <v>309</v>
      </c>
      <c r="M50" s="211">
        <f>IF(ISERROR('Overzicht Vol &amp; Tar AD'!M50),0,'Overzicht Vol &amp; Tar AD'!M50)</f>
        <v>16420.881275265918</v>
      </c>
      <c r="N50" s="211">
        <f>IF(ISERROR('Overzicht Vol &amp; Tar AD'!N50),0,'Overzicht Vol &amp; Tar AD'!N50)</f>
        <v>456</v>
      </c>
    </row>
    <row r="51" spans="1:67">
      <c r="A51" s="66"/>
      <c r="B51" s="222" t="s">
        <v>252</v>
      </c>
      <c r="C51" s="59"/>
      <c r="D51" s="59" t="s">
        <v>164</v>
      </c>
      <c r="E51" s="67"/>
      <c r="F51" s="90">
        <f>SUM(G51:N51)</f>
        <v>104295.69008030114</v>
      </c>
      <c r="G51" s="211">
        <f>IF(ISERROR('Overzicht Vol &amp; Tar AD'!G51),0,'Overzicht Vol &amp; Tar AD'!G51)</f>
        <v>658.00028046380021</v>
      </c>
      <c r="H51" s="211">
        <f>IF(ISERROR('Overzicht Vol &amp; Tar AD'!H51),0,'Overzicht Vol &amp; Tar AD'!H51)</f>
        <v>1868</v>
      </c>
      <c r="I51" s="211">
        <f>IF(ISERROR('Overzicht Vol &amp; Tar AD'!I51),0,'Overzicht Vol &amp; Tar AD'!I51)</f>
        <v>1781</v>
      </c>
      <c r="J51" s="211">
        <f>IF(ISERROR('Overzicht Vol &amp; Tar AD'!J51),0,'Overzicht Vol &amp; Tar AD'!J51)</f>
        <v>30436.479815126051</v>
      </c>
      <c r="K51" s="211">
        <f>IF(ISERROR('Overzicht Vol &amp; Tar AD'!K51),0,'Overzicht Vol &amp; Tar AD'!K51)</f>
        <v>36285</v>
      </c>
      <c r="L51" s="211">
        <f>IF(ISERROR('Overzicht Vol &amp; Tar AD'!L51),0,'Overzicht Vol &amp; Tar AD'!L51)</f>
        <v>315</v>
      </c>
      <c r="M51" s="211">
        <f>IF(ISERROR('Overzicht Vol &amp; Tar AD'!M51),0,'Overzicht Vol &amp; Tar AD'!M51)</f>
        <v>32022.209984711284</v>
      </c>
      <c r="N51" s="211">
        <f>IF(ISERROR('Overzicht Vol &amp; Tar AD'!N51),0,'Overzicht Vol &amp; Tar AD'!N51)</f>
        <v>930</v>
      </c>
    </row>
    <row r="52" spans="1:67">
      <c r="A52" s="66"/>
      <c r="B52" s="222" t="s">
        <v>253</v>
      </c>
      <c r="C52" s="59"/>
      <c r="D52" s="59" t="s">
        <v>164</v>
      </c>
      <c r="E52" s="67"/>
      <c r="F52" s="90">
        <f>SUM(G52:N52)</f>
        <v>10198.790775145084</v>
      </c>
      <c r="G52" s="211">
        <f>IF(ISERROR('Overzicht Vol &amp; Tar AD'!G52),0,'Overzicht Vol &amp; Tar AD'!G52)</f>
        <v>48.679241016142406</v>
      </c>
      <c r="H52" s="211">
        <f>IF(ISERROR('Overzicht Vol &amp; Tar AD'!H52),0,'Overzicht Vol &amp; Tar AD'!H52)</f>
        <v>204</v>
      </c>
      <c r="I52" s="211">
        <f>IF(ISERROR('Overzicht Vol &amp; Tar AD'!I52),0,'Overzicht Vol &amp; Tar AD'!I52)</f>
        <v>217</v>
      </c>
      <c r="J52" s="211">
        <f>IF(ISERROR('Overzicht Vol &amp; Tar AD'!J52),0,'Overzicht Vol &amp; Tar AD'!J52)</f>
        <v>3256.7349041259718</v>
      </c>
      <c r="K52" s="211">
        <f>IF(ISERROR('Overzicht Vol &amp; Tar AD'!K52),0,'Overzicht Vol &amp; Tar AD'!K52)</f>
        <v>3507</v>
      </c>
      <c r="L52" s="211">
        <f>IF(ISERROR('Overzicht Vol &amp; Tar AD'!L52),0,'Overzicht Vol &amp; Tar AD'!L52)</f>
        <v>51</v>
      </c>
      <c r="M52" s="211">
        <f>IF(ISERROR('Overzicht Vol &amp; Tar AD'!M52),0,'Overzicht Vol &amp; Tar AD'!M52)</f>
        <v>2806.3766300029688</v>
      </c>
      <c r="N52" s="211">
        <f>IF(ISERROR('Overzicht Vol &amp; Tar AD'!N52),0,'Overzicht Vol &amp; Tar AD'!N52)</f>
        <v>108</v>
      </c>
    </row>
    <row r="53" spans="1:67">
      <c r="A53" s="66"/>
      <c r="B53" s="222" t="s">
        <v>255</v>
      </c>
      <c r="C53" s="59"/>
      <c r="D53" s="59" t="s">
        <v>164</v>
      </c>
      <c r="E53" s="67"/>
      <c r="F53" s="90">
        <f>SUM(G53:N53)</f>
        <v>2941.6808011689304</v>
      </c>
      <c r="G53" s="211">
        <f>IF(ISERROR('Overzicht Vol &amp; Tar AD'!G53),0,'Overzicht Vol &amp; Tar AD'!G53)</f>
        <v>16.998934134863916</v>
      </c>
      <c r="H53" s="211">
        <f>IF(ISERROR('Overzicht Vol &amp; Tar AD'!H53),0,'Overzicht Vol &amp; Tar AD'!H53)</f>
        <v>49</v>
      </c>
      <c r="I53" s="211">
        <f>IF(ISERROR('Overzicht Vol &amp; Tar AD'!I53),0,'Overzicht Vol &amp; Tar AD'!I53)</f>
        <v>55</v>
      </c>
      <c r="J53" s="211">
        <f>IF(ISERROR('Overzicht Vol &amp; Tar AD'!J53),0,'Overzicht Vol &amp; Tar AD'!J53)</f>
        <v>1273.0186849884831</v>
      </c>
      <c r="K53" s="211">
        <f>IF(ISERROR('Overzicht Vol &amp; Tar AD'!K53),0,'Overzicht Vol &amp; Tar AD'!K53)</f>
        <v>628</v>
      </c>
      <c r="L53" s="211">
        <f>IF(ISERROR('Overzicht Vol &amp; Tar AD'!L53),0,'Overzicht Vol &amp; Tar AD'!L53)</f>
        <v>9</v>
      </c>
      <c r="M53" s="211">
        <f>IF(ISERROR('Overzicht Vol &amp; Tar AD'!M53),0,'Overzicht Vol &amp; Tar AD'!M53)</f>
        <v>870.66318204558354</v>
      </c>
      <c r="N53" s="211">
        <f>IF(ISERROR('Overzicht Vol &amp; Tar AD'!N53),0,'Overzicht Vol &amp; Tar AD'!N53)</f>
        <v>40</v>
      </c>
    </row>
    <row r="54" spans="1:67">
      <c r="A54" s="66"/>
      <c r="B54" s="222" t="s">
        <v>254</v>
      </c>
      <c r="C54" s="59"/>
      <c r="D54" s="59" t="s">
        <v>164</v>
      </c>
      <c r="E54" s="67"/>
      <c r="F54" s="90">
        <f>SUM(G54:N54)</f>
        <v>454.67887728359926</v>
      </c>
      <c r="G54" s="211">
        <f>IF(ISERROR('Overzicht Vol &amp; Tar AD'!G54),0,'Overzicht Vol &amp; Tar AD'!G54)</f>
        <v>0</v>
      </c>
      <c r="H54" s="211">
        <f>IF(ISERROR('Overzicht Vol &amp; Tar AD'!H54),0,'Overzicht Vol &amp; Tar AD'!H54)</f>
        <v>11</v>
      </c>
      <c r="I54" s="211">
        <f>IF(ISERROR('Overzicht Vol &amp; Tar AD'!I54),0,'Overzicht Vol &amp; Tar AD'!I54)</f>
        <v>1</v>
      </c>
      <c r="J54" s="211">
        <f>IF(ISERROR('Overzicht Vol &amp; Tar AD'!J54),0,'Overzicht Vol &amp; Tar AD'!J54)</f>
        <v>217.89759846545434</v>
      </c>
      <c r="K54" s="211">
        <f>IF(ISERROR('Overzicht Vol &amp; Tar AD'!K54),0,'Overzicht Vol &amp; Tar AD'!K54)</f>
        <v>85</v>
      </c>
      <c r="L54" s="211">
        <f>IF(ISERROR('Overzicht Vol &amp; Tar AD'!L54),0,'Overzicht Vol &amp; Tar AD'!L54)</f>
        <v>0</v>
      </c>
      <c r="M54" s="211">
        <f>IF(ISERROR('Overzicht Vol &amp; Tar AD'!M54),0,'Overzicht Vol &amp; Tar AD'!M54)</f>
        <v>116.7812788181449</v>
      </c>
      <c r="N54" s="211">
        <f>IF(ISERROR('Overzicht Vol &amp; Tar AD'!N54),0,'Overzicht Vol &amp; Tar AD'!N54)</f>
        <v>23</v>
      </c>
    </row>
    <row r="55" spans="1:67">
      <c r="A55" s="66"/>
      <c r="B55" s="214"/>
      <c r="C55" s="59"/>
      <c r="D55" s="59"/>
      <c r="E55" s="59"/>
      <c r="F55" s="91"/>
      <c r="G55" s="91"/>
      <c r="H55" s="91"/>
      <c r="I55" s="91"/>
      <c r="J55" s="91"/>
      <c r="K55" s="91"/>
      <c r="L55" s="91"/>
      <c r="M55" s="91"/>
      <c r="N55" s="91"/>
    </row>
    <row r="56" spans="1:67">
      <c r="A56" s="66"/>
      <c r="B56" s="206" t="s">
        <v>329</v>
      </c>
      <c r="C56" s="59"/>
      <c r="D56" s="59"/>
      <c r="E56" s="60"/>
      <c r="F56" s="91"/>
      <c r="G56" s="91"/>
      <c r="H56" s="91"/>
      <c r="I56" s="91"/>
      <c r="J56" s="91"/>
      <c r="K56" s="91"/>
      <c r="L56" s="91"/>
      <c r="M56" s="91"/>
      <c r="N56" s="91"/>
    </row>
    <row r="57" spans="1:67">
      <c r="A57" s="66"/>
      <c r="B57" s="222" t="s">
        <v>251</v>
      </c>
      <c r="C57" s="59"/>
      <c r="D57" s="59" t="s">
        <v>164</v>
      </c>
      <c r="E57" s="67"/>
      <c r="F57" s="90">
        <f>SUM(G57:N57)</f>
        <v>73372.035149170406</v>
      </c>
      <c r="G57" s="211">
        <f>IF(ISERROR('Overzicht Vol &amp; Tar AD'!G57),0,'Overzicht Vol &amp; Tar AD'!G57)</f>
        <v>704.66971219735046</v>
      </c>
      <c r="H57" s="211">
        <f>IF(ISERROR('Overzicht Vol &amp; Tar AD'!H57),0,'Overzicht Vol &amp; Tar AD'!H57)</f>
        <v>680</v>
      </c>
      <c r="I57" s="211">
        <f>IF(ISERROR('Overzicht Vol &amp; Tar AD'!I57),0,'Overzicht Vol &amp; Tar AD'!I57)</f>
        <v>0</v>
      </c>
      <c r="J57" s="211">
        <f>IF(ISERROR('Overzicht Vol &amp; Tar AD'!J57),0,'Overzicht Vol &amp; Tar AD'!J57)</f>
        <v>44844.573333333334</v>
      </c>
      <c r="K57" s="211">
        <f>IF(ISERROR('Overzicht Vol &amp; Tar AD'!K57),0,'Overzicht Vol &amp; Tar AD'!K57)</f>
        <v>17007</v>
      </c>
      <c r="L57" s="211">
        <f>IF(ISERROR('Overzicht Vol &amp; Tar AD'!L57),0,'Overzicht Vol &amp; Tar AD'!L57)</f>
        <v>261</v>
      </c>
      <c r="M57" s="211">
        <f>IF(ISERROR('Overzicht Vol &amp; Tar AD'!M57),0,'Overzicht Vol &amp; Tar AD'!M57)</f>
        <v>8882.7921036397274</v>
      </c>
      <c r="N57" s="211">
        <f>IF(ISERROR('Overzicht Vol &amp; Tar AD'!N57),0,'Overzicht Vol &amp; Tar AD'!N57)</f>
        <v>992</v>
      </c>
    </row>
    <row r="58" spans="1:67">
      <c r="A58" s="66"/>
      <c r="B58" s="222" t="s">
        <v>252</v>
      </c>
      <c r="C58" s="59"/>
      <c r="D58" s="59" t="s">
        <v>164</v>
      </c>
      <c r="E58" s="67"/>
      <c r="F58" s="90">
        <f>SUM(G58:N58)</f>
        <v>164949.66199620967</v>
      </c>
      <c r="G58" s="211">
        <f>IF(ISERROR('Overzicht Vol &amp; Tar AD'!G58),0,'Overzicht Vol &amp; Tar AD'!G58)</f>
        <v>256.83500195815151</v>
      </c>
      <c r="H58" s="211">
        <f>IF(ISERROR('Overzicht Vol &amp; Tar AD'!H58),0,'Overzicht Vol &amp; Tar AD'!H58)</f>
        <v>7147</v>
      </c>
      <c r="I58" s="211">
        <f>IF(ISERROR('Overzicht Vol &amp; Tar AD'!I58),0,'Overzicht Vol &amp; Tar AD'!I58)</f>
        <v>600</v>
      </c>
      <c r="J58" s="211">
        <f>IF(ISERROR('Overzicht Vol &amp; Tar AD'!J58),0,'Overzicht Vol &amp; Tar AD'!J58)</f>
        <v>90185.23529411765</v>
      </c>
      <c r="K58" s="211">
        <f>IF(ISERROR('Overzicht Vol &amp; Tar AD'!K58),0,'Overzicht Vol &amp; Tar AD'!K58)</f>
        <v>34778</v>
      </c>
      <c r="L58" s="211">
        <f>IF(ISERROR('Overzicht Vol &amp; Tar AD'!L58),0,'Overzicht Vol &amp; Tar AD'!L58)</f>
        <v>583</v>
      </c>
      <c r="M58" s="211">
        <f>IF(ISERROR('Overzicht Vol &amp; Tar AD'!M58),0,'Overzicht Vol &amp; Tar AD'!M58)</f>
        <v>31081.591700133868</v>
      </c>
      <c r="N58" s="211">
        <f>IF(ISERROR('Overzicht Vol &amp; Tar AD'!N58),0,'Overzicht Vol &amp; Tar AD'!N58)</f>
        <v>318</v>
      </c>
    </row>
    <row r="59" spans="1:67">
      <c r="A59" s="66"/>
      <c r="B59" s="222" t="s">
        <v>253</v>
      </c>
      <c r="C59" s="59"/>
      <c r="D59" s="59" t="s">
        <v>164</v>
      </c>
      <c r="E59" s="67"/>
      <c r="F59" s="90">
        <f>SUM(G59:N59)</f>
        <v>109482.7087230481</v>
      </c>
      <c r="G59" s="211">
        <f>IF(ISERROR('Overzicht Vol &amp; Tar AD'!G59),0,'Overzicht Vol &amp; Tar AD'!G59)</f>
        <v>1218.6744561070743</v>
      </c>
      <c r="H59" s="211">
        <f>IF(ISERROR('Overzicht Vol &amp; Tar AD'!H59),0,'Overzicht Vol &amp; Tar AD'!H59)</f>
        <v>3465</v>
      </c>
      <c r="I59" s="211">
        <f>IF(ISERROR('Overzicht Vol &amp; Tar AD'!I59),0,'Overzicht Vol &amp; Tar AD'!I59)</f>
        <v>1666.5796637309847</v>
      </c>
      <c r="J59" s="211">
        <f>IF(ISERROR('Overzicht Vol &amp; Tar AD'!J59),0,'Overzicht Vol &amp; Tar AD'!J59)</f>
        <v>39048.409090909088</v>
      </c>
      <c r="K59" s="211">
        <f>IF(ISERROR('Overzicht Vol &amp; Tar AD'!K59),0,'Overzicht Vol &amp; Tar AD'!K59)</f>
        <v>37476</v>
      </c>
      <c r="L59" s="211">
        <f>IF(ISERROR('Overzicht Vol &amp; Tar AD'!L59),0,'Overzicht Vol &amp; Tar AD'!L59)</f>
        <v>81</v>
      </c>
      <c r="M59" s="211">
        <f>IF(ISERROR('Overzicht Vol &amp; Tar AD'!M59),0,'Overzicht Vol &amp; Tar AD'!M59)</f>
        <v>23615.545512300941</v>
      </c>
      <c r="N59" s="211">
        <f>IF(ISERROR('Overzicht Vol &amp; Tar AD'!N59),0,'Overzicht Vol &amp; Tar AD'!N59)</f>
        <v>2911.5</v>
      </c>
    </row>
    <row r="60" spans="1:67">
      <c r="A60" s="66"/>
      <c r="B60" s="222" t="s">
        <v>255</v>
      </c>
      <c r="C60" s="59"/>
      <c r="D60" s="59" t="s">
        <v>164</v>
      </c>
      <c r="E60" s="67"/>
      <c r="F60" s="90">
        <f>SUM(G60:N60)</f>
        <v>351056.5713455489</v>
      </c>
      <c r="G60" s="211">
        <f>IF(ISERROR('Overzicht Vol &amp; Tar AD'!G60),0,'Overzicht Vol &amp; Tar AD'!G60)</f>
        <v>3371.4763527398404</v>
      </c>
      <c r="H60" s="211">
        <f>IF(ISERROR('Overzicht Vol &amp; Tar AD'!H60),0,'Overzicht Vol &amp; Tar AD'!H60)</f>
        <v>7613</v>
      </c>
      <c r="I60" s="211">
        <f>IF(ISERROR('Overzicht Vol &amp; Tar AD'!I60),0,'Overzicht Vol &amp; Tar AD'!I60)</f>
        <v>5171</v>
      </c>
      <c r="J60" s="211">
        <f>IF(ISERROR('Overzicht Vol &amp; Tar AD'!J60),0,'Overzicht Vol &amp; Tar AD'!J60)</f>
        <v>165211.04761904763</v>
      </c>
      <c r="K60" s="211">
        <f>IF(ISERROR('Overzicht Vol &amp; Tar AD'!K60),0,'Overzicht Vol &amp; Tar AD'!K60)</f>
        <v>85730</v>
      </c>
      <c r="L60" s="211">
        <f>IF(ISERROR('Overzicht Vol &amp; Tar AD'!L60),0,'Overzicht Vol &amp; Tar AD'!L60)</f>
        <v>1386</v>
      </c>
      <c r="M60" s="211">
        <f>IF(ISERROR('Overzicht Vol &amp; Tar AD'!M60),0,'Overzicht Vol &amp; Tar AD'!M60)</f>
        <v>79992.047373761423</v>
      </c>
      <c r="N60" s="211">
        <f>IF(ISERROR('Overzicht Vol &amp; Tar AD'!N60),0,'Overzicht Vol &amp; Tar AD'!N60)</f>
        <v>2582</v>
      </c>
    </row>
    <row r="61" spans="1:67">
      <c r="A61" s="66"/>
      <c r="B61" s="222" t="s">
        <v>254</v>
      </c>
      <c r="C61" s="59"/>
      <c r="D61" s="59" t="s">
        <v>164</v>
      </c>
      <c r="E61" s="67"/>
      <c r="F61" s="90">
        <f>SUM(G61:N61)</f>
        <v>100867.98881248385</v>
      </c>
      <c r="G61" s="211">
        <f>IF(ISERROR('Overzicht Vol &amp; Tar AD'!G61),0,'Overzicht Vol &amp; Tar AD'!G61)</f>
        <v>0</v>
      </c>
      <c r="H61" s="211">
        <f>IF(ISERROR('Overzicht Vol &amp; Tar AD'!H61),0,'Overzicht Vol &amp; Tar AD'!H61)</f>
        <v>16655</v>
      </c>
      <c r="I61" s="211">
        <f>IF(ISERROR('Overzicht Vol &amp; Tar AD'!I61),0,'Overzicht Vol &amp; Tar AD'!I61)</f>
        <v>0</v>
      </c>
      <c r="J61" s="211">
        <f>IF(ISERROR('Overzicht Vol &amp; Tar AD'!J61),0,'Overzicht Vol &amp; Tar AD'!J61)</f>
        <v>41527.829169542209</v>
      </c>
      <c r="K61" s="211">
        <f>IF(ISERROR('Overzicht Vol &amp; Tar AD'!K61),0,'Overzicht Vol &amp; Tar AD'!K61)</f>
        <v>24073.666666666668</v>
      </c>
      <c r="L61" s="211">
        <f>IF(ISERROR('Overzicht Vol &amp; Tar AD'!L61),0,'Overzicht Vol &amp; Tar AD'!L61)</f>
        <v>0</v>
      </c>
      <c r="M61" s="211">
        <f>IF(ISERROR('Overzicht Vol &amp; Tar AD'!M61),0,'Overzicht Vol &amp; Tar AD'!M61)</f>
        <v>17756.215564930204</v>
      </c>
      <c r="N61" s="211">
        <f>IF(ISERROR('Overzicht Vol &amp; Tar AD'!N61),0,'Overzicht Vol &amp; Tar AD'!N61)</f>
        <v>855.27741134476605</v>
      </c>
    </row>
    <row r="62" spans="1:67">
      <c r="A62" s="66"/>
      <c r="B62" s="214"/>
      <c r="C62" s="59"/>
      <c r="D62" s="59"/>
      <c r="E62" s="59"/>
      <c r="F62" s="23"/>
      <c r="G62"/>
      <c r="H62"/>
      <c r="I62"/>
      <c r="J62"/>
      <c r="K62"/>
      <c r="L62"/>
      <c r="M62"/>
      <c r="N62"/>
    </row>
    <row r="63" spans="1:67">
      <c r="A63" s="66"/>
      <c r="B63" s="214"/>
      <c r="C63" s="59"/>
      <c r="D63" s="59"/>
      <c r="E63" s="59"/>
      <c r="F63" s="23"/>
      <c r="G63" s="23"/>
      <c r="H63"/>
      <c r="I63"/>
      <c r="J63" s="23"/>
      <c r="K63"/>
      <c r="L63"/>
      <c r="M63"/>
      <c r="N63"/>
    </row>
    <row r="64" spans="1:67">
      <c r="A64" s="65"/>
      <c r="B64" s="205" t="s">
        <v>5</v>
      </c>
      <c r="C64" s="65"/>
      <c r="D64" s="65"/>
      <c r="E64" s="65"/>
      <c r="F64" s="9"/>
      <c r="G64" s="9"/>
      <c r="H64" s="9"/>
      <c r="I64" s="9"/>
      <c r="J64" s="9"/>
      <c r="K64" s="9"/>
      <c r="L64" s="9"/>
      <c r="M64" s="9"/>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row>
    <row r="65" spans="1:14">
      <c r="A65" s="59"/>
      <c r="B65" s="207"/>
      <c r="C65" s="59"/>
      <c r="D65" s="59"/>
      <c r="E65" s="59"/>
      <c r="F65" s="23"/>
      <c r="G65" s="23"/>
      <c r="H65" s="23"/>
      <c r="I65" s="23"/>
      <c r="J65" s="23"/>
      <c r="K65" s="23"/>
      <c r="L65" s="23"/>
      <c r="M65" s="23"/>
      <c r="N65" s="23"/>
    </row>
    <row r="66" spans="1:14">
      <c r="A66" s="66"/>
      <c r="B66" s="206" t="s">
        <v>922</v>
      </c>
      <c r="C66" s="60"/>
      <c r="D66" s="59"/>
      <c r="E66" s="59"/>
      <c r="F66" s="23"/>
      <c r="G66"/>
      <c r="H66"/>
      <c r="I66"/>
      <c r="J66"/>
      <c r="K66"/>
      <c r="L66"/>
      <c r="M66"/>
      <c r="N66"/>
    </row>
    <row r="67" spans="1:14">
      <c r="A67" s="66"/>
      <c r="B67" s="214" t="s">
        <v>251</v>
      </c>
      <c r="C67" s="59"/>
      <c r="D67" s="59" t="s">
        <v>335</v>
      </c>
      <c r="E67" s="59"/>
      <c r="F67"/>
      <c r="G67" s="876">
        <f>IF(ISERROR('Overzicht Vol &amp; Tar AD'!G67),0,'Overzicht Vol &amp; Tar AD'!G67)</f>
        <v>5.16</v>
      </c>
      <c r="H67" s="876">
        <f>IF(ISERROR('Overzicht Vol &amp; Tar AD'!H67),0,'Overzicht Vol &amp; Tar AD'!H67)</f>
        <v>1.92</v>
      </c>
      <c r="I67" s="876">
        <f>IF(ISERROR('Overzicht Vol &amp; Tar AD'!I67),0,'Overzicht Vol &amp; Tar AD'!I67)</f>
        <v>6.23</v>
      </c>
      <c r="J67" s="876">
        <f>IF(ISERROR('Overzicht Vol &amp; Tar AD'!J67),0,'Overzicht Vol &amp; Tar AD'!J67)</f>
        <v>3.26</v>
      </c>
      <c r="K67" s="876">
        <f>IF(ISERROR('Overzicht Vol &amp; Tar AD'!K67),0,'Overzicht Vol &amp; Tar AD'!K67)</f>
        <v>7.8</v>
      </c>
      <c r="L67" s="876">
        <f>IF(ISERROR('Overzicht Vol &amp; Tar AD'!L67),0,'Overzicht Vol &amp; Tar AD'!L67)</f>
        <v>10.6</v>
      </c>
      <c r="M67" s="876">
        <f>IF(ISERROR('Overzicht Vol &amp; Tar AD'!M67),0,'Overzicht Vol &amp; Tar AD'!M67)</f>
        <v>6.24</v>
      </c>
      <c r="N67" s="876">
        <f>IF(ISERROR('Overzicht Vol &amp; Tar AD'!N67),0,'Overzicht Vol &amp; Tar AD'!N67)</f>
        <v>2.54</v>
      </c>
    </row>
    <row r="68" spans="1:14">
      <c r="A68" s="66"/>
      <c r="B68" s="214" t="s">
        <v>252</v>
      </c>
      <c r="C68" s="59"/>
      <c r="D68" s="59" t="s">
        <v>335</v>
      </c>
      <c r="E68" s="59"/>
      <c r="F68"/>
      <c r="G68" s="876">
        <f>IF(ISERROR('Overzicht Vol &amp; Tar AD'!G68),0,'Overzicht Vol &amp; Tar AD'!G68)</f>
        <v>14.75</v>
      </c>
      <c r="H68" s="876">
        <f>IF(ISERROR('Overzicht Vol &amp; Tar AD'!H68),0,'Overzicht Vol &amp; Tar AD'!H68)</f>
        <v>19.2</v>
      </c>
      <c r="I68" s="876">
        <f>IF(ISERROR('Overzicht Vol &amp; Tar AD'!I68),0,'Overzicht Vol &amp; Tar AD'!I68)</f>
        <v>13.47</v>
      </c>
      <c r="J68" s="876">
        <f>IF(ISERROR('Overzicht Vol &amp; Tar AD'!J68),0,'Overzicht Vol &amp; Tar AD'!J68)</f>
        <v>26.4</v>
      </c>
      <c r="K68" s="876">
        <f>IF(ISERROR('Overzicht Vol &amp; Tar AD'!K68),0,'Overzicht Vol &amp; Tar AD'!K68)</f>
        <v>15.96</v>
      </c>
      <c r="L68" s="876">
        <f>IF(ISERROR('Overzicht Vol &amp; Tar AD'!L68),0,'Overzicht Vol &amp; Tar AD'!L68)</f>
        <v>21.46</v>
      </c>
      <c r="M68" s="876">
        <f>IF(ISERROR('Overzicht Vol &amp; Tar AD'!M68),0,'Overzicht Vol &amp; Tar AD'!M68)</f>
        <v>16.559999999999999</v>
      </c>
      <c r="N68" s="876">
        <f>IF(ISERROR('Overzicht Vol &amp; Tar AD'!N68),0,'Overzicht Vol &amp; Tar AD'!N68)</f>
        <v>13.5</v>
      </c>
    </row>
    <row r="69" spans="1:14">
      <c r="A69" s="66"/>
      <c r="B69" s="214" t="s">
        <v>253</v>
      </c>
      <c r="C69" s="59"/>
      <c r="D69" s="59" t="s">
        <v>335</v>
      </c>
      <c r="E69" s="59"/>
      <c r="F69"/>
      <c r="G69" s="876">
        <f>IF(ISERROR('Overzicht Vol &amp; Tar AD'!G69),0,'Overzicht Vol &amp; Tar AD'!G69)</f>
        <v>14.75</v>
      </c>
      <c r="H69" s="876">
        <f>IF(ISERROR('Overzicht Vol &amp; Tar AD'!H69),0,'Overzicht Vol &amp; Tar AD'!H69)</f>
        <v>31.560000000000002</v>
      </c>
      <c r="I69" s="876">
        <f>IF(ISERROR('Overzicht Vol &amp; Tar AD'!I69),0,'Overzicht Vol &amp; Tar AD'!I69)</f>
        <v>13.470000000000002</v>
      </c>
      <c r="J69" s="876">
        <f>IF(ISERROR('Overzicht Vol &amp; Tar AD'!J69),0,'Overzicht Vol &amp; Tar AD'!J69)</f>
        <v>30.1</v>
      </c>
      <c r="K69" s="876">
        <f>IF(ISERROR('Overzicht Vol &amp; Tar AD'!K69),0,'Overzicht Vol &amp; Tar AD'!K69)</f>
        <v>26.405994423252533</v>
      </c>
      <c r="L69" s="876">
        <f>IF(ISERROR('Overzicht Vol &amp; Tar AD'!L69),0,'Overzicht Vol &amp; Tar AD'!L69)</f>
        <v>34.799999999999997</v>
      </c>
      <c r="M69" s="876">
        <f>IF(ISERROR('Overzicht Vol &amp; Tar AD'!M69),0,'Overzicht Vol &amp; Tar AD'!M69)</f>
        <v>32.88000000000001</v>
      </c>
      <c r="N69" s="876">
        <f>IF(ISERROR('Overzicht Vol &amp; Tar AD'!N69),0,'Overzicht Vol &amp; Tar AD'!N69)</f>
        <v>36.26195136233391</v>
      </c>
    </row>
    <row r="70" spans="1:14">
      <c r="A70" s="66"/>
      <c r="B70" s="214" t="s">
        <v>255</v>
      </c>
      <c r="C70" s="59"/>
      <c r="D70" s="59" t="s">
        <v>335</v>
      </c>
      <c r="E70" s="59"/>
      <c r="F70"/>
      <c r="G70" s="876">
        <f>IF(ISERROR('Overzicht Vol &amp; Tar AD'!G70),0,'Overzicht Vol &amp; Tar AD'!G70)</f>
        <v>17.7</v>
      </c>
      <c r="H70" s="876">
        <f>IF(ISERROR('Overzicht Vol &amp; Tar AD'!H70),0,'Overzicht Vol &amp; Tar AD'!H70)</f>
        <v>132.47999999999999</v>
      </c>
      <c r="I70" s="876">
        <f>IF(ISERROR('Overzicht Vol &amp; Tar AD'!I70),0,'Overzicht Vol &amp; Tar AD'!I70)</f>
        <v>202.37</v>
      </c>
      <c r="J70" s="876">
        <f>IF(ISERROR('Overzicht Vol &amp; Tar AD'!J70),0,'Overzicht Vol &amp; Tar AD'!J70)</f>
        <v>143</v>
      </c>
      <c r="K70" s="876">
        <f>IF(ISERROR('Overzicht Vol &amp; Tar AD'!K70),0,'Overzicht Vol &amp; Tar AD'!K70)</f>
        <v>112.33888003362779</v>
      </c>
      <c r="L70" s="876">
        <f>IF(ISERROR('Overzicht Vol &amp; Tar AD'!L70),0,'Overzicht Vol &amp; Tar AD'!L70)</f>
        <v>34.799999999999997</v>
      </c>
      <c r="M70" s="876">
        <f>IF(ISERROR('Overzicht Vol &amp; Tar AD'!M70),0,'Overzicht Vol &amp; Tar AD'!M70)</f>
        <v>46.8</v>
      </c>
      <c r="N70" s="876">
        <f>IF(ISERROR('Overzicht Vol &amp; Tar AD'!N70),0,'Overzicht Vol &amp; Tar AD'!N70)</f>
        <v>170.99888509310443</v>
      </c>
    </row>
    <row r="71" spans="1:14">
      <c r="A71" s="66"/>
      <c r="B71" s="214" t="s">
        <v>261</v>
      </c>
      <c r="C71" s="59"/>
      <c r="D71" s="59" t="s">
        <v>335</v>
      </c>
      <c r="E71" s="59"/>
      <c r="F71"/>
      <c r="G71" s="876">
        <f>IF(ISERROR('Overzicht Vol &amp; Tar AD'!G71),0,'Overzicht Vol &amp; Tar AD'!G71)</f>
        <v>359.81008298755182</v>
      </c>
      <c r="H71" s="876">
        <f>IF(ISERROR('Overzicht Vol &amp; Tar AD'!H71),0,'Overzicht Vol &amp; Tar AD'!H71)</f>
        <v>915.3599999999999</v>
      </c>
      <c r="I71" s="876">
        <f>IF(ISERROR('Overzicht Vol &amp; Tar AD'!I71),0,'Overzicht Vol &amp; Tar AD'!I71)</f>
        <v>581.83000000000004</v>
      </c>
      <c r="J71" s="876">
        <f>IF(ISERROR('Overzicht Vol &amp; Tar AD'!J71),0,'Overzicht Vol &amp; Tar AD'!J71)</f>
        <v>569</v>
      </c>
      <c r="K71" s="876">
        <f>IF(ISERROR('Overzicht Vol &amp; Tar AD'!K71),0,'Overzicht Vol &amp; Tar AD'!K71)</f>
        <v>662.49591306184868</v>
      </c>
      <c r="L71" s="876">
        <f>IF(ISERROR('Overzicht Vol &amp; Tar AD'!L71),0,'Overzicht Vol &amp; Tar AD'!L71)</f>
        <v>186.6188746152817</v>
      </c>
      <c r="M71" s="876">
        <f>IF(ISERROR('Overzicht Vol &amp; Tar AD'!M71),0,'Overzicht Vol &amp; Tar AD'!M71)</f>
        <v>423.96</v>
      </c>
      <c r="N71" s="876">
        <f>IF(ISERROR('Overzicht Vol &amp; Tar AD'!N71),0,'Overzicht Vol &amp; Tar AD'!N71)</f>
        <v>1261.4285417086678</v>
      </c>
    </row>
    <row r="72" spans="1:14">
      <c r="A72" s="66"/>
      <c r="B72" s="214" t="s">
        <v>262</v>
      </c>
      <c r="C72" s="59"/>
      <c r="D72" s="59" t="s">
        <v>335</v>
      </c>
      <c r="E72" s="59"/>
      <c r="F72"/>
      <c r="G72" s="876">
        <f>IF(ISERROR('Overzicht Vol &amp; Tar AD'!G72),0,'Overzicht Vol &amp; Tar AD'!G72)</f>
        <v>0</v>
      </c>
      <c r="H72" s="876">
        <f>IF(ISERROR('Overzicht Vol &amp; Tar AD'!H72),0,'Overzicht Vol &amp; Tar AD'!H72)</f>
        <v>6097.2</v>
      </c>
      <c r="I72" s="876">
        <f>IF(ISERROR('Overzicht Vol &amp; Tar AD'!I72),0,'Overzicht Vol &amp; Tar AD'!I72)</f>
        <v>2464.3440000000001</v>
      </c>
      <c r="J72" s="876">
        <f>IF(ISERROR('Overzicht Vol &amp; Tar AD'!J72),0,'Overzicht Vol &amp; Tar AD'!J72)</f>
        <v>1571.5994779015805</v>
      </c>
      <c r="K72" s="876">
        <f>IF(ISERROR('Overzicht Vol &amp; Tar AD'!K72),0,'Overzicht Vol &amp; Tar AD'!K72)</f>
        <v>7176.8244274809158</v>
      </c>
      <c r="L72" s="876">
        <f>IF(ISERROR('Overzicht Vol &amp; Tar AD'!L72),0,'Overzicht Vol &amp; Tar AD'!L72)</f>
        <v>1342.5</v>
      </c>
      <c r="M72" s="876">
        <f>IF(ISERROR('Overzicht Vol &amp; Tar AD'!M72),0,'Overzicht Vol &amp; Tar AD'!M72)</f>
        <v>4906.9464406779671</v>
      </c>
      <c r="N72" s="876">
        <f>IF(ISERROR('Overzicht Vol &amp; Tar AD'!N72),0,'Overzicht Vol &amp; Tar AD'!N72)</f>
        <v>5073.28</v>
      </c>
    </row>
    <row r="73" spans="1:14">
      <c r="A73" s="66"/>
      <c r="B73" s="214"/>
      <c r="C73" s="59"/>
      <c r="D73" s="59"/>
      <c r="E73" s="59"/>
      <c r="F73"/>
      <c r="G73" s="88"/>
      <c r="H73" s="89"/>
      <c r="I73" s="89"/>
      <c r="J73" s="88"/>
      <c r="K73" s="89"/>
      <c r="L73" s="89"/>
      <c r="M73" s="89"/>
      <c r="N73" s="89"/>
    </row>
    <row r="74" spans="1:14">
      <c r="A74" s="66"/>
      <c r="B74" s="214" t="s">
        <v>1096</v>
      </c>
      <c r="C74" s="59"/>
      <c r="D74" s="59" t="s">
        <v>335</v>
      </c>
      <c r="E74" s="59"/>
      <c r="F74"/>
      <c r="G74" s="876">
        <f>IF(ISERROR('Overzicht Vol &amp; Tar AD'!G74),0,'Overzicht Vol &amp; Tar AD'!G74)</f>
        <v>0</v>
      </c>
      <c r="H74" s="876">
        <f>IF(ISERROR('Overzicht Vol &amp; Tar AD'!H74),0,'Overzicht Vol &amp; Tar AD'!H74)</f>
        <v>1.47</v>
      </c>
      <c r="I74" s="876">
        <f>IF(ISERROR('Overzicht Vol &amp; Tar AD'!I74),0,'Overzicht Vol &amp; Tar AD'!I74)</f>
        <v>2.86</v>
      </c>
      <c r="J74" s="876">
        <f>IF(ISERROR('Overzicht Vol &amp; Tar AD'!J74),0,'Overzicht Vol &amp; Tar AD'!J74)</f>
        <v>2.1921820665233214</v>
      </c>
      <c r="K74" s="876">
        <f>IF(ISERROR('Overzicht Vol &amp; Tar AD'!K74),0,'Overzicht Vol &amp; Tar AD'!K74)</f>
        <v>1.44</v>
      </c>
      <c r="L74" s="876">
        <f>IF(ISERROR('Overzicht Vol &amp; Tar AD'!L74),0,'Overzicht Vol &amp; Tar AD'!L74)</f>
        <v>11.45</v>
      </c>
      <c r="M74" s="876">
        <f>IF(ISERROR('Overzicht Vol &amp; Tar AD'!M74),0,'Overzicht Vol &amp; Tar AD'!M74)</f>
        <v>5.28</v>
      </c>
      <c r="N74" s="876">
        <f>IF(ISERROR('Overzicht Vol &amp; Tar AD'!N74),0,'Overzicht Vol &amp; Tar AD'!N74)</f>
        <v>3.7599999999999993</v>
      </c>
    </row>
    <row r="75" spans="1:14">
      <c r="A75" s="66"/>
      <c r="B75" s="214"/>
      <c r="C75" s="59"/>
      <c r="D75" s="59"/>
      <c r="E75" s="59"/>
      <c r="F75"/>
      <c r="G75" s="88"/>
      <c r="H75" s="89"/>
      <c r="I75" s="89"/>
      <c r="J75" s="88"/>
      <c r="K75" s="89"/>
      <c r="L75" s="89"/>
      <c r="M75" s="89"/>
      <c r="N75" s="89"/>
    </row>
    <row r="76" spans="1:14">
      <c r="A76" s="66"/>
      <c r="B76" s="206" t="s">
        <v>923</v>
      </c>
      <c r="C76" s="60"/>
      <c r="D76" s="59"/>
      <c r="E76" s="59"/>
      <c r="F76"/>
      <c r="G76" s="88"/>
      <c r="H76" s="89"/>
      <c r="I76" s="89"/>
      <c r="J76" s="88"/>
      <c r="K76" s="89"/>
      <c r="L76" s="89"/>
      <c r="M76" s="89"/>
      <c r="N76" s="89"/>
    </row>
    <row r="77" spans="1:14">
      <c r="A77" s="66"/>
      <c r="B77" s="206" t="s">
        <v>328</v>
      </c>
      <c r="C77" s="59"/>
      <c r="D77" s="59"/>
      <c r="E77" s="60"/>
      <c r="F77"/>
      <c r="G77" s="88"/>
      <c r="H77" s="89"/>
      <c r="I77" s="89"/>
      <c r="J77" s="88"/>
      <c r="K77" s="89"/>
      <c r="L77" s="89"/>
      <c r="M77" s="89"/>
      <c r="N77" s="89"/>
    </row>
    <row r="78" spans="1:14">
      <c r="A78" s="66"/>
      <c r="B78" s="222" t="s">
        <v>251</v>
      </c>
      <c r="C78" s="59"/>
      <c r="D78" s="59" t="s">
        <v>335</v>
      </c>
      <c r="E78" s="67"/>
      <c r="F78"/>
      <c r="G78" s="876">
        <f>IF(ISERROR('Overzicht Vol &amp; Tar AD'!G78),0,'Overzicht Vol &amp; Tar AD'!G78)</f>
        <v>350</v>
      </c>
      <c r="H78" s="876">
        <f>IF(ISERROR('Overzicht Vol &amp; Tar AD'!H78),0,'Overzicht Vol &amp; Tar AD'!H78)</f>
        <v>284.07</v>
      </c>
      <c r="I78" s="876">
        <f>IF(ISERROR('Overzicht Vol &amp; Tar AD'!I78),0,'Overzicht Vol &amp; Tar AD'!I78)</f>
        <v>345.18</v>
      </c>
      <c r="J78" s="876">
        <f>IF(ISERROR('Overzicht Vol &amp; Tar AD'!J78),0,'Overzicht Vol &amp; Tar AD'!J78)</f>
        <v>296</v>
      </c>
      <c r="K78" s="876">
        <f>IF(ISERROR('Overzicht Vol &amp; Tar AD'!K78),0,'Overzicht Vol &amp; Tar AD'!K78)</f>
        <v>329.4</v>
      </c>
      <c r="L78" s="876">
        <f>IF(ISERROR('Overzicht Vol &amp; Tar AD'!L78),0,'Overzicht Vol &amp; Tar AD'!L78)</f>
        <v>363</v>
      </c>
      <c r="M78" s="876">
        <f>IF(ISERROR('Overzicht Vol &amp; Tar AD'!M78),0,'Overzicht Vol &amp; Tar AD'!M78)</f>
        <v>327.86</v>
      </c>
      <c r="N78" s="876">
        <f>IF(ISERROR('Overzicht Vol &amp; Tar AD'!N78),0,'Overzicht Vol &amp; Tar AD'!N78)</f>
        <v>356.53</v>
      </c>
    </row>
    <row r="79" spans="1:14">
      <c r="A79" s="66"/>
      <c r="B79" s="222" t="s">
        <v>252</v>
      </c>
      <c r="C79" s="59"/>
      <c r="D79" s="59" t="s">
        <v>335</v>
      </c>
      <c r="E79" s="67"/>
      <c r="F79"/>
      <c r="G79" s="876">
        <f>IF(ISERROR('Overzicht Vol &amp; Tar AD'!G79),0,'Overzicht Vol &amp; Tar AD'!G79)</f>
        <v>585</v>
      </c>
      <c r="H79" s="876">
        <f>IF(ISERROR('Overzicht Vol &amp; Tar AD'!H79),0,'Overzicht Vol &amp; Tar AD'!H79)</f>
        <v>539.30999999999995</v>
      </c>
      <c r="I79" s="876">
        <f>IF(ISERROR('Overzicht Vol &amp; Tar AD'!I79),0,'Overzicht Vol &amp; Tar AD'!I79)</f>
        <v>542.6</v>
      </c>
      <c r="J79" s="876">
        <f>IF(ISERROR('Overzicht Vol &amp; Tar AD'!J79),0,'Overzicht Vol &amp; Tar AD'!J79)</f>
        <v>568</v>
      </c>
      <c r="K79" s="876">
        <f>IF(ISERROR('Overzicht Vol &amp; Tar AD'!K79),0,'Overzicht Vol &amp; Tar AD'!K79)</f>
        <v>546.70000000000005</v>
      </c>
      <c r="L79" s="876">
        <f>IF(ISERROR('Overzicht Vol &amp; Tar AD'!L79),0,'Overzicht Vol &amp; Tar AD'!L79)</f>
        <v>615</v>
      </c>
      <c r="M79" s="876">
        <f>IF(ISERROR('Overzicht Vol &amp; Tar AD'!M79),0,'Overzicht Vol &amp; Tar AD'!M79)</f>
        <v>479.57</v>
      </c>
      <c r="N79" s="876">
        <f>IF(ISERROR('Overzicht Vol &amp; Tar AD'!N79),0,'Overzicht Vol &amp; Tar AD'!N79)</f>
        <v>678.65</v>
      </c>
    </row>
    <row r="80" spans="1:14">
      <c r="A80" s="66"/>
      <c r="B80" s="222" t="s">
        <v>253</v>
      </c>
      <c r="C80" s="59"/>
      <c r="D80" s="59" t="s">
        <v>335</v>
      </c>
      <c r="E80" s="67"/>
      <c r="F80"/>
      <c r="G80" s="876">
        <f>IF(ISERROR('Overzicht Vol &amp; Tar AD'!G80),0,'Overzicht Vol &amp; Tar AD'!G80)</f>
        <v>990.80000000000007</v>
      </c>
      <c r="H80" s="876">
        <f>IF(ISERROR('Overzicht Vol &amp; Tar AD'!H80),0,'Overzicht Vol &amp; Tar AD'!H80)</f>
        <v>847.68622950819667</v>
      </c>
      <c r="I80" s="876">
        <f>IF(ISERROR('Overzicht Vol &amp; Tar AD'!I80),0,'Overzicht Vol &amp; Tar AD'!I80)</f>
        <v>740.04</v>
      </c>
      <c r="J80" s="876">
        <f>IF(ISERROR('Overzicht Vol &amp; Tar AD'!J80),0,'Overzicht Vol &amp; Tar AD'!J80)</f>
        <v>749.21130566707029</v>
      </c>
      <c r="K80" s="876">
        <f>IF(ISERROR('Overzicht Vol &amp; Tar AD'!K80),0,'Overzicht Vol &amp; Tar AD'!K80)</f>
        <v>910.54478341826143</v>
      </c>
      <c r="L80" s="876">
        <f>IF(ISERROR('Overzicht Vol &amp; Tar AD'!L80),0,'Overzicht Vol &amp; Tar AD'!L80)</f>
        <v>902.25</v>
      </c>
      <c r="M80" s="876">
        <f>IF(ISERROR('Overzicht Vol &amp; Tar AD'!M80),0,'Overzicht Vol &amp; Tar AD'!M80)</f>
        <v>824.29963768115556</v>
      </c>
      <c r="N80" s="876">
        <f>IF(ISERROR('Overzicht Vol &amp; Tar AD'!N80),0,'Overzicht Vol &amp; Tar AD'!N80)</f>
        <v>1022.1079310344828</v>
      </c>
    </row>
    <row r="81" spans="1:67">
      <c r="A81" s="66"/>
      <c r="B81" s="222" t="s">
        <v>255</v>
      </c>
      <c r="C81" s="59"/>
      <c r="D81" s="59" t="s">
        <v>335</v>
      </c>
      <c r="E81" s="67"/>
      <c r="F81"/>
      <c r="G81" s="876">
        <f>IF(ISERROR('Overzicht Vol &amp; Tar AD'!G81),0,'Overzicht Vol &amp; Tar AD'!G81)</f>
        <v>11513.164444444445</v>
      </c>
      <c r="H81" s="876">
        <f>IF(ISERROR('Overzicht Vol &amp; Tar AD'!H81),0,'Overzicht Vol &amp; Tar AD'!H81)</f>
        <v>5557.1217187499997</v>
      </c>
      <c r="I81" s="876">
        <f>IF(ISERROR('Overzicht Vol &amp; Tar AD'!I81),0,'Overzicht Vol &amp; Tar AD'!I81)</f>
        <v>6299.7196306909864</v>
      </c>
      <c r="J81" s="876">
        <f>IF(ISERROR('Overzicht Vol &amp; Tar AD'!J81),0,'Overzicht Vol &amp; Tar AD'!J81)</f>
        <v>4583.1232005731199</v>
      </c>
      <c r="K81" s="876">
        <f>IF(ISERROR('Overzicht Vol &amp; Tar AD'!K81),0,'Overzicht Vol &amp; Tar AD'!K81)</f>
        <v>6931.5077912254164</v>
      </c>
      <c r="L81" s="876">
        <f>IF(ISERROR('Overzicht Vol &amp; Tar AD'!L81),0,'Overzicht Vol &amp; Tar AD'!L81)</f>
        <v>8102.1428571428569</v>
      </c>
      <c r="M81" s="876">
        <f>IF(ISERROR('Overzicht Vol &amp; Tar AD'!M81),0,'Overzicht Vol &amp; Tar AD'!M81)</f>
        <v>6826.7688103686032</v>
      </c>
      <c r="N81" s="876">
        <f>IF(ISERROR('Overzicht Vol &amp; Tar AD'!N81),0,'Overzicht Vol &amp; Tar AD'!N81)</f>
        <v>4935.4186363636372</v>
      </c>
    </row>
    <row r="82" spans="1:67">
      <c r="A82" s="66"/>
      <c r="B82" s="222" t="s">
        <v>254</v>
      </c>
      <c r="C82" s="59"/>
      <c r="D82" s="59" t="s">
        <v>335</v>
      </c>
      <c r="E82" s="67"/>
      <c r="F82"/>
      <c r="G82" s="876">
        <f>IF(ISERROR('Overzicht Vol &amp; Tar AD'!G82),0,'Overzicht Vol &amp; Tar AD'!G82)</f>
        <v>0</v>
      </c>
      <c r="H82" s="876">
        <f>IF(ISERROR('Overzicht Vol &amp; Tar AD'!H82),0,'Overzicht Vol &amp; Tar AD'!H82)</f>
        <v>192464.63333333333</v>
      </c>
      <c r="I82" s="876">
        <f>IF(ISERROR('Overzicht Vol &amp; Tar AD'!I82),0,'Overzicht Vol &amp; Tar AD'!I82)</f>
        <v>32013.79</v>
      </c>
      <c r="J82" s="876">
        <f>IF(ISERROR('Overzicht Vol &amp; Tar AD'!J82),0,'Overzicht Vol &amp; Tar AD'!J82)</f>
        <v>28459.056997357355</v>
      </c>
      <c r="K82" s="876">
        <f>IF(ISERROR('Overzicht Vol &amp; Tar AD'!K82),0,'Overzicht Vol &amp; Tar AD'!K82)</f>
        <v>69916.066923076927</v>
      </c>
      <c r="L82" s="876">
        <f>IF(ISERROR('Overzicht Vol &amp; Tar AD'!L82),0,'Overzicht Vol &amp; Tar AD'!L82)</f>
        <v>48889.792650000003</v>
      </c>
      <c r="M82" s="876">
        <f>IF(ISERROR('Overzicht Vol &amp; Tar AD'!M82),0,'Overzicht Vol &amp; Tar AD'!M82)</f>
        <v>66720.72104272584</v>
      </c>
      <c r="N82" s="876">
        <f>IF(ISERROR('Overzicht Vol &amp; Tar AD'!N82),0,'Overzicht Vol &amp; Tar AD'!N82)</f>
        <v>63121.866999999991</v>
      </c>
    </row>
    <row r="83" spans="1:67">
      <c r="A83" s="66"/>
      <c r="B83" s="214"/>
      <c r="C83" s="59"/>
      <c r="D83" s="59"/>
      <c r="E83" s="59"/>
      <c r="F83"/>
      <c r="G83" s="88"/>
      <c r="H83" s="88"/>
      <c r="I83" s="88"/>
      <c r="J83" s="88"/>
      <c r="K83" s="88"/>
      <c r="L83" s="88"/>
      <c r="M83" s="88"/>
      <c r="N83" s="88"/>
    </row>
    <row r="84" spans="1:67">
      <c r="A84" s="66"/>
      <c r="B84" s="206" t="s">
        <v>329</v>
      </c>
      <c r="C84" s="59"/>
      <c r="D84" s="59"/>
      <c r="E84" s="60"/>
      <c r="F84"/>
      <c r="G84" s="88"/>
      <c r="H84" s="88"/>
      <c r="I84" s="88"/>
      <c r="J84" s="88"/>
      <c r="K84" s="88"/>
      <c r="L84" s="88"/>
      <c r="M84" s="88"/>
      <c r="N84" s="88"/>
    </row>
    <row r="85" spans="1:67">
      <c r="A85" s="66"/>
      <c r="B85" s="222" t="s">
        <v>251</v>
      </c>
      <c r="C85" s="59"/>
      <c r="D85" s="59" t="s">
        <v>335</v>
      </c>
      <c r="E85" s="67"/>
      <c r="F85"/>
      <c r="G85" s="876">
        <f>IF(ISERROR('Overzicht Vol &amp; Tar AD'!G85),0,'Overzicht Vol &amp; Tar AD'!G85)</f>
        <v>17.36</v>
      </c>
      <c r="H85" s="876">
        <f>IF(ISERROR('Overzicht Vol &amp; Tar AD'!H85),0,'Overzicht Vol &amp; Tar AD'!H85)</f>
        <v>14.07</v>
      </c>
      <c r="I85" s="876">
        <f>IF(ISERROR('Overzicht Vol &amp; Tar AD'!I85),0,'Overzicht Vol &amp; Tar AD'!I85)</f>
        <v>23.04</v>
      </c>
      <c r="J85" s="876">
        <f>IF(ISERROR('Overzicht Vol &amp; Tar AD'!J85),0,'Overzicht Vol &amp; Tar AD'!J85)</f>
        <v>14</v>
      </c>
      <c r="K85" s="876">
        <f>IF(ISERROR('Overzicht Vol &amp; Tar AD'!K85),0,'Overzicht Vol &amp; Tar AD'!K85)</f>
        <v>16.350000000000001</v>
      </c>
      <c r="L85" s="876">
        <f>IF(ISERROR('Overzicht Vol &amp; Tar AD'!L85),0,'Overzicht Vol &amp; Tar AD'!L85)</f>
        <v>18.09</v>
      </c>
      <c r="M85" s="876">
        <f>IF(ISERROR('Overzicht Vol &amp; Tar AD'!M85),0,'Overzicht Vol &amp; Tar AD'!M85)</f>
        <v>15.23</v>
      </c>
      <c r="N85" s="876">
        <f>IF(ISERROR('Overzicht Vol &amp; Tar AD'!N85),0,'Overzicht Vol &amp; Tar AD'!N85)</f>
        <v>17.670000000000002</v>
      </c>
    </row>
    <row r="86" spans="1:67">
      <c r="A86" s="66"/>
      <c r="B86" s="222" t="s">
        <v>252</v>
      </c>
      <c r="C86" s="59"/>
      <c r="D86" s="59" t="s">
        <v>335</v>
      </c>
      <c r="E86" s="67"/>
      <c r="F86"/>
      <c r="G86" s="876">
        <f>IF(ISERROR('Overzicht Vol &amp; Tar AD'!G86),0,'Overzicht Vol &amp; Tar AD'!G86)</f>
        <v>17.66</v>
      </c>
      <c r="H86" s="876">
        <f>IF(ISERROR('Overzicht Vol &amp; Tar AD'!H86),0,'Overzicht Vol &amp; Tar AD'!H86)</f>
        <v>22.89</v>
      </c>
      <c r="I86" s="876">
        <f>IF(ISERROR('Overzicht Vol &amp; Tar AD'!I86),0,'Overzicht Vol &amp; Tar AD'!I86)</f>
        <v>23.92</v>
      </c>
      <c r="J86" s="876">
        <f>IF(ISERROR('Overzicht Vol &amp; Tar AD'!J86),0,'Overzicht Vol &amp; Tar AD'!J86)</f>
        <v>16</v>
      </c>
      <c r="K86" s="876">
        <f>IF(ISERROR('Overzicht Vol &amp; Tar AD'!K86),0,'Overzicht Vol &amp; Tar AD'!K86)</f>
        <v>21.6</v>
      </c>
      <c r="L86" s="876">
        <f>IF(ISERROR('Overzicht Vol &amp; Tar AD'!L86),0,'Overzicht Vol &amp; Tar AD'!L86)</f>
        <v>21.2</v>
      </c>
      <c r="M86" s="876">
        <f>IF(ISERROR('Overzicht Vol &amp; Tar AD'!M86),0,'Overzicht Vol &amp; Tar AD'!M86)</f>
        <v>21.06</v>
      </c>
      <c r="N86" s="876">
        <f>IF(ISERROR('Overzicht Vol &amp; Tar AD'!N86),0,'Overzicht Vol &amp; Tar AD'!N86)</f>
        <v>25.53</v>
      </c>
    </row>
    <row r="87" spans="1:67">
      <c r="A87" s="66"/>
      <c r="B87" s="222" t="s">
        <v>253</v>
      </c>
      <c r="C87" s="59"/>
      <c r="D87" s="59" t="s">
        <v>335</v>
      </c>
      <c r="E87" s="67"/>
      <c r="F87"/>
      <c r="G87" s="876">
        <f>IF(ISERROR('Overzicht Vol &amp; Tar AD'!G87),0,'Overzicht Vol &amp; Tar AD'!G87)</f>
        <v>24.729999999999997</v>
      </c>
      <c r="H87" s="876">
        <f>IF(ISERROR('Overzicht Vol &amp; Tar AD'!H87),0,'Overzicht Vol &amp; Tar AD'!H87)</f>
        <v>29.176295469049141</v>
      </c>
      <c r="I87" s="876">
        <f>IF(ISERROR('Overzicht Vol &amp; Tar AD'!I87),0,'Overzicht Vol &amp; Tar AD'!I87)</f>
        <v>27.49</v>
      </c>
      <c r="J87" s="876">
        <f>IF(ISERROR('Overzicht Vol &amp; Tar AD'!J87),0,'Overzicht Vol &amp; Tar AD'!J87)</f>
        <v>20.965036039774386</v>
      </c>
      <c r="K87" s="876">
        <f>IF(ISERROR('Overzicht Vol &amp; Tar AD'!K87),0,'Overzicht Vol &amp; Tar AD'!K87)</f>
        <v>28.734193226428904</v>
      </c>
      <c r="L87" s="876">
        <f>IF(ISERROR('Overzicht Vol &amp; Tar AD'!L87),0,'Overzicht Vol &amp; Tar AD'!L87)</f>
        <v>25.842533333333336</v>
      </c>
      <c r="M87" s="876">
        <f>IF(ISERROR('Overzicht Vol &amp; Tar AD'!M87),0,'Overzicht Vol &amp; Tar AD'!M87)</f>
        <v>29.16596194812238</v>
      </c>
      <c r="N87" s="876">
        <f>IF(ISERROR('Overzicht Vol &amp; Tar AD'!N87),0,'Overzicht Vol &amp; Tar AD'!N87)</f>
        <v>30.64</v>
      </c>
    </row>
    <row r="88" spans="1:67">
      <c r="A88" s="66"/>
      <c r="B88" s="222" t="s">
        <v>255</v>
      </c>
      <c r="C88" s="59"/>
      <c r="D88" s="59" t="s">
        <v>335</v>
      </c>
      <c r="E88" s="67"/>
      <c r="F88"/>
      <c r="G88" s="876">
        <f>IF(ISERROR('Overzicht Vol &amp; Tar AD'!G88),0,'Overzicht Vol &amp; Tar AD'!G88)</f>
        <v>37.447695530726257</v>
      </c>
      <c r="H88" s="876">
        <f>IF(ISERROR('Overzicht Vol &amp; Tar AD'!H88),0,'Overzicht Vol &amp; Tar AD'!H88)</f>
        <v>50.008916146523823</v>
      </c>
      <c r="I88" s="876">
        <f>IF(ISERROR('Overzicht Vol &amp; Tar AD'!I88),0,'Overzicht Vol &amp; Tar AD'!I88)</f>
        <v>59.400158023026016</v>
      </c>
      <c r="J88" s="876">
        <f>IF(ISERROR('Overzicht Vol &amp; Tar AD'!J88),0,'Overzicht Vol &amp; Tar AD'!J88)</f>
        <v>29.745047600058921</v>
      </c>
      <c r="K88" s="876">
        <f>IF(ISERROR('Overzicht Vol &amp; Tar AD'!K88),0,'Overzicht Vol &amp; Tar AD'!K88)</f>
        <v>48.378328253886075</v>
      </c>
      <c r="L88" s="876">
        <f>IF(ISERROR('Overzicht Vol &amp; Tar AD'!L88),0,'Overzicht Vol &amp; Tar AD'!L88)</f>
        <v>45.479384835479259</v>
      </c>
      <c r="M88" s="876">
        <f>IF(ISERROR('Overzicht Vol &amp; Tar AD'!M88),0,'Overzicht Vol &amp; Tar AD'!M88)</f>
        <v>55.820886684363202</v>
      </c>
      <c r="N88" s="876">
        <f>IF(ISERROR('Overzicht Vol &amp; Tar AD'!N88),0,'Overzicht Vol &amp; Tar AD'!N88)</f>
        <v>71.944727238875444</v>
      </c>
    </row>
    <row r="89" spans="1:67">
      <c r="A89" s="66"/>
      <c r="B89" s="222" t="s">
        <v>254</v>
      </c>
      <c r="C89" s="59"/>
      <c r="D89" s="59" t="s">
        <v>335</v>
      </c>
      <c r="E89" s="67"/>
      <c r="F89"/>
      <c r="G89" s="876">
        <f>IF(ISERROR('Overzicht Vol &amp; Tar AD'!G89),0,'Overzicht Vol &amp; Tar AD'!G89)</f>
        <v>0</v>
      </c>
      <c r="H89" s="876">
        <f>IF(ISERROR('Overzicht Vol &amp; Tar AD'!H89),0,'Overzicht Vol &amp; Tar AD'!H89)</f>
        <v>133.19505319148936</v>
      </c>
      <c r="I89" s="876">
        <f>IF(ISERROR('Overzicht Vol &amp; Tar AD'!I89),0,'Overzicht Vol &amp; Tar AD'!I89)</f>
        <v>0</v>
      </c>
      <c r="J89" s="876">
        <f>IF(ISERROR('Overzicht Vol &amp; Tar AD'!J89),0,'Overzicht Vol &amp; Tar AD'!J89)</f>
        <v>71.898901134021003</v>
      </c>
      <c r="K89" s="876">
        <f>IF(ISERROR('Overzicht Vol &amp; Tar AD'!K89),0,'Overzicht Vol &amp; Tar AD'!K89)</f>
        <v>117.90732171080991</v>
      </c>
      <c r="L89" s="876">
        <f>IF(ISERROR('Overzicht Vol &amp; Tar AD'!L89),0,'Overzicht Vol &amp; Tar AD'!L89)</f>
        <v>101.24</v>
      </c>
      <c r="M89" s="876">
        <f>IF(ISERROR('Overzicht Vol &amp; Tar AD'!M89),0,'Overzicht Vol &amp; Tar AD'!M89)</f>
        <v>142.09905027862339</v>
      </c>
      <c r="N89" s="876">
        <f>IF(ISERROR('Overzicht Vol &amp; Tar AD'!N89),0,'Overzicht Vol &amp; Tar AD'!N89)</f>
        <v>178.53136094674556</v>
      </c>
    </row>
    <row r="90" spans="1:67">
      <c r="A90" s="66"/>
      <c r="B90" s="214"/>
      <c r="C90" s="59"/>
      <c r="D90" s="67"/>
      <c r="E90" s="67"/>
      <c r="F90" s="67"/>
      <c r="G90" s="67"/>
      <c r="H90" s="67"/>
      <c r="I90" s="67"/>
      <c r="J90" s="67"/>
      <c r="K90" s="67"/>
      <c r="L90" s="67"/>
      <c r="M90" s="67"/>
      <c r="N90" s="67"/>
    </row>
    <row r="91" spans="1:67">
      <c r="A91" s="66"/>
      <c r="B91" s="214"/>
      <c r="C91" s="59"/>
      <c r="D91" s="67"/>
      <c r="E91" s="67"/>
      <c r="F91" s="67"/>
      <c r="G91" s="67"/>
      <c r="H91" s="67"/>
      <c r="I91" s="67"/>
      <c r="J91" s="67"/>
      <c r="K91" s="67"/>
      <c r="L91" s="67"/>
      <c r="M91" s="67"/>
      <c r="N91" s="67"/>
    </row>
    <row r="92" spans="1:67">
      <c r="A92" s="65"/>
      <c r="B92" s="205" t="s">
        <v>6</v>
      </c>
      <c r="C92" s="65"/>
      <c r="D92" s="65"/>
      <c r="E92" s="65"/>
      <c r="F92" s="9"/>
      <c r="G92" s="9"/>
      <c r="H92" s="9"/>
      <c r="I92" s="9"/>
      <c r="J92" s="9"/>
      <c r="K92" s="9"/>
      <c r="L92" s="9"/>
      <c r="M92" s="9"/>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row>
    <row r="93" spans="1:67">
      <c r="A93" s="59"/>
      <c r="B93" s="207"/>
      <c r="C93" s="59"/>
      <c r="D93" s="59"/>
      <c r="E93" s="59"/>
      <c r="F93" s="23"/>
      <c r="G93" s="23"/>
      <c r="H93" s="23"/>
      <c r="I93" s="23"/>
      <c r="J93" s="23"/>
      <c r="K93" s="23"/>
      <c r="L93" s="23"/>
      <c r="M93" s="23"/>
      <c r="N93" s="23"/>
    </row>
    <row r="94" spans="1:67">
      <c r="A94" s="66"/>
      <c r="B94" s="206" t="s">
        <v>922</v>
      </c>
      <c r="C94" s="60"/>
      <c r="D94" s="59"/>
      <c r="E94" s="59"/>
      <c r="F94" s="23"/>
      <c r="G94" s="23"/>
      <c r="H94"/>
      <c r="I94"/>
      <c r="J94" s="23"/>
      <c r="K94"/>
      <c r="L94"/>
      <c r="M94"/>
      <c r="N94"/>
    </row>
    <row r="95" spans="1:67">
      <c r="A95" s="66"/>
      <c r="B95" s="214" t="s">
        <v>251</v>
      </c>
      <c r="C95" s="59"/>
      <c r="D95" s="59" t="s">
        <v>164</v>
      </c>
      <c r="E95" s="59"/>
      <c r="F95" s="90">
        <f>SUM(G95:N95)</f>
        <v>2586906.8379901526</v>
      </c>
      <c r="G95" s="211">
        <f>IF(ISERROR('Overzicht Vol &amp; Tar AD'!G95),0,'Overzicht Vol &amp; Tar AD'!G95)</f>
        <v>22807</v>
      </c>
      <c r="H95" s="211">
        <f>IF(ISERROR('Overzicht Vol &amp; Tar AD'!H95),0,'Overzicht Vol &amp; Tar AD'!H95)</f>
        <v>84946</v>
      </c>
      <c r="I95" s="211">
        <f>IF(ISERROR('Overzicht Vol &amp; Tar AD'!I95),0,'Overzicht Vol &amp; Tar AD'!I95)</f>
        <v>44092</v>
      </c>
      <c r="J95" s="211">
        <f>IF(ISERROR('Overzicht Vol &amp; Tar AD'!J95),0,'Overzicht Vol &amp; Tar AD'!J95)</f>
        <v>1066456.8786648926</v>
      </c>
      <c r="K95" s="211">
        <f>IF(ISERROR('Overzicht Vol &amp; Tar AD'!K95),0,'Overzicht Vol &amp; Tar AD'!K95)</f>
        <v>746470.63524900982</v>
      </c>
      <c r="L95" s="211">
        <f>IF(ISERROR('Overzicht Vol &amp; Tar AD'!L95),0,'Overzicht Vol &amp; Tar AD'!L95)</f>
        <v>18401</v>
      </c>
      <c r="M95" s="211">
        <f>IF(ISERROR('Overzicht Vol &amp; Tar AD'!M95),0,'Overzicht Vol &amp; Tar AD'!M95)</f>
        <v>579156.588444066</v>
      </c>
      <c r="N95" s="211">
        <f>IF(ISERROR('Overzicht Vol &amp; Tar AD'!N95),0,'Overzicht Vol &amp; Tar AD'!N95)</f>
        <v>24576.735632183911</v>
      </c>
    </row>
    <row r="96" spans="1:67">
      <c r="A96" s="66"/>
      <c r="B96" s="214" t="s">
        <v>252</v>
      </c>
      <c r="C96" s="59"/>
      <c r="D96" s="59" t="s">
        <v>164</v>
      </c>
      <c r="E96" s="59"/>
      <c r="F96" s="90">
        <f t="shared" ref="F96:F102" si="1">SUM(G96:N96)</f>
        <v>7459490.1665451797</v>
      </c>
      <c r="G96" s="211">
        <f>IF(ISERROR('Overzicht Vol &amp; Tar AD'!G96),0,'Overzicht Vol &amp; Tar AD'!G96)</f>
        <v>50452</v>
      </c>
      <c r="H96" s="211">
        <f>IF(ISERROR('Overzicht Vol &amp; Tar AD'!H96),0,'Overzicht Vol &amp; Tar AD'!H96)</f>
        <v>196039.08333333337</v>
      </c>
      <c r="I96" s="211">
        <f>IF(ISERROR('Overzicht Vol &amp; Tar AD'!I96),0,'Overzicht Vol &amp; Tar AD'!I96)</f>
        <v>99929</v>
      </c>
      <c r="J96" s="211">
        <f>IF(ISERROR('Overzicht Vol &amp; Tar AD'!J96),0,'Overzicht Vol &amp; Tar AD'!J96)</f>
        <v>2415726.3667533835</v>
      </c>
      <c r="K96" s="211">
        <f>IF(ISERROR('Overzicht Vol &amp; Tar AD'!K96),0,'Overzicht Vol &amp; Tar AD'!K96)</f>
        <v>2738965.4637042978</v>
      </c>
      <c r="L96" s="211">
        <f>IF(ISERROR('Overzicht Vol &amp; Tar AD'!L96),0,'Overzicht Vol &amp; Tar AD'!L96)</f>
        <v>29926.6</v>
      </c>
      <c r="M96" s="211">
        <f>IF(ISERROR('Overzicht Vol &amp; Tar AD'!M96),0,'Overzicht Vol &amp; Tar AD'!M96)</f>
        <v>1879442.75</v>
      </c>
      <c r="N96" s="211">
        <f>IF(ISERROR('Overzicht Vol &amp; Tar AD'!N96),0,'Overzicht Vol &amp; Tar AD'!N96)</f>
        <v>49008.902754164825</v>
      </c>
    </row>
    <row r="97" spans="1:14">
      <c r="A97" s="66"/>
      <c r="B97" s="214" t="s">
        <v>253</v>
      </c>
      <c r="C97" s="59"/>
      <c r="D97" s="59" t="s">
        <v>164</v>
      </c>
      <c r="E97" s="59"/>
      <c r="F97" s="90">
        <f t="shared" si="1"/>
        <v>337947.18461006187</v>
      </c>
      <c r="G97" s="211">
        <f>IF(ISERROR('Overzicht Vol &amp; Tar AD'!G97),0,'Overzicht Vol &amp; Tar AD'!G97)</f>
        <v>1629</v>
      </c>
      <c r="H97" s="211">
        <f>IF(ISERROR('Overzicht Vol &amp; Tar AD'!H97),0,'Overzicht Vol &amp; Tar AD'!H97)</f>
        <v>8094</v>
      </c>
      <c r="I97" s="211">
        <f>IF(ISERROR('Overzicht Vol &amp; Tar AD'!I97),0,'Overzicht Vol &amp; Tar AD'!I97)</f>
        <v>3394</v>
      </c>
      <c r="J97" s="211">
        <f>IF(ISERROR('Overzicht Vol &amp; Tar AD'!J97),0,'Overzicht Vol &amp; Tar AD'!J97)</f>
        <v>124585.14716934915</v>
      </c>
      <c r="K97" s="211">
        <f>IF(ISERROR('Overzicht Vol &amp; Tar AD'!K97),0,'Overzicht Vol &amp; Tar AD'!K97)</f>
        <v>114027.85334934245</v>
      </c>
      <c r="L97" s="211">
        <f>IF(ISERROR('Overzicht Vol &amp; Tar AD'!L97),0,'Overzicht Vol &amp; Tar AD'!L97)</f>
        <v>1208.4000000000001</v>
      </c>
      <c r="M97" s="211">
        <f>IF(ISERROR('Overzicht Vol &amp; Tar AD'!M97),0,'Overzicht Vol &amp; Tar AD'!M97)</f>
        <v>81709.36405109489</v>
      </c>
      <c r="N97" s="211">
        <f>IF(ISERROR('Overzicht Vol &amp; Tar AD'!N97),0,'Overzicht Vol &amp; Tar AD'!N97)</f>
        <v>3299.4200402754004</v>
      </c>
    </row>
    <row r="98" spans="1:14">
      <c r="A98" s="66"/>
      <c r="B98" s="214" t="s">
        <v>255</v>
      </c>
      <c r="C98" s="59"/>
      <c r="D98" s="59" t="s">
        <v>164</v>
      </c>
      <c r="E98" s="59"/>
      <c r="F98" s="90">
        <f t="shared" si="1"/>
        <v>39670.821788499983</v>
      </c>
      <c r="G98" s="211">
        <f>IF(ISERROR('Overzicht Vol &amp; Tar AD'!G98),0,'Overzicht Vol &amp; Tar AD'!G98)</f>
        <v>307</v>
      </c>
      <c r="H98" s="211">
        <f>IF(ISERROR('Overzicht Vol &amp; Tar AD'!H98),0,'Overzicht Vol &amp; Tar AD'!H98)</f>
        <v>1493.4166666666667</v>
      </c>
      <c r="I98" s="211">
        <f>IF(ISERROR('Overzicht Vol &amp; Tar AD'!I98),0,'Overzicht Vol &amp; Tar AD'!I98)</f>
        <v>688</v>
      </c>
      <c r="J98" s="211">
        <f>IF(ISERROR('Overzicht Vol &amp; Tar AD'!J98),0,'Overzicht Vol &amp; Tar AD'!J98)</f>
        <v>12635.067234583596</v>
      </c>
      <c r="K98" s="211">
        <f>IF(ISERROR('Overzicht Vol &amp; Tar AD'!K98),0,'Overzicht Vol &amp; Tar AD'!K98)</f>
        <v>13712.438500000113</v>
      </c>
      <c r="L98" s="211">
        <f>IF(ISERROR('Overzicht Vol &amp; Tar AD'!L98),0,'Overzicht Vol &amp; Tar AD'!L98)</f>
        <v>128.72</v>
      </c>
      <c r="M98" s="211">
        <f>IF(ISERROR('Overzicht Vol &amp; Tar AD'!M98),0,'Overzicht Vol &amp; Tar AD'!M98)</f>
        <v>9731.6666666666697</v>
      </c>
      <c r="N98" s="211">
        <f>IF(ISERROR('Overzicht Vol &amp; Tar AD'!N98),0,'Overzicht Vol &amp; Tar AD'!N98)</f>
        <v>974.51272058293739</v>
      </c>
    </row>
    <row r="99" spans="1:14">
      <c r="A99" s="66"/>
      <c r="B99" s="214" t="s">
        <v>261</v>
      </c>
      <c r="C99" s="59"/>
      <c r="D99" s="59" t="s">
        <v>164</v>
      </c>
      <c r="E99" s="59"/>
      <c r="F99" s="90">
        <f t="shared" si="1"/>
        <v>32182.055096588076</v>
      </c>
      <c r="G99" s="211">
        <f>IF(ISERROR('Overzicht Vol &amp; Tar AD'!G99),0,'Overzicht Vol &amp; Tar AD'!G99)</f>
        <v>241</v>
      </c>
      <c r="H99" s="211">
        <f>IF(ISERROR('Overzicht Vol &amp; Tar AD'!H99),0,'Overzicht Vol &amp; Tar AD'!H99)</f>
        <v>412.25000000000006</v>
      </c>
      <c r="I99" s="211">
        <f>IF(ISERROR('Overzicht Vol &amp; Tar AD'!I99),0,'Overzicht Vol &amp; Tar AD'!I99)</f>
        <v>586</v>
      </c>
      <c r="J99" s="211">
        <f>IF(ISERROR('Overzicht Vol &amp; Tar AD'!J99),0,'Overzicht Vol &amp; Tar AD'!J99)</f>
        <v>14159.890103850457</v>
      </c>
      <c r="K99" s="211">
        <f>IF(ISERROR('Overzicht Vol &amp; Tar AD'!K99),0,'Overzicht Vol &amp; Tar AD'!K99)</f>
        <v>12550.8995</v>
      </c>
      <c r="L99" s="211">
        <f>IF(ISERROR('Overzicht Vol &amp; Tar AD'!L99),0,'Overzicht Vol &amp; Tar AD'!L99)</f>
        <v>149.45999999999998</v>
      </c>
      <c r="M99" s="211">
        <f>IF(ISERROR('Overzicht Vol &amp; Tar AD'!M99),0,'Overzicht Vol &amp; Tar AD'!M99)</f>
        <v>3675.8333333333298</v>
      </c>
      <c r="N99" s="211">
        <f>IF(ISERROR('Overzicht Vol &amp; Tar AD'!N99),0,'Overzicht Vol &amp; Tar AD'!N99)</f>
        <v>406.72215940429334</v>
      </c>
    </row>
    <row r="100" spans="1:14">
      <c r="A100" s="66"/>
      <c r="B100" s="214" t="s">
        <v>262</v>
      </c>
      <c r="C100" s="59"/>
      <c r="D100" s="59" t="s">
        <v>164</v>
      </c>
      <c r="E100" s="59"/>
      <c r="F100" s="90">
        <f t="shared" si="1"/>
        <v>1229.7094771068162</v>
      </c>
      <c r="G100" s="211">
        <f>IF(ISERROR('Overzicht Vol &amp; Tar AD'!G100),0,'Overzicht Vol &amp; Tar AD'!G100)</f>
        <v>0</v>
      </c>
      <c r="H100" s="211">
        <f>IF(ISERROR('Overzicht Vol &amp; Tar AD'!H100),0,'Overzicht Vol &amp; Tar AD'!H100)</f>
        <v>10</v>
      </c>
      <c r="I100" s="211">
        <f>IF(ISERROR('Overzicht Vol &amp; Tar AD'!I100),0,'Overzicht Vol &amp; Tar AD'!I100)</f>
        <v>5</v>
      </c>
      <c r="J100" s="211">
        <f>IF(ISERROR('Overzicht Vol &amp; Tar AD'!J100),0,'Overzicht Vol &amp; Tar AD'!J100)</f>
        <v>847.32390767088577</v>
      </c>
      <c r="K100" s="211">
        <f>IF(ISERROR('Overzicht Vol &amp; Tar AD'!K100),0,'Overzicht Vol &amp; Tar AD'!K100)</f>
        <v>131</v>
      </c>
      <c r="L100" s="211">
        <f>IF(ISERROR('Overzicht Vol &amp; Tar AD'!L100),0,'Overzicht Vol &amp; Tar AD'!L100)</f>
        <v>1.75</v>
      </c>
      <c r="M100" s="211">
        <f>IF(ISERROR('Overzicht Vol &amp; Tar AD'!M100),0,'Overzicht Vol &amp; Tar AD'!M100)</f>
        <v>205.2498090565764</v>
      </c>
      <c r="N100" s="211">
        <f>IF(ISERROR('Overzicht Vol &amp; Tar AD'!N100),0,'Overzicht Vol &amp; Tar AD'!N100)</f>
        <v>29.385760379353922</v>
      </c>
    </row>
    <row r="101" spans="1:14">
      <c r="A101" s="66"/>
      <c r="B101" s="214"/>
      <c r="C101" s="59"/>
      <c r="D101" s="59"/>
      <c r="E101" s="59"/>
      <c r="F101" s="91"/>
      <c r="G101" s="91"/>
      <c r="H101" s="118"/>
      <c r="I101" s="118"/>
      <c r="J101" s="91"/>
      <c r="K101" s="118"/>
      <c r="L101" s="118"/>
      <c r="M101" s="118"/>
      <c r="N101" s="118"/>
    </row>
    <row r="102" spans="1:14">
      <c r="A102" s="66"/>
      <c r="B102" s="214" t="s">
        <v>1096</v>
      </c>
      <c r="C102" s="59"/>
      <c r="D102" s="59" t="s">
        <v>164</v>
      </c>
      <c r="E102" s="59"/>
      <c r="F102" s="90">
        <f t="shared" si="1"/>
        <v>1207575.9795868162</v>
      </c>
      <c r="G102" s="211">
        <f>IF(ISERROR('Overzicht Vol &amp; Tar AD'!G102),0,'Overzicht Vol &amp; Tar AD'!G102)</f>
        <v>0</v>
      </c>
      <c r="H102" s="211">
        <f>IF(ISERROR('Overzicht Vol &amp; Tar AD'!H102),0,'Overzicht Vol &amp; Tar AD'!H102)</f>
        <v>23200</v>
      </c>
      <c r="I102" s="211">
        <f>IF(ISERROR('Overzicht Vol &amp; Tar AD'!I102),0,'Overzicht Vol &amp; Tar AD'!I102)</f>
        <v>2835</v>
      </c>
      <c r="J102" s="211">
        <f>IF(ISERROR('Overzicht Vol &amp; Tar AD'!J102),0,'Overzicht Vol &amp; Tar AD'!J102)</f>
        <v>208782.74818181817</v>
      </c>
      <c r="K102" s="211">
        <f>IF(ISERROR('Overzicht Vol &amp; Tar AD'!K102),0,'Overzicht Vol &amp; Tar AD'!K102)</f>
        <v>780848.7414388468</v>
      </c>
      <c r="L102" s="211">
        <f>IF(ISERROR('Overzicht Vol &amp; Tar AD'!L102),0,'Overzicht Vol &amp; Tar AD'!L102)</f>
        <v>8240</v>
      </c>
      <c r="M102" s="211">
        <f>IF(ISERROR('Overzicht Vol &amp; Tar AD'!M102),0,'Overzicht Vol &amp; Tar AD'!M102)</f>
        <v>178593.426136364</v>
      </c>
      <c r="N102" s="211">
        <f>IF(ISERROR('Overzicht Vol &amp; Tar AD'!N102),0,'Overzicht Vol &amp; Tar AD'!N102)</f>
        <v>5076.0638297872338</v>
      </c>
    </row>
    <row r="103" spans="1:14">
      <c r="A103" s="66"/>
      <c r="B103" s="214"/>
      <c r="C103" s="59"/>
      <c r="D103" s="59"/>
      <c r="E103" s="59"/>
      <c r="F103" s="91"/>
      <c r="G103" s="91"/>
      <c r="H103" s="118"/>
      <c r="I103" s="118"/>
      <c r="J103" s="91"/>
      <c r="K103" s="118"/>
      <c r="L103" s="118"/>
      <c r="M103" s="118"/>
      <c r="N103" s="118"/>
    </row>
    <row r="104" spans="1:14">
      <c r="A104" s="66"/>
      <c r="B104" s="206" t="s">
        <v>923</v>
      </c>
      <c r="C104" s="60"/>
      <c r="D104" s="59"/>
      <c r="E104" s="59"/>
      <c r="F104" s="91"/>
      <c r="G104" s="91"/>
      <c r="H104" s="118"/>
      <c r="I104" s="118"/>
      <c r="J104" s="91"/>
      <c r="K104" s="118"/>
      <c r="L104" s="118"/>
      <c r="M104" s="118"/>
      <c r="N104" s="118"/>
    </row>
    <row r="105" spans="1:14">
      <c r="A105" s="66"/>
      <c r="B105" s="206" t="s">
        <v>328</v>
      </c>
      <c r="C105" s="59"/>
      <c r="D105" s="59"/>
      <c r="E105" s="60"/>
      <c r="F105" s="91"/>
      <c r="G105" s="91"/>
      <c r="H105" s="118"/>
      <c r="I105" s="118"/>
      <c r="J105" s="91"/>
      <c r="K105" s="118"/>
      <c r="L105" s="118"/>
      <c r="M105" s="118"/>
      <c r="N105" s="118"/>
    </row>
    <row r="106" spans="1:14">
      <c r="A106" s="66"/>
      <c r="B106" s="222" t="s">
        <v>251</v>
      </c>
      <c r="C106" s="59"/>
      <c r="D106" s="59" t="s">
        <v>164</v>
      </c>
      <c r="E106" s="67"/>
      <c r="F106" s="90">
        <f>SUM(G106:N106)</f>
        <v>45453.385859493734</v>
      </c>
      <c r="G106" s="211">
        <f>IF(ISERROR('Overzicht Vol &amp; Tar AD'!G106),0,'Overzicht Vol &amp; Tar AD'!G106)</f>
        <v>141</v>
      </c>
      <c r="H106" s="211">
        <f>IF(ISERROR('Overzicht Vol &amp; Tar AD'!H106),0,'Overzicht Vol &amp; Tar AD'!H106)</f>
        <v>1237</v>
      </c>
      <c r="I106" s="211">
        <f>IF(ISERROR('Overzicht Vol &amp; Tar AD'!I106),0,'Overzicht Vol &amp; Tar AD'!I106)</f>
        <v>755.84510110666872</v>
      </c>
      <c r="J106" s="211">
        <f>IF(ISERROR('Overzicht Vol &amp; Tar AD'!J106),0,'Overzicht Vol &amp; Tar AD'!J106)</f>
        <v>25391.567533783782</v>
      </c>
      <c r="K106" s="211">
        <f>IF(ISERROR('Overzicht Vol &amp; Tar AD'!K106),0,'Overzicht Vol &amp; Tar AD'!K106)</f>
        <v>10247</v>
      </c>
      <c r="L106" s="211">
        <f>IF(ISERROR('Overzicht Vol &amp; Tar AD'!L106),0,'Overzicht Vol &amp; Tar AD'!L106)</f>
        <v>437</v>
      </c>
      <c r="M106" s="211">
        <f>IF(ISERROR('Overzicht Vol &amp; Tar AD'!M106),0,'Overzicht Vol &amp; Tar AD'!M106)</f>
        <v>6738.97322460328</v>
      </c>
      <c r="N106" s="211">
        <f>IF(ISERROR('Overzicht Vol &amp; Tar AD'!N106),0,'Overzicht Vol &amp; Tar AD'!N106)</f>
        <v>505</v>
      </c>
    </row>
    <row r="107" spans="1:14">
      <c r="A107" s="66"/>
      <c r="B107" s="222" t="s">
        <v>252</v>
      </c>
      <c r="C107" s="59"/>
      <c r="D107" s="59" t="s">
        <v>164</v>
      </c>
      <c r="E107" s="67"/>
      <c r="F107" s="90">
        <f>SUM(G107:N107)</f>
        <v>79257.187538083803</v>
      </c>
      <c r="G107" s="211">
        <f>IF(ISERROR('Overzicht Vol &amp; Tar AD'!G107),0,'Overzicht Vol &amp; Tar AD'!G107)</f>
        <v>213</v>
      </c>
      <c r="H107" s="211">
        <f>IF(ISERROR('Overzicht Vol &amp; Tar AD'!H107),0,'Overzicht Vol &amp; Tar AD'!H107)</f>
        <v>1568</v>
      </c>
      <c r="I107" s="211">
        <f>IF(ISERROR('Overzicht Vol &amp; Tar AD'!I107),0,'Overzicht Vol &amp; Tar AD'!I107)</f>
        <v>509.77102838186511</v>
      </c>
      <c r="J107" s="211">
        <f>IF(ISERROR('Overzicht Vol &amp; Tar AD'!J107),0,'Overzicht Vol &amp; Tar AD'!J107)</f>
        <v>24397.998450704192</v>
      </c>
      <c r="K107" s="211">
        <f>IF(ISERROR('Overzicht Vol &amp; Tar AD'!K107),0,'Overzicht Vol &amp; Tar AD'!K107)</f>
        <v>29534.771026156941</v>
      </c>
      <c r="L107" s="211">
        <f>IF(ISERROR('Overzicht Vol &amp; Tar AD'!L107),0,'Overzicht Vol &amp; Tar AD'!L107)</f>
        <v>271</v>
      </c>
      <c r="M107" s="211">
        <f>IF(ISERROR('Overzicht Vol &amp; Tar AD'!M107),0,'Overzicht Vol &amp; Tar AD'!M107)</f>
        <v>21771.6470328408</v>
      </c>
      <c r="N107" s="211">
        <f>IF(ISERROR('Overzicht Vol &amp; Tar AD'!N107),0,'Overzicht Vol &amp; Tar AD'!N107)</f>
        <v>991</v>
      </c>
    </row>
    <row r="108" spans="1:14">
      <c r="A108" s="66"/>
      <c r="B108" s="222" t="s">
        <v>253</v>
      </c>
      <c r="C108" s="59"/>
      <c r="D108" s="59" t="s">
        <v>164</v>
      </c>
      <c r="E108" s="67"/>
      <c r="F108" s="90">
        <f>SUM(G108:N108)</f>
        <v>7909.932074082446</v>
      </c>
      <c r="G108" s="211">
        <f>IF(ISERROR('Overzicht Vol &amp; Tar AD'!G108),0,'Overzicht Vol &amp; Tar AD'!G108)</f>
        <v>28</v>
      </c>
      <c r="H108" s="211">
        <f>IF(ISERROR('Overzicht Vol &amp; Tar AD'!H108),0,'Overzicht Vol &amp; Tar AD'!H108)</f>
        <v>244</v>
      </c>
      <c r="I108" s="211">
        <f>IF(ISERROR('Overzicht Vol &amp; Tar AD'!I108),0,'Overzicht Vol &amp; Tar AD'!I108)</f>
        <v>84.635046754229521</v>
      </c>
      <c r="J108" s="211">
        <f>IF(ISERROR('Overzicht Vol &amp; Tar AD'!J108),0,'Overzicht Vol &amp; Tar AD'!J108)</f>
        <v>2393.9713621954124</v>
      </c>
      <c r="K108" s="211">
        <f>IF(ISERROR('Overzicht Vol &amp; Tar AD'!K108),0,'Overzicht Vol &amp; Tar AD'!K108)</f>
        <v>3231.8425997156528</v>
      </c>
      <c r="L108" s="211">
        <f>IF(ISERROR('Overzicht Vol &amp; Tar AD'!L108),0,'Overzicht Vol &amp; Tar AD'!L108)</f>
        <v>36</v>
      </c>
      <c r="M108" s="211">
        <f>IF(ISERROR('Overzicht Vol &amp; Tar AD'!M108),0,'Overzicht Vol &amp; Tar AD'!M108)</f>
        <v>1833.483065417151</v>
      </c>
      <c r="N108" s="211">
        <f>IF(ISERROR('Overzicht Vol &amp; Tar AD'!N108),0,'Overzicht Vol &amp; Tar AD'!N108)</f>
        <v>58</v>
      </c>
    </row>
    <row r="109" spans="1:14">
      <c r="A109" s="66"/>
      <c r="B109" s="222" t="s">
        <v>255</v>
      </c>
      <c r="C109" s="59"/>
      <c r="D109" s="59" t="s">
        <v>164</v>
      </c>
      <c r="E109" s="67"/>
      <c r="F109" s="90">
        <f>SUM(G109:N109)</f>
        <v>2340.0354521278055</v>
      </c>
      <c r="G109" s="211">
        <f>IF(ISERROR('Overzicht Vol &amp; Tar AD'!G109),0,'Overzicht Vol &amp; Tar AD'!G109)</f>
        <v>9</v>
      </c>
      <c r="H109" s="211">
        <f>IF(ISERROR('Overzicht Vol &amp; Tar AD'!H109),0,'Overzicht Vol &amp; Tar AD'!H109)</f>
        <v>51.2</v>
      </c>
      <c r="I109" s="211">
        <f>IF(ISERROR('Overzicht Vol &amp; Tar AD'!I109),0,'Overzicht Vol &amp; Tar AD'!I109)</f>
        <v>24.389913997354657</v>
      </c>
      <c r="J109" s="211">
        <f>IF(ISERROR('Overzicht Vol &amp; Tar AD'!J109),0,'Overzicht Vol &amp; Tar AD'!J109)</f>
        <v>1148.2479260740615</v>
      </c>
      <c r="K109" s="211">
        <f>IF(ISERROR('Overzicht Vol &amp; Tar AD'!K109),0,'Overzicht Vol &amp; Tar AD'!K109)</f>
        <v>661</v>
      </c>
      <c r="L109" s="211">
        <f>IF(ISERROR('Overzicht Vol &amp; Tar AD'!L109),0,'Overzicht Vol &amp; Tar AD'!L109)</f>
        <v>7</v>
      </c>
      <c r="M109" s="211">
        <f>IF(ISERROR('Overzicht Vol &amp; Tar AD'!M109),0,'Overzicht Vol &amp; Tar AD'!M109)</f>
        <v>417.19761205638918</v>
      </c>
      <c r="N109" s="211">
        <f>IF(ISERROR('Overzicht Vol &amp; Tar AD'!N109),0,'Overzicht Vol &amp; Tar AD'!N109)</f>
        <v>22</v>
      </c>
    </row>
    <row r="110" spans="1:14">
      <c r="A110" s="66"/>
      <c r="B110" s="222" t="s">
        <v>254</v>
      </c>
      <c r="C110" s="59"/>
      <c r="D110" s="59" t="s">
        <v>164</v>
      </c>
      <c r="E110" s="67"/>
      <c r="F110" s="90">
        <f>SUM(G110:N110)</f>
        <v>279.11871129318547</v>
      </c>
      <c r="G110" s="211">
        <f>IF(ISERROR('Overzicht Vol &amp; Tar AD'!G110),0,'Overzicht Vol &amp; Tar AD'!G110)</f>
        <v>0</v>
      </c>
      <c r="H110" s="211">
        <f>IF(ISERROR('Overzicht Vol &amp; Tar AD'!H110),0,'Overzicht Vol &amp; Tar AD'!H110)</f>
        <v>3</v>
      </c>
      <c r="I110" s="211">
        <f>IF(ISERROR('Overzicht Vol &amp; Tar AD'!I110),0,'Overzicht Vol &amp; Tar AD'!I110)</f>
        <v>1</v>
      </c>
      <c r="J110" s="211">
        <f>IF(ISERROR('Overzicht Vol &amp; Tar AD'!J110),0,'Overzicht Vol &amp; Tar AD'!J110)</f>
        <v>133.10390222528267</v>
      </c>
      <c r="K110" s="211">
        <f>IF(ISERROR('Overzicht Vol &amp; Tar AD'!K110),0,'Overzicht Vol &amp; Tar AD'!K110)</f>
        <v>78</v>
      </c>
      <c r="L110" s="211">
        <f>IF(ISERROR('Overzicht Vol &amp; Tar AD'!L110),0,'Overzicht Vol &amp; Tar AD'!L110)</f>
        <v>1</v>
      </c>
      <c r="M110" s="211">
        <f>IF(ISERROR('Overzicht Vol &amp; Tar AD'!M110),0,'Overzicht Vol &amp; Tar AD'!M110)</f>
        <v>53.014809067902824</v>
      </c>
      <c r="N110" s="211">
        <f>IF(ISERROR('Overzicht Vol &amp; Tar AD'!N110),0,'Overzicht Vol &amp; Tar AD'!N110)</f>
        <v>10</v>
      </c>
    </row>
    <row r="111" spans="1:14">
      <c r="A111" s="66"/>
      <c r="B111" s="214"/>
      <c r="C111" s="59"/>
      <c r="D111" s="59"/>
      <c r="E111" s="59"/>
      <c r="F111" s="91"/>
      <c r="G111" s="91"/>
      <c r="H111" s="91"/>
      <c r="I111" s="91"/>
      <c r="J111" s="91"/>
      <c r="K111" s="91"/>
      <c r="L111" s="91"/>
      <c r="M111" s="91"/>
      <c r="N111" s="91"/>
    </row>
    <row r="112" spans="1:14">
      <c r="A112" s="66"/>
      <c r="B112" s="206" t="s">
        <v>329</v>
      </c>
      <c r="C112" s="59"/>
      <c r="D112" s="59"/>
      <c r="E112" s="60"/>
      <c r="F112" s="91"/>
      <c r="G112" s="91"/>
      <c r="H112" s="91"/>
      <c r="I112" s="91"/>
      <c r="J112" s="91"/>
      <c r="K112" s="91"/>
      <c r="L112" s="91"/>
      <c r="M112" s="91"/>
      <c r="N112" s="91"/>
    </row>
    <row r="113" spans="1:67">
      <c r="A113" s="66"/>
      <c r="B113" s="222" t="s">
        <v>251</v>
      </c>
      <c r="C113" s="59"/>
      <c r="D113" s="59" t="s">
        <v>164</v>
      </c>
      <c r="E113" s="67"/>
      <c r="F113" s="90">
        <f>SUM(G113:N113)</f>
        <v>47923.100244615394</v>
      </c>
      <c r="G113" s="211">
        <f>IF(ISERROR('Overzicht Vol &amp; Tar AD'!G113),0,'Overzicht Vol &amp; Tar AD'!G113)</f>
        <v>968</v>
      </c>
      <c r="H113" s="211">
        <f>IF(ISERROR('Overzicht Vol &amp; Tar AD'!H113),0,'Overzicht Vol &amp; Tar AD'!H113)</f>
        <v>2141</v>
      </c>
      <c r="I113" s="211">
        <f>IF(ISERROR('Overzicht Vol &amp; Tar AD'!I113),0,'Overzicht Vol &amp; Tar AD'!I113)</f>
        <v>69.388020833333314</v>
      </c>
      <c r="J113" s="211">
        <f>IF(ISERROR('Overzicht Vol &amp; Tar AD'!J113),0,'Overzicht Vol &amp; Tar AD'!J113)</f>
        <v>28214.471428571425</v>
      </c>
      <c r="K113" s="211">
        <f>IF(ISERROR('Overzicht Vol &amp; Tar AD'!K113),0,'Overzicht Vol &amp; Tar AD'!K113)</f>
        <v>12090</v>
      </c>
      <c r="L113" s="211">
        <f>IF(ISERROR('Overzicht Vol &amp; Tar AD'!L113),0,'Overzicht Vol &amp; Tar AD'!L113)</f>
        <v>169</v>
      </c>
      <c r="M113" s="211">
        <f>IF(ISERROR('Overzicht Vol &amp; Tar AD'!M113),0,'Overzicht Vol &amp; Tar AD'!M113)</f>
        <v>4151.2407952106396</v>
      </c>
      <c r="N113" s="211">
        <f>IF(ISERROR('Overzicht Vol &amp; Tar AD'!N113),0,'Overzicht Vol &amp; Tar AD'!N113)</f>
        <v>120</v>
      </c>
    </row>
    <row r="114" spans="1:67">
      <c r="A114" s="66"/>
      <c r="B114" s="222" t="s">
        <v>252</v>
      </c>
      <c r="C114" s="59"/>
      <c r="D114" s="59" t="s">
        <v>164</v>
      </c>
      <c r="E114" s="67"/>
      <c r="F114" s="90">
        <f>SUM(G114:N114)</f>
        <v>143037.17108061735</v>
      </c>
      <c r="G114" s="211">
        <f>IF(ISERROR('Overzicht Vol &amp; Tar AD'!G114),0,'Overzicht Vol &amp; Tar AD'!G114)</f>
        <v>212</v>
      </c>
      <c r="H114" s="211">
        <f>IF(ISERROR('Overzicht Vol &amp; Tar AD'!H114),0,'Overzicht Vol &amp; Tar AD'!H114)</f>
        <v>5119</v>
      </c>
      <c r="I114" s="211">
        <f>IF(ISERROR('Overzicht Vol &amp; Tar AD'!I114),0,'Overzicht Vol &amp; Tar AD'!I114)</f>
        <v>644.55183946488296</v>
      </c>
      <c r="J114" s="211">
        <f>IF(ISERROR('Overzicht Vol &amp; Tar AD'!J114),0,'Overzicht Vol &amp; Tar AD'!J114)</f>
        <v>103878.09375</v>
      </c>
      <c r="K114" s="211">
        <f>IF(ISERROR('Overzicht Vol &amp; Tar AD'!K114),0,'Overzicht Vol &amp; Tar AD'!K114)</f>
        <v>24040</v>
      </c>
      <c r="L114" s="211">
        <f>IF(ISERROR('Overzicht Vol &amp; Tar AD'!L114),0,'Overzicht Vol &amp; Tar AD'!L114)</f>
        <v>487</v>
      </c>
      <c r="M114" s="211">
        <f>IF(ISERROR('Overzicht Vol &amp; Tar AD'!M114),0,'Overzicht Vol &amp; Tar AD'!M114)</f>
        <v>8050.5254911524798</v>
      </c>
      <c r="N114" s="211">
        <f>IF(ISERROR('Overzicht Vol &amp; Tar AD'!N114),0,'Overzicht Vol &amp; Tar AD'!N114)</f>
        <v>606</v>
      </c>
    </row>
    <row r="115" spans="1:67">
      <c r="A115" s="66"/>
      <c r="B115" s="222" t="s">
        <v>253</v>
      </c>
      <c r="C115" s="59"/>
      <c r="D115" s="59" t="s">
        <v>164</v>
      </c>
      <c r="E115" s="67"/>
      <c r="F115" s="90">
        <f>SUM(G115:N115)</f>
        <v>84983.279652526864</v>
      </c>
      <c r="G115" s="211">
        <f>IF(ISERROR('Overzicht Vol &amp; Tar AD'!G115),0,'Overzicht Vol &amp; Tar AD'!G115)</f>
        <v>510</v>
      </c>
      <c r="H115" s="211">
        <f>IF(ISERROR('Overzicht Vol &amp; Tar AD'!H115),0,'Overzicht Vol &amp; Tar AD'!H115)</f>
        <v>3134</v>
      </c>
      <c r="I115" s="211">
        <f>IF(ISERROR('Overzicht Vol &amp; Tar AD'!I115),0,'Overzicht Vol &amp; Tar AD'!I115)</f>
        <v>837.27209894507087</v>
      </c>
      <c r="J115" s="211">
        <f>IF(ISERROR('Overzicht Vol &amp; Tar AD'!J115),0,'Overzicht Vol &amp; Tar AD'!J115)</f>
        <v>27885.857142857141</v>
      </c>
      <c r="K115" s="211">
        <f>IF(ISERROR('Overzicht Vol &amp; Tar AD'!K115),0,'Overzicht Vol &amp; Tar AD'!K115)</f>
        <v>30058</v>
      </c>
      <c r="L115" s="211">
        <f>IF(ISERROR('Overzicht Vol &amp; Tar AD'!L115),0,'Overzicht Vol &amp; Tar AD'!L115)</f>
        <v>150</v>
      </c>
      <c r="M115" s="211">
        <f>IF(ISERROR('Overzicht Vol &amp; Tar AD'!M115),0,'Overzicht Vol &amp; Tar AD'!M115)</f>
        <v>19814.150410724658</v>
      </c>
      <c r="N115" s="211">
        <f>IF(ISERROR('Overzicht Vol &amp; Tar AD'!N115),0,'Overzicht Vol &amp; Tar AD'!N115)</f>
        <v>2594</v>
      </c>
    </row>
    <row r="116" spans="1:67">
      <c r="A116" s="66"/>
      <c r="B116" s="222" t="s">
        <v>255</v>
      </c>
      <c r="C116" s="59"/>
      <c r="D116" s="59" t="s">
        <v>164</v>
      </c>
      <c r="E116" s="67"/>
      <c r="F116" s="90">
        <f>SUM(G116:N116)</f>
        <v>293275.8047660127</v>
      </c>
      <c r="G116" s="211">
        <f>IF(ISERROR('Overzicht Vol &amp; Tar AD'!G116),0,'Overzicht Vol &amp; Tar AD'!G116)</f>
        <v>716</v>
      </c>
      <c r="H116" s="211">
        <f>IF(ISERROR('Overzicht Vol &amp; Tar AD'!H116),0,'Overzicht Vol &amp; Tar AD'!H116)</f>
        <v>7701.4100000000008</v>
      </c>
      <c r="I116" s="211">
        <f>IF(ISERROR('Overzicht Vol &amp; Tar AD'!I116),0,'Overzicht Vol &amp; Tar AD'!I116)</f>
        <v>1022.1519945530096</v>
      </c>
      <c r="J116" s="211">
        <f>IF(ISERROR('Overzicht Vol &amp; Tar AD'!J116),0,'Overzicht Vol &amp; Tar AD'!J116)</f>
        <v>157071.79974358977</v>
      </c>
      <c r="K116" s="211">
        <f>IF(ISERROR('Overzicht Vol &amp; Tar AD'!K116),0,'Overzicht Vol &amp; Tar AD'!K116)</f>
        <v>84983</v>
      </c>
      <c r="L116" s="211">
        <f>IF(ISERROR('Overzicht Vol &amp; Tar AD'!L116),0,'Overzicht Vol &amp; Tar AD'!L116)</f>
        <v>699</v>
      </c>
      <c r="M116" s="211">
        <f>IF(ISERROR('Overzicht Vol &amp; Tar AD'!M116),0,'Overzicht Vol &amp; Tar AD'!M116)</f>
        <v>38396.943027869915</v>
      </c>
      <c r="N116" s="211">
        <f>IF(ISERROR('Overzicht Vol &amp; Tar AD'!N116),0,'Overzicht Vol &amp; Tar AD'!N116)</f>
        <v>2685.5</v>
      </c>
    </row>
    <row r="117" spans="1:67">
      <c r="A117" s="66"/>
      <c r="B117" s="222" t="s">
        <v>254</v>
      </c>
      <c r="C117" s="59"/>
      <c r="D117" s="59" t="s">
        <v>164</v>
      </c>
      <c r="E117" s="67"/>
      <c r="F117" s="90">
        <f>SUM(G117:N117)</f>
        <v>50640.586579326628</v>
      </c>
      <c r="G117" s="211">
        <f>IF(ISERROR('Overzicht Vol &amp; Tar AD'!G117),0,'Overzicht Vol &amp; Tar AD'!G117)</f>
        <v>0</v>
      </c>
      <c r="H117" s="211">
        <f>IF(ISERROR('Overzicht Vol &amp; Tar AD'!H117),0,'Overzicht Vol &amp; Tar AD'!H117)</f>
        <v>940</v>
      </c>
      <c r="I117" s="211">
        <f>IF(ISERROR('Overzicht Vol &amp; Tar AD'!I117),0,'Overzicht Vol &amp; Tar AD'!I117)</f>
        <v>0</v>
      </c>
      <c r="J117" s="211">
        <f>IF(ISERROR('Overzicht Vol &amp; Tar AD'!J117),0,'Overzicht Vol &amp; Tar AD'!J117)</f>
        <v>13790.555688073393</v>
      </c>
      <c r="K117" s="211">
        <f>IF(ISERROR('Overzicht Vol &amp; Tar AD'!K117),0,'Overzicht Vol &amp; Tar AD'!K117)</f>
        <v>20879</v>
      </c>
      <c r="L117" s="211">
        <f>IF(ISERROR('Overzicht Vol &amp; Tar AD'!L117),0,'Overzicht Vol &amp; Tar AD'!L117)</f>
        <v>1400</v>
      </c>
      <c r="M117" s="211">
        <f>IF(ISERROR('Overzicht Vol &amp; Tar AD'!M117),0,'Overzicht Vol &amp; Tar AD'!M117)</f>
        <v>13293.030891253238</v>
      </c>
      <c r="N117" s="211">
        <f>IF(ISERROR('Overzicht Vol &amp; Tar AD'!N117),0,'Overzicht Vol &amp; Tar AD'!N117)</f>
        <v>338</v>
      </c>
    </row>
    <row r="118" spans="1:67">
      <c r="A118" s="66"/>
      <c r="B118" s="214"/>
      <c r="C118" s="59"/>
      <c r="D118" s="59"/>
      <c r="E118" s="59"/>
      <c r="F118"/>
      <c r="G118"/>
      <c r="H118"/>
      <c r="I118"/>
      <c r="J118"/>
      <c r="K118"/>
      <c r="L118"/>
      <c r="M118"/>
      <c r="N118"/>
    </row>
    <row r="119" spans="1:67">
      <c r="A119" s="66"/>
      <c r="B119" s="214"/>
      <c r="C119" s="59"/>
      <c r="D119" s="59"/>
      <c r="E119" s="59"/>
      <c r="F119"/>
      <c r="G119"/>
      <c r="H119"/>
      <c r="I119"/>
      <c r="J119"/>
      <c r="K119"/>
      <c r="L119"/>
      <c r="M119"/>
      <c r="N119"/>
    </row>
    <row r="120" spans="1:67">
      <c r="A120" s="64"/>
      <c r="B120" s="205" t="s">
        <v>7</v>
      </c>
      <c r="C120" s="64"/>
      <c r="D120" s="65"/>
      <c r="E120" s="65"/>
      <c r="F120" s="9"/>
      <c r="G120" s="9"/>
      <c r="H120" s="9"/>
      <c r="I120" s="9"/>
      <c r="J120" s="9"/>
      <c r="K120" s="9"/>
      <c r="L120" s="9"/>
      <c r="M120" s="9"/>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row>
    <row r="121" spans="1:67">
      <c r="A121" s="60"/>
      <c r="B121" s="207"/>
      <c r="C121" s="60"/>
      <c r="D121" s="59"/>
      <c r="E121" s="59"/>
      <c r="F121" s="23"/>
      <c r="G121" s="23"/>
      <c r="H121" s="23"/>
      <c r="I121" s="23"/>
      <c r="J121" s="23"/>
      <c r="K121" s="23"/>
      <c r="L121" s="23"/>
      <c r="M121" s="23"/>
      <c r="N121" s="23"/>
    </row>
    <row r="122" spans="1:67">
      <c r="A122" s="66"/>
      <c r="B122" s="206" t="s">
        <v>922</v>
      </c>
      <c r="C122" s="60"/>
      <c r="D122" s="59"/>
      <c r="E122" s="59"/>
      <c r="F122" s="23"/>
      <c r="G122"/>
      <c r="H122"/>
      <c r="I122"/>
      <c r="J122"/>
      <c r="K122"/>
      <c r="L122"/>
      <c r="M122"/>
      <c r="N122"/>
    </row>
    <row r="123" spans="1:67">
      <c r="A123" s="66"/>
      <c r="B123" s="214" t="s">
        <v>251</v>
      </c>
      <c r="C123" s="59"/>
      <c r="D123" s="59" t="s">
        <v>336</v>
      </c>
      <c r="E123" s="59"/>
      <c r="F123" s="23"/>
      <c r="G123" s="876">
        <f>IF(ISERROR('Overzicht Vol &amp; Tar AD'!G123),0,'Overzicht Vol &amp; Tar AD'!G123)</f>
        <v>5.6795999999999998</v>
      </c>
      <c r="H123" s="876">
        <f>IF(ISERROR('Overzicht Vol &amp; Tar AD'!H123),0,'Overzicht Vol &amp; Tar AD'!H123)</f>
        <v>2.1</v>
      </c>
      <c r="I123" s="876">
        <f>IF(ISERROR('Overzicht Vol &amp; Tar AD'!I123),0,'Overzicht Vol &amp; Tar AD'!I123)</f>
        <v>6.55</v>
      </c>
      <c r="J123" s="876">
        <f>IF(ISERROR('Overzicht Vol &amp; Tar AD'!J123),0,'Overzicht Vol &amp; Tar AD'!J123)</f>
        <v>3.62</v>
      </c>
      <c r="K123" s="876">
        <f>IF(ISERROR('Overzicht Vol &amp; Tar AD'!K123),0,'Overzicht Vol &amp; Tar AD'!K123)</f>
        <v>8.4</v>
      </c>
      <c r="L123" s="876">
        <f>IF(ISERROR('Overzicht Vol &amp; Tar AD'!L123),0,'Overzicht Vol &amp; Tar AD'!L123)</f>
        <v>11.65</v>
      </c>
      <c r="M123" s="876">
        <f>IF(ISERROR('Overzicht Vol &amp; Tar AD'!M123),0,'Overzicht Vol &amp; Tar AD'!M123)</f>
        <v>6.8</v>
      </c>
      <c r="N123" s="876">
        <f>IF(ISERROR('Overzicht Vol &amp; Tar AD'!N123),0,'Overzicht Vol &amp; Tar AD'!N123)</f>
        <v>2.81</v>
      </c>
    </row>
    <row r="124" spans="1:67">
      <c r="A124" s="66"/>
      <c r="B124" s="214" t="s">
        <v>252</v>
      </c>
      <c r="C124" s="59"/>
      <c r="D124" s="59" t="s">
        <v>336</v>
      </c>
      <c r="E124" s="59"/>
      <c r="F124" s="23"/>
      <c r="G124" s="876">
        <f>IF(ISERROR('Overzicht Vol &amp; Tar AD'!G124),0,'Overzicht Vol &amp; Tar AD'!G124)</f>
        <v>16.23</v>
      </c>
      <c r="H124" s="876">
        <f>IF(ISERROR('Overzicht Vol &amp; Tar AD'!H124),0,'Overzicht Vol &amp; Tar AD'!H124)</f>
        <v>20.64</v>
      </c>
      <c r="I124" s="876">
        <f>IF(ISERROR('Overzicht Vol &amp; Tar AD'!I124),0,'Overzicht Vol &amp; Tar AD'!I124)</f>
        <v>14.17</v>
      </c>
      <c r="J124" s="876">
        <f>IF(ISERROR('Overzicht Vol &amp; Tar AD'!J124),0,'Overzicht Vol &amp; Tar AD'!J124)</f>
        <v>28.5</v>
      </c>
      <c r="K124" s="876">
        <f>IF(ISERROR('Overzicht Vol &amp; Tar AD'!K124),0,'Overzicht Vol &amp; Tar AD'!K124)</f>
        <v>17.28</v>
      </c>
      <c r="L124" s="876">
        <f>IF(ISERROR('Overzicht Vol &amp; Tar AD'!L124),0,'Overzicht Vol &amp; Tar AD'!L124)</f>
        <v>23.6</v>
      </c>
      <c r="M124" s="876">
        <f>IF(ISERROR('Overzicht Vol &amp; Tar AD'!M124),0,'Overzicht Vol &amp; Tar AD'!M124)</f>
        <v>16.3</v>
      </c>
      <c r="N124" s="876">
        <f>IF(ISERROR('Overzicht Vol &amp; Tar AD'!N124),0,'Overzicht Vol &amp; Tar AD'!N124)</f>
        <v>14.959999999999999</v>
      </c>
    </row>
    <row r="125" spans="1:67">
      <c r="A125" s="66"/>
      <c r="B125" s="214" t="s">
        <v>253</v>
      </c>
      <c r="C125" s="59"/>
      <c r="D125" s="59" t="s">
        <v>336</v>
      </c>
      <c r="E125" s="59"/>
      <c r="F125" s="23"/>
      <c r="G125" s="876">
        <f>IF(ISERROR('Overzicht Vol &amp; Tar AD'!G125),0,'Overzicht Vol &amp; Tar AD'!G125)</f>
        <v>16.23</v>
      </c>
      <c r="H125" s="876">
        <f>IF(ISERROR('Overzicht Vol &amp; Tar AD'!H125),0,'Overzicht Vol &amp; Tar AD'!H125)</f>
        <v>33.965194215127482</v>
      </c>
      <c r="I125" s="876">
        <f>IF(ISERROR('Overzicht Vol &amp; Tar AD'!I125),0,'Overzicht Vol &amp; Tar AD'!I125)</f>
        <v>14.17</v>
      </c>
      <c r="J125" s="876">
        <f>IF(ISERROR('Overzicht Vol &amp; Tar AD'!J125),0,'Overzicht Vol &amp; Tar AD'!J125)</f>
        <v>32.5</v>
      </c>
      <c r="K125" s="876">
        <f>IF(ISERROR('Overzicht Vol &amp; Tar AD'!K125),0,'Overzicht Vol &amp; Tar AD'!K125)</f>
        <v>28.617510550301422</v>
      </c>
      <c r="L125" s="876">
        <f>IF(ISERROR('Overzicht Vol &amp; Tar AD'!L125),0,'Overzicht Vol &amp; Tar AD'!L125)</f>
        <v>38.15</v>
      </c>
      <c r="M125" s="876">
        <f>IF(ISERROR('Overzicht Vol &amp; Tar AD'!M125),0,'Overzicht Vol &amp; Tar AD'!M125)</f>
        <v>32.4</v>
      </c>
      <c r="N125" s="876">
        <f>IF(ISERROR('Overzicht Vol &amp; Tar AD'!N125),0,'Overzicht Vol &amp; Tar AD'!N125)</f>
        <v>40.105321854655649</v>
      </c>
    </row>
    <row r="126" spans="1:67">
      <c r="A126" s="66"/>
      <c r="B126" s="214" t="s">
        <v>255</v>
      </c>
      <c r="C126" s="59"/>
      <c r="D126" s="59" t="s">
        <v>336</v>
      </c>
      <c r="E126" s="59"/>
      <c r="F126" s="23"/>
      <c r="G126" s="876">
        <f>IF(ISERROR('Overzicht Vol &amp; Tar AD'!G126),0,'Overzicht Vol &amp; Tar AD'!G126)</f>
        <v>19.47</v>
      </c>
      <c r="H126" s="876">
        <f>IF(ISERROR('Overzicht Vol &amp; Tar AD'!H126),0,'Overzicht Vol &amp; Tar AD'!H126)</f>
        <v>143.03</v>
      </c>
      <c r="I126" s="876">
        <f>IF(ISERROR('Overzicht Vol &amp; Tar AD'!I126),0,'Overzicht Vol &amp; Tar AD'!I126)</f>
        <v>212.9</v>
      </c>
      <c r="J126" s="876">
        <f>IF(ISERROR('Overzicht Vol &amp; Tar AD'!J126),0,'Overzicht Vol &amp; Tar AD'!J126)</f>
        <v>155</v>
      </c>
      <c r="K126" s="876">
        <f>IF(ISERROR('Overzicht Vol &amp; Tar AD'!K126),0,'Overzicht Vol &amp; Tar AD'!K126)</f>
        <v>121.96782075255548</v>
      </c>
      <c r="L126" s="876">
        <f>IF(ISERROR('Overzicht Vol &amp; Tar AD'!L126),0,'Overzicht Vol &amp; Tar AD'!L126)</f>
        <v>38.15</v>
      </c>
      <c r="M126" s="876">
        <f>IF(ISERROR('Overzicht Vol &amp; Tar AD'!M126),0,'Overzicht Vol &amp; Tar AD'!M126)</f>
        <v>53.79999999999999</v>
      </c>
      <c r="N126" s="876">
        <f>IF(ISERROR('Overzicht Vol &amp; Tar AD'!N126),0,'Overzicht Vol &amp; Tar AD'!N126)</f>
        <v>189.39916408839457</v>
      </c>
    </row>
    <row r="127" spans="1:67">
      <c r="A127" s="66"/>
      <c r="B127" s="214" t="s">
        <v>261</v>
      </c>
      <c r="C127" s="59"/>
      <c r="D127" s="59" t="s">
        <v>336</v>
      </c>
      <c r="E127" s="59"/>
      <c r="F127" s="23"/>
      <c r="G127" s="876">
        <f>IF(ISERROR('Overzicht Vol &amp; Tar AD'!G127),0,'Overzicht Vol &amp; Tar AD'!G127)</f>
        <v>395.8141897691828</v>
      </c>
      <c r="H127" s="876">
        <f>IF(ISERROR('Overzicht Vol &amp; Tar AD'!H127),0,'Overzicht Vol &amp; Tar AD'!H127)</f>
        <v>988.8</v>
      </c>
      <c r="I127" s="876">
        <f>IF(ISERROR('Overzicht Vol &amp; Tar AD'!I127),0,'Overzicht Vol &amp; Tar AD'!I127)</f>
        <v>612</v>
      </c>
      <c r="J127" s="876">
        <f>IF(ISERROR('Overzicht Vol &amp; Tar AD'!J127),0,'Overzicht Vol &amp; Tar AD'!J127)</f>
        <v>614.99999999999989</v>
      </c>
      <c r="K127" s="876">
        <f>IF(ISERROR('Overzicht Vol &amp; Tar AD'!K127),0,'Overzicht Vol &amp; Tar AD'!K127)</f>
        <v>717.28565346052733</v>
      </c>
      <c r="L127" s="876">
        <f>IF(ISERROR('Overzicht Vol &amp; Tar AD'!L127),0,'Overzicht Vol &amp; Tar AD'!L127)</f>
        <v>203.17783903718149</v>
      </c>
      <c r="M127" s="876">
        <f>IF(ISERROR('Overzicht Vol &amp; Tar AD'!M127),0,'Overzicht Vol &amp; Tar AD'!M127)</f>
        <v>487.4</v>
      </c>
      <c r="N127" s="876">
        <f>IF(ISERROR('Overzicht Vol &amp; Tar AD'!N127),0,'Overzicht Vol &amp; Tar AD'!N127)</f>
        <v>1405.6442993946316</v>
      </c>
    </row>
    <row r="128" spans="1:67">
      <c r="A128" s="66"/>
      <c r="B128" s="214" t="s">
        <v>262</v>
      </c>
      <c r="C128" s="59"/>
      <c r="D128" s="59" t="s">
        <v>336</v>
      </c>
      <c r="E128" s="59"/>
      <c r="F128" s="23"/>
      <c r="G128" s="876">
        <f>IF(ISERROR('Overzicht Vol &amp; Tar AD'!G128),0,'Overzicht Vol &amp; Tar AD'!G128)</f>
        <v>0</v>
      </c>
      <c r="H128" s="876">
        <f>IF(ISERROR('Overzicht Vol &amp; Tar AD'!H128),0,'Overzicht Vol &amp; Tar AD'!H128)</f>
        <v>6586.8</v>
      </c>
      <c r="I128" s="876">
        <f>IF(ISERROR('Overzicht Vol &amp; Tar AD'!I128),0,'Overzicht Vol &amp; Tar AD'!I128)</f>
        <v>2592.6</v>
      </c>
      <c r="J128" s="876">
        <f>IF(ISERROR('Overzicht Vol &amp; Tar AD'!J128),0,'Overzicht Vol &amp; Tar AD'!J128)</f>
        <v>1693.4042333469088</v>
      </c>
      <c r="K128" s="876">
        <f>IF(ISERROR('Overzicht Vol &amp; Tar AD'!K128),0,'Overzicht Vol &amp; Tar AD'!K128)</f>
        <v>7757.0463660995047</v>
      </c>
      <c r="L128" s="876">
        <f>IF(ISERROR('Overzicht Vol &amp; Tar AD'!L128),0,'Overzicht Vol &amp; Tar AD'!L128)</f>
        <v>1475</v>
      </c>
      <c r="M128" s="876">
        <f>IF(ISERROR('Overzicht Vol &amp; Tar AD'!M128),0,'Overzicht Vol &amp; Tar AD'!M128)</f>
        <v>5272.18</v>
      </c>
      <c r="N128" s="876">
        <f>IF(ISERROR('Overzicht Vol &amp; Tar AD'!N128),0,'Overzicht Vol &amp; Tar AD'!N128)</f>
        <v>5622.13</v>
      </c>
    </row>
    <row r="129" spans="1:14">
      <c r="A129" s="66"/>
      <c r="B129" s="214"/>
      <c r="C129" s="59"/>
      <c r="D129" s="59"/>
      <c r="E129" s="59"/>
      <c r="F129" s="23"/>
      <c r="G129" s="88"/>
      <c r="H129" s="89"/>
      <c r="I129" s="89"/>
      <c r="J129" s="88"/>
      <c r="K129" s="89"/>
      <c r="L129" s="89"/>
      <c r="M129" s="89"/>
      <c r="N129" s="89"/>
    </row>
    <row r="130" spans="1:14">
      <c r="A130" s="66"/>
      <c r="B130" s="214" t="s">
        <v>1096</v>
      </c>
      <c r="C130" s="59"/>
      <c r="D130" s="59" t="s">
        <v>336</v>
      </c>
      <c r="E130" s="59"/>
      <c r="F130" s="23"/>
      <c r="G130" s="876">
        <f>IF(ISERROR('Overzicht Vol &amp; Tar AD'!G130),0,'Overzicht Vol &amp; Tar AD'!G130)</f>
        <v>0</v>
      </c>
      <c r="H130" s="876">
        <f>IF(ISERROR('Overzicht Vol &amp; Tar AD'!H130),0,'Overzicht Vol &amp; Tar AD'!H130)</f>
        <v>1.58</v>
      </c>
      <c r="I130" s="876">
        <f>IF(ISERROR('Overzicht Vol &amp; Tar AD'!I130),0,'Overzicht Vol &amp; Tar AD'!I130)</f>
        <v>3.0099999999999993</v>
      </c>
      <c r="J130" s="876">
        <f>IF(ISERROR('Overzicht Vol &amp; Tar AD'!J130),0,'Overzicht Vol &amp; Tar AD'!J130)</f>
        <v>2.3725609604080851</v>
      </c>
      <c r="K130" s="876">
        <f>IF(ISERROR('Overzicht Vol &amp; Tar AD'!K130),0,'Overzicht Vol &amp; Tar AD'!K130)</f>
        <v>1.56</v>
      </c>
      <c r="L130" s="876">
        <f>IF(ISERROR('Overzicht Vol &amp; Tar AD'!L130),0,'Overzicht Vol &amp; Tar AD'!L130)</f>
        <v>12.55</v>
      </c>
      <c r="M130" s="876">
        <f>IF(ISERROR('Overzicht Vol &amp; Tar AD'!M130),0,'Overzicht Vol &amp; Tar AD'!M130)</f>
        <v>5.2</v>
      </c>
      <c r="N130" s="876">
        <f>IF(ISERROR('Overzicht Vol &amp; Tar AD'!N130),0,'Overzicht Vol &amp; Tar AD'!N130)</f>
        <v>4.17</v>
      </c>
    </row>
    <row r="131" spans="1:14">
      <c r="A131" s="66"/>
      <c r="B131" s="214"/>
      <c r="C131" s="59"/>
      <c r="D131" s="59"/>
      <c r="E131" s="59"/>
      <c r="F131" s="23"/>
      <c r="G131" s="88"/>
      <c r="H131" s="89"/>
      <c r="I131" s="89"/>
      <c r="J131" s="88"/>
      <c r="K131" s="89"/>
      <c r="L131" s="89"/>
      <c r="M131" s="89"/>
      <c r="N131" s="89"/>
    </row>
    <row r="132" spans="1:14">
      <c r="A132" s="66"/>
      <c r="B132" s="206" t="s">
        <v>923</v>
      </c>
      <c r="C132" s="60"/>
      <c r="D132" s="59"/>
      <c r="E132" s="59"/>
      <c r="F132" s="23"/>
      <c r="G132" s="88"/>
      <c r="H132" s="89"/>
      <c r="I132" s="89"/>
      <c r="J132" s="88"/>
      <c r="K132" s="89"/>
      <c r="L132" s="89"/>
      <c r="M132" s="89"/>
      <c r="N132" s="89"/>
    </row>
    <row r="133" spans="1:14">
      <c r="A133" s="66"/>
      <c r="B133" s="206" t="s">
        <v>328</v>
      </c>
      <c r="C133" s="59"/>
      <c r="D133" s="59"/>
      <c r="E133" s="60"/>
      <c r="F133" s="23"/>
      <c r="G133" s="88"/>
      <c r="H133" s="89"/>
      <c r="I133" s="89"/>
      <c r="J133" s="88"/>
      <c r="K133" s="89"/>
      <c r="L133" s="89"/>
      <c r="M133" s="89"/>
      <c r="N133" s="89"/>
    </row>
    <row r="134" spans="1:14">
      <c r="A134" s="66"/>
      <c r="B134" s="222" t="s">
        <v>251</v>
      </c>
      <c r="C134" s="59"/>
      <c r="D134" s="59" t="s">
        <v>336</v>
      </c>
      <c r="E134" s="67"/>
      <c r="F134" s="23"/>
      <c r="G134" s="876">
        <f>IF(ISERROR('Overzicht Vol &amp; Tar AD'!G134),0,'Overzicht Vol &amp; Tar AD'!G134)</f>
        <v>369.79</v>
      </c>
      <c r="H134" s="876">
        <f>IF(ISERROR('Overzicht Vol &amp; Tar AD'!H134),0,'Overzicht Vol &amp; Tar AD'!H134)</f>
        <v>307.22000000000003</v>
      </c>
      <c r="I134" s="876">
        <f>IF(ISERROR('Overzicht Vol &amp; Tar AD'!I134),0,'Overzicht Vol &amp; Tar AD'!I134)</f>
        <v>372</v>
      </c>
      <c r="J134" s="876">
        <f>IF(ISERROR('Overzicht Vol &amp; Tar AD'!J134),0,'Overzicht Vol &amp; Tar AD'!J134)</f>
        <v>318</v>
      </c>
      <c r="K134" s="876">
        <f>IF(ISERROR('Overzicht Vol &amp; Tar AD'!K134),0,'Overzicht Vol &amp; Tar AD'!K134)</f>
        <v>356.9</v>
      </c>
      <c r="L134" s="876">
        <f>IF(ISERROR('Overzicht Vol &amp; Tar AD'!L134),0,'Overzicht Vol &amp; Tar AD'!L134)</f>
        <v>372.55</v>
      </c>
      <c r="M134" s="876">
        <f>IF(ISERROR('Overzicht Vol &amp; Tar AD'!M134),0,'Overzicht Vol &amp; Tar AD'!M134)</f>
        <v>366.1</v>
      </c>
      <c r="N134" s="876">
        <f>IF(ISERROR('Overzicht Vol &amp; Tar AD'!N134),0,'Overzicht Vol &amp; Tar AD'!N134)</f>
        <v>401.06</v>
      </c>
    </row>
    <row r="135" spans="1:14">
      <c r="A135" s="66"/>
      <c r="B135" s="222" t="s">
        <v>252</v>
      </c>
      <c r="C135" s="59"/>
      <c r="D135" s="59" t="s">
        <v>336</v>
      </c>
      <c r="E135" s="67"/>
      <c r="F135" s="23"/>
      <c r="G135" s="876">
        <f>IF(ISERROR('Overzicht Vol &amp; Tar AD'!G135),0,'Overzicht Vol &amp; Tar AD'!G135)</f>
        <v>583.15</v>
      </c>
      <c r="H135" s="876">
        <f>IF(ISERROR('Overzicht Vol &amp; Tar AD'!H135),0,'Overzicht Vol &amp; Tar AD'!H135)</f>
        <v>583.26</v>
      </c>
      <c r="I135" s="876">
        <f>IF(ISERROR('Overzicht Vol &amp; Tar AD'!I135),0,'Overzicht Vol &amp; Tar AD'!I135)</f>
        <v>585</v>
      </c>
      <c r="J135" s="876">
        <f>IF(ISERROR('Overzicht Vol &amp; Tar AD'!J135),0,'Overzicht Vol &amp; Tar AD'!J135)</f>
        <v>611</v>
      </c>
      <c r="K135" s="876">
        <f>IF(ISERROR('Overzicht Vol &amp; Tar AD'!K135),0,'Overzicht Vol &amp; Tar AD'!K135)</f>
        <v>592.45000000000005</v>
      </c>
      <c r="L135" s="876">
        <f>IF(ISERROR('Overzicht Vol &amp; Tar AD'!L135),0,'Overzicht Vol &amp; Tar AD'!L135)</f>
        <v>660.94</v>
      </c>
      <c r="M135" s="876">
        <f>IF(ISERROR('Overzicht Vol &amp; Tar AD'!M135),0,'Overzicht Vol &amp; Tar AD'!M135)</f>
        <v>500</v>
      </c>
      <c r="N135" s="876">
        <f>IF(ISERROR('Overzicht Vol &amp; Tar AD'!N135),0,'Overzicht Vol &amp; Tar AD'!N135)</f>
        <v>763.42</v>
      </c>
    </row>
    <row r="136" spans="1:14">
      <c r="A136" s="66"/>
      <c r="B136" s="222" t="s">
        <v>253</v>
      </c>
      <c r="C136" s="59"/>
      <c r="D136" s="59" t="s">
        <v>336</v>
      </c>
      <c r="E136" s="67"/>
      <c r="F136" s="23"/>
      <c r="G136" s="876">
        <f>IF(ISERROR('Overzicht Vol &amp; Tar AD'!G136),0,'Overzicht Vol &amp; Tar AD'!G136)</f>
        <v>950.38636363636363</v>
      </c>
      <c r="H136" s="876">
        <f>IF(ISERROR('Overzicht Vol &amp; Tar AD'!H136),0,'Overzicht Vol &amp; Tar AD'!H136)</f>
        <v>917.79921686747002</v>
      </c>
      <c r="I136" s="876">
        <f>IF(ISERROR('Overzicht Vol &amp; Tar AD'!I136),0,'Overzicht Vol &amp; Tar AD'!I136)</f>
        <v>901.92100644136474</v>
      </c>
      <c r="J136" s="876">
        <f>IF(ISERROR('Overzicht Vol &amp; Tar AD'!J136),0,'Overzicht Vol &amp; Tar AD'!J136)</f>
        <v>805.92333995842671</v>
      </c>
      <c r="K136" s="876">
        <f>IF(ISERROR('Overzicht Vol &amp; Tar AD'!K136),0,'Overzicht Vol &amp; Tar AD'!K136)</f>
        <v>986.0408578959981</v>
      </c>
      <c r="L136" s="876">
        <f>IF(ISERROR('Overzicht Vol &amp; Tar AD'!L136),0,'Overzicht Vol &amp; Tar AD'!L136)</f>
        <v>1001.2857142857143</v>
      </c>
      <c r="M136" s="876">
        <f>IF(ISERROR('Overzicht Vol &amp; Tar AD'!M136),0,'Overzicht Vol &amp; Tar AD'!M136)</f>
        <v>865.33837972426306</v>
      </c>
      <c r="N136" s="876">
        <f>IF(ISERROR('Overzicht Vol &amp; Tar AD'!N136),0,'Overzicht Vol &amp; Tar AD'!N136)</f>
        <v>1127.7458333333334</v>
      </c>
    </row>
    <row r="137" spans="1:14">
      <c r="A137" s="66"/>
      <c r="B137" s="222" t="s">
        <v>255</v>
      </c>
      <c r="C137" s="59"/>
      <c r="D137" s="59" t="s">
        <v>336</v>
      </c>
      <c r="E137" s="67"/>
      <c r="F137" s="23"/>
      <c r="G137" s="876">
        <f>IF(ISERROR('Overzicht Vol &amp; Tar AD'!G137),0,'Overzicht Vol &amp; Tar AD'!G137)</f>
        <v>14151.258823529412</v>
      </c>
      <c r="H137" s="876">
        <f>IF(ISERROR('Overzicht Vol &amp; Tar AD'!H137),0,'Overzicht Vol &amp; Tar AD'!H137)</f>
        <v>5192.2870588235301</v>
      </c>
      <c r="I137" s="876">
        <f>IF(ISERROR('Overzicht Vol &amp; Tar AD'!I137),0,'Overzicht Vol &amp; Tar AD'!I137)</f>
        <v>5625.8674954805065</v>
      </c>
      <c r="J137" s="876">
        <f>IF(ISERROR('Overzicht Vol &amp; Tar AD'!J137),0,'Overzicht Vol &amp; Tar AD'!J137)</f>
        <v>4481.641138394355</v>
      </c>
      <c r="K137" s="876">
        <f>IF(ISERROR('Overzicht Vol &amp; Tar AD'!K137),0,'Overzicht Vol &amp; Tar AD'!K137)</f>
        <v>7413.3137019230771</v>
      </c>
      <c r="L137" s="876">
        <f>IF(ISERROR('Overzicht Vol &amp; Tar AD'!L137),0,'Overzicht Vol &amp; Tar AD'!L137)</f>
        <v>4186.5012500000003</v>
      </c>
      <c r="M137" s="876">
        <f>IF(ISERROR('Overzicht Vol &amp; Tar AD'!M137),0,'Overzicht Vol &amp; Tar AD'!M137)</f>
        <v>6932.729382145445</v>
      </c>
      <c r="N137" s="876">
        <f>IF(ISERROR('Overzicht Vol &amp; Tar AD'!N137),0,'Overzicht Vol &amp; Tar AD'!N137)</f>
        <v>6589.5011999999988</v>
      </c>
    </row>
    <row r="138" spans="1:14">
      <c r="A138" s="66"/>
      <c r="B138" s="222" t="s">
        <v>254</v>
      </c>
      <c r="C138" s="59"/>
      <c r="D138" s="59" t="s">
        <v>336</v>
      </c>
      <c r="E138" s="67"/>
      <c r="F138" s="23"/>
      <c r="G138" s="876">
        <f>IF(ISERROR('Overzicht Vol &amp; Tar AD'!G138),0,'Overzicht Vol &amp; Tar AD'!G138)</f>
        <v>174413</v>
      </c>
      <c r="H138" s="876">
        <f>IF(ISERROR('Overzicht Vol &amp; Tar AD'!H138),0,'Overzicht Vol &amp; Tar AD'!H138)</f>
        <v>51708.68</v>
      </c>
      <c r="I138" s="876">
        <f>IF(ISERROR('Overzicht Vol &amp; Tar AD'!I138),0,'Overzicht Vol &amp; Tar AD'!I138)</f>
        <v>48003.404826041267</v>
      </c>
      <c r="J138" s="876">
        <f>IF(ISERROR('Overzicht Vol &amp; Tar AD'!J138),0,'Overzicht Vol &amp; Tar AD'!J138)</f>
        <v>31886.439832867803</v>
      </c>
      <c r="K138" s="876">
        <f>IF(ISERROR('Overzicht Vol &amp; Tar AD'!K138),0,'Overzicht Vol &amp; Tar AD'!K138)</f>
        <v>84928.423076923078</v>
      </c>
      <c r="L138" s="876">
        <f>IF(ISERROR('Overzicht Vol &amp; Tar AD'!L138),0,'Overzicht Vol &amp; Tar AD'!L138)</f>
        <v>0</v>
      </c>
      <c r="M138" s="876">
        <f>IF(ISERROR('Overzicht Vol &amp; Tar AD'!M138),0,'Overzicht Vol &amp; Tar AD'!M138)</f>
        <v>68433.627568533586</v>
      </c>
      <c r="N138" s="876">
        <f>IF(ISERROR('Overzicht Vol &amp; Tar AD'!N138),0,'Overzicht Vol &amp; Tar AD'!N138)</f>
        <v>87028.035000000003</v>
      </c>
    </row>
    <row r="139" spans="1:14">
      <c r="A139" s="66"/>
      <c r="B139" s="214"/>
      <c r="C139" s="59"/>
      <c r="D139" s="59"/>
      <c r="E139" s="59"/>
      <c r="F139" s="23"/>
      <c r="G139" s="88"/>
      <c r="H139" s="88"/>
      <c r="I139" s="88"/>
      <c r="J139" s="88"/>
      <c r="K139" s="88"/>
      <c r="L139" s="88"/>
      <c r="M139" s="88"/>
      <c r="N139" s="88"/>
    </row>
    <row r="140" spans="1:14">
      <c r="A140" s="66"/>
      <c r="B140" s="206" t="s">
        <v>329</v>
      </c>
      <c r="C140" s="59"/>
      <c r="D140" s="59"/>
      <c r="E140" s="60"/>
      <c r="F140" s="23"/>
      <c r="G140" s="88"/>
      <c r="H140" s="88"/>
      <c r="I140" s="88"/>
      <c r="J140" s="88"/>
      <c r="K140" s="88"/>
      <c r="L140" s="88"/>
      <c r="M140" s="88"/>
      <c r="N140" s="88"/>
    </row>
    <row r="141" spans="1:14">
      <c r="A141" s="66"/>
      <c r="B141" s="222" t="s">
        <v>251</v>
      </c>
      <c r="C141" s="59"/>
      <c r="D141" s="59" t="s">
        <v>336</v>
      </c>
      <c r="E141" s="67"/>
      <c r="F141" s="23"/>
      <c r="G141" s="876">
        <f>IF(ISERROR('Overzicht Vol &amp; Tar AD'!G141),0,'Overzicht Vol &amp; Tar AD'!G141)</f>
        <v>17.36</v>
      </c>
      <c r="H141" s="876">
        <f>IF(ISERROR('Overzicht Vol &amp; Tar AD'!H141),0,'Overzicht Vol &amp; Tar AD'!H141)</f>
        <v>15.21</v>
      </c>
      <c r="I141" s="876">
        <f>IF(ISERROR('Overzicht Vol &amp; Tar AD'!I141),0,'Overzicht Vol &amp; Tar AD'!I141)</f>
        <v>24.84</v>
      </c>
      <c r="J141" s="876">
        <f>IF(ISERROR('Overzicht Vol &amp; Tar AD'!J141),0,'Overzicht Vol &amp; Tar AD'!J141)</f>
        <v>15</v>
      </c>
      <c r="K141" s="876">
        <f>IF(ISERROR('Overzicht Vol &amp; Tar AD'!K141),0,'Overzicht Vol &amp; Tar AD'!K141)</f>
        <v>17.71</v>
      </c>
      <c r="L141" s="876">
        <f>IF(ISERROR('Overzicht Vol &amp; Tar AD'!L141),0,'Overzicht Vol &amp; Tar AD'!L141)</f>
        <v>18.25</v>
      </c>
      <c r="M141" s="876">
        <f>IF(ISERROR('Overzicht Vol &amp; Tar AD'!M141),0,'Overzicht Vol &amp; Tar AD'!M141)</f>
        <v>16.7</v>
      </c>
      <c r="N141" s="876">
        <f>IF(ISERROR('Overzicht Vol &amp; Tar AD'!N141),0,'Overzicht Vol &amp; Tar AD'!N141)</f>
        <v>19.88</v>
      </c>
    </row>
    <row r="142" spans="1:14">
      <c r="A142" s="66"/>
      <c r="B142" s="222" t="s">
        <v>252</v>
      </c>
      <c r="C142" s="59"/>
      <c r="D142" s="59" t="s">
        <v>336</v>
      </c>
      <c r="E142" s="67"/>
      <c r="F142" s="23"/>
      <c r="G142" s="876">
        <f>IF(ISERROR('Overzicht Vol &amp; Tar AD'!G142),0,'Overzicht Vol &amp; Tar AD'!G142)</f>
        <v>17.66</v>
      </c>
      <c r="H142" s="876">
        <f>IF(ISERROR('Overzicht Vol &amp; Tar AD'!H142),0,'Overzicht Vol &amp; Tar AD'!H142)</f>
        <v>24.75</v>
      </c>
      <c r="I142" s="876">
        <f>IF(ISERROR('Overzicht Vol &amp; Tar AD'!I142),0,'Overzicht Vol &amp; Tar AD'!I142)</f>
        <v>25.79</v>
      </c>
      <c r="J142" s="876">
        <f>IF(ISERROR('Overzicht Vol &amp; Tar AD'!J142),0,'Overzicht Vol &amp; Tar AD'!J142)</f>
        <v>17</v>
      </c>
      <c r="K142" s="876">
        <f>IF(ISERROR('Overzicht Vol &amp; Tar AD'!K142),0,'Overzicht Vol &amp; Tar AD'!K142)</f>
        <v>23.4</v>
      </c>
      <c r="L142" s="876">
        <f>IF(ISERROR('Overzicht Vol &amp; Tar AD'!L142),0,'Overzicht Vol &amp; Tar AD'!L142)</f>
        <v>21.8</v>
      </c>
      <c r="M142" s="876">
        <f>IF(ISERROR('Overzicht Vol &amp; Tar AD'!M142),0,'Overzicht Vol &amp; Tar AD'!M142)</f>
        <v>23.5</v>
      </c>
      <c r="N142" s="876">
        <f>IF(ISERROR('Overzicht Vol &amp; Tar AD'!N142),0,'Overzicht Vol &amp; Tar AD'!N142)</f>
        <v>28.72</v>
      </c>
    </row>
    <row r="143" spans="1:14">
      <c r="A143" s="66"/>
      <c r="B143" s="222" t="s">
        <v>253</v>
      </c>
      <c r="C143" s="59"/>
      <c r="D143" s="59" t="s">
        <v>336</v>
      </c>
      <c r="E143" s="67"/>
      <c r="F143" s="23"/>
      <c r="G143" s="876">
        <f>IF(ISERROR('Overzicht Vol &amp; Tar AD'!G143),0,'Overzicht Vol &amp; Tar AD'!G143)</f>
        <v>24.730000000000004</v>
      </c>
      <c r="H143" s="876">
        <f>IF(ISERROR('Overzicht Vol &amp; Tar AD'!H143),0,'Overzicht Vol &amp; Tar AD'!H143)</f>
        <v>31.685199556541018</v>
      </c>
      <c r="I143" s="876">
        <f>IF(ISERROR('Overzicht Vol &amp; Tar AD'!I143),0,'Overzicht Vol &amp; Tar AD'!I143)</f>
        <v>37.162413282670308</v>
      </c>
      <c r="J143" s="876">
        <f>IF(ISERROR('Overzicht Vol &amp; Tar AD'!J143),0,'Overzicht Vol &amp; Tar AD'!J143)</f>
        <v>22.000000000000004</v>
      </c>
      <c r="K143" s="876">
        <f>IF(ISERROR('Overzicht Vol &amp; Tar AD'!K143),0,'Overzicht Vol &amp; Tar AD'!K143)</f>
        <v>31.177029622659873</v>
      </c>
      <c r="L143" s="876">
        <f>IF(ISERROR('Overzicht Vol &amp; Tar AD'!L143),0,'Overzicht Vol &amp; Tar AD'!L143)</f>
        <v>29</v>
      </c>
      <c r="M143" s="876">
        <f>IF(ISERROR('Overzicht Vol &amp; Tar AD'!M143),0,'Overzicht Vol &amp; Tar AD'!M143)</f>
        <v>30.821059755242683</v>
      </c>
      <c r="N143" s="876">
        <f>IF(ISERROR('Overzicht Vol &amp; Tar AD'!N143),0,'Overzicht Vol &amp; Tar AD'!N143)</f>
        <v>33.797747466874512</v>
      </c>
    </row>
    <row r="144" spans="1:14">
      <c r="A144" s="66"/>
      <c r="B144" s="222" t="s">
        <v>255</v>
      </c>
      <c r="C144" s="59"/>
      <c r="D144" s="59" t="s">
        <v>336</v>
      </c>
      <c r="E144" s="67"/>
      <c r="F144" s="23"/>
      <c r="G144" s="876">
        <f>IF(ISERROR('Overzicht Vol &amp; Tar AD'!G144),0,'Overzicht Vol &amp; Tar AD'!G144)</f>
        <v>66.854894736842112</v>
      </c>
      <c r="H144" s="876">
        <f>IF(ISERROR('Overzicht Vol &amp; Tar AD'!H144),0,'Overzicht Vol &amp; Tar AD'!H144)</f>
        <v>49.69966028894963</v>
      </c>
      <c r="I144" s="876">
        <f>IF(ISERROR('Overzicht Vol &amp; Tar AD'!I144),0,'Overzicht Vol &amp; Tar AD'!I144)</f>
        <v>55.145823007921628</v>
      </c>
      <c r="J144" s="876">
        <f>IF(ISERROR('Overzicht Vol &amp; Tar AD'!J144),0,'Overzicht Vol &amp; Tar AD'!J144)</f>
        <v>31.447186790095945</v>
      </c>
      <c r="K144" s="876">
        <f>IF(ISERROR('Overzicht Vol &amp; Tar AD'!K144),0,'Overzicht Vol &amp; Tar AD'!K144)</f>
        <v>52.021781089188636</v>
      </c>
      <c r="L144" s="876">
        <f>IF(ISERROR('Overzicht Vol &amp; Tar AD'!L144),0,'Overzicht Vol &amp; Tar AD'!L144)</f>
        <v>43.179699924981243</v>
      </c>
      <c r="M144" s="876">
        <f>IF(ISERROR('Overzicht Vol &amp; Tar AD'!M144),0,'Overzicht Vol &amp; Tar AD'!M144)</f>
        <v>47.168250306315855</v>
      </c>
      <c r="N144" s="876">
        <f>IF(ISERROR('Overzicht Vol &amp; Tar AD'!N144),0,'Overzicht Vol &amp; Tar AD'!N144)</f>
        <v>94.05188481675394</v>
      </c>
    </row>
    <row r="145" spans="1:67">
      <c r="A145" s="66"/>
      <c r="B145" s="222" t="s">
        <v>254</v>
      </c>
      <c r="C145" s="59"/>
      <c r="D145" s="59" t="s">
        <v>336</v>
      </c>
      <c r="E145" s="67"/>
      <c r="F145" s="23"/>
      <c r="G145" s="876">
        <f>IF(ISERROR('Overzicht Vol &amp; Tar AD'!G145),0,'Overzicht Vol &amp; Tar AD'!G145)</f>
        <v>150.75</v>
      </c>
      <c r="H145" s="876">
        <f>IF(ISERROR('Overzicht Vol &amp; Tar AD'!H145),0,'Overzicht Vol &amp; Tar AD'!H145)</f>
        <v>91.7</v>
      </c>
      <c r="I145" s="876">
        <f>IF(ISERROR('Overzicht Vol &amp; Tar AD'!I145),0,'Overzicht Vol &amp; Tar AD'!I145)</f>
        <v>143.05000000000001</v>
      </c>
      <c r="J145" s="876">
        <f>IF(ISERROR('Overzicht Vol &amp; Tar AD'!J145),0,'Overzicht Vol &amp; Tar AD'!J145)</f>
        <v>79.894497507989541</v>
      </c>
      <c r="K145" s="876">
        <f>IF(ISERROR('Overzicht Vol &amp; Tar AD'!K145),0,'Overzicht Vol &amp; Tar AD'!K145)</f>
        <v>157.65725961538462</v>
      </c>
      <c r="L145" s="876">
        <f>IF(ISERROR('Overzicht Vol &amp; Tar AD'!L145),0,'Overzicht Vol &amp; Tar AD'!L145)</f>
        <v>0</v>
      </c>
      <c r="M145" s="876">
        <f>IF(ISERROR('Overzicht Vol &amp; Tar AD'!M145),0,'Overzicht Vol &amp; Tar AD'!M145)</f>
        <v>138.40275780877832</v>
      </c>
      <c r="N145" s="876">
        <f>IF(ISERROR('Overzicht Vol &amp; Tar AD'!N145),0,'Overzicht Vol &amp; Tar AD'!N145)</f>
        <v>159.46302702702701</v>
      </c>
    </row>
    <row r="146" spans="1:67">
      <c r="A146" s="66"/>
      <c r="B146" s="214"/>
      <c r="C146" s="59"/>
      <c r="D146" s="67"/>
      <c r="E146" s="67"/>
      <c r="F146" s="67"/>
      <c r="G146" s="67"/>
      <c r="H146" s="67"/>
      <c r="I146" s="67"/>
      <c r="J146" s="67"/>
      <c r="K146" s="67"/>
      <c r="L146" s="67"/>
      <c r="M146" s="67"/>
      <c r="N146" s="67"/>
    </row>
    <row r="147" spans="1:67">
      <c r="A147" s="66"/>
      <c r="B147" s="214"/>
      <c r="C147" s="59"/>
      <c r="D147" s="67"/>
      <c r="E147" s="67"/>
      <c r="F147" s="67"/>
      <c r="G147" s="67"/>
      <c r="H147" s="67"/>
      <c r="I147" s="67"/>
      <c r="J147" s="67"/>
      <c r="K147" s="67"/>
      <c r="L147" s="67"/>
      <c r="M147" s="67"/>
      <c r="N147" s="67"/>
    </row>
    <row r="148" spans="1:67">
      <c r="A148" s="64"/>
      <c r="B148" s="205" t="s">
        <v>8</v>
      </c>
      <c r="C148" s="64"/>
      <c r="D148" s="65"/>
      <c r="E148" s="65"/>
      <c r="F148" s="9"/>
      <c r="G148" s="9"/>
      <c r="H148" s="9"/>
      <c r="I148" s="9"/>
      <c r="J148" s="9"/>
      <c r="K148" s="9"/>
      <c r="L148" s="9"/>
      <c r="M148" s="9"/>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row>
    <row r="149" spans="1:67">
      <c r="A149" s="60"/>
      <c r="B149" s="207"/>
      <c r="C149" s="60"/>
      <c r="D149" s="59"/>
      <c r="E149" s="59"/>
      <c r="F149" s="23"/>
      <c r="G149" s="23"/>
      <c r="H149" s="23"/>
      <c r="I149" s="23"/>
      <c r="J149" s="23"/>
      <c r="K149" s="23"/>
      <c r="L149" s="23"/>
      <c r="M149" s="23"/>
      <c r="N149" s="23"/>
    </row>
    <row r="150" spans="1:67">
      <c r="A150" s="66"/>
      <c r="B150" s="206" t="s">
        <v>922</v>
      </c>
      <c r="C150" s="60"/>
      <c r="D150" s="59"/>
      <c r="E150" s="59"/>
      <c r="F150" s="23"/>
      <c r="G150" s="23"/>
      <c r="H150"/>
      <c r="I150"/>
      <c r="J150" s="23"/>
      <c r="K150"/>
      <c r="L150"/>
      <c r="M150"/>
      <c r="N150"/>
    </row>
    <row r="151" spans="1:67">
      <c r="A151" s="66"/>
      <c r="B151" s="214" t="s">
        <v>251</v>
      </c>
      <c r="C151" s="59"/>
      <c r="D151" s="59" t="s">
        <v>164</v>
      </c>
      <c r="E151" s="59"/>
      <c r="F151" s="90">
        <f>SUM(G151:N151)</f>
        <v>2643413.9269077363</v>
      </c>
      <c r="G151" s="211">
        <f>IF(ISERROR('Overzicht Vol &amp; Tar AD'!G151),0,'Overzicht Vol &amp; Tar AD'!G151)</f>
        <v>22945</v>
      </c>
      <c r="H151" s="211">
        <f>IF(ISERROR('Overzicht Vol &amp; Tar AD'!H151),0,'Overzicht Vol &amp; Tar AD'!H151)</f>
        <v>87552.999999999985</v>
      </c>
      <c r="I151" s="211">
        <f>IF(ISERROR('Overzicht Vol &amp; Tar AD'!I151),0,'Overzicht Vol &amp; Tar AD'!I151)</f>
        <v>44951</v>
      </c>
      <c r="J151" s="211">
        <f>IF(ISERROR('Overzicht Vol &amp; Tar AD'!J151),0,'Overzicht Vol &amp; Tar AD'!J151)</f>
        <v>1112427</v>
      </c>
      <c r="K151" s="211">
        <f>IF(ISERROR('Overzicht Vol &amp; Tar AD'!K151),0,'Overzicht Vol &amp; Tar AD'!K151)</f>
        <v>744308.33943279029</v>
      </c>
      <c r="L151" s="211">
        <f>IF(ISERROR('Overzicht Vol &amp; Tar AD'!L151),0,'Overzicht Vol &amp; Tar AD'!L151)</f>
        <v>18696</v>
      </c>
      <c r="M151" s="211">
        <f>IF(ISERROR('Overzicht Vol &amp; Tar AD'!M151),0,'Overzicht Vol &amp; Tar AD'!M151)</f>
        <v>588338.66666666698</v>
      </c>
      <c r="N151" s="211">
        <f>IF(ISERROR('Overzicht Vol &amp; Tar AD'!N151),0,'Overzicht Vol &amp; Tar AD'!N151)</f>
        <v>24194.920808279134</v>
      </c>
      <c r="R151" s="168"/>
    </row>
    <row r="152" spans="1:67">
      <c r="A152" s="66"/>
      <c r="B152" s="214" t="s">
        <v>252</v>
      </c>
      <c r="C152" s="59"/>
      <c r="D152" s="59" t="s">
        <v>164</v>
      </c>
      <c r="E152" s="59"/>
      <c r="F152" s="90">
        <f t="shared" ref="F152:F158" si="2">SUM(G152:N152)</f>
        <v>7540975.7385999775</v>
      </c>
      <c r="G152" s="211">
        <f>IF(ISERROR('Overzicht Vol &amp; Tar AD'!G152),0,'Overzicht Vol &amp; Tar AD'!G152)</f>
        <v>50485.230769230766</v>
      </c>
      <c r="H152" s="211">
        <f>IF(ISERROR('Overzicht Vol &amp; Tar AD'!H152),0,'Overzicht Vol &amp; Tar AD'!H152)</f>
        <v>196921.25000000003</v>
      </c>
      <c r="I152" s="211">
        <f>IF(ISERROR('Overzicht Vol &amp; Tar AD'!I152),0,'Overzicht Vol &amp; Tar AD'!I152)</f>
        <v>101199</v>
      </c>
      <c r="J152" s="211">
        <f>IF(ISERROR('Overzicht Vol &amp; Tar AD'!J152),0,'Overzicht Vol &amp; Tar AD'!J152)</f>
        <v>2443010</v>
      </c>
      <c r="K152" s="211">
        <f>IF(ISERROR('Overzicht Vol &amp; Tar AD'!K152),0,'Overzicht Vol &amp; Tar AD'!K152)</f>
        <v>2769580.7728032786</v>
      </c>
      <c r="L152" s="211">
        <f>IF(ISERROR('Overzicht Vol &amp; Tar AD'!L152),0,'Overzicht Vol &amp; Tar AD'!L152)</f>
        <v>30167.599999999999</v>
      </c>
      <c r="M152" s="211">
        <f>IF(ISERROR('Overzicht Vol &amp; Tar AD'!M152),0,'Overzicht Vol &amp; Tar AD'!M152)</f>
        <v>1899622.3699386499</v>
      </c>
      <c r="N152" s="211">
        <f>IF(ISERROR('Overzicht Vol &amp; Tar AD'!N152),0,'Overzicht Vol &amp; Tar AD'!N152)</f>
        <v>49989.515088817716</v>
      </c>
      <c r="R152" s="168"/>
    </row>
    <row r="153" spans="1:67">
      <c r="A153" s="66"/>
      <c r="B153" s="214" t="s">
        <v>253</v>
      </c>
      <c r="C153" s="59"/>
      <c r="D153" s="59" t="s">
        <v>164</v>
      </c>
      <c r="E153" s="59"/>
      <c r="F153" s="90">
        <f t="shared" si="2"/>
        <v>342034.32438098115</v>
      </c>
      <c r="G153" s="211">
        <f>IF(ISERROR('Overzicht Vol &amp; Tar AD'!G153),0,'Overzicht Vol &amp; Tar AD'!G153)</f>
        <v>1667.7692307692309</v>
      </c>
      <c r="H153" s="211">
        <f>IF(ISERROR('Overzicht Vol &amp; Tar AD'!H153),0,'Overzicht Vol &amp; Tar AD'!H153)</f>
        <v>8216.8333333333339</v>
      </c>
      <c r="I153" s="211">
        <f>IF(ISERROR('Overzicht Vol &amp; Tar AD'!I153),0,'Overzicht Vol &amp; Tar AD'!I153)</f>
        <v>3441</v>
      </c>
      <c r="J153" s="211">
        <f>IF(ISERROR('Overzicht Vol &amp; Tar AD'!J153),0,'Overzicht Vol &amp; Tar AD'!J153)</f>
        <v>124714.86525582839</v>
      </c>
      <c r="K153" s="211">
        <f>IF(ISERROR('Overzicht Vol &amp; Tar AD'!K153),0,'Overzicht Vol &amp; Tar AD'!K153)</f>
        <v>116531.34015593254</v>
      </c>
      <c r="L153" s="211">
        <f>IF(ISERROR('Overzicht Vol &amp; Tar AD'!L153),0,'Overzicht Vol &amp; Tar AD'!L153)</f>
        <v>1225.2</v>
      </c>
      <c r="M153" s="211">
        <f>IF(ISERROR('Overzicht Vol &amp; Tar AD'!M153),0,'Overzicht Vol &amp; Tar AD'!M153)</f>
        <v>82791.946913580265</v>
      </c>
      <c r="N153" s="211">
        <f>IF(ISERROR('Overzicht Vol &amp; Tar AD'!N153),0,'Overzicht Vol &amp; Tar AD'!N153)</f>
        <v>3445.3694915373139</v>
      </c>
      <c r="R153" s="168"/>
    </row>
    <row r="154" spans="1:67">
      <c r="A154" s="66"/>
      <c r="B154" s="214" t="s">
        <v>255</v>
      </c>
      <c r="C154" s="59"/>
      <c r="D154" s="59" t="s">
        <v>164</v>
      </c>
      <c r="E154" s="59"/>
      <c r="F154" s="90">
        <f t="shared" si="2"/>
        <v>40993.09296717534</v>
      </c>
      <c r="G154" s="211">
        <f>IF(ISERROR('Overzicht Vol &amp; Tar AD'!G154),0,'Overzicht Vol &amp; Tar AD'!G154)</f>
        <v>307.23076923076923</v>
      </c>
      <c r="H154" s="211">
        <f>IF(ISERROR('Overzicht Vol &amp; Tar AD'!H154),0,'Overzicht Vol &amp; Tar AD'!H154)</f>
        <v>1532.7500000000002</v>
      </c>
      <c r="I154" s="211">
        <f>IF(ISERROR('Overzicht Vol &amp; Tar AD'!I154),0,'Overzicht Vol &amp; Tar AD'!I154)</f>
        <v>711</v>
      </c>
      <c r="J154" s="211">
        <f>IF(ISERROR('Overzicht Vol &amp; Tar AD'!J154),0,'Overzicht Vol &amp; Tar AD'!J154)</f>
        <v>13169.823202346039</v>
      </c>
      <c r="K154" s="211">
        <f>IF(ISERROR('Overzicht Vol &amp; Tar AD'!K154),0,'Overzicht Vol &amp; Tar AD'!K154)</f>
        <v>14134.82767506737</v>
      </c>
      <c r="L154" s="211">
        <f>IF(ISERROR('Overzicht Vol &amp; Tar AD'!L154),0,'Overzicht Vol &amp; Tar AD'!L154)</f>
        <v>133.4</v>
      </c>
      <c r="M154" s="211">
        <f>IF(ISERROR('Overzicht Vol &amp; Tar AD'!M154),0,'Overzicht Vol &amp; Tar AD'!M154)</f>
        <v>10036</v>
      </c>
      <c r="N154" s="211">
        <f>IF(ISERROR('Overzicht Vol &amp; Tar AD'!N154),0,'Overzicht Vol &amp; Tar AD'!N154)</f>
        <v>968.06132053115948</v>
      </c>
      <c r="R154" s="168"/>
    </row>
    <row r="155" spans="1:67">
      <c r="A155" s="66"/>
      <c r="B155" s="214" t="s">
        <v>261</v>
      </c>
      <c r="C155" s="59"/>
      <c r="D155" s="59" t="s">
        <v>164</v>
      </c>
      <c r="E155" s="59"/>
      <c r="F155" s="90">
        <f t="shared" si="2"/>
        <v>32248.10811930944</v>
      </c>
      <c r="G155" s="211">
        <f>IF(ISERROR('Overzicht Vol &amp; Tar AD'!G155),0,'Overzicht Vol &amp; Tar AD'!G155)</f>
        <v>246.61538461538461</v>
      </c>
      <c r="H155" s="211">
        <f>IF(ISERROR('Overzicht Vol &amp; Tar AD'!H155),0,'Overzicht Vol &amp; Tar AD'!H155)</f>
        <v>410.91666666666669</v>
      </c>
      <c r="I155" s="211">
        <f>IF(ISERROR('Overzicht Vol &amp; Tar AD'!I155),0,'Overzicht Vol &amp; Tar AD'!I155)</f>
        <v>581</v>
      </c>
      <c r="J155" s="211">
        <f>IF(ISERROR('Overzicht Vol &amp; Tar AD'!J155),0,'Overzicht Vol &amp; Tar AD'!J155)</f>
        <v>14195.544141906874</v>
      </c>
      <c r="K155" s="211">
        <f>IF(ISERROR('Overzicht Vol &amp; Tar AD'!K155),0,'Overzicht Vol &amp; Tar AD'!K155)</f>
        <v>12499.398813998185</v>
      </c>
      <c r="L155" s="211">
        <f>IF(ISERROR('Overzicht Vol &amp; Tar AD'!L155),0,'Overzicht Vol &amp; Tar AD'!L155)</f>
        <v>148.72999999999999</v>
      </c>
      <c r="M155" s="211">
        <f>IF(ISERROR('Overzicht Vol &amp; Tar AD'!M155),0,'Overzicht Vol &amp; Tar AD'!M155)</f>
        <v>3762</v>
      </c>
      <c r="N155" s="211">
        <f>IF(ISERROR('Overzicht Vol &amp; Tar AD'!N155),0,'Overzicht Vol &amp; Tar AD'!N155)</f>
        <v>403.90311212233001</v>
      </c>
      <c r="R155" s="168"/>
    </row>
    <row r="156" spans="1:67">
      <c r="A156" s="66"/>
      <c r="B156" s="214" t="s">
        <v>262</v>
      </c>
      <c r="C156" s="59"/>
      <c r="D156" s="59" t="s">
        <v>164</v>
      </c>
      <c r="E156" s="59"/>
      <c r="F156" s="90">
        <f t="shared" si="2"/>
        <v>1203.3500745586111</v>
      </c>
      <c r="G156" s="211">
        <f>IF(ISERROR('Overzicht Vol &amp; Tar AD'!G156),0,'Overzicht Vol &amp; Tar AD'!G156)</f>
        <v>0</v>
      </c>
      <c r="H156" s="211">
        <f>IF(ISERROR('Overzicht Vol &amp; Tar AD'!H156),0,'Overzicht Vol &amp; Tar AD'!H156)</f>
        <v>10</v>
      </c>
      <c r="I156" s="211">
        <f>IF(ISERROR('Overzicht Vol &amp; Tar AD'!I156),0,'Overzicht Vol &amp; Tar AD'!I156)</f>
        <v>5</v>
      </c>
      <c r="J156" s="211">
        <f>IF(ISERROR('Overzicht Vol &amp; Tar AD'!J156),0,'Overzicht Vol &amp; Tar AD'!J156)</f>
        <v>854.35269202977349</v>
      </c>
      <c r="K156" s="211">
        <f>IF(ISERROR('Overzicht Vol &amp; Tar AD'!K156),0,'Overzicht Vol &amp; Tar AD'!K156)</f>
        <v>136.50712528503502</v>
      </c>
      <c r="L156" s="211">
        <f>IF(ISERROR('Overzicht Vol &amp; Tar AD'!L156),0,'Overzicht Vol &amp; Tar AD'!L156)</f>
        <v>2</v>
      </c>
      <c r="M156" s="211">
        <f>IF(ISERROR('Overzicht Vol &amp; Tar AD'!M156),0,'Overzicht Vol &amp; Tar AD'!M156)</f>
        <v>165</v>
      </c>
      <c r="N156" s="211">
        <f>IF(ISERROR('Overzicht Vol &amp; Tar AD'!N156),0,'Overzicht Vol &amp; Tar AD'!N156)</f>
        <v>30.490257243802681</v>
      </c>
      <c r="R156" s="168"/>
    </row>
    <row r="157" spans="1:67">
      <c r="A157" s="66"/>
      <c r="B157" s="214"/>
      <c r="C157" s="59"/>
      <c r="D157" s="59"/>
      <c r="E157" s="59"/>
      <c r="F157" s="91"/>
      <c r="G157" s="91"/>
      <c r="H157" s="118"/>
      <c r="I157" s="118"/>
      <c r="J157" s="91"/>
      <c r="K157" s="118"/>
      <c r="L157" s="118"/>
      <c r="M157" s="118"/>
      <c r="N157" s="118"/>
      <c r="R157" s="168"/>
    </row>
    <row r="158" spans="1:67">
      <c r="A158" s="66"/>
      <c r="B158" s="214" t="s">
        <v>1096</v>
      </c>
      <c r="C158" s="59"/>
      <c r="D158" s="59" t="s">
        <v>164</v>
      </c>
      <c r="E158" s="59"/>
      <c r="F158" s="90">
        <f t="shared" si="2"/>
        <v>1252670.4587794158</v>
      </c>
      <c r="G158" s="211">
        <f>IF(ISERROR('Overzicht Vol &amp; Tar AD'!G158),0,'Overzicht Vol &amp; Tar AD'!G158)</f>
        <v>0</v>
      </c>
      <c r="H158" s="211">
        <f>IF(ISERROR('Overzicht Vol &amp; Tar AD'!H158),0,'Overzicht Vol &amp; Tar AD'!H158)</f>
        <v>23200</v>
      </c>
      <c r="I158" s="211">
        <f>IF(ISERROR('Overzicht Vol &amp; Tar AD'!I158),0,'Overzicht Vol &amp; Tar AD'!I158)</f>
        <v>2835</v>
      </c>
      <c r="J158" s="211">
        <f>IF(ISERROR('Overzicht Vol &amp; Tar AD'!J158),0,'Overzicht Vol &amp; Tar AD'!J158)</f>
        <v>207680.24895104894</v>
      </c>
      <c r="K158" s="211">
        <f>IF(ISERROR('Overzicht Vol &amp; Tar AD'!K158),0,'Overzicht Vol &amp; Tar AD'!K158)</f>
        <v>801236.09851126652</v>
      </c>
      <c r="L158" s="211">
        <f>IF(ISERROR('Overzicht Vol &amp; Tar AD'!L158),0,'Overzicht Vol &amp; Tar AD'!L158)</f>
        <v>9115</v>
      </c>
      <c r="M158" s="211">
        <f>IF(ISERROR('Overzicht Vol &amp; Tar AD'!M158),0,'Overzicht Vol &amp; Tar AD'!M158)</f>
        <v>203362.21923076923</v>
      </c>
      <c r="N158" s="211">
        <f>IF(ISERROR('Overzicht Vol &amp; Tar AD'!N158),0,'Overzicht Vol &amp; Tar AD'!N158)</f>
        <v>5241.8920863309349</v>
      </c>
      <c r="R158" s="168"/>
    </row>
    <row r="159" spans="1:67">
      <c r="A159" s="66"/>
      <c r="B159" s="214"/>
      <c r="C159" s="59"/>
      <c r="D159" s="59"/>
      <c r="E159" s="59"/>
      <c r="F159" s="91"/>
      <c r="G159" s="91"/>
      <c r="H159" s="118"/>
      <c r="I159" s="118"/>
      <c r="J159" s="91"/>
      <c r="K159" s="118"/>
      <c r="L159" s="118"/>
      <c r="M159" s="118"/>
      <c r="N159" s="118"/>
      <c r="R159" s="168"/>
    </row>
    <row r="160" spans="1:67">
      <c r="A160" s="66"/>
      <c r="B160" s="206" t="s">
        <v>923</v>
      </c>
      <c r="C160" s="60"/>
      <c r="D160" s="59"/>
      <c r="E160" s="59"/>
      <c r="F160" s="91"/>
      <c r="G160" s="91"/>
      <c r="H160" s="118"/>
      <c r="I160" s="118"/>
      <c r="J160" s="91"/>
      <c r="K160" s="118"/>
      <c r="L160" s="118"/>
      <c r="M160" s="118"/>
      <c r="N160" s="118"/>
      <c r="R160" s="168"/>
    </row>
    <row r="161" spans="1:67">
      <c r="A161" s="66"/>
      <c r="B161" s="206" t="s">
        <v>328</v>
      </c>
      <c r="C161" s="59"/>
      <c r="D161" s="59"/>
      <c r="E161" s="60"/>
      <c r="F161" s="91"/>
      <c r="G161" s="91"/>
      <c r="H161" s="118"/>
      <c r="I161" s="118"/>
      <c r="J161" s="91"/>
      <c r="K161" s="118"/>
      <c r="L161" s="118"/>
      <c r="M161" s="118"/>
      <c r="N161" s="118"/>
      <c r="R161" s="168"/>
    </row>
    <row r="162" spans="1:67">
      <c r="A162" s="66"/>
      <c r="B162" s="222" t="s">
        <v>251</v>
      </c>
      <c r="C162" s="59"/>
      <c r="D162" s="59" t="s">
        <v>164</v>
      </c>
      <c r="E162" s="67"/>
      <c r="F162" s="90">
        <f>SUM(G162:N162)</f>
        <v>45346.232875034191</v>
      </c>
      <c r="G162" s="211">
        <f>IF(ISERROR('Overzicht Vol &amp; Tar AD'!G162),0,'Overzicht Vol &amp; Tar AD'!G162)</f>
        <v>286</v>
      </c>
      <c r="H162" s="211">
        <f>IF(ISERROR('Overzicht Vol &amp; Tar AD'!H162),0,'Overzicht Vol &amp; Tar AD'!H162)</f>
        <v>1248</v>
      </c>
      <c r="I162" s="211">
        <f>IF(ISERROR('Overzicht Vol &amp; Tar AD'!I162),0,'Overzicht Vol &amp; Tar AD'!I162)</f>
        <v>952.79261427956976</v>
      </c>
      <c r="J162" s="211">
        <f>IF(ISERROR('Overzicht Vol &amp; Tar AD'!J162),0,'Overzicht Vol &amp; Tar AD'!J162)</f>
        <v>24977.239905660379</v>
      </c>
      <c r="K162" s="211">
        <f>IF(ISERROR('Overzicht Vol &amp; Tar AD'!K162),0,'Overzicht Vol &amp; Tar AD'!K162)</f>
        <v>9232</v>
      </c>
      <c r="L162" s="211">
        <f>IF(ISERROR('Overzicht Vol &amp; Tar AD'!L162),0,'Overzicht Vol &amp; Tar AD'!L162)</f>
        <v>536</v>
      </c>
      <c r="M162" s="211">
        <f>IF(ISERROR('Overzicht Vol &amp; Tar AD'!M162),0,'Overzicht Vol &amp; Tar AD'!M162)</f>
        <v>7599.20035509424</v>
      </c>
      <c r="N162" s="211">
        <f>IF(ISERROR('Overzicht Vol &amp; Tar AD'!N162),0,'Overzicht Vol &amp; Tar AD'!N162)</f>
        <v>515</v>
      </c>
      <c r="R162" s="168"/>
    </row>
    <row r="163" spans="1:67">
      <c r="A163" s="66"/>
      <c r="B163" s="222" t="s">
        <v>252</v>
      </c>
      <c r="C163" s="59"/>
      <c r="D163" s="59" t="s">
        <v>164</v>
      </c>
      <c r="E163" s="67"/>
      <c r="F163" s="90">
        <f>SUM(G163:N163)</f>
        <v>69804.010952962359</v>
      </c>
      <c r="G163" s="211">
        <f>IF(ISERROR('Overzicht Vol &amp; Tar AD'!G163),0,'Overzicht Vol &amp; Tar AD'!G163)</f>
        <v>323</v>
      </c>
      <c r="H163" s="211">
        <f>IF(ISERROR('Overzicht Vol &amp; Tar AD'!H163),0,'Overzicht Vol &amp; Tar AD'!H163)</f>
        <v>1725</v>
      </c>
      <c r="I163" s="211">
        <f>IF(ISERROR('Overzicht Vol &amp; Tar AD'!I163),0,'Overzicht Vol &amp; Tar AD'!I163)</f>
        <v>1057.4221538461541</v>
      </c>
      <c r="J163" s="211">
        <f>IF(ISERROR('Overzicht Vol &amp; Tar AD'!J163),0,'Overzicht Vol &amp; Tar AD'!J163)</f>
        <v>21820.355139116211</v>
      </c>
      <c r="K163" s="211">
        <f>IF(ISERROR('Overzicht Vol &amp; Tar AD'!K163),0,'Overzicht Vol &amp; Tar AD'!K163)</f>
        <v>30595</v>
      </c>
      <c r="L163" s="211">
        <f>IF(ISERROR('Overzicht Vol &amp; Tar AD'!L163),0,'Overzicht Vol &amp; Tar AD'!L163)</f>
        <v>224</v>
      </c>
      <c r="M163" s="211">
        <f>IF(ISERROR('Overzicht Vol &amp; Tar AD'!M163),0,'Overzicht Vol &amp; Tar AD'!M163)</f>
        <v>13145.23366</v>
      </c>
      <c r="N163" s="211">
        <f>IF(ISERROR('Overzicht Vol &amp; Tar AD'!N163),0,'Overzicht Vol &amp; Tar AD'!N163)</f>
        <v>914</v>
      </c>
      <c r="R163" s="168"/>
    </row>
    <row r="164" spans="1:67">
      <c r="A164" s="66"/>
      <c r="B164" s="222" t="s">
        <v>253</v>
      </c>
      <c r="C164" s="59"/>
      <c r="D164" s="59" t="s">
        <v>164</v>
      </c>
      <c r="E164" s="67"/>
      <c r="F164" s="90">
        <f>SUM(G164:N164)</f>
        <v>9539.3039810285063</v>
      </c>
      <c r="G164" s="211">
        <f>IF(ISERROR('Overzicht Vol &amp; Tar AD'!G164),0,'Overzicht Vol &amp; Tar AD'!G164)</f>
        <v>22</v>
      </c>
      <c r="H164" s="211">
        <f>IF(ISERROR('Overzicht Vol &amp; Tar AD'!H164),0,'Overzicht Vol &amp; Tar AD'!H164)</f>
        <v>498</v>
      </c>
      <c r="I164" s="211">
        <f>IF(ISERROR('Overzicht Vol &amp; Tar AD'!I164),0,'Overzicht Vol &amp; Tar AD'!I164)</f>
        <v>89.886131291998595</v>
      </c>
      <c r="J164" s="211">
        <f>IF(ISERROR('Overzicht Vol &amp; Tar AD'!J164),0,'Overzicht Vol &amp; Tar AD'!J164)</f>
        <v>2244.5079082748885</v>
      </c>
      <c r="K164" s="211">
        <f>IF(ISERROR('Overzicht Vol &amp; Tar AD'!K164),0,'Overzicht Vol &amp; Tar AD'!K164)</f>
        <v>4173</v>
      </c>
      <c r="L164" s="211">
        <f>IF(ISERROR('Overzicht Vol &amp; Tar AD'!L164),0,'Overzicht Vol &amp; Tar AD'!L164)</f>
        <v>21</v>
      </c>
      <c r="M164" s="211">
        <f>IF(ISERROR('Overzicht Vol &amp; Tar AD'!M164),0,'Overzicht Vol &amp; Tar AD'!M164)</f>
        <v>2430.9099414616189</v>
      </c>
      <c r="N164" s="211">
        <f>IF(ISERROR('Overzicht Vol &amp; Tar AD'!N164),0,'Overzicht Vol &amp; Tar AD'!N164)</f>
        <v>60</v>
      </c>
      <c r="R164" s="168"/>
    </row>
    <row r="165" spans="1:67">
      <c r="A165" s="66"/>
      <c r="B165" s="222" t="s">
        <v>255</v>
      </c>
      <c r="C165" s="59"/>
      <c r="D165" s="59" t="s">
        <v>164</v>
      </c>
      <c r="E165" s="67"/>
      <c r="F165" s="90">
        <f>SUM(G165:N165)</f>
        <v>2479.9629089171308</v>
      </c>
      <c r="G165" s="211">
        <f>IF(ISERROR('Overzicht Vol &amp; Tar AD'!G165),0,'Overzicht Vol &amp; Tar AD'!G165)</f>
        <v>17</v>
      </c>
      <c r="H165" s="211">
        <f>IF(ISERROR('Overzicht Vol &amp; Tar AD'!H165),0,'Overzicht Vol &amp; Tar AD'!H165)</f>
        <v>85</v>
      </c>
      <c r="I165" s="211">
        <f>IF(ISERROR('Overzicht Vol &amp; Tar AD'!I165),0,'Overzicht Vol &amp; Tar AD'!I165)</f>
        <v>16.749011610333348</v>
      </c>
      <c r="J165" s="211">
        <f>IF(ISERROR('Overzicht Vol &amp; Tar AD'!J165),0,'Overzicht Vol &amp; Tar AD'!J165)</f>
        <v>1003.4605094711358</v>
      </c>
      <c r="K165" s="211">
        <f>IF(ISERROR('Overzicht Vol &amp; Tar AD'!K165),0,'Overzicht Vol &amp; Tar AD'!K165)</f>
        <v>832</v>
      </c>
      <c r="L165" s="211">
        <f>IF(ISERROR('Overzicht Vol &amp; Tar AD'!L165),0,'Overzicht Vol &amp; Tar AD'!L165)</f>
        <v>8</v>
      </c>
      <c r="M165" s="211">
        <f>IF(ISERROR('Overzicht Vol &amp; Tar AD'!M165),0,'Overzicht Vol &amp; Tar AD'!M165)</f>
        <v>492.75338783566156</v>
      </c>
      <c r="N165" s="211">
        <f>IF(ISERROR('Overzicht Vol &amp; Tar AD'!N165),0,'Overzicht Vol &amp; Tar AD'!N165)</f>
        <v>25</v>
      </c>
      <c r="R165" s="168"/>
    </row>
    <row r="166" spans="1:67">
      <c r="A166" s="66"/>
      <c r="B166" s="222" t="s">
        <v>254</v>
      </c>
      <c r="C166" s="59"/>
      <c r="D166" s="59" t="s">
        <v>164</v>
      </c>
      <c r="E166" s="67"/>
      <c r="F166" s="90">
        <f>SUM(G166:N166)</f>
        <v>246.42292069270465</v>
      </c>
      <c r="G166" s="211">
        <f>IF(ISERROR('Overzicht Vol &amp; Tar AD'!G166),0,'Overzicht Vol &amp; Tar AD'!G166)</f>
        <v>1</v>
      </c>
      <c r="H166" s="211">
        <f>IF(ISERROR('Overzicht Vol &amp; Tar AD'!H166),0,'Overzicht Vol &amp; Tar AD'!H166)</f>
        <v>1</v>
      </c>
      <c r="I166" s="211">
        <f>IF(ISERROR('Overzicht Vol &amp; Tar AD'!I166),0,'Overzicht Vol &amp; Tar AD'!I166)</f>
        <v>3.8198227951640416</v>
      </c>
      <c r="J166" s="211">
        <f>IF(ISERROR('Overzicht Vol &amp; Tar AD'!J166),0,'Overzicht Vol &amp; Tar AD'!J166)</f>
        <v>102.65901797621896</v>
      </c>
      <c r="K166" s="211">
        <f>IF(ISERROR('Overzicht Vol &amp; Tar AD'!K166),0,'Overzicht Vol &amp; Tar AD'!K166)</f>
        <v>78</v>
      </c>
      <c r="L166" s="211">
        <f>IF(ISERROR('Overzicht Vol &amp; Tar AD'!L166),0,'Overzicht Vol &amp; Tar AD'!L166)</f>
        <v>0</v>
      </c>
      <c r="M166" s="211">
        <f>IF(ISERROR('Overzicht Vol &amp; Tar AD'!M166),0,'Overzicht Vol &amp; Tar AD'!M166)</f>
        <v>55.944079921321638</v>
      </c>
      <c r="N166" s="211">
        <f>IF(ISERROR('Overzicht Vol &amp; Tar AD'!N166),0,'Overzicht Vol &amp; Tar AD'!N166)</f>
        <v>4</v>
      </c>
      <c r="R166" s="168"/>
    </row>
    <row r="167" spans="1:67">
      <c r="A167" s="66"/>
      <c r="B167" s="214"/>
      <c r="C167" s="59"/>
      <c r="D167" s="59"/>
      <c r="E167" s="59"/>
      <c r="F167" s="91"/>
      <c r="G167" s="91"/>
      <c r="H167" s="91"/>
      <c r="I167" s="91"/>
      <c r="J167" s="91"/>
      <c r="K167" s="91"/>
      <c r="L167" s="91"/>
      <c r="M167" s="91"/>
      <c r="N167" s="91"/>
      <c r="R167" s="168"/>
    </row>
    <row r="168" spans="1:67">
      <c r="A168" s="66"/>
      <c r="B168" s="206" t="s">
        <v>329</v>
      </c>
      <c r="C168" s="59"/>
      <c r="D168" s="59"/>
      <c r="E168" s="60"/>
      <c r="F168" s="91"/>
      <c r="G168" s="91"/>
      <c r="H168" s="91"/>
      <c r="I168" s="91"/>
      <c r="J168" s="91"/>
      <c r="K168" s="91"/>
      <c r="L168" s="91"/>
      <c r="M168" s="91"/>
      <c r="N168" s="91"/>
      <c r="R168" s="168"/>
    </row>
    <row r="169" spans="1:67">
      <c r="A169" s="66"/>
      <c r="B169" s="222" t="s">
        <v>251</v>
      </c>
      <c r="C169" s="59"/>
      <c r="D169" s="59" t="s">
        <v>164</v>
      </c>
      <c r="E169" s="67"/>
      <c r="F169" s="90">
        <f>SUM(G169:N169)</f>
        <v>39913.716226677083</v>
      </c>
      <c r="G169" s="211">
        <f>IF(ISERROR('Overzicht Vol &amp; Tar AD'!G169),0,'Overzicht Vol &amp; Tar AD'!G169)</f>
        <v>126</v>
      </c>
      <c r="H169" s="211">
        <f>IF(ISERROR('Overzicht Vol &amp; Tar AD'!H169),0,'Overzicht Vol &amp; Tar AD'!H169)</f>
        <v>1930</v>
      </c>
      <c r="I169" s="211">
        <f>IF(ISERROR('Overzicht Vol &amp; Tar AD'!I169),0,'Overzicht Vol &amp; Tar AD'!I169)</f>
        <v>134.49275362318841</v>
      </c>
      <c r="J169" s="211">
        <f>IF(ISERROR('Overzicht Vol &amp; Tar AD'!J169),0,'Overzicht Vol &amp; Tar AD'!J169)</f>
        <v>18536.96</v>
      </c>
      <c r="K169" s="211">
        <f>IF(ISERROR('Overzicht Vol &amp; Tar AD'!K169),0,'Overzicht Vol &amp; Tar AD'!K169)</f>
        <v>12904</v>
      </c>
      <c r="L169" s="211">
        <f>IF(ISERROR('Overzicht Vol &amp; Tar AD'!L169),0,'Overzicht Vol &amp; Tar AD'!L169)</f>
        <v>648</v>
      </c>
      <c r="M169" s="211">
        <f>IF(ISERROR('Overzicht Vol &amp; Tar AD'!M169),0,'Overzicht Vol &amp; Tar AD'!M169)</f>
        <v>4757.2634730538903</v>
      </c>
      <c r="N169" s="211">
        <f>IF(ISERROR('Overzicht Vol &amp; Tar AD'!N169),0,'Overzicht Vol &amp; Tar AD'!N169)</f>
        <v>877</v>
      </c>
      <c r="R169" s="168"/>
    </row>
    <row r="170" spans="1:67">
      <c r="A170" s="66"/>
      <c r="B170" s="222" t="s">
        <v>252</v>
      </c>
      <c r="C170" s="59"/>
      <c r="D170" s="59" t="s">
        <v>164</v>
      </c>
      <c r="E170" s="67"/>
      <c r="F170" s="90">
        <f>SUM(G170:N170)</f>
        <v>106168.50858085498</v>
      </c>
      <c r="G170" s="211">
        <f>IF(ISERROR('Overzicht Vol &amp; Tar AD'!G170),0,'Overzicht Vol &amp; Tar AD'!G170)</f>
        <v>217</v>
      </c>
      <c r="H170" s="211">
        <f>IF(ISERROR('Overzicht Vol &amp; Tar AD'!H170),0,'Overzicht Vol &amp; Tar AD'!H170)</f>
        <v>4386</v>
      </c>
      <c r="I170" s="211">
        <f>IF(ISERROR('Overzicht Vol &amp; Tar AD'!I170),0,'Overzicht Vol &amp; Tar AD'!I170)</f>
        <v>623.31407522295467</v>
      </c>
      <c r="J170" s="211">
        <f>IF(ISERROR('Overzicht Vol &amp; Tar AD'!J170),0,'Overzicht Vol &amp; Tar AD'!J170)</f>
        <v>45853.597058823529</v>
      </c>
      <c r="K170" s="211">
        <f>IF(ISERROR('Overzicht Vol &amp; Tar AD'!K170),0,'Overzicht Vol &amp; Tar AD'!K170)</f>
        <v>37836</v>
      </c>
      <c r="L170" s="211">
        <f>IF(ISERROR('Overzicht Vol &amp; Tar AD'!L170),0,'Overzicht Vol &amp; Tar AD'!L170)</f>
        <v>420</v>
      </c>
      <c r="M170" s="211">
        <f>IF(ISERROR('Overzicht Vol &amp; Tar AD'!M170),0,'Overzicht Vol &amp; Tar AD'!M170)</f>
        <v>16571.597446808501</v>
      </c>
      <c r="N170" s="211">
        <f>IF(ISERROR('Overzicht Vol &amp; Tar AD'!N170),0,'Overzicht Vol &amp; Tar AD'!N170)</f>
        <v>261</v>
      </c>
      <c r="R170" s="168"/>
    </row>
    <row r="171" spans="1:67">
      <c r="A171" s="66"/>
      <c r="B171" s="222" t="s">
        <v>253</v>
      </c>
      <c r="C171" s="59"/>
      <c r="D171" s="59" t="s">
        <v>164</v>
      </c>
      <c r="E171" s="67"/>
      <c r="F171" s="90">
        <f>SUM(G171:N171)</f>
        <v>118426.78049649519</v>
      </c>
      <c r="G171" s="211">
        <f>IF(ISERROR('Overzicht Vol &amp; Tar AD'!G171),0,'Overzicht Vol &amp; Tar AD'!G171)</f>
        <v>36</v>
      </c>
      <c r="H171" s="211">
        <f>IF(ISERROR('Overzicht Vol &amp; Tar AD'!H171),0,'Overzicht Vol &amp; Tar AD'!H171)</f>
        <v>2706</v>
      </c>
      <c r="I171" s="211">
        <f>IF(ISERROR('Overzicht Vol &amp; Tar AD'!I171),0,'Overzicht Vol &amp; Tar AD'!I171)</f>
        <v>174.5602458768488</v>
      </c>
      <c r="J171" s="211">
        <f>IF(ISERROR('Overzicht Vol &amp; Tar AD'!J171),0,'Overzicht Vol &amp; Tar AD'!J171)</f>
        <v>55279.834999999999</v>
      </c>
      <c r="K171" s="211">
        <f>IF(ISERROR('Overzicht Vol &amp; Tar AD'!K171),0,'Overzicht Vol &amp; Tar AD'!K171)</f>
        <v>30821</v>
      </c>
      <c r="L171" s="211">
        <f>IF(ISERROR('Overzicht Vol &amp; Tar AD'!L171),0,'Overzicht Vol &amp; Tar AD'!L171)</f>
        <v>293</v>
      </c>
      <c r="M171" s="211">
        <f>IF(ISERROR('Overzicht Vol &amp; Tar AD'!M171),0,'Overzicht Vol &amp; Tar AD'!M171)</f>
        <v>27833.38525061835</v>
      </c>
      <c r="N171" s="211">
        <f>IF(ISERROR('Overzicht Vol &amp; Tar AD'!N171),0,'Overzicht Vol &amp; Tar AD'!N171)</f>
        <v>1283</v>
      </c>
      <c r="R171" s="168"/>
    </row>
    <row r="172" spans="1:67">
      <c r="A172" s="66"/>
      <c r="B172" s="222" t="s">
        <v>255</v>
      </c>
      <c r="C172" s="59"/>
      <c r="D172" s="59" t="s">
        <v>164</v>
      </c>
      <c r="E172" s="67"/>
      <c r="F172" s="90">
        <f>SUM(G172:N172)</f>
        <v>292584.38657448499</v>
      </c>
      <c r="G172" s="211">
        <f>IF(ISERROR('Overzicht Vol &amp; Tar AD'!G172),0,'Overzicht Vol &amp; Tar AD'!G172)</f>
        <v>1140</v>
      </c>
      <c r="H172" s="211">
        <f>IF(ISERROR('Overzicht Vol &amp; Tar AD'!H172),0,'Overzicht Vol &amp; Tar AD'!H172)</f>
        <v>10244</v>
      </c>
      <c r="I172" s="211">
        <f>IF(ISERROR('Overzicht Vol &amp; Tar AD'!I172),0,'Overzicht Vol &amp; Tar AD'!I172)</f>
        <v>991.15956601370158</v>
      </c>
      <c r="J172" s="211">
        <f>IF(ISERROR('Overzicht Vol &amp; Tar AD'!J172),0,'Overzicht Vol &amp; Tar AD'!J172)</f>
        <v>135273.4627232143</v>
      </c>
      <c r="K172" s="211">
        <f>IF(ISERROR('Overzicht Vol &amp; Tar AD'!K172),0,'Overzicht Vol &amp; Tar AD'!K172)</f>
        <v>82562.05112693859</v>
      </c>
      <c r="L172" s="211">
        <f>IF(ISERROR('Overzicht Vol &amp; Tar AD'!L172),0,'Overzicht Vol &amp; Tar AD'!L172)</f>
        <v>1333</v>
      </c>
      <c r="M172" s="211">
        <f>IF(ISERROR('Overzicht Vol &amp; Tar AD'!M172),0,'Overzicht Vol &amp; Tar AD'!M172)</f>
        <v>58175.713158318453</v>
      </c>
      <c r="N172" s="211">
        <f>IF(ISERROR('Overzicht Vol &amp; Tar AD'!N172),0,'Overzicht Vol &amp; Tar AD'!N172)</f>
        <v>2865</v>
      </c>
      <c r="R172" s="168"/>
    </row>
    <row r="173" spans="1:67">
      <c r="A173" s="66"/>
      <c r="B173" s="222" t="s">
        <v>254</v>
      </c>
      <c r="C173" s="59"/>
      <c r="D173" s="59" t="s">
        <v>164</v>
      </c>
      <c r="E173" s="67"/>
      <c r="F173" s="90">
        <f>SUM(G173:N173)</f>
        <v>51002.518473573837</v>
      </c>
      <c r="G173" s="211">
        <f>IF(ISERROR('Overzicht Vol &amp; Tar AD'!G173),0,'Overzicht Vol &amp; Tar AD'!G173)</f>
        <v>150</v>
      </c>
      <c r="H173" s="211">
        <f>IF(ISERROR('Overzicht Vol &amp; Tar AD'!H173),0,'Overzicht Vol &amp; Tar AD'!H173)</f>
        <v>15</v>
      </c>
      <c r="I173" s="211">
        <f>IF(ISERROR('Overzicht Vol &amp; Tar AD'!I173),0,'Overzicht Vol &amp; Tar AD'!I173)</f>
        <v>333.8776651520447</v>
      </c>
      <c r="J173" s="211">
        <f>IF(ISERROR('Overzicht Vol &amp; Tar AD'!J173),0,'Overzicht Vol &amp; Tar AD'!J173)</f>
        <v>6973.8094284188028</v>
      </c>
      <c r="K173" s="211">
        <f>IF(ISERROR('Overzicht Vol &amp; Tar AD'!K173),0,'Overzicht Vol &amp; Tar AD'!K173)</f>
        <v>34320</v>
      </c>
      <c r="L173" s="211">
        <f>IF(ISERROR('Overzicht Vol &amp; Tar AD'!L173),0,'Overzicht Vol &amp; Tar AD'!L173)</f>
        <v>0</v>
      </c>
      <c r="M173" s="211">
        <f>IF(ISERROR('Overzicht Vol &amp; Tar AD'!M173),0,'Overzicht Vol &amp; Tar AD'!M173)</f>
        <v>7359.8313800029882</v>
      </c>
      <c r="N173" s="211">
        <f>IF(ISERROR('Overzicht Vol &amp; Tar AD'!N173),0,'Overzicht Vol &amp; Tar AD'!N173)</f>
        <v>1850</v>
      </c>
      <c r="R173" s="168"/>
    </row>
    <row r="174" spans="1:67">
      <c r="A174" s="66"/>
      <c r="B174" s="214"/>
      <c r="C174" s="59"/>
      <c r="D174" s="59"/>
      <c r="E174" s="59"/>
      <c r="F174"/>
      <c r="G174"/>
      <c r="H174"/>
      <c r="I174"/>
      <c r="J174"/>
      <c r="K174"/>
      <c r="L174"/>
      <c r="M174"/>
      <c r="N174"/>
      <c r="R174" s="168"/>
    </row>
    <row r="175" spans="1:67">
      <c r="A175" s="66"/>
      <c r="B175" s="214"/>
      <c r="C175" s="59"/>
      <c r="D175" s="59"/>
      <c r="E175" s="59"/>
      <c r="F175"/>
      <c r="G175"/>
      <c r="H175"/>
      <c r="I175"/>
      <c r="J175"/>
      <c r="K175"/>
      <c r="L175"/>
      <c r="M175"/>
      <c r="N175"/>
      <c r="R175" s="168"/>
    </row>
    <row r="176" spans="1:67">
      <c r="A176" s="65"/>
      <c r="B176" s="204" t="s">
        <v>9</v>
      </c>
      <c r="C176" s="65"/>
      <c r="D176" s="65"/>
      <c r="E176" s="65"/>
      <c r="F176" s="65"/>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row>
    <row r="177" spans="1:24">
      <c r="A177" s="59"/>
      <c r="B177" s="206"/>
      <c r="C177" s="59"/>
      <c r="D177" s="59"/>
      <c r="E177" s="59"/>
      <c r="F177" s="59"/>
      <c r="G177" s="60"/>
      <c r="H177" s="60"/>
      <c r="I177" s="60"/>
      <c r="J177" s="60"/>
      <c r="K177" s="60"/>
      <c r="L177" s="60"/>
      <c r="M177" s="60"/>
      <c r="N177" s="60"/>
      <c r="R177" s="168"/>
    </row>
    <row r="178" spans="1:24">
      <c r="A178" s="66"/>
      <c r="B178" s="206" t="s">
        <v>922</v>
      </c>
      <c r="C178" s="60"/>
      <c r="D178" s="59"/>
      <c r="E178" s="59"/>
      <c r="F178" s="23"/>
      <c r="G178" s="23"/>
      <c r="H178"/>
      <c r="I178"/>
      <c r="J178" s="23"/>
      <c r="K178"/>
      <c r="L178"/>
      <c r="M178"/>
      <c r="N178"/>
    </row>
    <row r="179" spans="1:24">
      <c r="A179" s="66"/>
      <c r="B179" s="214" t="s">
        <v>251</v>
      </c>
      <c r="C179" s="59"/>
      <c r="D179" s="59" t="s">
        <v>337</v>
      </c>
      <c r="E179" s="59"/>
      <c r="F179" s="23"/>
      <c r="G179" s="876">
        <f>IF(ISERROR('Overzicht Vol &amp; Tar AD'!G179),0,'Overzicht Vol &amp; Tar AD'!G179)</f>
        <v>6.48</v>
      </c>
      <c r="H179" s="876">
        <f>IF(ISERROR('Overzicht Vol &amp; Tar AD'!H179),0,'Overzicht Vol &amp; Tar AD'!H179)</f>
        <v>2.34</v>
      </c>
      <c r="I179" s="876">
        <f>IF(ISERROR('Overzicht Vol &amp; Tar AD'!I179),0,'Overzicht Vol &amp; Tar AD'!I179)</f>
        <v>7.32</v>
      </c>
      <c r="J179" s="876">
        <f>IF(ISERROR('Overzicht Vol &amp; Tar AD'!J179),0,'Overzicht Vol &amp; Tar AD'!J179)</f>
        <v>3.95</v>
      </c>
      <c r="K179" s="876">
        <f>IF(ISERROR('Overzicht Vol &amp; Tar AD'!K179),0,'Overzicht Vol &amp; Tar AD'!K179)</f>
        <v>9.24</v>
      </c>
      <c r="L179" s="876">
        <f>IF(ISERROR('Overzicht Vol &amp; Tar AD'!L179),0,'Overzicht Vol &amp; Tar AD'!L179)</f>
        <v>13.25</v>
      </c>
      <c r="M179" s="876">
        <f>IF(ISERROR('Overzicht Vol &amp; Tar AD'!M179),0,'Overzicht Vol &amp; Tar AD'!M179)</f>
        <v>7.5000000000000009</v>
      </c>
      <c r="N179" s="876">
        <f>IF(ISERROR('Overzicht Vol &amp; Tar AD'!N179),0,'Overzicht Vol &amp; Tar AD'!N179)</f>
        <v>3.15</v>
      </c>
      <c r="P179" s="169"/>
      <c r="Q179" s="169"/>
      <c r="R179" s="169"/>
      <c r="S179" s="169"/>
      <c r="T179" s="169"/>
      <c r="U179" s="169"/>
      <c r="V179" s="169"/>
      <c r="W179" s="169"/>
      <c r="X179" s="169"/>
    </row>
    <row r="180" spans="1:24">
      <c r="A180" s="66"/>
      <c r="B180" s="214" t="s">
        <v>252</v>
      </c>
      <c r="C180" s="59"/>
      <c r="D180" s="59" t="s">
        <v>337</v>
      </c>
      <c r="E180" s="59"/>
      <c r="F180" s="23"/>
      <c r="G180" s="876">
        <f>IF(ISERROR('Overzicht Vol &amp; Tar AD'!G180),0,'Overzicht Vol &amp; Tar AD'!G180)</f>
        <v>18.5</v>
      </c>
      <c r="H180" s="876">
        <f>IF(ISERROR('Overzicht Vol &amp; Tar AD'!H180),0,'Overzicht Vol &amp; Tar AD'!H180)</f>
        <v>23.04</v>
      </c>
      <c r="I180" s="876">
        <f>IF(ISERROR('Overzicht Vol &amp; Tar AD'!I180),0,'Overzicht Vol &amp; Tar AD'!I180)</f>
        <v>15.84</v>
      </c>
      <c r="J180" s="876">
        <f>IF(ISERROR('Overzicht Vol &amp; Tar AD'!J180),0,'Overzicht Vol &amp; Tar AD'!J180)</f>
        <v>31.599999999999998</v>
      </c>
      <c r="K180" s="876">
        <f>IF(ISERROR('Overzicht Vol &amp; Tar AD'!K180),0,'Overzicht Vol &amp; Tar AD'!K180)</f>
        <v>19.2</v>
      </c>
      <c r="L180" s="876">
        <f>IF(ISERROR('Overzicht Vol &amp; Tar AD'!L180),0,'Overzicht Vol &amp; Tar AD'!L180)</f>
        <v>26.75</v>
      </c>
      <c r="M180" s="876">
        <f>IF(ISERROR('Overzicht Vol &amp; Tar AD'!M180),0,'Overzicht Vol &amp; Tar AD'!M180)</f>
        <v>18.5</v>
      </c>
      <c r="N180" s="876">
        <f>IF(ISERROR('Overzicht Vol &amp; Tar AD'!N180),0,'Overzicht Vol &amp; Tar AD'!N180)</f>
        <v>16.899999999999999</v>
      </c>
      <c r="P180" s="169"/>
      <c r="Q180" s="169"/>
      <c r="R180" s="169"/>
      <c r="S180" s="169"/>
      <c r="T180" s="169"/>
      <c r="U180" s="169"/>
      <c r="V180" s="169"/>
      <c r="W180" s="169"/>
      <c r="X180" s="169"/>
    </row>
    <row r="181" spans="1:24">
      <c r="A181" s="66"/>
      <c r="B181" s="214" t="s">
        <v>253</v>
      </c>
      <c r="C181" s="59"/>
      <c r="D181" s="59" t="s">
        <v>337</v>
      </c>
      <c r="E181" s="59"/>
      <c r="F181" s="23"/>
      <c r="G181" s="876">
        <f>IF(ISERROR('Overzicht Vol &amp; Tar AD'!G181),0,'Overzicht Vol &amp; Tar AD'!G181)</f>
        <v>18.5</v>
      </c>
      <c r="H181" s="876">
        <f>IF(ISERROR('Overzicht Vol &amp; Tar AD'!H181),0,'Overzicht Vol &amp; Tar AD'!H181)</f>
        <v>37.815482841499545</v>
      </c>
      <c r="I181" s="876">
        <f>IF(ISERROR('Overzicht Vol &amp; Tar AD'!I181),0,'Overzicht Vol &amp; Tar AD'!I181)</f>
        <v>15.84</v>
      </c>
      <c r="J181" s="876">
        <f>IF(ISERROR('Overzicht Vol &amp; Tar AD'!J181),0,'Overzicht Vol &amp; Tar AD'!J181)</f>
        <v>36</v>
      </c>
      <c r="K181" s="876">
        <f>IF(ISERROR('Overzicht Vol &amp; Tar AD'!K181),0,'Overzicht Vol &amp; Tar AD'!K181)</f>
        <v>31.823113367085249</v>
      </c>
      <c r="L181" s="876">
        <f>IF(ISERROR('Overzicht Vol &amp; Tar AD'!L181),0,'Overzicht Vol &amp; Tar AD'!L181)</f>
        <v>43.25</v>
      </c>
      <c r="M181" s="876">
        <f>IF(ISERROR('Overzicht Vol &amp; Tar AD'!M181),0,'Overzicht Vol &amp; Tar AD'!M181)</f>
        <v>36.799999999999997</v>
      </c>
      <c r="N181" s="876">
        <f>IF(ISERROR('Overzicht Vol &amp; Tar AD'!N181),0,'Overzicht Vol &amp; Tar AD'!N181)</f>
        <v>45.029452723177847</v>
      </c>
      <c r="P181" s="169"/>
      <c r="Q181" s="169"/>
      <c r="R181" s="169"/>
      <c r="S181" s="169"/>
      <c r="T181" s="169"/>
      <c r="U181" s="169"/>
      <c r="V181" s="169"/>
      <c r="W181" s="169"/>
      <c r="X181" s="169"/>
    </row>
    <row r="182" spans="1:24">
      <c r="A182" s="66"/>
      <c r="B182" s="214" t="s">
        <v>255</v>
      </c>
      <c r="C182" s="59"/>
      <c r="D182" s="59" t="s">
        <v>337</v>
      </c>
      <c r="E182" s="59"/>
      <c r="F182" s="23"/>
      <c r="G182" s="876">
        <f>IF(ISERROR('Overzicht Vol &amp; Tar AD'!G182),0,'Overzicht Vol &amp; Tar AD'!G182)</f>
        <v>22.2</v>
      </c>
      <c r="H182" s="876">
        <f>IF(ISERROR('Overzicht Vol &amp; Tar AD'!H182),0,'Overzicht Vol &amp; Tar AD'!H182)</f>
        <v>159.23999999999998</v>
      </c>
      <c r="I182" s="876">
        <f>IF(ISERROR('Overzicht Vol &amp; Tar AD'!I182),0,'Overzicht Vol &amp; Tar AD'!I182)</f>
        <v>238.31999999999996</v>
      </c>
      <c r="J182" s="876">
        <f>IF(ISERROR('Overzicht Vol &amp; Tar AD'!J182),0,'Overzicht Vol &amp; Tar AD'!J182)</f>
        <v>172</v>
      </c>
      <c r="K182" s="876">
        <f>IF(ISERROR('Overzicht Vol &amp; Tar AD'!K182),0,'Overzicht Vol &amp; Tar AD'!K182)</f>
        <v>136.30989367042395</v>
      </c>
      <c r="L182" s="876">
        <f>IF(ISERROR('Overzicht Vol &amp; Tar AD'!L182),0,'Overzicht Vol &amp; Tar AD'!L182)</f>
        <v>43.25</v>
      </c>
      <c r="M182" s="876">
        <f>IF(ISERROR('Overzicht Vol &amp; Tar AD'!M182),0,'Overzicht Vol &amp; Tar AD'!M182)</f>
        <v>63.2</v>
      </c>
      <c r="N182" s="876">
        <f>IF(ISERROR('Overzicht Vol &amp; Tar AD'!N182),0,'Overzicht Vol &amp; Tar AD'!N182)</f>
        <v>213.77431327902775</v>
      </c>
      <c r="P182" s="169"/>
      <c r="Q182" s="169"/>
      <c r="R182" s="169"/>
      <c r="S182" s="169"/>
      <c r="T182" s="169"/>
      <c r="U182" s="169"/>
      <c r="V182" s="169"/>
      <c r="W182" s="169"/>
      <c r="X182" s="169"/>
    </row>
    <row r="183" spans="1:24">
      <c r="A183" s="66"/>
      <c r="B183" s="214" t="s">
        <v>261</v>
      </c>
      <c r="C183" s="59"/>
      <c r="D183" s="59" t="s">
        <v>337</v>
      </c>
      <c r="E183" s="59"/>
      <c r="F183" s="23"/>
      <c r="G183" s="876">
        <f>IF(ISERROR('Overzicht Vol &amp; Tar AD'!G183),0,'Overzicht Vol &amp; Tar AD'!G183)</f>
        <v>450.971</v>
      </c>
      <c r="H183" s="876">
        <f>IF(ISERROR('Overzicht Vol &amp; Tar AD'!H183),0,'Overzicht Vol &amp; Tar AD'!H183)</f>
        <v>1100.0400000000002</v>
      </c>
      <c r="I183" s="876">
        <f>IF(ISERROR('Overzicht Vol &amp; Tar AD'!I183),0,'Overzicht Vol &amp; Tar AD'!I183)</f>
        <v>685.2</v>
      </c>
      <c r="J183" s="876">
        <f>IF(ISERROR('Overzicht Vol &amp; Tar AD'!J183),0,'Overzicht Vol &amp; Tar AD'!J183)</f>
        <v>682</v>
      </c>
      <c r="K183" s="876">
        <f>IF(ISERROR('Overzicht Vol &amp; Tar AD'!K183),0,'Overzicht Vol &amp; Tar AD'!K183)</f>
        <v>795.74179554571856</v>
      </c>
      <c r="L183" s="876">
        <f>IF(ISERROR('Overzicht Vol &amp; Tar AD'!L183),0,'Overzicht Vol &amp; Tar AD'!L183)</f>
        <v>229.1921456719663</v>
      </c>
      <c r="M183" s="876">
        <f>IF(ISERROR('Overzicht Vol &amp; Tar AD'!M183),0,'Overzicht Vol &amp; Tar AD'!M183)</f>
        <v>565.95000000000005</v>
      </c>
      <c r="N183" s="876">
        <f>IF(ISERROR('Overzicht Vol &amp; Tar AD'!N183),0,'Overzicht Vol &amp; Tar AD'!N183)</f>
        <v>1606.4718595712461</v>
      </c>
      <c r="P183" s="169"/>
      <c r="Q183" s="169"/>
      <c r="R183" s="169"/>
      <c r="S183" s="169"/>
      <c r="T183" s="169"/>
      <c r="U183" s="169"/>
      <c r="V183" s="169"/>
      <c r="W183" s="169"/>
      <c r="X183" s="169"/>
    </row>
    <row r="184" spans="1:24">
      <c r="A184" s="66"/>
      <c r="B184" s="214" t="s">
        <v>262</v>
      </c>
      <c r="C184" s="59"/>
      <c r="D184" s="59" t="s">
        <v>337</v>
      </c>
      <c r="E184" s="59"/>
      <c r="F184" s="23"/>
      <c r="G184" s="876">
        <f>IF(ISERROR('Overzicht Vol &amp; Tar AD'!G184),0,'Overzicht Vol &amp; Tar AD'!G184)</f>
        <v>1345.2</v>
      </c>
      <c r="H184" s="876">
        <f>IF(ISERROR('Overzicht Vol &amp; Tar AD'!H184),0,'Overzicht Vol &amp; Tar AD'!H184)</f>
        <v>7328.64</v>
      </c>
      <c r="I184" s="876">
        <f>IF(ISERROR('Overzicht Vol &amp; Tar AD'!I184),0,'Overzicht Vol &amp; Tar AD'!I184)</f>
        <v>2902.8</v>
      </c>
      <c r="J184" s="876">
        <f>IF(ISERROR('Overzicht Vol &amp; Tar AD'!J184),0,'Overzicht Vol &amp; Tar AD'!J184)</f>
        <v>1876.6145415084497</v>
      </c>
      <c r="K184" s="876">
        <f>IF(ISERROR('Overzicht Vol &amp; Tar AD'!K184),0,'Overzicht Vol &amp; Tar AD'!K184)</f>
        <v>8583.652173913044</v>
      </c>
      <c r="L184" s="876">
        <f>IF(ISERROR('Overzicht Vol &amp; Tar AD'!L184),0,'Overzicht Vol &amp; Tar AD'!L184)</f>
        <v>1670</v>
      </c>
      <c r="M184" s="876">
        <f>IF(ISERROR('Overzicht Vol &amp; Tar AD'!M184),0,'Overzicht Vol &amp; Tar AD'!M184)</f>
        <v>6041.5284615384608</v>
      </c>
      <c r="N184" s="876">
        <f>IF(ISERROR('Overzicht Vol &amp; Tar AD'!N184),0,'Overzicht Vol &amp; Tar AD'!N184)</f>
        <v>6371</v>
      </c>
      <c r="P184" s="169"/>
      <c r="Q184" s="169"/>
      <c r="R184" s="169"/>
      <c r="S184" s="169"/>
      <c r="T184" s="169"/>
      <c r="U184" s="169"/>
      <c r="V184" s="169"/>
      <c r="W184" s="169"/>
      <c r="X184" s="169"/>
    </row>
    <row r="185" spans="1:24">
      <c r="A185" s="66"/>
      <c r="B185" s="214"/>
      <c r="C185" s="59"/>
      <c r="D185" s="59"/>
      <c r="E185" s="59"/>
      <c r="F185" s="23"/>
      <c r="G185" s="88"/>
      <c r="H185" s="89"/>
      <c r="I185" s="89"/>
      <c r="J185" s="88"/>
      <c r="K185" s="89"/>
      <c r="L185" s="89"/>
      <c r="M185" s="89"/>
      <c r="N185" s="89"/>
      <c r="P185" s="169"/>
      <c r="Q185" s="169"/>
      <c r="R185" s="169"/>
      <c r="S185" s="169"/>
      <c r="T185" s="169"/>
      <c r="U185" s="169"/>
      <c r="V185" s="169"/>
      <c r="W185" s="169"/>
      <c r="X185" s="169"/>
    </row>
    <row r="186" spans="1:24">
      <c r="A186" s="66"/>
      <c r="B186" s="214" t="s">
        <v>1096</v>
      </c>
      <c r="C186" s="59"/>
      <c r="D186" s="59" t="s">
        <v>337</v>
      </c>
      <c r="E186" s="59"/>
      <c r="F186" s="23"/>
      <c r="G186" s="876">
        <f>IF(ISERROR('Overzicht Vol &amp; Tar AD'!G186),0,'Overzicht Vol &amp; Tar AD'!G186)</f>
        <v>0</v>
      </c>
      <c r="H186" s="876">
        <f>IF(ISERROR('Overzicht Vol &amp; Tar AD'!H186),0,'Overzicht Vol &amp; Tar AD'!H186)</f>
        <v>1.76</v>
      </c>
      <c r="I186" s="876">
        <f>IF(ISERROR('Overzicht Vol &amp; Tar AD'!I186),0,'Overzicht Vol &amp; Tar AD'!I186)</f>
        <v>3.3600000000000003</v>
      </c>
      <c r="J186" s="876">
        <f>IF(ISERROR('Overzicht Vol &amp; Tar AD'!J186),0,'Overzicht Vol &amp; Tar AD'!J186)</f>
        <v>2.6604081453366644</v>
      </c>
      <c r="K186" s="876">
        <f>IF(ISERROR('Overzicht Vol &amp; Tar AD'!K186),0,'Overzicht Vol &amp; Tar AD'!K186)</f>
        <v>1.8</v>
      </c>
      <c r="L186" s="876">
        <f>IF(ISERROR('Overzicht Vol &amp; Tar AD'!L186),0,'Overzicht Vol &amp; Tar AD'!L186)</f>
        <v>13.9</v>
      </c>
      <c r="M186" s="876">
        <f>IF(ISERROR('Overzicht Vol &amp; Tar AD'!M186),0,'Overzicht Vol &amp; Tar AD'!M186)</f>
        <v>5.9</v>
      </c>
      <c r="N186" s="876">
        <f>IF(ISERROR('Overzicht Vol &amp; Tar AD'!N186),0,'Overzicht Vol &amp; Tar AD'!N186)</f>
        <v>4.75</v>
      </c>
      <c r="P186" s="169"/>
      <c r="Q186" s="169"/>
      <c r="R186" s="169"/>
      <c r="S186" s="169"/>
      <c r="T186" s="169"/>
      <c r="U186" s="169"/>
      <c r="V186" s="169"/>
      <c r="W186" s="169"/>
      <c r="X186" s="169"/>
    </row>
    <row r="187" spans="1:24">
      <c r="A187" s="66"/>
      <c r="B187" s="214"/>
      <c r="C187" s="59"/>
      <c r="D187" s="59"/>
      <c r="E187" s="59"/>
      <c r="F187" s="23"/>
      <c r="G187" s="88"/>
      <c r="H187" s="89"/>
      <c r="I187" s="89"/>
      <c r="J187" s="88"/>
      <c r="K187" s="89"/>
      <c r="L187" s="89"/>
      <c r="M187" s="89"/>
      <c r="N187" s="89"/>
      <c r="P187" s="169"/>
      <c r="Q187" s="169"/>
      <c r="R187" s="169"/>
      <c r="S187" s="169"/>
      <c r="T187" s="169"/>
      <c r="U187" s="169"/>
      <c r="V187" s="169"/>
      <c r="W187" s="169"/>
      <c r="X187" s="169"/>
    </row>
    <row r="188" spans="1:24">
      <c r="A188" s="66"/>
      <c r="B188" s="206" t="s">
        <v>923</v>
      </c>
      <c r="C188" s="60"/>
      <c r="D188" s="59"/>
      <c r="E188" s="59"/>
      <c r="F188" s="23"/>
      <c r="G188" s="88"/>
      <c r="H188" s="89"/>
      <c r="I188" s="89"/>
      <c r="J188" s="88"/>
      <c r="K188" s="89"/>
      <c r="L188" s="89"/>
      <c r="M188" s="89"/>
      <c r="N188" s="89"/>
      <c r="P188" s="169"/>
      <c r="Q188" s="169"/>
      <c r="R188" s="169"/>
      <c r="S188" s="169"/>
      <c r="T188" s="169"/>
      <c r="U188" s="169"/>
      <c r="V188" s="169"/>
      <c r="W188" s="169"/>
      <c r="X188" s="169"/>
    </row>
    <row r="189" spans="1:24">
      <c r="A189" s="66"/>
      <c r="B189" s="206" t="s">
        <v>328</v>
      </c>
      <c r="C189" s="59"/>
      <c r="D189" s="59"/>
      <c r="E189" s="60"/>
      <c r="F189" s="23"/>
      <c r="G189" s="88"/>
      <c r="H189" s="89"/>
      <c r="I189" s="89"/>
      <c r="J189" s="88"/>
      <c r="K189" s="89"/>
      <c r="L189" s="89"/>
      <c r="M189" s="89"/>
      <c r="N189" s="89"/>
      <c r="P189" s="169"/>
      <c r="Q189" s="169"/>
      <c r="R189" s="169"/>
      <c r="S189" s="169"/>
      <c r="T189" s="169"/>
      <c r="U189" s="169"/>
      <c r="V189" s="169"/>
      <c r="W189" s="169"/>
      <c r="X189" s="169"/>
    </row>
    <row r="190" spans="1:24">
      <c r="A190" s="66"/>
      <c r="B190" s="222" t="s">
        <v>251</v>
      </c>
      <c r="C190" s="59"/>
      <c r="D190" s="59" t="s">
        <v>337</v>
      </c>
      <c r="E190" s="67"/>
      <c r="F190" s="23"/>
      <c r="G190" s="876">
        <f>IF(ISERROR('Overzicht Vol &amp; Tar AD'!G190),0,'Overzicht Vol &amp; Tar AD'!G190)</f>
        <v>406.77</v>
      </c>
      <c r="H190" s="876">
        <f>IF(ISERROR('Overzicht Vol &amp; Tar AD'!H190),0,'Overzicht Vol &amp; Tar AD'!H190)</f>
        <v>341.82</v>
      </c>
      <c r="I190" s="876">
        <f>IF(ISERROR('Overzicht Vol &amp; Tar AD'!I190),0,'Overzicht Vol &amp; Tar AD'!I190)</f>
        <v>410</v>
      </c>
      <c r="J190" s="876">
        <f>IF(ISERROR('Overzicht Vol &amp; Tar AD'!J190),0,'Overzicht Vol &amp; Tar AD'!J190)</f>
        <v>346</v>
      </c>
      <c r="K190" s="876">
        <f>IF(ISERROR('Overzicht Vol &amp; Tar AD'!K190),0,'Overzicht Vol &amp; Tar AD'!K190)</f>
        <v>398</v>
      </c>
      <c r="L190" s="876">
        <f>IF(ISERROR('Overzicht Vol &amp; Tar AD'!L190),0,'Overzicht Vol &amp; Tar AD'!L190)</f>
        <v>436</v>
      </c>
      <c r="M190" s="876">
        <f>IF(ISERROR('Overzicht Vol &amp; Tar AD'!M190),0,'Overzicht Vol &amp; Tar AD'!M190)</f>
        <v>402</v>
      </c>
      <c r="N190" s="876">
        <f>IF(ISERROR('Overzicht Vol &amp; Tar AD'!N190),0,'Overzicht Vol &amp; Tar AD'!N190)</f>
        <v>445.79</v>
      </c>
      <c r="P190" s="169"/>
      <c r="Q190" s="169"/>
      <c r="R190" s="169"/>
      <c r="S190" s="169"/>
      <c r="T190" s="169"/>
      <c r="U190" s="169"/>
      <c r="V190" s="169"/>
      <c r="W190" s="169"/>
      <c r="X190" s="169"/>
    </row>
    <row r="191" spans="1:24">
      <c r="A191" s="66"/>
      <c r="B191" s="222" t="s">
        <v>252</v>
      </c>
      <c r="C191" s="59"/>
      <c r="D191" s="59" t="s">
        <v>337</v>
      </c>
      <c r="E191" s="67"/>
      <c r="F191" s="23"/>
      <c r="G191" s="876">
        <f>IF(ISERROR('Overzicht Vol &amp; Tar AD'!G191),0,'Overzicht Vol &amp; Tar AD'!G191)</f>
        <v>641.46</v>
      </c>
      <c r="H191" s="876">
        <f>IF(ISERROR('Overzicht Vol &amp; Tar AD'!H191),0,'Overzicht Vol &amp; Tar AD'!H191)</f>
        <v>648.94000000000005</v>
      </c>
      <c r="I191" s="876">
        <f>IF(ISERROR('Overzicht Vol &amp; Tar AD'!I191),0,'Overzicht Vol &amp; Tar AD'!I191)</f>
        <v>645</v>
      </c>
      <c r="J191" s="876">
        <f>IF(ISERROR('Overzicht Vol &amp; Tar AD'!J191),0,'Overzicht Vol &amp; Tar AD'!J191)</f>
        <v>664</v>
      </c>
      <c r="K191" s="876">
        <f>IF(ISERROR('Overzicht Vol &amp; Tar AD'!K191),0,'Overzicht Vol &amp; Tar AD'!K191)</f>
        <v>661</v>
      </c>
      <c r="L191" s="876">
        <f>IF(ISERROR('Overzicht Vol &amp; Tar AD'!L191),0,'Overzicht Vol &amp; Tar AD'!L191)</f>
        <v>738</v>
      </c>
      <c r="M191" s="876">
        <f>IF(ISERROR('Overzicht Vol &amp; Tar AD'!M191),0,'Overzicht Vol &amp; Tar AD'!M191)</f>
        <v>579</v>
      </c>
      <c r="N191" s="876">
        <f>IF(ISERROR('Overzicht Vol &amp; Tar AD'!N191),0,'Overzicht Vol &amp; Tar AD'!N191)</f>
        <v>848.55</v>
      </c>
      <c r="P191" s="169"/>
      <c r="Q191" s="169"/>
      <c r="R191" s="169"/>
      <c r="S191" s="169"/>
      <c r="T191" s="169"/>
      <c r="U191" s="169"/>
      <c r="V191" s="169"/>
      <c r="W191" s="169"/>
      <c r="X191" s="169"/>
    </row>
    <row r="192" spans="1:24">
      <c r="A192" s="66"/>
      <c r="B192" s="222" t="s">
        <v>253</v>
      </c>
      <c r="C192" s="59"/>
      <c r="D192" s="59" t="s">
        <v>337</v>
      </c>
      <c r="E192" s="67"/>
      <c r="F192" s="23"/>
      <c r="G192" s="876">
        <f>IF(ISERROR('Overzicht Vol &amp; Tar AD'!G192),0,'Overzicht Vol &amp; Tar AD'!G192)</f>
        <v>1017.7985714285712</v>
      </c>
      <c r="H192" s="876">
        <f>IF(ISERROR('Overzicht Vol &amp; Tar AD'!H192),0,'Overzicht Vol &amp; Tar AD'!H192)</f>
        <v>1006.1228095238096</v>
      </c>
      <c r="I192" s="876">
        <f>IF(ISERROR('Overzicht Vol &amp; Tar AD'!I192),0,'Overzicht Vol &amp; Tar AD'!I192)</f>
        <v>1004.6308331326417</v>
      </c>
      <c r="J192" s="876">
        <f>IF(ISERROR('Overzicht Vol &amp; Tar AD'!J192),0,'Overzicht Vol &amp; Tar AD'!J192)</f>
        <v>870.41020135186159</v>
      </c>
      <c r="K192" s="876">
        <f>IF(ISERROR('Overzicht Vol &amp; Tar AD'!K192),0,'Overzicht Vol &amp; Tar AD'!K192)</f>
        <v>1100.2537900056147</v>
      </c>
      <c r="L192" s="876">
        <f>IF(ISERROR('Overzicht Vol &amp; Tar AD'!L192),0,'Overzicht Vol &amp; Tar AD'!L192)</f>
        <v>1112.6521739130435</v>
      </c>
      <c r="M192" s="876">
        <f>IF(ISERROR('Overzicht Vol &amp; Tar AD'!M192),0,'Overzicht Vol &amp; Tar AD'!M192)</f>
        <v>1013.8499365676589</v>
      </c>
      <c r="N192" s="876">
        <f>IF(ISERROR('Overzicht Vol &amp; Tar AD'!N192),0,'Overzicht Vol &amp; Tar AD'!N192)</f>
        <v>1225.9056363636364</v>
      </c>
      <c r="P192" s="169"/>
      <c r="Q192" s="169"/>
      <c r="R192" s="169"/>
      <c r="S192" s="169"/>
      <c r="T192" s="169"/>
      <c r="U192" s="169"/>
      <c r="V192" s="169"/>
      <c r="W192" s="169"/>
      <c r="X192" s="169"/>
    </row>
    <row r="193" spans="1:67">
      <c r="A193" s="66"/>
      <c r="B193" s="222" t="s">
        <v>255</v>
      </c>
      <c r="C193" s="59"/>
      <c r="D193" s="59" t="s">
        <v>337</v>
      </c>
      <c r="E193" s="67"/>
      <c r="F193" s="23"/>
      <c r="G193" s="876">
        <f>IF(ISERROR('Overzicht Vol &amp; Tar AD'!G193),0,'Overzicht Vol &amp; Tar AD'!G193)</f>
        <v>10095.209999999999</v>
      </c>
      <c r="H193" s="876">
        <f>IF(ISERROR('Overzicht Vol &amp; Tar AD'!H193),0,'Overzicht Vol &amp; Tar AD'!H193)</f>
        <v>5651.7211764705871</v>
      </c>
      <c r="I193" s="876">
        <f>IF(ISERROR('Overzicht Vol &amp; Tar AD'!I193),0,'Overzicht Vol &amp; Tar AD'!I193)</f>
        <v>8785.7465522726143</v>
      </c>
      <c r="J193" s="876">
        <f>IF(ISERROR('Overzicht Vol &amp; Tar AD'!J193),0,'Overzicht Vol &amp; Tar AD'!J193)</f>
        <v>5254.2382473481202</v>
      </c>
      <c r="K193" s="876">
        <f>IF(ISERROR('Overzicht Vol &amp; Tar AD'!K193),0,'Overzicht Vol &amp; Tar AD'!K193)</f>
        <v>7915.2531592087807</v>
      </c>
      <c r="L193" s="876">
        <f>IF(ISERROR('Overzicht Vol &amp; Tar AD'!L193),0,'Overzicht Vol &amp; Tar AD'!L193)</f>
        <v>5181.2857142857147</v>
      </c>
      <c r="M193" s="876">
        <f>IF(ISERROR('Overzicht Vol &amp; Tar AD'!M193),0,'Overzicht Vol &amp; Tar AD'!M193)</f>
        <v>8174.3031969982276</v>
      </c>
      <c r="N193" s="876">
        <f>IF(ISERROR('Overzicht Vol &amp; Tar AD'!N193),0,'Overzicht Vol &amp; Tar AD'!N193)</f>
        <v>6794.5458333333336</v>
      </c>
      <c r="P193" s="169"/>
      <c r="Q193" s="169"/>
      <c r="R193" s="169"/>
      <c r="S193" s="169"/>
      <c r="T193" s="169"/>
      <c r="U193" s="169"/>
      <c r="V193" s="169"/>
      <c r="W193" s="169"/>
      <c r="X193" s="169"/>
    </row>
    <row r="194" spans="1:67">
      <c r="A194" s="66"/>
      <c r="B194" s="222" t="s">
        <v>254</v>
      </c>
      <c r="C194" s="59"/>
      <c r="D194" s="59" t="s">
        <v>337</v>
      </c>
      <c r="E194" s="67"/>
      <c r="F194" s="23"/>
      <c r="G194" s="876">
        <f>IF(ISERROR('Overzicht Vol &amp; Tar AD'!G194),0,'Overzicht Vol &amp; Tar AD'!G194)</f>
        <v>0</v>
      </c>
      <c r="H194" s="876">
        <f>IF(ISERROR('Overzicht Vol &amp; Tar AD'!H194),0,'Overzicht Vol &amp; Tar AD'!H194)</f>
        <v>57531.82</v>
      </c>
      <c r="I194" s="876">
        <f>IF(ISERROR('Overzicht Vol &amp; Tar AD'!I194),0,'Overzicht Vol &amp; Tar AD'!I194)</f>
        <v>79746.831676597183</v>
      </c>
      <c r="J194" s="876">
        <f>IF(ISERROR('Overzicht Vol &amp; Tar AD'!J194),0,'Overzicht Vol &amp; Tar AD'!J194)</f>
        <v>31376.584983078283</v>
      </c>
      <c r="K194" s="876">
        <f>IF(ISERROR('Overzicht Vol &amp; Tar AD'!K194),0,'Overzicht Vol &amp; Tar AD'!K194)</f>
        <v>99418.632492801975</v>
      </c>
      <c r="L194" s="876">
        <f>IF(ISERROR('Overzicht Vol &amp; Tar AD'!L194),0,'Overzicht Vol &amp; Tar AD'!L194)</f>
        <v>0</v>
      </c>
      <c r="M194" s="876">
        <f>IF(ISERROR('Overzicht Vol &amp; Tar AD'!M194),0,'Overzicht Vol &amp; Tar AD'!M194)</f>
        <v>74796.291668231905</v>
      </c>
      <c r="N194" s="876">
        <f>IF(ISERROR('Overzicht Vol &amp; Tar AD'!N194),0,'Overzicht Vol &amp; Tar AD'!N194)</f>
        <v>73444.97</v>
      </c>
      <c r="P194" s="169"/>
      <c r="Q194" s="169"/>
      <c r="R194" s="169"/>
      <c r="S194" s="169"/>
      <c r="T194" s="169"/>
      <c r="U194" s="169"/>
      <c r="V194" s="169"/>
      <c r="W194" s="169"/>
      <c r="X194" s="169"/>
    </row>
    <row r="195" spans="1:67">
      <c r="A195" s="66"/>
      <c r="B195" s="214"/>
      <c r="C195" s="59"/>
      <c r="D195" s="59"/>
      <c r="E195" s="59"/>
      <c r="F195" s="23"/>
      <c r="G195" s="88"/>
      <c r="H195" s="88"/>
      <c r="I195" s="88"/>
      <c r="J195" s="88"/>
      <c r="K195" s="88"/>
      <c r="L195" s="88"/>
      <c r="M195" s="88"/>
      <c r="N195" s="88"/>
      <c r="P195" s="169"/>
      <c r="Q195" s="169"/>
      <c r="R195" s="169"/>
      <c r="S195" s="169"/>
      <c r="T195" s="169"/>
      <c r="U195" s="169"/>
      <c r="V195" s="169"/>
      <c r="W195" s="169"/>
      <c r="X195" s="169"/>
    </row>
    <row r="196" spans="1:67">
      <c r="A196" s="66"/>
      <c r="B196" s="206" t="s">
        <v>329</v>
      </c>
      <c r="C196" s="59"/>
      <c r="D196" s="59"/>
      <c r="E196" s="60"/>
      <c r="F196" s="23"/>
      <c r="G196" s="88"/>
      <c r="H196" s="88"/>
      <c r="I196" s="88"/>
      <c r="J196" s="88"/>
      <c r="K196" s="88"/>
      <c r="L196" s="88"/>
      <c r="M196" s="88"/>
      <c r="N196" s="88"/>
      <c r="P196" s="169"/>
      <c r="Q196" s="169"/>
      <c r="R196" s="169"/>
      <c r="S196" s="169"/>
      <c r="T196" s="169"/>
      <c r="U196" s="169"/>
      <c r="V196" s="169"/>
      <c r="W196" s="169"/>
      <c r="X196" s="169"/>
    </row>
    <row r="197" spans="1:67">
      <c r="A197" s="66"/>
      <c r="B197" s="222" t="s">
        <v>251</v>
      </c>
      <c r="C197" s="59"/>
      <c r="D197" s="59" t="s">
        <v>337</v>
      </c>
      <c r="E197" s="67"/>
      <c r="F197" s="23"/>
      <c r="G197" s="876">
        <f>IF(ISERROR('Overzicht Vol &amp; Tar AD'!G197),0,'Overzicht Vol &amp; Tar AD'!G197)</f>
        <v>0</v>
      </c>
      <c r="H197" s="876">
        <f>IF(ISERROR('Overzicht Vol &amp; Tar AD'!H197),0,'Overzicht Vol &amp; Tar AD'!H197)</f>
        <v>16.930000000000003</v>
      </c>
      <c r="I197" s="876">
        <f>IF(ISERROR('Overzicht Vol &amp; Tar AD'!I197),0,'Overzicht Vol &amp; Tar AD'!I197)</f>
        <v>27.299999999999997</v>
      </c>
      <c r="J197" s="876">
        <f>IF(ISERROR('Overzicht Vol &amp; Tar AD'!J197),0,'Overzicht Vol &amp; Tar AD'!J197)</f>
        <v>16.3</v>
      </c>
      <c r="K197" s="876">
        <f>IF(ISERROR('Overzicht Vol &amp; Tar AD'!K197),0,'Overzicht Vol &amp; Tar AD'!K197)</f>
        <v>19.7</v>
      </c>
      <c r="L197" s="876">
        <f>IF(ISERROR('Overzicht Vol &amp; Tar AD'!L197),0,'Overzicht Vol &amp; Tar AD'!L197)</f>
        <v>21.25</v>
      </c>
      <c r="M197" s="876">
        <f>IF(ISERROR('Overzicht Vol &amp; Tar AD'!M197),0,'Overzicht Vol &amp; Tar AD'!M197)</f>
        <v>19.64</v>
      </c>
      <c r="N197" s="876">
        <f>IF(ISERROR('Overzicht Vol &amp; Tar AD'!N197),0,'Overzicht Vol &amp; Tar AD'!N197)</f>
        <v>22.1</v>
      </c>
      <c r="P197" s="169"/>
      <c r="Q197" s="169"/>
      <c r="R197" s="169"/>
      <c r="S197" s="169"/>
      <c r="T197" s="169"/>
      <c r="U197" s="169"/>
      <c r="V197" s="169"/>
      <c r="W197" s="169"/>
      <c r="X197" s="169"/>
    </row>
    <row r="198" spans="1:67">
      <c r="A198" s="66"/>
      <c r="B198" s="222" t="s">
        <v>252</v>
      </c>
      <c r="C198" s="59"/>
      <c r="D198" s="59" t="s">
        <v>337</v>
      </c>
      <c r="E198" s="67"/>
      <c r="F198" s="23"/>
      <c r="G198" s="876">
        <f>IF(ISERROR('Overzicht Vol &amp; Tar AD'!G198),0,'Overzicht Vol &amp; Tar AD'!G198)</f>
        <v>19.43</v>
      </c>
      <c r="H198" s="876">
        <f>IF(ISERROR('Overzicht Vol &amp; Tar AD'!H198),0,'Overzicht Vol &amp; Tar AD'!H198)</f>
        <v>27.55</v>
      </c>
      <c r="I198" s="876">
        <f>IF(ISERROR('Overzicht Vol &amp; Tar AD'!I198),0,'Overzicht Vol &amp; Tar AD'!I198)</f>
        <v>28.299999999999997</v>
      </c>
      <c r="J198" s="876">
        <f>IF(ISERROR('Overzicht Vol &amp; Tar AD'!J198),0,'Overzicht Vol &amp; Tar AD'!J198)</f>
        <v>18.399999999999999</v>
      </c>
      <c r="K198" s="876">
        <f>IF(ISERROR('Overzicht Vol &amp; Tar AD'!K198),0,'Overzicht Vol &amp; Tar AD'!K198)</f>
        <v>26.1</v>
      </c>
      <c r="L198" s="876">
        <f>IF(ISERROR('Overzicht Vol &amp; Tar AD'!L198),0,'Overzicht Vol &amp; Tar AD'!L198)</f>
        <v>24.5</v>
      </c>
      <c r="M198" s="876">
        <f>IF(ISERROR('Overzicht Vol &amp; Tar AD'!M198),0,'Overzicht Vol &amp; Tar AD'!M198)</f>
        <v>27.64</v>
      </c>
      <c r="N198" s="876">
        <f>IF(ISERROR('Overzicht Vol &amp; Tar AD'!N198),0,'Overzicht Vol &amp; Tar AD'!N198)</f>
        <v>31.92</v>
      </c>
      <c r="P198" s="169"/>
      <c r="Q198" s="169"/>
      <c r="R198" s="169"/>
      <c r="S198" s="169"/>
      <c r="T198" s="169"/>
      <c r="U198" s="169"/>
      <c r="V198" s="169"/>
      <c r="W198" s="169"/>
      <c r="X198" s="169"/>
    </row>
    <row r="199" spans="1:67">
      <c r="A199" s="66"/>
      <c r="B199" s="222" t="s">
        <v>253</v>
      </c>
      <c r="C199" s="59"/>
      <c r="D199" s="59" t="s">
        <v>337</v>
      </c>
      <c r="E199" s="67"/>
      <c r="F199" s="23"/>
      <c r="G199" s="876">
        <f>IF(ISERROR('Overzicht Vol &amp; Tar AD'!G199),0,'Overzicht Vol &amp; Tar AD'!G199)</f>
        <v>27.2</v>
      </c>
      <c r="H199" s="876">
        <f>IF(ISERROR('Overzicht Vol &amp; Tar AD'!H199),0,'Overzicht Vol &amp; Tar AD'!H199)</f>
        <v>34.808632075471699</v>
      </c>
      <c r="I199" s="876">
        <f>IF(ISERROR('Overzicht Vol &amp; Tar AD'!I199),0,'Overzicht Vol &amp; Tar AD'!I199)</f>
        <v>40.710444703365518</v>
      </c>
      <c r="J199" s="876">
        <f>IF(ISERROR('Overzicht Vol &amp; Tar AD'!J199),0,'Overzicht Vol &amp; Tar AD'!J199)</f>
        <v>23.9</v>
      </c>
      <c r="K199" s="876">
        <f>IF(ISERROR('Overzicht Vol &amp; Tar AD'!K199),0,'Overzicht Vol &amp; Tar AD'!K199)</f>
        <v>34.740561327756033</v>
      </c>
      <c r="L199" s="876">
        <f>IF(ISERROR('Overzicht Vol &amp; Tar AD'!L199),0,'Overzicht Vol &amp; Tar AD'!L199)</f>
        <v>32.054020100502512</v>
      </c>
      <c r="M199" s="876">
        <f>IF(ISERROR('Overzicht Vol &amp; Tar AD'!M199),0,'Overzicht Vol &amp; Tar AD'!M199)</f>
        <v>35.099178555816955</v>
      </c>
      <c r="N199" s="876">
        <f>IF(ISERROR('Overzicht Vol &amp; Tar AD'!N199),0,'Overzicht Vol &amp; Tar AD'!N199)</f>
        <v>36.904869109947654</v>
      </c>
      <c r="P199" s="169"/>
      <c r="Q199" s="169"/>
      <c r="R199" s="169"/>
      <c r="S199" s="169"/>
      <c r="T199" s="169"/>
      <c r="U199" s="169"/>
      <c r="V199" s="169"/>
      <c r="W199" s="169"/>
      <c r="X199" s="169"/>
    </row>
    <row r="200" spans="1:67">
      <c r="A200" s="66"/>
      <c r="B200" s="222" t="s">
        <v>255</v>
      </c>
      <c r="C200" s="59"/>
      <c r="D200" s="59" t="s">
        <v>337</v>
      </c>
      <c r="E200" s="67"/>
      <c r="F200" s="23"/>
      <c r="G200" s="876">
        <f>IF(ISERROR('Overzicht Vol &amp; Tar AD'!G200),0,'Overzicht Vol &amp; Tar AD'!G200)</f>
        <v>64.873129770992378</v>
      </c>
      <c r="H200" s="876">
        <f>IF(ISERROR('Overzicht Vol &amp; Tar AD'!H200),0,'Overzicht Vol &amp; Tar AD'!H200)</f>
        <v>55.79723957000256</v>
      </c>
      <c r="I200" s="876">
        <f>IF(ISERROR('Overzicht Vol &amp; Tar AD'!I200),0,'Overzicht Vol &amp; Tar AD'!I200)</f>
        <v>69.214515546981843</v>
      </c>
      <c r="J200" s="876">
        <f>IF(ISERROR('Overzicht Vol &amp; Tar AD'!J200),0,'Overzicht Vol &amp; Tar AD'!J200)</f>
        <v>34.963595851156384</v>
      </c>
      <c r="K200" s="876">
        <f>IF(ISERROR('Overzicht Vol &amp; Tar AD'!K200),0,'Overzicht Vol &amp; Tar AD'!K200)</f>
        <v>58.419326009804273</v>
      </c>
      <c r="L200" s="876">
        <f>IF(ISERROR('Overzicht Vol &amp; Tar AD'!L200),0,'Overzicht Vol &amp; Tar AD'!L200)</f>
        <v>58.781212484994001</v>
      </c>
      <c r="M200" s="876">
        <f>IF(ISERROR('Overzicht Vol &amp; Tar AD'!M200),0,'Overzicht Vol &amp; Tar AD'!M200)</f>
        <v>54.42242186055848</v>
      </c>
      <c r="N200" s="876">
        <f>IF(ISERROR('Overzicht Vol &amp; Tar AD'!N200),0,'Overzicht Vol &amp; Tar AD'!N200)</f>
        <v>97.246283851554679</v>
      </c>
      <c r="P200" s="169"/>
      <c r="Q200" s="169"/>
      <c r="R200" s="169"/>
      <c r="S200" s="169"/>
      <c r="T200" s="169"/>
      <c r="U200" s="169"/>
      <c r="V200" s="169"/>
      <c r="W200" s="169"/>
      <c r="X200" s="169"/>
    </row>
    <row r="201" spans="1:67">
      <c r="A201" s="66"/>
      <c r="B201" s="222" t="s">
        <v>254</v>
      </c>
      <c r="C201" s="59"/>
      <c r="D201" s="59" t="s">
        <v>337</v>
      </c>
      <c r="E201" s="67"/>
      <c r="F201" s="23"/>
      <c r="G201" s="876">
        <f>IF(ISERROR('Overzicht Vol &amp; Tar AD'!G201),0,'Overzicht Vol &amp; Tar AD'!G201)</f>
        <v>0</v>
      </c>
      <c r="H201" s="876">
        <f>IF(ISERROR('Overzicht Vol &amp; Tar AD'!H201),0,'Overzicht Vol &amp; Tar AD'!H201)</f>
        <v>102.06</v>
      </c>
      <c r="I201" s="876">
        <f>IF(ISERROR('Overzicht Vol &amp; Tar AD'!I201),0,'Overzicht Vol &amp; Tar AD'!I201)</f>
        <v>182.78950472470873</v>
      </c>
      <c r="J201" s="876">
        <f>IF(ISERROR('Overzicht Vol &amp; Tar AD'!J201),0,'Overzicht Vol &amp; Tar AD'!J201)</f>
        <v>95.154795660644382</v>
      </c>
      <c r="K201" s="876">
        <f>IF(ISERROR('Overzicht Vol &amp; Tar AD'!K201),0,'Overzicht Vol &amp; Tar AD'!K201)</f>
        <v>161.53035309094142</v>
      </c>
      <c r="L201" s="876">
        <f>IF(ISERROR('Overzicht Vol &amp; Tar AD'!L201),0,'Overzicht Vol &amp; Tar AD'!L201)</f>
        <v>0</v>
      </c>
      <c r="M201" s="876">
        <f>IF(ISERROR('Overzicht Vol &amp; Tar AD'!M201),0,'Overzicht Vol &amp; Tar AD'!M201)</f>
        <v>158.91049336321731</v>
      </c>
      <c r="N201" s="876">
        <f>IF(ISERROR('Overzicht Vol &amp; Tar AD'!N201),0,'Overzicht Vol &amp; Tar AD'!N201)</f>
        <v>161.29</v>
      </c>
      <c r="P201" s="169"/>
      <c r="Q201" s="169"/>
      <c r="R201" s="169"/>
      <c r="S201" s="169"/>
      <c r="T201" s="169"/>
      <c r="U201" s="169"/>
      <c r="V201" s="169"/>
      <c r="W201" s="169"/>
      <c r="X201" s="169"/>
    </row>
    <row r="202" spans="1:67">
      <c r="A202" s="66"/>
      <c r="B202" s="214"/>
      <c r="C202" s="59"/>
      <c r="D202" s="67"/>
      <c r="E202" s="67"/>
      <c r="F202" s="67"/>
      <c r="G202" s="67"/>
      <c r="H202" s="67"/>
      <c r="I202" s="67"/>
      <c r="J202" s="67"/>
      <c r="K202" s="67"/>
      <c r="L202" s="67"/>
      <c r="M202" s="67"/>
      <c r="N202" s="67"/>
    </row>
    <row r="203" spans="1:67">
      <c r="A203" s="66"/>
      <c r="B203" s="214"/>
      <c r="C203" s="59"/>
      <c r="D203" s="67"/>
      <c r="E203" s="67"/>
      <c r="F203" s="67"/>
      <c r="G203" s="67"/>
      <c r="H203" s="67"/>
      <c r="I203" s="67"/>
      <c r="J203" s="67"/>
      <c r="K203" s="67"/>
      <c r="L203" s="67"/>
      <c r="M203" s="67"/>
      <c r="N203" s="67"/>
    </row>
    <row r="204" spans="1:67">
      <c r="A204" s="65"/>
      <c r="B204" s="204" t="s">
        <v>10</v>
      </c>
      <c r="C204" s="65"/>
      <c r="D204" s="65"/>
      <c r="E204" s="65"/>
      <c r="F204" s="65"/>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row>
    <row r="205" spans="1:67">
      <c r="A205" s="59"/>
      <c r="B205" s="206"/>
      <c r="C205" s="59"/>
      <c r="D205" s="59"/>
      <c r="E205" s="59"/>
      <c r="F205" s="59"/>
      <c r="G205" s="60"/>
      <c r="H205" s="60"/>
      <c r="I205" s="60"/>
      <c r="J205" s="60"/>
      <c r="K205" s="60"/>
      <c r="L205" s="60"/>
      <c r="M205" s="60"/>
      <c r="N205" s="60"/>
    </row>
    <row r="206" spans="1:67">
      <c r="A206" s="66"/>
      <c r="B206" s="206" t="s">
        <v>922</v>
      </c>
      <c r="C206" s="60"/>
      <c r="D206" s="59"/>
      <c r="E206" s="59"/>
      <c r="F206" s="23"/>
      <c r="G206" s="23"/>
      <c r="H206"/>
      <c r="I206"/>
      <c r="J206" s="23"/>
      <c r="K206"/>
      <c r="L206"/>
      <c r="M206"/>
      <c r="N206"/>
    </row>
    <row r="207" spans="1:67">
      <c r="A207" s="66"/>
      <c r="B207" s="214" t="s">
        <v>251</v>
      </c>
      <c r="C207" s="59"/>
      <c r="D207" s="59" t="s">
        <v>164</v>
      </c>
      <c r="E207" s="59"/>
      <c r="F207" s="90">
        <f>SUM(G207:N207)</f>
        <v>2684997.8552774531</v>
      </c>
      <c r="G207" s="211">
        <f>IF(ISERROR('Overzicht Vol &amp; Tar AD'!G207),0,'Overzicht Vol &amp; Tar AD'!G207)</f>
        <v>24005</v>
      </c>
      <c r="H207" s="211">
        <f>IF(ISERROR('Overzicht Vol &amp; Tar AD'!H207),0,'Overzicht Vol &amp; Tar AD'!H207)</f>
        <v>87171.333333333358</v>
      </c>
      <c r="I207" s="211">
        <f>IF(ISERROR('Overzicht Vol &amp; Tar AD'!I207),0,'Overzicht Vol &amp; Tar AD'!I207)</f>
        <v>44951</v>
      </c>
      <c r="J207" s="211">
        <f>IF(ISERROR('Overzicht Vol &amp; Tar AD'!J207),0,'Overzicht Vol &amp; Tar AD'!J207)</f>
        <v>1113337.3484909644</v>
      </c>
      <c r="K207" s="211">
        <f>IF(ISERROR('Overzicht Vol &amp; Tar AD'!K207),0,'Overzicht Vol &amp; Tar AD'!K207)</f>
        <v>783087.09252802003</v>
      </c>
      <c r="L207" s="211">
        <f>IF(ISERROR('Overzicht Vol &amp; Tar AD'!L207),0,'Overzicht Vol &amp; Tar AD'!L207)</f>
        <v>18957.5</v>
      </c>
      <c r="M207" s="211">
        <f>IF(ISERROR('Overzicht Vol &amp; Tar AD'!M207),0,'Overzicht Vol &amp; Tar AD'!M207)</f>
        <v>588773.54166666663</v>
      </c>
      <c r="N207" s="211">
        <f>IF(ISERROR('Overzicht Vol &amp; Tar AD'!N207),0,'Overzicht Vol &amp; Tar AD'!N207)</f>
        <v>24715.039258468842</v>
      </c>
      <c r="P207" s="169"/>
      <c r="Q207" s="169"/>
      <c r="R207" s="169"/>
      <c r="S207" s="169"/>
      <c r="T207" s="169"/>
      <c r="U207" s="169"/>
      <c r="V207" s="169"/>
      <c r="W207" s="169"/>
      <c r="X207" s="169"/>
      <c r="Y207" s="169"/>
    </row>
    <row r="208" spans="1:67">
      <c r="A208" s="66"/>
      <c r="B208" s="214" t="s">
        <v>252</v>
      </c>
      <c r="C208" s="59"/>
      <c r="D208" s="59" t="s">
        <v>164</v>
      </c>
      <c r="E208" s="59"/>
      <c r="F208" s="90">
        <f t="shared" ref="F208:F214" si="3">SUM(G208:N208)</f>
        <v>7582599.6120280642</v>
      </c>
      <c r="G208" s="211">
        <f>IF(ISERROR('Overzicht Vol &amp; Tar AD'!G208),0,'Overzicht Vol &amp; Tar AD'!G208)</f>
        <v>50364</v>
      </c>
      <c r="H208" s="211">
        <f>IF(ISERROR('Overzicht Vol &amp; Tar AD'!H208),0,'Overzicht Vol &amp; Tar AD'!H208)</f>
        <v>198196.83333333331</v>
      </c>
      <c r="I208" s="211">
        <f>IF(ISERROR('Overzicht Vol &amp; Tar AD'!I208),0,'Overzicht Vol &amp; Tar AD'!I208)</f>
        <v>102012</v>
      </c>
      <c r="J208" s="211">
        <f>IF(ISERROR('Overzicht Vol &amp; Tar AD'!J208),0,'Overzicht Vol &amp; Tar AD'!J208)</f>
        <v>2455968.687544202</v>
      </c>
      <c r="K208" s="211">
        <f>IF(ISERROR('Overzicht Vol &amp; Tar AD'!K208),0,'Overzicht Vol &amp; Tar AD'!K208)</f>
        <v>2788761.2125838064</v>
      </c>
      <c r="L208" s="211">
        <f>IF(ISERROR('Overzicht Vol &amp; Tar AD'!L208),0,'Overzicht Vol &amp; Tar AD'!L208)</f>
        <v>30304.6</v>
      </c>
      <c r="M208" s="211">
        <f>IF(ISERROR('Overzicht Vol &amp; Tar AD'!M208),0,'Overzicht Vol &amp; Tar AD'!M208)</f>
        <v>1905963.1156265354</v>
      </c>
      <c r="N208" s="211">
        <f>IF(ISERROR('Overzicht Vol &amp; Tar AD'!N208),0,'Overzicht Vol &amp; Tar AD'!N208)</f>
        <v>51029.162940187271</v>
      </c>
      <c r="P208" s="169"/>
      <c r="Q208" s="169"/>
      <c r="R208" s="169"/>
      <c r="S208" s="169"/>
      <c r="T208" s="169"/>
      <c r="U208" s="169"/>
      <c r="V208" s="169"/>
      <c r="W208" s="169"/>
      <c r="X208" s="169"/>
      <c r="Y208" s="169"/>
    </row>
    <row r="209" spans="1:25">
      <c r="A209" s="66"/>
      <c r="B209" s="214" t="s">
        <v>253</v>
      </c>
      <c r="C209" s="59"/>
      <c r="D209" s="59" t="s">
        <v>164</v>
      </c>
      <c r="E209" s="59"/>
      <c r="F209" s="90">
        <f t="shared" si="3"/>
        <v>347067.14945141878</v>
      </c>
      <c r="G209" s="211">
        <f>IF(ISERROR('Overzicht Vol &amp; Tar AD'!G209),0,'Overzicht Vol &amp; Tar AD'!G209)</f>
        <v>1753</v>
      </c>
      <c r="H209" s="211">
        <f>IF(ISERROR('Overzicht Vol &amp; Tar AD'!H209),0,'Overzicht Vol &amp; Tar AD'!H209)</f>
        <v>8355.9166666666661</v>
      </c>
      <c r="I209" s="211">
        <f>IF(ISERROR('Overzicht Vol &amp; Tar AD'!I209),0,'Overzicht Vol &amp; Tar AD'!I209)</f>
        <v>3553</v>
      </c>
      <c r="J209" s="211">
        <f>IF(ISERROR('Overzicht Vol &amp; Tar AD'!J209),0,'Overzicht Vol &amp; Tar AD'!J209)</f>
        <v>127454.96878291687</v>
      </c>
      <c r="K209" s="211">
        <f>IF(ISERROR('Overzicht Vol &amp; Tar AD'!K209),0,'Overzicht Vol &amp; Tar AD'!K209)</f>
        <v>118378.93357500415</v>
      </c>
      <c r="L209" s="211">
        <f>IF(ISERROR('Overzicht Vol &amp; Tar AD'!L209),0,'Overzicht Vol &amp; Tar AD'!L209)</f>
        <v>1227.8</v>
      </c>
      <c r="M209" s="211">
        <f>IF(ISERROR('Overzicht Vol &amp; Tar AD'!M209),0,'Overzicht Vol &amp; Tar AD'!M209)</f>
        <v>82853.583333333328</v>
      </c>
      <c r="N209" s="211">
        <f>IF(ISERROR('Overzicht Vol &amp; Tar AD'!N209),0,'Overzicht Vol &amp; Tar AD'!N209)</f>
        <v>3489.9470934977817</v>
      </c>
      <c r="P209" s="169"/>
      <c r="Q209" s="169"/>
      <c r="R209" s="169"/>
      <c r="S209" s="169"/>
      <c r="T209" s="169"/>
      <c r="U209" s="169"/>
      <c r="V209" s="169"/>
      <c r="W209" s="169"/>
      <c r="X209" s="169"/>
      <c r="Y209" s="169"/>
    </row>
    <row r="210" spans="1:25">
      <c r="A210" s="66"/>
      <c r="B210" s="214" t="s">
        <v>255</v>
      </c>
      <c r="C210" s="59"/>
      <c r="D210" s="59" t="s">
        <v>164</v>
      </c>
      <c r="E210" s="59"/>
      <c r="F210" s="90">
        <f t="shared" si="3"/>
        <v>42200.582048572309</v>
      </c>
      <c r="G210" s="211">
        <f>IF(ISERROR('Overzicht Vol &amp; Tar AD'!G210),0,'Overzicht Vol &amp; Tar AD'!G210)</f>
        <v>312.76923076923077</v>
      </c>
      <c r="H210" s="211">
        <f>IF(ISERROR('Overzicht Vol &amp; Tar AD'!H210),0,'Overzicht Vol &amp; Tar AD'!H210)</f>
        <v>1572.0833333333333</v>
      </c>
      <c r="I210" s="211">
        <f>IF(ISERROR('Overzicht Vol &amp; Tar AD'!I210),0,'Overzicht Vol &amp; Tar AD'!I210)</f>
        <v>677</v>
      </c>
      <c r="J210" s="211">
        <f>IF(ISERROR('Overzicht Vol &amp; Tar AD'!J210),0,'Overzicht Vol &amp; Tar AD'!J210)</f>
        <v>13611.673687821611</v>
      </c>
      <c r="K210" s="211">
        <f>IF(ISERROR('Overzicht Vol &amp; Tar AD'!K210),0,'Overzicht Vol &amp; Tar AD'!K210)</f>
        <v>14608.666666666666</v>
      </c>
      <c r="L210" s="211">
        <f>IF(ISERROR('Overzicht Vol &amp; Tar AD'!L210),0,'Overzicht Vol &amp; Tar AD'!L210)</f>
        <v>141.13</v>
      </c>
      <c r="M210" s="211">
        <f>IF(ISERROR('Overzicht Vol &amp; Tar AD'!M210),0,'Overzicht Vol &amp; Tar AD'!M210)</f>
        <v>10321.181818181818</v>
      </c>
      <c r="N210" s="211">
        <f>IF(ISERROR('Overzicht Vol &amp; Tar AD'!N210),0,'Overzicht Vol &amp; Tar AD'!N210)</f>
        <v>956.07731179964821</v>
      </c>
      <c r="P210" s="169"/>
      <c r="Q210" s="169"/>
      <c r="R210" s="169"/>
      <c r="S210" s="169"/>
      <c r="T210" s="169"/>
      <c r="U210" s="169"/>
      <c r="V210" s="169"/>
      <c r="W210" s="169"/>
      <c r="X210" s="169"/>
      <c r="Y210" s="169"/>
    </row>
    <row r="211" spans="1:25">
      <c r="A211" s="66"/>
      <c r="B211" s="214" t="s">
        <v>261</v>
      </c>
      <c r="C211" s="59"/>
      <c r="D211" s="59" t="s">
        <v>164</v>
      </c>
      <c r="E211" s="59"/>
      <c r="F211" s="90">
        <f t="shared" si="3"/>
        <v>32393.927963124541</v>
      </c>
      <c r="G211" s="211">
        <f>IF(ISERROR('Overzicht Vol &amp; Tar AD'!G211),0,'Overzicht Vol &amp; Tar AD'!G211)</f>
        <v>253.84615384615384</v>
      </c>
      <c r="H211" s="211">
        <f>IF(ISERROR('Overzicht Vol &amp; Tar AD'!H211),0,'Overzicht Vol &amp; Tar AD'!H211)</f>
        <v>410.91666666666663</v>
      </c>
      <c r="I211" s="211">
        <f>IF(ISERROR('Overzicht Vol &amp; Tar AD'!I211),0,'Overzicht Vol &amp; Tar AD'!I211)</f>
        <v>546</v>
      </c>
      <c r="J211" s="211">
        <f>IF(ISERROR('Overzicht Vol &amp; Tar AD'!J211),0,'Overzicht Vol &amp; Tar AD'!J211)</f>
        <v>14239.582613456274</v>
      </c>
      <c r="K211" s="211">
        <f>IF(ISERROR('Overzicht Vol &amp; Tar AD'!K211),0,'Overzicht Vol &amp; Tar AD'!K211)</f>
        <v>12650.75</v>
      </c>
      <c r="L211" s="211">
        <f>IF(ISERROR('Overzicht Vol &amp; Tar AD'!L211),0,'Overzicht Vol &amp; Tar AD'!L211)</f>
        <v>147.18</v>
      </c>
      <c r="M211" s="211">
        <f>IF(ISERROR('Overzicht Vol &amp; Tar AD'!M211),0,'Overzicht Vol &amp; Tar AD'!M211)</f>
        <v>3750</v>
      </c>
      <c r="N211" s="211">
        <f>IF(ISERROR('Overzicht Vol &amp; Tar AD'!N211),0,'Overzicht Vol &amp; Tar AD'!N211)</f>
        <v>395.65252915544659</v>
      </c>
      <c r="P211" s="169"/>
      <c r="Q211" s="169"/>
      <c r="R211" s="169"/>
      <c r="S211" s="169"/>
      <c r="T211" s="169"/>
      <c r="U211" s="169"/>
      <c r="V211" s="169"/>
      <c r="W211" s="169"/>
      <c r="X211" s="169"/>
      <c r="Y211" s="169"/>
    </row>
    <row r="212" spans="1:25">
      <c r="A212" s="66"/>
      <c r="B212" s="214" t="s">
        <v>262</v>
      </c>
      <c r="C212" s="59"/>
      <c r="D212" s="59" t="s">
        <v>164</v>
      </c>
      <c r="E212" s="59"/>
      <c r="F212" s="90">
        <f t="shared" si="3"/>
        <v>1233.8957189146113</v>
      </c>
      <c r="G212" s="211">
        <f>IF(ISERROR('Overzicht Vol &amp; Tar AD'!G212),0,'Overzicht Vol &amp; Tar AD'!G212)</f>
        <v>0</v>
      </c>
      <c r="H212" s="211">
        <f>IF(ISERROR('Overzicht Vol &amp; Tar AD'!H212),0,'Overzicht Vol &amp; Tar AD'!H212)</f>
        <v>10</v>
      </c>
      <c r="I212" s="211">
        <f>IF(ISERROR('Overzicht Vol &amp; Tar AD'!I212),0,'Overzicht Vol &amp; Tar AD'!I212)</f>
        <v>5</v>
      </c>
      <c r="J212" s="211">
        <f>IF(ISERROR('Overzicht Vol &amp; Tar AD'!J212),0,'Overzicht Vol &amp; Tar AD'!J212)</f>
        <v>882.08056280854817</v>
      </c>
      <c r="K212" s="211">
        <f>IF(ISERROR('Overzicht Vol &amp; Tar AD'!K212),0,'Overzicht Vol &amp; Tar AD'!K212)</f>
        <v>145.66666666666666</v>
      </c>
      <c r="L212" s="211">
        <f>IF(ISERROR('Overzicht Vol &amp; Tar AD'!L212),0,'Overzicht Vol &amp; Tar AD'!L212)</f>
        <v>2</v>
      </c>
      <c r="M212" s="211">
        <f>IF(ISERROR('Overzicht Vol &amp; Tar AD'!M212),0,'Overzicht Vol &amp; Tar AD'!M212)</f>
        <v>156</v>
      </c>
      <c r="N212" s="211">
        <f>IF(ISERROR('Overzicht Vol &amp; Tar AD'!N212),0,'Overzicht Vol &amp; Tar AD'!N212)</f>
        <v>33.148489439396265</v>
      </c>
      <c r="P212" s="169"/>
      <c r="Q212" s="169"/>
      <c r="R212" s="169"/>
      <c r="S212" s="169"/>
      <c r="T212" s="169"/>
      <c r="U212" s="169"/>
      <c r="V212" s="169"/>
      <c r="W212" s="169"/>
      <c r="X212" s="169"/>
      <c r="Y212" s="169"/>
    </row>
    <row r="213" spans="1:25">
      <c r="A213" s="66"/>
      <c r="B213" s="214"/>
      <c r="C213" s="59"/>
      <c r="D213" s="59"/>
      <c r="E213" s="59"/>
      <c r="F213" s="91"/>
      <c r="G213" s="91"/>
      <c r="H213" s="118"/>
      <c r="I213" s="118"/>
      <c r="J213" s="91"/>
      <c r="K213" s="118"/>
      <c r="L213" s="118"/>
      <c r="M213" s="118"/>
      <c r="N213" s="118"/>
      <c r="P213" s="169"/>
      <c r="Q213" s="169"/>
      <c r="R213" s="169"/>
      <c r="S213" s="169"/>
      <c r="T213" s="169"/>
      <c r="U213" s="169"/>
      <c r="V213" s="169"/>
      <c r="W213" s="169"/>
      <c r="X213" s="169"/>
      <c r="Y213" s="169"/>
    </row>
    <row r="214" spans="1:25">
      <c r="A214" s="66"/>
      <c r="B214" s="214" t="s">
        <v>1096</v>
      </c>
      <c r="C214" s="59"/>
      <c r="D214" s="59" t="s">
        <v>164</v>
      </c>
      <c r="E214" s="59"/>
      <c r="F214" s="90">
        <f t="shared" si="3"/>
        <v>1312076.4713792698</v>
      </c>
      <c r="G214" s="211">
        <f>IF(ISERROR('Overzicht Vol &amp; Tar AD'!G214),0,'Overzicht Vol &amp; Tar AD'!G214)</f>
        <v>0</v>
      </c>
      <c r="H214" s="211">
        <f>IF(ISERROR('Overzicht Vol &amp; Tar AD'!H214),0,'Overzicht Vol &amp; Tar AD'!H214)</f>
        <v>23200</v>
      </c>
      <c r="I214" s="211">
        <f>IF(ISERROR('Overzicht Vol &amp; Tar AD'!I214),0,'Overzicht Vol &amp; Tar AD'!I214)</f>
        <v>2835</v>
      </c>
      <c r="J214" s="211">
        <f>IF(ISERROR('Overzicht Vol &amp; Tar AD'!J214),0,'Overzicht Vol &amp; Tar AD'!J214)</f>
        <v>215334.0686868687</v>
      </c>
      <c r="K214" s="211">
        <f>IF(ISERROR('Overzicht Vol &amp; Tar AD'!K214),0,'Overzicht Vol &amp; Tar AD'!K214)</f>
        <v>816522</v>
      </c>
      <c r="L214" s="211">
        <f>IF(ISERROR('Overzicht Vol &amp; Tar AD'!L214),0,'Overzicht Vol &amp; Tar AD'!L214)</f>
        <v>9115</v>
      </c>
      <c r="M214" s="211">
        <f>IF(ISERROR('Overzicht Vol &amp; Tar AD'!M214),0,'Overzicht Vol &amp; Tar AD'!M214)</f>
        <v>239187.68690292738</v>
      </c>
      <c r="N214" s="211">
        <f>IF(ISERROR('Overzicht Vol &amp; Tar AD'!N214),0,'Overzicht Vol &amp; Tar AD'!N214)</f>
        <v>5882.7157894736847</v>
      </c>
      <c r="P214" s="169"/>
      <c r="Q214" s="169"/>
      <c r="R214" s="169"/>
      <c r="S214" s="169"/>
      <c r="T214" s="169"/>
      <c r="U214" s="169"/>
      <c r="V214" s="169"/>
      <c r="W214" s="169"/>
      <c r="X214" s="169"/>
      <c r="Y214" s="169"/>
    </row>
    <row r="215" spans="1:25">
      <c r="A215" s="66"/>
      <c r="B215" s="214"/>
      <c r="C215" s="59"/>
      <c r="D215" s="59"/>
      <c r="E215" s="59"/>
      <c r="F215" s="91"/>
      <c r="G215" s="91"/>
      <c r="H215" s="118"/>
      <c r="I215" s="118"/>
      <c r="J215" s="91"/>
      <c r="K215" s="118"/>
      <c r="L215" s="118"/>
      <c r="M215" s="118"/>
      <c r="N215" s="118"/>
      <c r="P215" s="169"/>
      <c r="Q215" s="169"/>
      <c r="R215" s="169"/>
      <c r="S215" s="169"/>
      <c r="T215" s="169"/>
      <c r="U215" s="169"/>
      <c r="V215" s="169"/>
      <c r="W215" s="169"/>
      <c r="X215" s="169"/>
      <c r="Y215" s="169"/>
    </row>
    <row r="216" spans="1:25">
      <c r="A216" s="66"/>
      <c r="B216" s="206" t="s">
        <v>923</v>
      </c>
      <c r="C216" s="60"/>
      <c r="D216" s="59"/>
      <c r="E216" s="59"/>
      <c r="F216" s="91"/>
      <c r="G216" s="91"/>
      <c r="H216" s="118"/>
      <c r="I216" s="118"/>
      <c r="J216" s="91"/>
      <c r="K216" s="118"/>
      <c r="L216" s="118"/>
      <c r="M216" s="118"/>
      <c r="N216" s="118"/>
      <c r="P216" s="169"/>
      <c r="Q216" s="169"/>
      <c r="R216" s="169"/>
      <c r="S216" s="169"/>
      <c r="T216" s="169"/>
      <c r="U216" s="169"/>
      <c r="V216" s="169"/>
      <c r="W216" s="169"/>
      <c r="X216" s="169"/>
      <c r="Y216" s="169"/>
    </row>
    <row r="217" spans="1:25">
      <c r="A217" s="66"/>
      <c r="B217" s="206" t="s">
        <v>328</v>
      </c>
      <c r="C217" s="59"/>
      <c r="D217" s="59"/>
      <c r="E217" s="60"/>
      <c r="F217" s="91"/>
      <c r="G217" s="91"/>
      <c r="H217" s="118"/>
      <c r="I217" s="118"/>
      <c r="J217" s="91"/>
      <c r="K217" s="118"/>
      <c r="L217" s="118"/>
      <c r="M217" s="118"/>
      <c r="N217" s="118"/>
      <c r="P217" s="169"/>
      <c r="Q217" s="169"/>
      <c r="R217" s="169"/>
      <c r="S217" s="169"/>
      <c r="T217" s="169"/>
      <c r="U217" s="169"/>
      <c r="V217" s="169"/>
      <c r="W217" s="169"/>
      <c r="X217" s="169"/>
      <c r="Y217" s="169"/>
    </row>
    <row r="218" spans="1:25">
      <c r="A218" s="66"/>
      <c r="B218" s="222" t="s">
        <v>251</v>
      </c>
      <c r="C218" s="59"/>
      <c r="D218" s="59" t="s">
        <v>164</v>
      </c>
      <c r="E218" s="67"/>
      <c r="F218" s="90">
        <f>SUM(G218:N218)</f>
        <v>40184.517091562826</v>
      </c>
      <c r="G218" s="211">
        <f>IF(ISERROR('Overzicht Vol &amp; Tar AD'!G218),0,'Overzicht Vol &amp; Tar AD'!G218)</f>
        <v>291</v>
      </c>
      <c r="H218" s="211">
        <f>IF(ISERROR('Overzicht Vol &amp; Tar AD'!H218),0,'Overzicht Vol &amp; Tar AD'!H218)</f>
        <v>1385</v>
      </c>
      <c r="I218" s="211">
        <f>IF(ISERROR('Overzicht Vol &amp; Tar AD'!I218),0,'Overzicht Vol &amp; Tar AD'!I218)</f>
        <v>524.97219512195124</v>
      </c>
      <c r="J218" s="211">
        <f>IF(ISERROR('Overzicht Vol &amp; Tar AD'!J218),0,'Overzicht Vol &amp; Tar AD'!J218)</f>
        <v>21566.288030769232</v>
      </c>
      <c r="K218" s="211">
        <f>IF(ISERROR('Overzicht Vol &amp; Tar AD'!K218),0,'Overzicht Vol &amp; Tar AD'!K218)</f>
        <v>8427</v>
      </c>
      <c r="L218" s="211">
        <f>IF(ISERROR('Overzicht Vol &amp; Tar AD'!L218),0,'Overzicht Vol &amp; Tar AD'!L218)</f>
        <v>350</v>
      </c>
      <c r="M218" s="211">
        <f>IF(ISERROR('Overzicht Vol &amp; Tar AD'!M218),0,'Overzicht Vol &amp; Tar AD'!M218)</f>
        <v>7318.2568656716412</v>
      </c>
      <c r="N218" s="211">
        <f>IF(ISERROR('Overzicht Vol &amp; Tar AD'!N218),0,'Overzicht Vol &amp; Tar AD'!N218)</f>
        <v>322</v>
      </c>
      <c r="P218" s="169"/>
      <c r="Q218" s="169"/>
      <c r="R218" s="169"/>
      <c r="S218" s="169"/>
      <c r="T218" s="169"/>
      <c r="U218" s="169"/>
      <c r="V218" s="169"/>
      <c r="W218" s="169"/>
      <c r="X218" s="169"/>
      <c r="Y218" s="169"/>
    </row>
    <row r="219" spans="1:25">
      <c r="A219" s="66"/>
      <c r="B219" s="222" t="s">
        <v>252</v>
      </c>
      <c r="C219" s="59"/>
      <c r="D219" s="59" t="s">
        <v>164</v>
      </c>
      <c r="E219" s="67"/>
      <c r="F219" s="90">
        <f>SUM(G219:N219)</f>
        <v>62843.9707575641</v>
      </c>
      <c r="G219" s="211">
        <f>IF(ISERROR('Overzicht Vol &amp; Tar AD'!G219),0,'Overzicht Vol &amp; Tar AD'!G219)</f>
        <v>132</v>
      </c>
      <c r="H219" s="211">
        <f>IF(ISERROR('Overzicht Vol &amp; Tar AD'!H219),0,'Overzicht Vol &amp; Tar AD'!H219)</f>
        <v>1959</v>
      </c>
      <c r="I219" s="211">
        <f>IF(ISERROR('Overzicht Vol &amp; Tar AD'!I219),0,'Overzicht Vol &amp; Tar AD'!I219)</f>
        <v>962.55382945736449</v>
      </c>
      <c r="J219" s="211">
        <f>IF(ISERROR('Overzicht Vol &amp; Tar AD'!J219),0,'Overzicht Vol &amp; Tar AD'!J219)</f>
        <v>18539.352523961661</v>
      </c>
      <c r="K219" s="211">
        <f>IF(ISERROR('Overzicht Vol &amp; Tar AD'!K219),0,'Overzicht Vol &amp; Tar AD'!K219)</f>
        <v>25504</v>
      </c>
      <c r="L219" s="211">
        <f>IF(ISERROR('Overzicht Vol &amp; Tar AD'!L219),0,'Overzicht Vol &amp; Tar AD'!L219)</f>
        <v>209</v>
      </c>
      <c r="M219" s="211">
        <f>IF(ISERROR('Overzicht Vol &amp; Tar AD'!M219),0,'Overzicht Vol &amp; Tar AD'!M219)</f>
        <v>14450.064404145078</v>
      </c>
      <c r="N219" s="211">
        <f>IF(ISERROR('Overzicht Vol &amp; Tar AD'!N219),0,'Overzicht Vol &amp; Tar AD'!N219)</f>
        <v>1088</v>
      </c>
      <c r="P219" s="169"/>
      <c r="Q219" s="169"/>
      <c r="R219" s="169"/>
      <c r="S219" s="169"/>
      <c r="T219" s="169"/>
      <c r="U219" s="169"/>
      <c r="V219" s="169"/>
      <c r="W219" s="169"/>
      <c r="X219" s="169"/>
      <c r="Y219" s="169"/>
    </row>
    <row r="220" spans="1:25">
      <c r="A220" s="66"/>
      <c r="B220" s="222" t="s">
        <v>253</v>
      </c>
      <c r="C220" s="59"/>
      <c r="D220" s="59" t="s">
        <v>164</v>
      </c>
      <c r="E220" s="67"/>
      <c r="F220" s="90">
        <f>SUM(G220:N220)</f>
        <v>8319.0508922109693</v>
      </c>
      <c r="G220" s="211">
        <f>IF(ISERROR('Overzicht Vol &amp; Tar AD'!G220),0,'Overzicht Vol &amp; Tar AD'!G220)</f>
        <v>21</v>
      </c>
      <c r="H220" s="211">
        <f>IF(ISERROR('Overzicht Vol &amp; Tar AD'!H220),0,'Overzicht Vol &amp; Tar AD'!H220)</f>
        <v>210</v>
      </c>
      <c r="I220" s="211">
        <f>IF(ISERROR('Overzicht Vol &amp; Tar AD'!I220),0,'Overzicht Vol &amp; Tar AD'!I220)</f>
        <v>117.89991516651132</v>
      </c>
      <c r="J220" s="211">
        <f>IF(ISERROR('Overzicht Vol &amp; Tar AD'!J220),0,'Overzicht Vol &amp; Tar AD'!J220)</f>
        <v>2256.2606697377187</v>
      </c>
      <c r="K220" s="211">
        <f>IF(ISERROR('Overzicht Vol &amp; Tar AD'!K220),0,'Overzicht Vol &amp; Tar AD'!K220)</f>
        <v>3562</v>
      </c>
      <c r="L220" s="211">
        <f>IF(ISERROR('Overzicht Vol &amp; Tar AD'!L220),0,'Overzicht Vol &amp; Tar AD'!L220)</f>
        <v>23</v>
      </c>
      <c r="M220" s="211">
        <f>IF(ISERROR('Overzicht Vol &amp; Tar AD'!M220),0,'Overzicht Vol &amp; Tar AD'!M220)</f>
        <v>2018.8903073067404</v>
      </c>
      <c r="N220" s="211">
        <f>IF(ISERROR('Overzicht Vol &amp; Tar AD'!N220),0,'Overzicht Vol &amp; Tar AD'!N220)</f>
        <v>110</v>
      </c>
      <c r="P220" s="169"/>
      <c r="Q220" s="169"/>
      <c r="R220" s="169"/>
      <c r="S220" s="169"/>
      <c r="T220" s="169"/>
      <c r="U220" s="169"/>
      <c r="V220" s="169"/>
      <c r="W220" s="169"/>
      <c r="X220" s="169"/>
      <c r="Y220" s="169"/>
    </row>
    <row r="221" spans="1:25">
      <c r="A221" s="66"/>
      <c r="B221" s="222" t="s">
        <v>255</v>
      </c>
      <c r="C221" s="59"/>
      <c r="D221" s="59" t="s">
        <v>164</v>
      </c>
      <c r="E221" s="67"/>
      <c r="F221" s="90">
        <f>SUM(G221:N221)</f>
        <v>2128.4070210351961</v>
      </c>
      <c r="G221" s="211">
        <f>IF(ISERROR('Overzicht Vol &amp; Tar AD'!G221),0,'Overzicht Vol &amp; Tar AD'!G221)</f>
        <v>11</v>
      </c>
      <c r="H221" s="211">
        <f>IF(ISERROR('Overzicht Vol &amp; Tar AD'!H221),0,'Overzicht Vol &amp; Tar AD'!H221)</f>
        <v>68</v>
      </c>
      <c r="I221" s="211">
        <f>IF(ISERROR('Overzicht Vol &amp; Tar AD'!I221),0,'Overzicht Vol &amp; Tar AD'!I221)</f>
        <v>32.896842434549647</v>
      </c>
      <c r="J221" s="211">
        <f>IF(ISERROR('Overzicht Vol &amp; Tar AD'!J221),0,'Overzicht Vol &amp; Tar AD'!J221)</f>
        <v>874.40351491622971</v>
      </c>
      <c r="K221" s="211">
        <f>IF(ISERROR('Overzicht Vol &amp; Tar AD'!K221),0,'Overzicht Vol &amp; Tar AD'!K221)</f>
        <v>700.17400915925202</v>
      </c>
      <c r="L221" s="211">
        <f>IF(ISERROR('Overzicht Vol &amp; Tar AD'!L221),0,'Overzicht Vol &amp; Tar AD'!L221)</f>
        <v>7</v>
      </c>
      <c r="M221" s="211">
        <f>IF(ISERROR('Overzicht Vol &amp; Tar AD'!M221),0,'Overzicht Vol &amp; Tar AD'!M221)</f>
        <v>422.93265452516459</v>
      </c>
      <c r="N221" s="211">
        <f>IF(ISERROR('Overzicht Vol &amp; Tar AD'!N221),0,'Overzicht Vol &amp; Tar AD'!N221)</f>
        <v>12</v>
      </c>
      <c r="P221" s="169"/>
      <c r="Q221" s="169"/>
      <c r="R221" s="169"/>
      <c r="S221" s="169"/>
      <c r="T221" s="169"/>
      <c r="U221" s="169"/>
      <c r="V221" s="169"/>
      <c r="W221" s="169"/>
      <c r="X221" s="169"/>
      <c r="Y221" s="169"/>
    </row>
    <row r="222" spans="1:25">
      <c r="A222" s="66"/>
      <c r="B222" s="222" t="s">
        <v>254</v>
      </c>
      <c r="C222" s="59"/>
      <c r="D222" s="59" t="s">
        <v>164</v>
      </c>
      <c r="E222" s="67"/>
      <c r="F222" s="90">
        <f>SUM(G222:N222)</f>
        <v>239.38606346491051</v>
      </c>
      <c r="G222" s="211">
        <f>IF(ISERROR('Overzicht Vol &amp; Tar AD'!G222),0,'Overzicht Vol &amp; Tar AD'!G222)</f>
        <v>0</v>
      </c>
      <c r="H222" s="211">
        <f>IF(ISERROR('Overzicht Vol &amp; Tar AD'!H222),0,'Overzicht Vol &amp; Tar AD'!H222)</f>
        <v>2</v>
      </c>
      <c r="I222" s="211">
        <f>IF(ISERROR('Overzicht Vol &amp; Tar AD'!I222),0,'Overzicht Vol &amp; Tar AD'!I222)</f>
        <v>2.6621413733519095</v>
      </c>
      <c r="J222" s="211">
        <f>IF(ISERROR('Overzicht Vol &amp; Tar AD'!J222),0,'Overzicht Vol &amp; Tar AD'!J222)</f>
        <v>88.319011054137803</v>
      </c>
      <c r="K222" s="211">
        <f>IF(ISERROR('Overzicht Vol &amp; Tar AD'!K222),0,'Overzicht Vol &amp; Tar AD'!K222)</f>
        <v>96.157629349401105</v>
      </c>
      <c r="L222" s="211">
        <f>IF(ISERROR('Overzicht Vol &amp; Tar AD'!L222),0,'Overzicht Vol &amp; Tar AD'!L222)</f>
        <v>0</v>
      </c>
      <c r="M222" s="211">
        <f>IF(ISERROR('Overzicht Vol &amp; Tar AD'!M222),0,'Overzicht Vol &amp; Tar AD'!M222)</f>
        <v>46.247281688019676</v>
      </c>
      <c r="N222" s="211">
        <f>IF(ISERROR('Overzicht Vol &amp; Tar AD'!N222),0,'Overzicht Vol &amp; Tar AD'!N222)</f>
        <v>4</v>
      </c>
      <c r="P222" s="169"/>
      <c r="Q222" s="169"/>
      <c r="R222" s="169"/>
      <c r="S222" s="169"/>
      <c r="T222" s="169"/>
      <c r="U222" s="169"/>
      <c r="V222" s="169"/>
      <c r="W222" s="169"/>
      <c r="X222" s="169"/>
      <c r="Y222" s="169"/>
    </row>
    <row r="223" spans="1:25">
      <c r="A223" s="66"/>
      <c r="B223" s="214"/>
      <c r="C223" s="59"/>
      <c r="D223" s="59"/>
      <c r="E223" s="59"/>
      <c r="F223" s="91"/>
      <c r="G223" s="91"/>
      <c r="H223" s="91"/>
      <c r="I223" s="91"/>
      <c r="J223" s="91"/>
      <c r="K223" s="91"/>
      <c r="L223" s="91"/>
      <c r="M223" s="91"/>
      <c r="N223" s="91"/>
      <c r="P223" s="169"/>
      <c r="Q223" s="169"/>
      <c r="R223" s="169"/>
      <c r="S223" s="169"/>
      <c r="T223" s="169"/>
      <c r="U223" s="169"/>
      <c r="V223" s="169"/>
      <c r="W223" s="169"/>
      <c r="X223" s="169"/>
      <c r="Y223" s="169"/>
    </row>
    <row r="224" spans="1:25">
      <c r="A224" s="66"/>
      <c r="B224" s="206" t="s">
        <v>329</v>
      </c>
      <c r="C224" s="59"/>
      <c r="D224" s="59"/>
      <c r="E224" s="60"/>
      <c r="F224" s="91"/>
      <c r="G224" s="91"/>
      <c r="H224" s="91"/>
      <c r="I224" s="91"/>
      <c r="J224" s="91"/>
      <c r="K224" s="91"/>
      <c r="L224" s="91"/>
      <c r="M224" s="91"/>
      <c r="N224" s="91"/>
      <c r="P224" s="169"/>
      <c r="Q224" s="169"/>
      <c r="R224" s="169"/>
      <c r="S224" s="169"/>
      <c r="T224" s="169"/>
      <c r="U224" s="169"/>
      <c r="V224" s="169"/>
      <c r="W224" s="169"/>
      <c r="X224" s="169"/>
      <c r="Y224" s="169"/>
    </row>
    <row r="225" spans="1:67">
      <c r="A225" s="66"/>
      <c r="B225" s="222" t="s">
        <v>251</v>
      </c>
      <c r="C225" s="59"/>
      <c r="D225" s="59" t="s">
        <v>164</v>
      </c>
      <c r="E225" s="67"/>
      <c r="F225" s="90">
        <f>SUM(G225:N225)</f>
        <v>21702.876056600515</v>
      </c>
      <c r="G225" s="211">
        <f>IF(ISERROR('Overzicht Vol &amp; Tar AD'!G225),0,'Overzicht Vol &amp; Tar AD'!G225)</f>
        <v>0</v>
      </c>
      <c r="H225" s="211">
        <f>IF(ISERROR('Overzicht Vol &amp; Tar AD'!H225),0,'Overzicht Vol &amp; Tar AD'!H225)</f>
        <v>1592</v>
      </c>
      <c r="I225" s="211">
        <f>IF(ISERROR('Overzicht Vol &amp; Tar AD'!I225),0,'Overzicht Vol &amp; Tar AD'!I225)</f>
        <v>0</v>
      </c>
      <c r="J225" s="211">
        <f>IF(ISERROR('Overzicht Vol &amp; Tar AD'!J225),0,'Overzicht Vol &amp; Tar AD'!J225)</f>
        <v>8189.8169934640573</v>
      </c>
      <c r="K225" s="211">
        <f>IF(ISERROR('Overzicht Vol &amp; Tar AD'!K225),0,'Overzicht Vol &amp; Tar AD'!K225)</f>
        <v>7761.5</v>
      </c>
      <c r="L225" s="211">
        <f>IF(ISERROR('Overzicht Vol &amp; Tar AD'!L225),0,'Overzicht Vol &amp; Tar AD'!L225)</f>
        <v>89</v>
      </c>
      <c r="M225" s="211">
        <f>IF(ISERROR('Overzicht Vol &amp; Tar AD'!M225),0,'Overzicht Vol &amp; Tar AD'!M225)</f>
        <v>3785.5590631364562</v>
      </c>
      <c r="N225" s="211">
        <f>IF(ISERROR('Overzicht Vol &amp; Tar AD'!N225),0,'Overzicht Vol &amp; Tar AD'!N225)</f>
        <v>285</v>
      </c>
      <c r="P225" s="169"/>
      <c r="Q225" s="169"/>
      <c r="R225" s="169"/>
      <c r="S225" s="169"/>
      <c r="T225" s="169"/>
      <c r="U225" s="169"/>
      <c r="V225" s="169"/>
      <c r="W225" s="169"/>
      <c r="X225" s="169"/>
      <c r="Y225" s="169"/>
    </row>
    <row r="226" spans="1:67">
      <c r="A226" s="66"/>
      <c r="B226" s="222" t="s">
        <v>252</v>
      </c>
      <c r="C226" s="59"/>
      <c r="D226" s="59" t="s">
        <v>164</v>
      </c>
      <c r="E226" s="67"/>
      <c r="F226" s="90">
        <f>SUM(G226:N226)</f>
        <v>122695.77878414773</v>
      </c>
      <c r="G226" s="211">
        <f>IF(ISERROR('Overzicht Vol &amp; Tar AD'!G226),0,'Overzicht Vol &amp; Tar AD'!G226)</f>
        <v>321</v>
      </c>
      <c r="H226" s="211">
        <f>IF(ISERROR('Overzicht Vol &amp; Tar AD'!H226),0,'Overzicht Vol &amp; Tar AD'!H226)</f>
        <v>3747</v>
      </c>
      <c r="I226" s="211">
        <f>IF(ISERROR('Overzicht Vol &amp; Tar AD'!I226),0,'Overzicht Vol &amp; Tar AD'!I226)</f>
        <v>596.99187279151943</v>
      </c>
      <c r="J226" s="211">
        <f>IF(ISERROR('Overzicht Vol &amp; Tar AD'!J226),0,'Overzicht Vol &amp; Tar AD'!J226)</f>
        <v>59235.298850574734</v>
      </c>
      <c r="K226" s="211">
        <f>IF(ISERROR('Overzicht Vol &amp; Tar AD'!K226),0,'Overzicht Vol &amp; Tar AD'!K226)</f>
        <v>38233</v>
      </c>
      <c r="L226" s="211">
        <f>IF(ISERROR('Overzicht Vol &amp; Tar AD'!L226),0,'Overzicht Vol &amp; Tar AD'!L226)</f>
        <v>447</v>
      </c>
      <c r="M226" s="211">
        <f>IF(ISERROR('Overzicht Vol &amp; Tar AD'!M226),0,'Overzicht Vol &amp; Tar AD'!M226)</f>
        <v>16821.488060781474</v>
      </c>
      <c r="N226" s="211">
        <f>IF(ISERROR('Overzicht Vol &amp; Tar AD'!N226),0,'Overzicht Vol &amp; Tar AD'!N226)</f>
        <v>3294</v>
      </c>
      <c r="P226" s="169"/>
      <c r="Q226" s="169"/>
      <c r="R226" s="169"/>
      <c r="S226" s="169"/>
      <c r="T226" s="169"/>
      <c r="U226" s="169"/>
      <c r="V226" s="169"/>
      <c r="W226" s="169"/>
      <c r="X226" s="169"/>
      <c r="Y226" s="169"/>
    </row>
    <row r="227" spans="1:67">
      <c r="A227" s="66"/>
      <c r="B227" s="222" t="s">
        <v>253</v>
      </c>
      <c r="C227" s="59"/>
      <c r="D227" s="59" t="s">
        <v>164</v>
      </c>
      <c r="E227" s="67"/>
      <c r="F227" s="90">
        <f>SUM(G227:N227)</f>
        <v>83692.740691467188</v>
      </c>
      <c r="G227" s="211">
        <f>IF(ISERROR('Overzicht Vol &amp; Tar AD'!G227),0,'Overzicht Vol &amp; Tar AD'!G227)</f>
        <v>222</v>
      </c>
      <c r="H227" s="211">
        <f>IF(ISERROR('Overzicht Vol &amp; Tar AD'!H227),0,'Overzicht Vol &amp; Tar AD'!H227)</f>
        <v>2120</v>
      </c>
      <c r="I227" s="211">
        <f>IF(ISERROR('Overzicht Vol &amp; Tar AD'!I227),0,'Overzicht Vol &amp; Tar AD'!I227)</f>
        <v>651.33653521126757</v>
      </c>
      <c r="J227" s="211">
        <f>IF(ISERROR('Overzicht Vol &amp; Tar AD'!J227),0,'Overzicht Vol &amp; Tar AD'!J227)</f>
        <v>31270.94222222222</v>
      </c>
      <c r="K227" s="211">
        <f>IF(ISERROR('Overzicht Vol &amp; Tar AD'!K227),0,'Overzicht Vol &amp; Tar AD'!K227)</f>
        <v>29644</v>
      </c>
      <c r="L227" s="211">
        <f>IF(ISERROR('Overzicht Vol &amp; Tar AD'!L227),0,'Overzicht Vol &amp; Tar AD'!L227)</f>
        <v>199</v>
      </c>
      <c r="M227" s="211">
        <f>IF(ISERROR('Overzicht Vol &amp; Tar AD'!M227),0,'Overzicht Vol &amp; Tar AD'!M227)</f>
        <v>18630.461934033709</v>
      </c>
      <c r="N227" s="211">
        <f>IF(ISERROR('Overzicht Vol &amp; Tar AD'!N227),0,'Overzicht Vol &amp; Tar AD'!N227)</f>
        <v>955</v>
      </c>
      <c r="P227" s="169"/>
      <c r="Q227" s="169"/>
      <c r="R227" s="169"/>
      <c r="S227" s="169"/>
      <c r="T227" s="169"/>
      <c r="U227" s="169"/>
      <c r="V227" s="169"/>
      <c r="W227" s="169"/>
      <c r="X227" s="169"/>
      <c r="Y227" s="169"/>
    </row>
    <row r="228" spans="1:67">
      <c r="A228" s="66"/>
      <c r="B228" s="222" t="s">
        <v>255</v>
      </c>
      <c r="C228" s="59"/>
      <c r="D228" s="59" t="s">
        <v>164</v>
      </c>
      <c r="E228" s="67"/>
      <c r="F228" s="90">
        <f>SUM(G228:N228)</f>
        <v>239925.26644740824</v>
      </c>
      <c r="G228" s="211">
        <f>IF(ISERROR('Overzicht Vol &amp; Tar AD'!G228),0,'Overzicht Vol &amp; Tar AD'!G228)</f>
        <v>1048</v>
      </c>
      <c r="H228" s="211">
        <f>IF(ISERROR('Overzicht Vol &amp; Tar AD'!H228),0,'Overzicht Vol &amp; Tar AD'!H228)</f>
        <v>7814</v>
      </c>
      <c r="I228" s="211">
        <f>IF(ISERROR('Overzicht Vol &amp; Tar AD'!I228),0,'Overzicht Vol &amp; Tar AD'!I228)</f>
        <v>2243.4934171372843</v>
      </c>
      <c r="J228" s="211">
        <f>IF(ISERROR('Overzicht Vol &amp; Tar AD'!J228),0,'Overzicht Vol &amp; Tar AD'!J228)</f>
        <v>108296.22752613248</v>
      </c>
      <c r="K228" s="211">
        <f>IF(ISERROR('Overzicht Vol &amp; Tar AD'!K228),0,'Overzicht Vol &amp; Tar AD'!K228)</f>
        <v>70873.931903277145</v>
      </c>
      <c r="L228" s="211">
        <f>IF(ISERROR('Overzicht Vol &amp; Tar AD'!L228),0,'Overzicht Vol &amp; Tar AD'!L228)</f>
        <v>833</v>
      </c>
      <c r="M228" s="211">
        <f>IF(ISERROR('Overzicht Vol &amp; Tar AD'!M228),0,'Overzicht Vol &amp; Tar AD'!M228)</f>
        <v>46822.613600861354</v>
      </c>
      <c r="N228" s="211">
        <f>IF(ISERROR('Overzicht Vol &amp; Tar AD'!N228),0,'Overzicht Vol &amp; Tar AD'!N228)</f>
        <v>1994</v>
      </c>
      <c r="P228" s="169"/>
      <c r="Q228" s="169"/>
      <c r="R228" s="169"/>
      <c r="S228" s="169"/>
      <c r="T228" s="169"/>
      <c r="U228" s="169"/>
      <c r="V228" s="169"/>
      <c r="W228" s="169"/>
      <c r="X228" s="169"/>
      <c r="Y228" s="169"/>
    </row>
    <row r="229" spans="1:67">
      <c r="A229" s="66"/>
      <c r="B229" s="222" t="s">
        <v>254</v>
      </c>
      <c r="C229" s="59"/>
      <c r="D229" s="59" t="s">
        <v>164</v>
      </c>
      <c r="E229" s="67"/>
      <c r="F229" s="90">
        <f>SUM(G229:N229)</f>
        <v>63352.019008601106</v>
      </c>
      <c r="G229" s="211">
        <f>IF(ISERROR('Overzicht Vol &amp; Tar AD'!G229),0,'Overzicht Vol &amp; Tar AD'!G229)</f>
        <v>0</v>
      </c>
      <c r="H229" s="211">
        <f>IF(ISERROR('Overzicht Vol &amp; Tar AD'!H229),0,'Overzicht Vol &amp; Tar AD'!H229)</f>
        <v>60</v>
      </c>
      <c r="I229" s="211">
        <f>IF(ISERROR('Overzicht Vol &amp; Tar AD'!I229),0,'Overzicht Vol &amp; Tar AD'!I229)</f>
        <v>249.58271028037382</v>
      </c>
      <c r="J229" s="211">
        <f>IF(ISERROR('Overzicht Vol &amp; Tar AD'!J229),0,'Overzicht Vol &amp; Tar AD'!J229)</f>
        <v>9705.4570475396158</v>
      </c>
      <c r="K229" s="211">
        <f>IF(ISERROR('Overzicht Vol &amp; Tar AD'!K229),0,'Overzicht Vol &amp; Tar AD'!K229)</f>
        <v>41379.500118605283</v>
      </c>
      <c r="L229" s="211">
        <f>IF(ISERROR('Overzicht Vol &amp; Tar AD'!L229),0,'Overzicht Vol &amp; Tar AD'!L229)</f>
        <v>0</v>
      </c>
      <c r="M229" s="211">
        <f>IF(ISERROR('Overzicht Vol &amp; Tar AD'!M229),0,'Overzicht Vol &amp; Tar AD'!M229)</f>
        <v>11697.479132175829</v>
      </c>
      <c r="N229" s="211">
        <f>IF(ISERROR('Overzicht Vol &amp; Tar AD'!N229),0,'Overzicht Vol &amp; Tar AD'!N229)</f>
        <v>260</v>
      </c>
      <c r="P229" s="169"/>
      <c r="Q229" s="169"/>
      <c r="R229" s="169"/>
      <c r="S229" s="169"/>
      <c r="T229" s="169"/>
      <c r="U229" s="169"/>
      <c r="V229" s="169"/>
      <c r="W229" s="169"/>
      <c r="X229" s="169"/>
      <c r="Y229" s="169"/>
    </row>
    <row r="230" spans="1:67">
      <c r="A230" s="66"/>
      <c r="B230" s="214"/>
      <c r="C230" s="59"/>
      <c r="D230" s="59"/>
      <c r="E230" s="59"/>
      <c r="F230"/>
      <c r="G230"/>
      <c r="H230"/>
      <c r="I230"/>
      <c r="J230"/>
      <c r="K230"/>
      <c r="L230"/>
      <c r="M230"/>
      <c r="N230"/>
    </row>
    <row r="231" spans="1:67">
      <c r="A231" s="66"/>
      <c r="B231" s="217"/>
      <c r="C231" s="59"/>
      <c r="D231" s="59"/>
      <c r="E231" s="59"/>
      <c r="F231"/>
      <c r="G231"/>
      <c r="H231"/>
      <c r="I231"/>
      <c r="J231"/>
      <c r="K231"/>
      <c r="L231"/>
      <c r="M231"/>
      <c r="N231"/>
    </row>
    <row r="232" spans="1:67">
      <c r="A232" s="64"/>
      <c r="B232" s="205" t="s">
        <v>625</v>
      </c>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row>
    <row r="233" spans="1:67">
      <c r="A233" s="60"/>
      <c r="B233" s="206"/>
      <c r="C233" s="60"/>
      <c r="D233" s="60"/>
      <c r="E233" s="60"/>
      <c r="F233" s="60"/>
      <c r="G233" s="60"/>
      <c r="H233" s="60"/>
      <c r="I233" s="60"/>
      <c r="J233" s="60"/>
      <c r="K233" s="60"/>
      <c r="L233" s="60"/>
      <c r="M233" s="60"/>
      <c r="N233" s="60"/>
    </row>
    <row r="234" spans="1:67">
      <c r="A234" s="66"/>
      <c r="B234" s="206" t="s">
        <v>922</v>
      </c>
      <c r="C234" s="60"/>
      <c r="D234" s="60"/>
      <c r="E234" s="60"/>
      <c r="G234" s="23"/>
      <c r="H234"/>
      <c r="I234"/>
      <c r="J234" s="23"/>
      <c r="K234"/>
      <c r="L234"/>
      <c r="M234"/>
      <c r="N234"/>
    </row>
    <row r="235" spans="1:67">
      <c r="A235" s="66"/>
      <c r="B235" s="214" t="s">
        <v>251</v>
      </c>
      <c r="C235" s="59"/>
      <c r="D235" s="59" t="s">
        <v>338</v>
      </c>
      <c r="E235" s="59"/>
      <c r="F235" s="23"/>
      <c r="G235" s="876">
        <f>IF(ISERROR('Overzicht Vol &amp; Tar AD'!G235),0,'Overzicht Vol &amp; Tar AD'!G235)</f>
        <v>7.4</v>
      </c>
      <c r="H235" s="876">
        <f>IF(ISERROR('Overzicht Vol &amp; Tar AD'!H235),0,'Overzicht Vol &amp; Tar AD'!H235)</f>
        <v>2.5499999999999998</v>
      </c>
      <c r="I235" s="876">
        <f>IF(ISERROR('Overzicht Vol &amp; Tar AD'!I235),0,'Overzicht Vol &amp; Tar AD'!I235)</f>
        <v>8.2899999999999991</v>
      </c>
      <c r="J235" s="876">
        <f>IF(ISERROR('Overzicht Vol &amp; Tar AD'!J235),0,'Overzicht Vol &amp; Tar AD'!J235)</f>
        <v>4.24</v>
      </c>
      <c r="K235" s="876">
        <f>IF(ISERROR('Overzicht Vol &amp; Tar AD'!K235),0,'Overzicht Vol &amp; Tar AD'!K235)</f>
        <v>9.7200000000000006</v>
      </c>
      <c r="L235" s="876">
        <f>IF(ISERROR('Overzicht Vol &amp; Tar AD'!L235),0,'Overzicht Vol &amp; Tar AD'!L235)</f>
        <v>15.000000000000002</v>
      </c>
      <c r="M235" s="876">
        <f>IF(ISERROR('Overzicht Vol &amp; Tar AD'!M235),0,'Overzicht Vol &amp; Tar AD'!M235)</f>
        <v>8.5400000000000009</v>
      </c>
      <c r="N235" s="876">
        <f>IF(ISERROR('Overzicht Vol &amp; Tar AD'!N235),0,'Overzicht Vol &amp; Tar AD'!N235)</f>
        <v>2.94</v>
      </c>
    </row>
    <row r="236" spans="1:67">
      <c r="A236" s="66"/>
      <c r="B236" s="214" t="s">
        <v>252</v>
      </c>
      <c r="C236" s="59"/>
      <c r="D236" s="59" t="s">
        <v>338</v>
      </c>
      <c r="E236" s="59"/>
      <c r="F236" s="23"/>
      <c r="G236" s="876">
        <f>IF(ISERROR('Overzicht Vol &amp; Tar AD'!G236),0,'Overzicht Vol &amp; Tar AD'!G236)</f>
        <v>21.14</v>
      </c>
      <c r="H236" s="876">
        <f>IF(ISERROR('Overzicht Vol &amp; Tar AD'!H236),0,'Overzicht Vol &amp; Tar AD'!H236)</f>
        <v>24.96</v>
      </c>
      <c r="I236" s="876">
        <f>IF(ISERROR('Overzicht Vol &amp; Tar AD'!I236),0,'Overzicht Vol &amp; Tar AD'!I236)</f>
        <v>17.930000000000003</v>
      </c>
      <c r="J236" s="876">
        <f>IF(ISERROR('Overzicht Vol &amp; Tar AD'!J236),0,'Overzicht Vol &amp; Tar AD'!J236)</f>
        <v>34.200000000000003</v>
      </c>
      <c r="K236" s="876">
        <f>IF(ISERROR('Overzicht Vol &amp; Tar AD'!K236),0,'Overzicht Vol &amp; Tar AD'!K236)</f>
        <v>20.399999999999999</v>
      </c>
      <c r="L236" s="876">
        <f>IF(ISERROR('Overzicht Vol &amp; Tar AD'!L236),0,'Overzicht Vol &amp; Tar AD'!L236)</f>
        <v>30.45</v>
      </c>
      <c r="M236" s="876">
        <f>IF(ISERROR('Overzicht Vol &amp; Tar AD'!M236),0,'Overzicht Vol &amp; Tar AD'!M236)</f>
        <v>19.630000000000003</v>
      </c>
      <c r="N236" s="876">
        <f>IF(ISERROR('Overzicht Vol &amp; Tar AD'!N236),0,'Overzicht Vol &amp; Tar AD'!N236)</f>
        <v>15.6</v>
      </c>
    </row>
    <row r="237" spans="1:67">
      <c r="A237" s="66"/>
      <c r="B237" s="214" t="s">
        <v>253</v>
      </c>
      <c r="C237" s="59"/>
      <c r="D237" s="59" t="s">
        <v>338</v>
      </c>
      <c r="E237" s="59"/>
      <c r="F237" s="23"/>
      <c r="G237" s="876">
        <f>IF(ISERROR('Overzicht Vol &amp; Tar AD'!G237),0,'Overzicht Vol &amp; Tar AD'!G237)</f>
        <v>21.14</v>
      </c>
      <c r="H237" s="876">
        <f>IF(ISERROR('Overzicht Vol &amp; Tar AD'!H237),0,'Overzicht Vol &amp; Tar AD'!H237)</f>
        <v>41.050452126850928</v>
      </c>
      <c r="I237" s="876">
        <f>IF(ISERROR('Overzicht Vol &amp; Tar AD'!I237),0,'Overzicht Vol &amp; Tar AD'!I237)</f>
        <v>17.930000000000003</v>
      </c>
      <c r="J237" s="876">
        <f>IF(ISERROR('Overzicht Vol &amp; Tar AD'!J237),0,'Overzicht Vol &amp; Tar AD'!J237)</f>
        <v>39</v>
      </c>
      <c r="K237" s="876">
        <f>IF(ISERROR('Overzicht Vol &amp; Tar AD'!K237),0,'Overzicht Vol &amp; Tar AD'!K237)</f>
        <v>33.744160213487703</v>
      </c>
      <c r="L237" s="876">
        <f>IF(ISERROR('Overzicht Vol &amp; Tar AD'!L237),0,'Overzicht Vol &amp; Tar AD'!L237)</f>
        <v>49</v>
      </c>
      <c r="M237" s="876">
        <f>IF(ISERROR('Overzicht Vol &amp; Tar AD'!M237),0,'Overzicht Vol &amp; Tar AD'!M237)</f>
        <v>39.050000000000004</v>
      </c>
      <c r="N237" s="876">
        <f>IF(ISERROR('Overzicht Vol &amp; Tar AD'!N237),0,'Overzicht Vol &amp; Tar AD'!N237)</f>
        <v>41.607118999166268</v>
      </c>
    </row>
    <row r="238" spans="1:67">
      <c r="A238" s="66"/>
      <c r="B238" s="214" t="s">
        <v>255</v>
      </c>
      <c r="C238" s="59"/>
      <c r="D238" s="59" t="s">
        <v>338</v>
      </c>
      <c r="E238" s="59"/>
      <c r="F238" s="23"/>
      <c r="G238" s="876">
        <f>IF(ISERROR('Overzicht Vol &amp; Tar AD'!G238),0,'Overzicht Vol &amp; Tar AD'!G238)</f>
        <v>25.37</v>
      </c>
      <c r="H238" s="876">
        <f>IF(ISERROR('Overzicht Vol &amp; Tar AD'!H238),0,'Overzicht Vol &amp; Tar AD'!H238)</f>
        <v>172.92000000000002</v>
      </c>
      <c r="I238" s="876">
        <f>IF(ISERROR('Overzicht Vol &amp; Tar AD'!I238),0,'Overzicht Vol &amp; Tar AD'!I238)</f>
        <v>269.95999999999998</v>
      </c>
      <c r="J238" s="876">
        <f>IF(ISERROR('Overzicht Vol &amp; Tar AD'!J238),0,'Overzicht Vol &amp; Tar AD'!J238)</f>
        <v>186</v>
      </c>
      <c r="K238" s="876">
        <f>IF(ISERROR('Overzicht Vol &amp; Tar AD'!K238),0,'Overzicht Vol &amp; Tar AD'!K238)</f>
        <v>144.21995556371877</v>
      </c>
      <c r="L238" s="876">
        <f>IF(ISERROR('Overzicht Vol &amp; Tar AD'!L238),0,'Overzicht Vol &amp; Tar AD'!L238)</f>
        <v>49</v>
      </c>
      <c r="M238" s="876">
        <f>IF(ISERROR('Overzicht Vol &amp; Tar AD'!M238),0,'Overzicht Vol &amp; Tar AD'!M238)</f>
        <v>72</v>
      </c>
      <c r="N238" s="876">
        <f>IF(ISERROR('Overzicht Vol &amp; Tar AD'!N238),0,'Overzicht Vol &amp; Tar AD'!N238)</f>
        <v>197.42658682270488</v>
      </c>
    </row>
    <row r="239" spans="1:67">
      <c r="A239" s="66"/>
      <c r="B239" s="214" t="s">
        <v>261</v>
      </c>
      <c r="C239" s="59"/>
      <c r="D239" s="59" t="s">
        <v>338</v>
      </c>
      <c r="E239" s="59"/>
      <c r="F239" s="23"/>
      <c r="G239" s="876">
        <f>IF(ISERROR('Overzicht Vol &amp; Tar AD'!G239),0,'Overzicht Vol &amp; Tar AD'!G239)</f>
        <v>515.63991596638664</v>
      </c>
      <c r="H239" s="876">
        <f>IF(ISERROR('Overzicht Vol &amp; Tar AD'!H239),0,'Overzicht Vol &amp; Tar AD'!H239)</f>
        <v>1194.24</v>
      </c>
      <c r="I239" s="876">
        <f>IF(ISERROR('Overzicht Vol &amp; Tar AD'!I239),0,'Overzicht Vol &amp; Tar AD'!I239)</f>
        <v>776.21</v>
      </c>
      <c r="J239" s="876">
        <f>IF(ISERROR('Overzicht Vol &amp; Tar AD'!J239),0,'Overzicht Vol &amp; Tar AD'!J239)</f>
        <v>739</v>
      </c>
      <c r="K239" s="876">
        <f>IF(ISERROR('Overzicht Vol &amp; Tar AD'!K239),0,'Overzicht Vol &amp; Tar AD'!K239)</f>
        <v>833.98397662756884</v>
      </c>
      <c r="L239" s="876">
        <f>IF(ISERROR('Overzicht Vol &amp; Tar AD'!L239),0,'Overzicht Vol &amp; Tar AD'!L239)</f>
        <v>260.96683656285785</v>
      </c>
      <c r="M239" s="876">
        <f>IF(ISERROR('Overzicht Vol &amp; Tar AD'!M239),0,'Overzicht Vol &amp; Tar AD'!M239)</f>
        <v>644.5</v>
      </c>
      <c r="N239" s="876">
        <f>IF(ISERROR('Overzicht Vol &amp; Tar AD'!N239),0,'Overzicht Vol &amp; Tar AD'!N239)</f>
        <v>1468.753854971128</v>
      </c>
    </row>
    <row r="240" spans="1:67">
      <c r="A240" s="66"/>
      <c r="B240" s="214" t="s">
        <v>262</v>
      </c>
      <c r="C240" s="59"/>
      <c r="D240" s="59" t="s">
        <v>338</v>
      </c>
      <c r="E240" s="59"/>
      <c r="F240" s="23"/>
      <c r="G240" s="876">
        <f>IF(ISERROR('Overzicht Vol &amp; Tar AD'!G240),0,'Overzicht Vol &amp; Tar AD'!G240)</f>
        <v>1537.56</v>
      </c>
      <c r="H240" s="876">
        <f>IF(ISERROR('Overzicht Vol &amp; Tar AD'!H240),0,'Overzicht Vol &amp; Tar AD'!H240)</f>
        <v>7955.76</v>
      </c>
      <c r="I240" s="876">
        <f>IF(ISERROR('Overzicht Vol &amp; Tar AD'!I240),0,'Overzicht Vol &amp; Tar AD'!I240)</f>
        <v>3288.35</v>
      </c>
      <c r="J240" s="876">
        <f>IF(ISERROR('Overzicht Vol &amp; Tar AD'!J240),0,'Overzicht Vol &amp; Tar AD'!J240)</f>
        <v>2035.932307554785</v>
      </c>
      <c r="K240" s="876">
        <f>IF(ISERROR('Overzicht Vol &amp; Tar AD'!K240),0,'Overzicht Vol &amp; Tar AD'!K240)</f>
        <v>8824.8210418142698</v>
      </c>
      <c r="L240" s="876">
        <f>IF(ISERROR('Overzicht Vol &amp; Tar AD'!L240),0,'Overzicht Vol &amp; Tar AD'!L240)</f>
        <v>1910</v>
      </c>
      <c r="M240" s="876">
        <f>IF(ISERROR('Overzicht Vol &amp; Tar AD'!M240),0,'Overzicht Vol &amp; Tar AD'!M240)</f>
        <v>6892.520416709126</v>
      </c>
      <c r="N240" s="876">
        <f>IF(ISERROR('Overzicht Vol &amp; Tar AD'!N240),0,'Overzicht Vol &amp; Tar AD'!N240)</f>
        <v>5869.62</v>
      </c>
    </row>
    <row r="241" spans="1:14">
      <c r="A241" s="66"/>
      <c r="B241" s="214"/>
      <c r="C241" s="59"/>
      <c r="D241" s="59"/>
      <c r="E241" s="59"/>
      <c r="F241" s="23"/>
      <c r="G241" s="88"/>
      <c r="H241" s="89"/>
      <c r="I241" s="89"/>
      <c r="J241" s="88"/>
      <c r="K241" s="89"/>
      <c r="L241" s="89"/>
      <c r="M241" s="89"/>
      <c r="N241" s="89"/>
    </row>
    <row r="242" spans="1:14">
      <c r="A242" s="66"/>
      <c r="B242" s="214" t="s">
        <v>1096</v>
      </c>
      <c r="C242" s="59"/>
      <c r="D242" s="59" t="s">
        <v>338</v>
      </c>
      <c r="E242" s="59"/>
      <c r="F242" s="23"/>
      <c r="G242" s="876">
        <f>IF(ISERROR('Overzicht Vol &amp; Tar AD'!G242),0,'Overzicht Vol &amp; Tar AD'!G242)</f>
        <v>0</v>
      </c>
      <c r="H242" s="876">
        <f>IF(ISERROR('Overzicht Vol &amp; Tar AD'!H242),0,'Overzicht Vol &amp; Tar AD'!H242)</f>
        <v>1.92</v>
      </c>
      <c r="I242" s="876">
        <f>IF(ISERROR('Overzicht Vol &amp; Tar AD'!I242),0,'Overzicht Vol &amp; Tar AD'!I242)</f>
        <v>3.8</v>
      </c>
      <c r="J242" s="876">
        <f>IF(ISERROR('Overzicht Vol &amp; Tar AD'!J242),0,'Overzicht Vol &amp; Tar AD'!J242)</f>
        <v>2.8455022853979015</v>
      </c>
      <c r="K242" s="876">
        <f>IF(ISERROR('Overzicht Vol &amp; Tar AD'!K242),0,'Overzicht Vol &amp; Tar AD'!K242)</f>
        <v>1.92</v>
      </c>
      <c r="L242" s="876">
        <f>IF(ISERROR('Overzicht Vol &amp; Tar AD'!L242),0,'Overzicht Vol &amp; Tar AD'!L242)</f>
        <v>15.350000000000001</v>
      </c>
      <c r="M242" s="876">
        <f>IF(ISERROR('Overzicht Vol &amp; Tar AD'!M242),0,'Overzicht Vol &amp; Tar AD'!M242)</f>
        <v>6.7000000000000011</v>
      </c>
      <c r="N242" s="876">
        <f>IF(ISERROR('Overzicht Vol &amp; Tar AD'!N242),0,'Overzicht Vol &amp; Tar AD'!N242)</f>
        <v>4.41</v>
      </c>
    </row>
    <row r="243" spans="1:14">
      <c r="A243" s="66"/>
      <c r="B243" s="214"/>
      <c r="C243" s="59"/>
      <c r="D243" s="59"/>
      <c r="E243" s="59"/>
      <c r="F243" s="23"/>
      <c r="G243" s="88"/>
      <c r="H243" s="89"/>
      <c r="I243" s="89"/>
      <c r="J243" s="88"/>
      <c r="K243" s="89"/>
      <c r="L243" s="89"/>
      <c r="M243" s="89"/>
      <c r="N243" s="89"/>
    </row>
    <row r="244" spans="1:14">
      <c r="A244" s="66"/>
      <c r="B244" s="206" t="s">
        <v>923</v>
      </c>
      <c r="C244" s="60"/>
      <c r="D244" s="59"/>
      <c r="E244" s="59"/>
      <c r="F244" s="23"/>
      <c r="G244" s="88"/>
      <c r="H244" s="89"/>
      <c r="I244" s="89"/>
      <c r="J244" s="88"/>
      <c r="K244" s="89"/>
      <c r="L244" s="89"/>
      <c r="M244" s="89"/>
      <c r="N244" s="89"/>
    </row>
    <row r="245" spans="1:14">
      <c r="A245" s="66"/>
      <c r="B245" s="206" t="s">
        <v>328</v>
      </c>
      <c r="C245" s="59"/>
      <c r="D245" s="59"/>
      <c r="E245" s="60"/>
      <c r="F245" s="23"/>
      <c r="G245" s="88"/>
      <c r="H245" s="89"/>
      <c r="I245" s="89"/>
      <c r="J245" s="88"/>
      <c r="K245" s="89"/>
      <c r="L245" s="89"/>
      <c r="M245" s="89"/>
      <c r="N245" s="89"/>
    </row>
    <row r="246" spans="1:14">
      <c r="A246" s="66"/>
      <c r="B246" s="222" t="s">
        <v>251</v>
      </c>
      <c r="C246" s="59"/>
      <c r="D246" s="59" t="s">
        <v>338</v>
      </c>
      <c r="E246" s="67"/>
      <c r="F246" s="23"/>
      <c r="G246" s="876">
        <f>IF(ISERROR('Overzicht Vol &amp; Tar AD'!G246),0,'Overzicht Vol &amp; Tar AD'!G246)</f>
        <v>447.45</v>
      </c>
      <c r="H246" s="876">
        <f>IF(ISERROR('Overzicht Vol &amp; Tar AD'!H246),0,'Overzicht Vol &amp; Tar AD'!H246)</f>
        <v>371.46999999999997</v>
      </c>
      <c r="I246" s="876">
        <f>IF(ISERROR('Overzicht Vol &amp; Tar AD'!I246),0,'Overzicht Vol &amp; Tar AD'!I246)</f>
        <v>460</v>
      </c>
      <c r="J246" s="876">
        <f>IF(ISERROR('Overzicht Vol &amp; Tar AD'!J246),0,'Overzicht Vol &amp; Tar AD'!J246)</f>
        <v>372</v>
      </c>
      <c r="K246" s="876">
        <f>IF(ISERROR('Overzicht Vol &amp; Tar AD'!K246),0,'Overzicht Vol &amp; Tar AD'!K246)</f>
        <v>421</v>
      </c>
      <c r="L246" s="876">
        <f>IF(ISERROR('Overzicht Vol &amp; Tar AD'!L246),0,'Overzicht Vol &amp; Tar AD'!L246)</f>
        <v>482</v>
      </c>
      <c r="M246" s="876">
        <f>IF(ISERROR('Overzicht Vol &amp; Tar AD'!M246),0,'Overzicht Vol &amp; Tar AD'!M246)</f>
        <v>430</v>
      </c>
      <c r="N246" s="876">
        <f>IF(ISERROR('Overzicht Vol &amp; Tar AD'!N246),0,'Overzicht Vol &amp; Tar AD'!N246)</f>
        <v>409.88</v>
      </c>
    </row>
    <row r="247" spans="1:14">
      <c r="A247" s="66"/>
      <c r="B247" s="222" t="s">
        <v>252</v>
      </c>
      <c r="C247" s="59"/>
      <c r="D247" s="59" t="s">
        <v>338</v>
      </c>
      <c r="E247" s="67"/>
      <c r="F247" s="23"/>
      <c r="G247" s="876">
        <f>IF(ISERROR('Overzicht Vol &amp; Tar AD'!G247),0,'Overzicht Vol &amp; Tar AD'!G247)</f>
        <v>705.61</v>
      </c>
      <c r="H247" s="876">
        <f>IF(ISERROR('Overzicht Vol &amp; Tar AD'!H247),0,'Overzicht Vol &amp; Tar AD'!H247)</f>
        <v>704.87</v>
      </c>
      <c r="I247" s="876">
        <f>IF(ISERROR('Overzicht Vol &amp; Tar AD'!I247),0,'Overzicht Vol &amp; Tar AD'!I247)</f>
        <v>725</v>
      </c>
      <c r="J247" s="876">
        <f>IF(ISERROR('Overzicht Vol &amp; Tar AD'!J247),0,'Overzicht Vol &amp; Tar AD'!J247)</f>
        <v>717</v>
      </c>
      <c r="K247" s="876">
        <f>IF(ISERROR('Overzicht Vol &amp; Tar AD'!K247),0,'Overzicht Vol &amp; Tar AD'!K247)</f>
        <v>700</v>
      </c>
      <c r="L247" s="876">
        <f>IF(ISERROR('Overzicht Vol &amp; Tar AD'!L247),0,'Overzicht Vol &amp; Tar AD'!L247)</f>
        <v>815</v>
      </c>
      <c r="M247" s="876">
        <f>IF(ISERROR('Overzicht Vol &amp; Tar AD'!M247),0,'Overzicht Vol &amp; Tar AD'!M247)</f>
        <v>616</v>
      </c>
      <c r="N247" s="876">
        <f>IF(ISERROR('Overzicht Vol &amp; Tar AD'!N247),0,'Overzicht Vol &amp; Tar AD'!N247)</f>
        <v>780.19</v>
      </c>
    </row>
    <row r="248" spans="1:14">
      <c r="A248" s="66"/>
      <c r="B248" s="222" t="s">
        <v>253</v>
      </c>
      <c r="C248" s="59"/>
      <c r="D248" s="59" t="s">
        <v>338</v>
      </c>
      <c r="E248" s="67"/>
      <c r="F248" s="23"/>
      <c r="G248" s="876">
        <f>IF(ISERROR('Overzicht Vol &amp; Tar AD'!G248),0,'Overzicht Vol &amp; Tar AD'!G248)</f>
        <v>1118.0107042253521</v>
      </c>
      <c r="H248" s="876">
        <f>IF(ISERROR('Overzicht Vol &amp; Tar AD'!H248),0,'Overzicht Vol &amp; Tar AD'!H248)</f>
        <v>1105.0117016806723</v>
      </c>
      <c r="I248" s="876">
        <f>IF(ISERROR('Overzicht Vol &amp; Tar AD'!I248),0,'Overzicht Vol &amp; Tar AD'!I248)</f>
        <v>1088.1940593076511</v>
      </c>
      <c r="J248" s="876">
        <f>IF(ISERROR('Overzicht Vol &amp; Tar AD'!J248),0,'Overzicht Vol &amp; Tar AD'!J248)</f>
        <v>944.02119159431209</v>
      </c>
      <c r="K248" s="876">
        <f>IF(ISERROR('Overzicht Vol &amp; Tar AD'!K248),0,'Overzicht Vol &amp; Tar AD'!K248)</f>
        <v>1165.3871566657781</v>
      </c>
      <c r="L248" s="876">
        <f>IF(ISERROR('Overzicht Vol &amp; Tar AD'!L248),0,'Overzicht Vol &amp; Tar AD'!L248)</f>
        <v>1216.05</v>
      </c>
      <c r="M248" s="876">
        <f>IF(ISERROR('Overzicht Vol &amp; Tar AD'!M248),0,'Overzicht Vol &amp; Tar AD'!M248)</f>
        <v>1090.6206604325271</v>
      </c>
      <c r="N248" s="876">
        <f>IF(ISERROR('Overzicht Vol &amp; Tar AD'!N248),0,'Overzicht Vol &amp; Tar AD'!N248)</f>
        <v>1145.9998245614036</v>
      </c>
    </row>
    <row r="249" spans="1:14">
      <c r="A249" s="66"/>
      <c r="B249" s="222" t="s">
        <v>255</v>
      </c>
      <c r="C249" s="59"/>
      <c r="D249" s="59" t="s">
        <v>338</v>
      </c>
      <c r="E249" s="67"/>
      <c r="F249" s="23"/>
      <c r="G249" s="876">
        <f>IF(ISERROR('Overzicht Vol &amp; Tar AD'!G249),0,'Overzicht Vol &amp; Tar AD'!G249)</f>
        <v>14200.890540540538</v>
      </c>
      <c r="H249" s="876">
        <f>IF(ISERROR('Overzicht Vol &amp; Tar AD'!H249),0,'Overzicht Vol &amp; Tar AD'!H249)</f>
        <v>6474.1189422135149</v>
      </c>
      <c r="I249" s="876">
        <f>IF(ISERROR('Overzicht Vol &amp; Tar AD'!I249),0,'Overzicht Vol &amp; Tar AD'!I249)</f>
        <v>8705.1336492043083</v>
      </c>
      <c r="J249" s="876">
        <f>IF(ISERROR('Overzicht Vol &amp; Tar AD'!J249),0,'Overzicht Vol &amp; Tar AD'!J249)</f>
        <v>5587.9286905991612</v>
      </c>
      <c r="K249" s="876">
        <f>IF(ISERROR('Overzicht Vol &amp; Tar AD'!K249),0,'Overzicht Vol &amp; Tar AD'!K249)</f>
        <v>8665.6720632685556</v>
      </c>
      <c r="L249" s="876">
        <f>IF(ISERROR('Overzicht Vol &amp; Tar AD'!L249),0,'Overzicht Vol &amp; Tar AD'!L249)</f>
        <v>7416.8181818181811</v>
      </c>
      <c r="M249" s="876">
        <f>IF(ISERROR('Overzicht Vol &amp; Tar AD'!M249),0,'Overzicht Vol &amp; Tar AD'!M249)</f>
        <v>8886.957822337281</v>
      </c>
      <c r="N249" s="876">
        <f>IF(ISERROR('Overzicht Vol &amp; Tar AD'!N249),0,'Overzicht Vol &amp; Tar AD'!N249)</f>
        <v>6239.6954237288137</v>
      </c>
    </row>
    <row r="250" spans="1:14">
      <c r="A250" s="66"/>
      <c r="B250" s="222" t="s">
        <v>254</v>
      </c>
      <c r="C250" s="59"/>
      <c r="D250" s="59" t="s">
        <v>338</v>
      </c>
      <c r="E250" s="67"/>
      <c r="F250" s="23"/>
      <c r="G250" s="876">
        <f>IF(ISERROR('Overzicht Vol &amp; Tar AD'!G250),0,'Overzicht Vol &amp; Tar AD'!G250)</f>
        <v>211039.72999999998</v>
      </c>
      <c r="H250" s="876">
        <f>IF(ISERROR('Overzicht Vol &amp; Tar AD'!H250),0,'Overzicht Vol &amp; Tar AD'!H250)</f>
        <v>156932.06666666665</v>
      </c>
      <c r="I250" s="876">
        <f>IF(ISERROR('Overzicht Vol &amp; Tar AD'!I250),0,'Overzicht Vol &amp; Tar AD'!I250)</f>
        <v>67745.585434795066</v>
      </c>
      <c r="J250" s="876">
        <f>IF(ISERROR('Overzicht Vol &amp; Tar AD'!J250),0,'Overzicht Vol &amp; Tar AD'!J250)</f>
        <v>35908.473165744872</v>
      </c>
      <c r="K250" s="876">
        <f>IF(ISERROR('Overzicht Vol &amp; Tar AD'!K250),0,'Overzicht Vol &amp; Tar AD'!K250)</f>
        <v>95433.21701795148</v>
      </c>
      <c r="L250" s="876">
        <f>IF(ISERROR('Overzicht Vol &amp; Tar AD'!L250),0,'Overzicht Vol &amp; Tar AD'!L250)</f>
        <v>64755</v>
      </c>
      <c r="M250" s="876">
        <f>IF(ISERROR('Overzicht Vol &amp; Tar AD'!M250),0,'Overzicht Vol &amp; Tar AD'!M250)</f>
        <v>83525.258310990801</v>
      </c>
      <c r="N250" s="876">
        <f>IF(ISERROR('Overzicht Vol &amp; Tar AD'!N250),0,'Overzicht Vol &amp; Tar AD'!N250)</f>
        <v>75084.316111111097</v>
      </c>
    </row>
    <row r="251" spans="1:14">
      <c r="A251" s="66"/>
      <c r="B251" s="214"/>
      <c r="C251" s="59"/>
      <c r="D251" s="59"/>
      <c r="E251" s="59"/>
      <c r="F251" s="23"/>
      <c r="G251" s="88"/>
      <c r="H251" s="88"/>
      <c r="I251" s="88"/>
      <c r="J251" s="88"/>
      <c r="K251" s="88"/>
      <c r="L251" s="88"/>
      <c r="M251" s="88"/>
      <c r="N251" s="88"/>
    </row>
    <row r="252" spans="1:14">
      <c r="A252" s="66"/>
      <c r="B252" s="206" t="s">
        <v>329</v>
      </c>
      <c r="C252" s="59"/>
      <c r="D252" s="59"/>
      <c r="E252" s="60"/>
      <c r="F252" s="23"/>
      <c r="G252" s="88"/>
      <c r="H252" s="88"/>
      <c r="I252" s="88"/>
      <c r="J252" s="88"/>
      <c r="K252" s="88"/>
      <c r="L252" s="88"/>
      <c r="M252" s="88"/>
      <c r="N252" s="88"/>
    </row>
    <row r="253" spans="1:14">
      <c r="A253" s="66"/>
      <c r="B253" s="222" t="s">
        <v>251</v>
      </c>
      <c r="C253" s="59"/>
      <c r="D253" s="59" t="s">
        <v>338</v>
      </c>
      <c r="E253" s="67"/>
      <c r="F253" s="23"/>
      <c r="G253" s="876">
        <f>IF(ISERROR('Overzicht Vol &amp; Tar AD'!G253),0,'Overzicht Vol &amp; Tar AD'!G253)</f>
        <v>21.01</v>
      </c>
      <c r="H253" s="876">
        <f>IF(ISERROR('Overzicht Vol &amp; Tar AD'!H253),0,'Overzicht Vol &amp; Tar AD'!H253)</f>
        <v>18.440000000000001</v>
      </c>
      <c r="I253" s="876">
        <f>IF(ISERROR('Overzicht Vol &amp; Tar AD'!I253),0,'Overzicht Vol &amp; Tar AD'!I253)</f>
        <v>30.6</v>
      </c>
      <c r="J253" s="876">
        <f>IF(ISERROR('Overzicht Vol &amp; Tar AD'!J253),0,'Overzicht Vol &amp; Tar AD'!J253)</f>
        <v>17.5</v>
      </c>
      <c r="K253" s="876">
        <f>IF(ISERROR('Overzicht Vol &amp; Tar AD'!K253),0,'Overzicht Vol &amp; Tar AD'!K253)</f>
        <v>20.9</v>
      </c>
      <c r="L253" s="876">
        <f>IF(ISERROR('Overzicht Vol &amp; Tar AD'!L253),0,'Overzicht Vol &amp; Tar AD'!L253)</f>
        <v>23.5</v>
      </c>
      <c r="M253" s="876">
        <f>IF(ISERROR('Overzicht Vol &amp; Tar AD'!M253),0,'Overzicht Vol &amp; Tar AD'!M253)</f>
        <v>20.9</v>
      </c>
      <c r="N253" s="876">
        <f>IF(ISERROR('Overzicht Vol &amp; Tar AD'!N253),0,'Overzicht Vol &amp; Tar AD'!N253)</f>
        <v>20.32</v>
      </c>
    </row>
    <row r="254" spans="1:14">
      <c r="A254" s="66"/>
      <c r="B254" s="222" t="s">
        <v>252</v>
      </c>
      <c r="C254" s="59"/>
      <c r="D254" s="59" t="s">
        <v>338</v>
      </c>
      <c r="E254" s="67"/>
      <c r="F254" s="23"/>
      <c r="G254" s="876">
        <f>IF(ISERROR('Overzicht Vol &amp; Tar AD'!G254),0,'Overzicht Vol &amp; Tar AD'!G254)</f>
        <v>21.37</v>
      </c>
      <c r="H254" s="876">
        <f>IF(ISERROR('Overzicht Vol &amp; Tar AD'!H254),0,'Overzicht Vol &amp; Tar AD'!H254)</f>
        <v>30.02</v>
      </c>
      <c r="I254" s="876">
        <f>IF(ISERROR('Overzicht Vol &amp; Tar AD'!I254),0,'Overzicht Vol &amp; Tar AD'!I254)</f>
        <v>31.699999999999996</v>
      </c>
      <c r="J254" s="876">
        <f>IF(ISERROR('Overzicht Vol &amp; Tar AD'!J254),0,'Overzicht Vol &amp; Tar AD'!J254)</f>
        <v>19.899999999999999</v>
      </c>
      <c r="K254" s="876">
        <f>IF(ISERROR('Overzicht Vol &amp; Tar AD'!K254),0,'Overzicht Vol &amp; Tar AD'!K254)</f>
        <v>27.6</v>
      </c>
      <c r="L254" s="876">
        <f>IF(ISERROR('Overzicht Vol &amp; Tar AD'!L254),0,'Overzicht Vol &amp; Tar AD'!L254)</f>
        <v>27.5</v>
      </c>
      <c r="M254" s="876">
        <f>IF(ISERROR('Overzicht Vol &amp; Tar AD'!M254),0,'Overzicht Vol &amp; Tar AD'!M254)</f>
        <v>29.3</v>
      </c>
      <c r="N254" s="876">
        <f>IF(ISERROR('Overzicht Vol &amp; Tar AD'!N254),0,'Overzicht Vol &amp; Tar AD'!N254)</f>
        <v>29.35</v>
      </c>
    </row>
    <row r="255" spans="1:14">
      <c r="A255" s="66"/>
      <c r="B255" s="222" t="s">
        <v>253</v>
      </c>
      <c r="C255" s="59"/>
      <c r="D255" s="59" t="s">
        <v>338</v>
      </c>
      <c r="E255" s="67"/>
      <c r="F255" s="23"/>
      <c r="G255" s="876">
        <f>IF(ISERROR('Overzicht Vol &amp; Tar AD'!G255),0,'Overzicht Vol &amp; Tar AD'!G255)</f>
        <v>29.919999999999998</v>
      </c>
      <c r="H255" s="876">
        <f>IF(ISERROR('Overzicht Vol &amp; Tar AD'!H255),0,'Overzicht Vol &amp; Tar AD'!H255)</f>
        <v>38.18917085427136</v>
      </c>
      <c r="I255" s="876">
        <f>IF(ISERROR('Overzicht Vol &amp; Tar AD'!I255),0,'Overzicht Vol &amp; Tar AD'!I255)</f>
        <v>41.069982334674634</v>
      </c>
      <c r="J255" s="876">
        <f>IF(ISERROR('Overzicht Vol &amp; Tar AD'!J255),0,'Overzicht Vol &amp; Tar AD'!J255)</f>
        <v>25.789946401286766</v>
      </c>
      <c r="K255" s="876">
        <f>IF(ISERROR('Overzicht Vol &amp; Tar AD'!K255),0,'Overzicht Vol &amp; Tar AD'!K255)</f>
        <v>36.787173425538256</v>
      </c>
      <c r="L255" s="876">
        <f>IF(ISERROR('Overzicht Vol &amp; Tar AD'!L255),0,'Overzicht Vol &amp; Tar AD'!L255)</f>
        <v>35.542056074766357</v>
      </c>
      <c r="M255" s="876">
        <f>IF(ISERROR('Overzicht Vol &amp; Tar AD'!M255),0,'Overzicht Vol &amp; Tar AD'!M255)</f>
        <v>37.2771758745033</v>
      </c>
      <c r="N255" s="876">
        <f>IF(ISERROR('Overzicht Vol &amp; Tar AD'!N255),0,'Overzicht Vol &amp; Tar AD'!N255)</f>
        <v>34.782665562913905</v>
      </c>
    </row>
    <row r="256" spans="1:14">
      <c r="A256" s="66"/>
      <c r="B256" s="222" t="s">
        <v>255</v>
      </c>
      <c r="C256" s="59"/>
      <c r="D256" s="59" t="s">
        <v>338</v>
      </c>
      <c r="E256" s="67"/>
      <c r="F256" s="23"/>
      <c r="G256" s="876">
        <f>IF(ISERROR('Overzicht Vol &amp; Tar AD'!G256),0,'Overzicht Vol &amp; Tar AD'!G256)</f>
        <v>68.660940082644629</v>
      </c>
      <c r="H256" s="876">
        <f>IF(ISERROR('Overzicht Vol &amp; Tar AD'!H256),0,'Overzicht Vol &amp; Tar AD'!H256)</f>
        <v>61.928230402016197</v>
      </c>
      <c r="I256" s="876">
        <f>IF(ISERROR('Overzicht Vol &amp; Tar AD'!I256),0,'Overzicht Vol &amp; Tar AD'!I256)</f>
        <v>75.667095176285784</v>
      </c>
      <c r="J256" s="876">
        <f>IF(ISERROR('Overzicht Vol &amp; Tar AD'!J256),0,'Overzicht Vol &amp; Tar AD'!J256)</f>
        <v>37.32540018080946</v>
      </c>
      <c r="K256" s="876">
        <f>IF(ISERROR('Overzicht Vol &amp; Tar AD'!K256),0,'Overzicht Vol &amp; Tar AD'!K256)</f>
        <v>61.710192833949932</v>
      </c>
      <c r="L256" s="876">
        <f>IF(ISERROR('Overzicht Vol &amp; Tar AD'!L256),0,'Overzicht Vol &amp; Tar AD'!L256)</f>
        <v>60.171204188481674</v>
      </c>
      <c r="M256" s="876">
        <f>IF(ISERROR('Overzicht Vol &amp; Tar AD'!M256),0,'Overzicht Vol &amp; Tar AD'!M256)</f>
        <v>59.735649699023455</v>
      </c>
      <c r="N256" s="876">
        <f>IF(ISERROR('Overzicht Vol &amp; Tar AD'!N256),0,'Overzicht Vol &amp; Tar AD'!N256)</f>
        <v>89.571230697859363</v>
      </c>
    </row>
    <row r="257" spans="1:67">
      <c r="A257" s="66"/>
      <c r="B257" s="222" t="s">
        <v>254</v>
      </c>
      <c r="C257" s="59"/>
      <c r="D257" s="59" t="s">
        <v>338</v>
      </c>
      <c r="E257" s="67"/>
      <c r="F257" s="23"/>
      <c r="G257" s="876">
        <f>IF(ISERROR('Overzicht Vol &amp; Tar AD'!G257),0,'Overzicht Vol &amp; Tar AD'!G257)</f>
        <v>182.41</v>
      </c>
      <c r="H257" s="876">
        <f>IF(ISERROR('Overzicht Vol &amp; Tar AD'!H257),0,'Overzicht Vol &amp; Tar AD'!H257)</f>
        <v>169.63522167487687</v>
      </c>
      <c r="I257" s="876">
        <f>IF(ISERROR('Overzicht Vol &amp; Tar AD'!I257),0,'Overzicht Vol &amp; Tar AD'!I257)</f>
        <v>188.40408734282968</v>
      </c>
      <c r="J257" s="876">
        <f>IF(ISERROR('Overzicht Vol &amp; Tar AD'!J257),0,'Overzicht Vol &amp; Tar AD'!J257)</f>
        <v>95.012197144290766</v>
      </c>
      <c r="K257" s="876">
        <f>IF(ISERROR('Overzicht Vol &amp; Tar AD'!K257),0,'Overzicht Vol &amp; Tar AD'!K257)</f>
        <v>172.0292885617302</v>
      </c>
      <c r="L257" s="876">
        <f>IF(ISERROR('Overzicht Vol &amp; Tar AD'!L257),0,'Overzicht Vol &amp; Tar AD'!L257)</f>
        <v>133.69999999999999</v>
      </c>
      <c r="M257" s="876">
        <f>IF(ISERROR('Overzicht Vol &amp; Tar AD'!M257),0,'Overzicht Vol &amp; Tar AD'!M257)</f>
        <v>164.86301681391964</v>
      </c>
      <c r="N257" s="876">
        <f>IF(ISERROR('Overzicht Vol &amp; Tar AD'!N257),0,'Overzicht Vol &amp; Tar AD'!N257)</f>
        <v>167.24179738562088</v>
      </c>
    </row>
    <row r="258" spans="1:67">
      <c r="A258"/>
      <c r="B258" s="217"/>
      <c r="C258"/>
      <c r="D258"/>
      <c r="E258"/>
      <c r="F258"/>
      <c r="G258"/>
      <c r="H258"/>
      <c r="I258"/>
      <c r="J258"/>
      <c r="K258"/>
      <c r="L258"/>
      <c r="M258"/>
      <c r="N258"/>
    </row>
    <row r="259" spans="1:67">
      <c r="B259" s="217"/>
    </row>
    <row r="260" spans="1:67">
      <c r="A260" s="64"/>
      <c r="B260" s="204" t="s">
        <v>924</v>
      </c>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row>
    <row r="261" spans="1:67">
      <c r="B261" s="206"/>
    </row>
    <row r="262" spans="1:67">
      <c r="B262" s="206" t="s">
        <v>922</v>
      </c>
    </row>
    <row r="263" spans="1:67">
      <c r="B263" s="214" t="s">
        <v>251</v>
      </c>
      <c r="D263" s="59" t="s">
        <v>164</v>
      </c>
      <c r="F263" s="90">
        <f>SUM(G263:N263)</f>
        <v>2638439.5400584475</v>
      </c>
      <c r="G263" s="211">
        <f>IF(ISERROR('Overzicht Vol &amp; Tar AD'!G263),0,'Overzicht Vol &amp; Tar AD'!G263)</f>
        <v>23252.333333333332</v>
      </c>
      <c r="H263" s="211">
        <f>IF(ISERROR('Overzicht Vol &amp; Tar AD'!H263),0,'Overzicht Vol &amp; Tar AD'!H263)</f>
        <v>86556.777777777796</v>
      </c>
      <c r="I263" s="211">
        <f>IF(ISERROR('Overzicht Vol &amp; Tar AD'!I263),0,'Overzicht Vol &amp; Tar AD'!I263)</f>
        <v>44664.666666666664</v>
      </c>
      <c r="J263" s="211">
        <f>IF(ISERROR('Overzicht Vol &amp; Tar AD'!J263),0,'Overzicht Vol &amp; Tar AD'!J263)</f>
        <v>1097407.0757186192</v>
      </c>
      <c r="K263" s="211">
        <f>IF(ISERROR('Overzicht Vol &amp; Tar AD'!K263),0,'Overzicht Vol &amp; Tar AD'!K263)</f>
        <v>757955.35573660675</v>
      </c>
      <c r="L263" s="211">
        <f>IF(ISERROR('Overzicht Vol &amp; Tar AD'!L263),0,'Overzicht Vol &amp; Tar AD'!L263)</f>
        <v>18684.833333333332</v>
      </c>
      <c r="M263" s="211">
        <f>IF(ISERROR('Overzicht Vol &amp; Tar AD'!M263),0,'Overzicht Vol &amp; Tar AD'!M263)</f>
        <v>585422.9322591332</v>
      </c>
      <c r="N263" s="211">
        <f>IF(ISERROR('Overzicht Vol &amp; Tar AD'!N263),0,'Overzicht Vol &amp; Tar AD'!N263)</f>
        <v>24495.565232977297</v>
      </c>
    </row>
    <row r="264" spans="1:67">
      <c r="B264" s="214" t="s">
        <v>252</v>
      </c>
      <c r="D264" s="59" t="s">
        <v>164</v>
      </c>
      <c r="F264" s="90">
        <f t="shared" ref="F264:F270" si="4">SUM(G264:N264)</f>
        <v>7527688.5057244059</v>
      </c>
      <c r="G264" s="211">
        <f>IF(ISERROR('Overzicht Vol &amp; Tar AD'!G264),0,'Overzicht Vol &amp; Tar AD'!G264)</f>
        <v>50433.743589743586</v>
      </c>
      <c r="H264" s="211">
        <f>IF(ISERROR('Overzicht Vol &amp; Tar AD'!H264),0,'Overzicht Vol &amp; Tar AD'!H264)</f>
        <v>197052.38888888891</v>
      </c>
      <c r="I264" s="211">
        <f>IF(ISERROR('Overzicht Vol &amp; Tar AD'!I264),0,'Overzicht Vol &amp; Tar AD'!I264)</f>
        <v>101046.66666666667</v>
      </c>
      <c r="J264" s="211">
        <f>IF(ISERROR('Overzicht Vol &amp; Tar AD'!J264),0,'Overzicht Vol &amp; Tar AD'!J264)</f>
        <v>2438235.0180991953</v>
      </c>
      <c r="K264" s="211">
        <f>IF(ISERROR('Overzicht Vol &amp; Tar AD'!K264),0,'Overzicht Vol &amp; Tar AD'!K264)</f>
        <v>2765769.1496971273</v>
      </c>
      <c r="L264" s="211">
        <f>IF(ISERROR('Overzicht Vol &amp; Tar AD'!L264),0,'Overzicht Vol &amp; Tar AD'!L264)</f>
        <v>30132.933333333331</v>
      </c>
      <c r="M264" s="211">
        <f>IF(ISERROR('Overzicht Vol &amp; Tar AD'!M264),0,'Overzicht Vol &amp; Tar AD'!M264)</f>
        <v>1895009.4118550618</v>
      </c>
      <c r="N264" s="211">
        <f>IF(ISERROR('Overzicht Vol &amp; Tar AD'!N264),0,'Overzicht Vol &amp; Tar AD'!N264)</f>
        <v>50009.193594389937</v>
      </c>
    </row>
    <row r="265" spans="1:67">
      <c r="B265" s="214" t="s">
        <v>253</v>
      </c>
      <c r="D265" s="59" t="s">
        <v>164</v>
      </c>
      <c r="F265" s="90">
        <f t="shared" si="4"/>
        <v>342349.5528141539</v>
      </c>
      <c r="G265" s="211">
        <f>IF(ISERROR('Overzicht Vol &amp; Tar AD'!G265),0,'Overzicht Vol &amp; Tar AD'!G265)</f>
        <v>1683.2564102564102</v>
      </c>
      <c r="H265" s="211">
        <f>IF(ISERROR('Overzicht Vol &amp; Tar AD'!H265),0,'Overzicht Vol &amp; Tar AD'!H265)</f>
        <v>8222.25</v>
      </c>
      <c r="I265" s="211">
        <f>IF(ISERROR('Overzicht Vol &amp; Tar AD'!I265),0,'Overzicht Vol &amp; Tar AD'!I265)</f>
        <v>3462.6666666666665</v>
      </c>
      <c r="J265" s="211">
        <f>IF(ISERROR('Overzicht Vol &amp; Tar AD'!J265),0,'Overzicht Vol &amp; Tar AD'!J265)</f>
        <v>125584.99373603147</v>
      </c>
      <c r="K265" s="211">
        <f>IF(ISERROR('Overzicht Vol &amp; Tar AD'!K265),0,'Overzicht Vol &amp; Tar AD'!K265)</f>
        <v>116312.70902675971</v>
      </c>
      <c r="L265" s="211">
        <f>IF(ISERROR('Overzicht Vol &amp; Tar AD'!L265),0,'Overzicht Vol &amp; Tar AD'!L265)</f>
        <v>1220.4666666666669</v>
      </c>
      <c r="M265" s="211">
        <f>IF(ISERROR('Overzicht Vol &amp; Tar AD'!M265),0,'Overzicht Vol &amp; Tar AD'!M265)</f>
        <v>82451.631432669485</v>
      </c>
      <c r="N265" s="211">
        <f>IF(ISERROR('Overzicht Vol &amp; Tar AD'!N265),0,'Overzicht Vol &amp; Tar AD'!N265)</f>
        <v>3411.5788751034988</v>
      </c>
    </row>
    <row r="266" spans="1:67">
      <c r="B266" s="214" t="s">
        <v>255</v>
      </c>
      <c r="D266" s="59" t="s">
        <v>164</v>
      </c>
      <c r="F266" s="90">
        <f t="shared" si="4"/>
        <v>40954.832268082544</v>
      </c>
      <c r="G266" s="211">
        <f>IF(ISERROR('Overzicht Vol &amp; Tar AD'!G266),0,'Overzicht Vol &amp; Tar AD'!G266)</f>
        <v>309</v>
      </c>
      <c r="H266" s="211">
        <f>IF(ISERROR('Overzicht Vol &amp; Tar AD'!H266),0,'Overzicht Vol &amp; Tar AD'!H266)</f>
        <v>1532.75</v>
      </c>
      <c r="I266" s="211">
        <f>IF(ISERROR('Overzicht Vol &amp; Tar AD'!I266),0,'Overzicht Vol &amp; Tar AD'!I266)</f>
        <v>692</v>
      </c>
      <c r="J266" s="211">
        <f>IF(ISERROR('Overzicht Vol &amp; Tar AD'!J266),0,'Overzicht Vol &amp; Tar AD'!J266)</f>
        <v>13138.854708250414</v>
      </c>
      <c r="K266" s="211">
        <f>IF(ISERROR('Overzicht Vol &amp; Tar AD'!K266),0,'Overzicht Vol &amp; Tar AD'!K266)</f>
        <v>14151.977613911382</v>
      </c>
      <c r="L266" s="211">
        <f>IF(ISERROR('Overzicht Vol &amp; Tar AD'!L266),0,'Overzicht Vol &amp; Tar AD'!L266)</f>
        <v>134.41666666666666</v>
      </c>
      <c r="M266" s="211">
        <f>IF(ISERROR('Overzicht Vol &amp; Tar AD'!M266),0,'Overzicht Vol &amp; Tar AD'!M266)</f>
        <v>10029.616161616163</v>
      </c>
      <c r="N266" s="211">
        <f>IF(ISERROR('Overzicht Vol &amp; Tar AD'!N266),0,'Overzicht Vol &amp; Tar AD'!N266)</f>
        <v>966.21711763791507</v>
      </c>
    </row>
    <row r="267" spans="1:67">
      <c r="B267" s="214" t="s">
        <v>261</v>
      </c>
      <c r="D267" s="59" t="s">
        <v>164</v>
      </c>
      <c r="F267" s="90">
        <f t="shared" si="4"/>
        <v>32274.697059674018</v>
      </c>
      <c r="G267" s="211">
        <f>IF(ISERROR('Overzicht Vol &amp; Tar AD'!G267),0,'Overzicht Vol &amp; Tar AD'!G267)</f>
        <v>247.15384615384616</v>
      </c>
      <c r="H267" s="211">
        <f>IF(ISERROR('Overzicht Vol &amp; Tar AD'!H267),0,'Overzicht Vol &amp; Tar AD'!H267)</f>
        <v>411.36111111111114</v>
      </c>
      <c r="I267" s="211">
        <f>IF(ISERROR('Overzicht Vol &amp; Tar AD'!I267),0,'Overzicht Vol &amp; Tar AD'!I267)</f>
        <v>571</v>
      </c>
      <c r="J267" s="211">
        <f>IF(ISERROR('Overzicht Vol &amp; Tar AD'!J267),0,'Overzicht Vol &amp; Tar AD'!J267)</f>
        <v>14198.338953071201</v>
      </c>
      <c r="K267" s="211">
        <f>IF(ISERROR('Overzicht Vol &amp; Tar AD'!K267),0,'Overzicht Vol &amp; Tar AD'!K267)</f>
        <v>12567.016104666061</v>
      </c>
      <c r="L267" s="211">
        <f>IF(ISERROR('Overzicht Vol &amp; Tar AD'!L267),0,'Overzicht Vol &amp; Tar AD'!L267)</f>
        <v>148.45666666666668</v>
      </c>
      <c r="M267" s="211">
        <f>IF(ISERROR('Overzicht Vol &amp; Tar AD'!M267),0,'Overzicht Vol &amp; Tar AD'!M267)</f>
        <v>3729.2777777777769</v>
      </c>
      <c r="N267" s="211">
        <f>IF(ISERROR('Overzicht Vol &amp; Tar AD'!N267),0,'Overzicht Vol &amp; Tar AD'!N267)</f>
        <v>402.09260022735668</v>
      </c>
    </row>
    <row r="268" spans="1:67">
      <c r="B268" s="214" t="s">
        <v>262</v>
      </c>
      <c r="D268" s="59" t="s">
        <v>164</v>
      </c>
      <c r="F268" s="90">
        <f t="shared" si="4"/>
        <v>1222.3184235266795</v>
      </c>
      <c r="G268" s="211">
        <f>IF(ISERROR('Overzicht Vol &amp; Tar AD'!G268),0,'Overzicht Vol &amp; Tar AD'!G268)</f>
        <v>0</v>
      </c>
      <c r="H268" s="211">
        <f>IF(ISERROR('Overzicht Vol &amp; Tar AD'!H268),0,'Overzicht Vol &amp; Tar AD'!H268)</f>
        <v>10</v>
      </c>
      <c r="I268" s="211">
        <f>IF(ISERROR('Overzicht Vol &amp; Tar AD'!I268),0,'Overzicht Vol &amp; Tar AD'!I268)</f>
        <v>5</v>
      </c>
      <c r="J268" s="211">
        <f>IF(ISERROR('Overzicht Vol &amp; Tar AD'!J268),0,'Overzicht Vol &amp; Tar AD'!J268)</f>
        <v>861.25238750306903</v>
      </c>
      <c r="K268" s="211">
        <f>IF(ISERROR('Overzicht Vol &amp; Tar AD'!K268),0,'Overzicht Vol &amp; Tar AD'!K268)</f>
        <v>137.72459731723387</v>
      </c>
      <c r="L268" s="211">
        <f>IF(ISERROR('Overzicht Vol &amp; Tar AD'!L268),0,'Overzicht Vol &amp; Tar AD'!L268)</f>
        <v>1.9166666666666667</v>
      </c>
      <c r="M268" s="211">
        <f>IF(ISERROR('Overzicht Vol &amp; Tar AD'!M268),0,'Overzicht Vol &amp; Tar AD'!M268)</f>
        <v>175.41660301885881</v>
      </c>
      <c r="N268" s="211">
        <f>IF(ISERROR('Overzicht Vol &amp; Tar AD'!N268),0,'Overzicht Vol &amp; Tar AD'!N268)</f>
        <v>31.008169020850954</v>
      </c>
    </row>
    <row r="269" spans="1:67">
      <c r="B269" s="214"/>
      <c r="D269" s="59"/>
      <c r="F269" s="91"/>
      <c r="G269" s="91"/>
      <c r="H269" s="118"/>
      <c r="I269" s="118"/>
      <c r="J269" s="91"/>
      <c r="K269" s="118"/>
      <c r="L269" s="118"/>
      <c r="M269" s="118"/>
      <c r="N269" s="118"/>
    </row>
    <row r="270" spans="1:67">
      <c r="B270" s="214" t="s">
        <v>1096</v>
      </c>
      <c r="D270" s="59" t="s">
        <v>164</v>
      </c>
      <c r="F270" s="90">
        <f t="shared" si="4"/>
        <v>1257440.9699151672</v>
      </c>
      <c r="G270" s="211">
        <f>IF(ISERROR('Overzicht Vol &amp; Tar AD'!G270),0,'Overzicht Vol &amp; Tar AD'!G270)</f>
        <v>0</v>
      </c>
      <c r="H270" s="211">
        <f>IF(ISERROR('Overzicht Vol &amp; Tar AD'!H270),0,'Overzicht Vol &amp; Tar AD'!H270)</f>
        <v>23200</v>
      </c>
      <c r="I270" s="211">
        <f>IF(ISERROR('Overzicht Vol &amp; Tar AD'!I270),0,'Overzicht Vol &amp; Tar AD'!I270)</f>
        <v>2835</v>
      </c>
      <c r="J270" s="211">
        <f>IF(ISERROR('Overzicht Vol &amp; Tar AD'!J270),0,'Overzicht Vol &amp; Tar AD'!J270)</f>
        <v>210599.02193991194</v>
      </c>
      <c r="K270" s="211">
        <f>IF(ISERROR('Overzicht Vol &amp; Tar AD'!K270),0,'Overzicht Vol &amp; Tar AD'!K270)</f>
        <v>799535.61331670452</v>
      </c>
      <c r="L270" s="211">
        <f>IF(ISERROR('Overzicht Vol &amp; Tar AD'!L270),0,'Overzicht Vol &amp; Tar AD'!L270)</f>
        <v>8823.3333333333339</v>
      </c>
      <c r="M270" s="211">
        <f>IF(ISERROR('Overzicht Vol &amp; Tar AD'!M270),0,'Overzicht Vol &amp; Tar AD'!M270)</f>
        <v>207047.77742335352</v>
      </c>
      <c r="N270" s="211">
        <f>IF(ISERROR('Overzicht Vol &amp; Tar AD'!N270),0,'Overzicht Vol &amp; Tar AD'!N270)</f>
        <v>5400.2239018639511</v>
      </c>
    </row>
    <row r="271" spans="1:67">
      <c r="B271" s="214"/>
      <c r="D271" s="59"/>
      <c r="F271" s="91"/>
      <c r="G271" s="91"/>
      <c r="H271" s="118"/>
      <c r="I271" s="118"/>
      <c r="J271" s="91"/>
      <c r="K271" s="118"/>
      <c r="L271" s="118"/>
      <c r="M271" s="118"/>
      <c r="N271" s="118"/>
    </row>
    <row r="272" spans="1:67">
      <c r="B272" s="206" t="s">
        <v>923</v>
      </c>
      <c r="D272" s="59"/>
      <c r="F272" s="91"/>
      <c r="G272" s="91"/>
      <c r="H272" s="118"/>
      <c r="I272" s="118"/>
      <c r="J272" s="91"/>
      <c r="K272" s="118"/>
      <c r="L272" s="118"/>
      <c r="M272" s="118"/>
      <c r="N272" s="118"/>
    </row>
    <row r="273" spans="2:14">
      <c r="B273" s="206" t="s">
        <v>328</v>
      </c>
      <c r="D273" s="59"/>
      <c r="F273" s="91"/>
      <c r="G273" s="91"/>
      <c r="H273" s="118"/>
      <c r="I273" s="118"/>
      <c r="J273" s="91"/>
      <c r="K273" s="118"/>
      <c r="L273" s="118"/>
      <c r="M273" s="118"/>
      <c r="N273" s="118"/>
    </row>
    <row r="274" spans="2:14">
      <c r="B274" s="222" t="s">
        <v>251</v>
      </c>
      <c r="D274" s="59" t="s">
        <v>164</v>
      </c>
      <c r="F274" s="90">
        <f>SUM(G274:N274)</f>
        <v>43661.378608696919</v>
      </c>
      <c r="G274" s="211">
        <f>IF(ISERROR('Overzicht Vol &amp; Tar AD'!G274),0,'Overzicht Vol &amp; Tar AD'!G274)</f>
        <v>239.33333333333334</v>
      </c>
      <c r="H274" s="211">
        <f>IF(ISERROR('Overzicht Vol &amp; Tar AD'!H274),0,'Overzicht Vol &amp; Tar AD'!H274)</f>
        <v>1290</v>
      </c>
      <c r="I274" s="211">
        <f>IF(ISERROR('Overzicht Vol &amp; Tar AD'!I274),0,'Overzicht Vol &amp; Tar AD'!I274)</f>
        <v>744.53663683606328</v>
      </c>
      <c r="J274" s="211">
        <f>IF(ISERROR('Overzicht Vol &amp; Tar AD'!J274),0,'Overzicht Vol &amp; Tar AD'!J274)</f>
        <v>23978.365156737796</v>
      </c>
      <c r="K274" s="211">
        <f>IF(ISERROR('Overzicht Vol &amp; Tar AD'!K274),0,'Overzicht Vol &amp; Tar AD'!K274)</f>
        <v>9302</v>
      </c>
      <c r="L274" s="211">
        <f>IF(ISERROR('Overzicht Vol &amp; Tar AD'!L274),0,'Overzicht Vol &amp; Tar AD'!L274)</f>
        <v>441</v>
      </c>
      <c r="M274" s="211">
        <f>IF(ISERROR('Overzicht Vol &amp; Tar AD'!M274),0,'Overzicht Vol &amp; Tar AD'!M274)</f>
        <v>7218.8101484563858</v>
      </c>
      <c r="N274" s="211">
        <f>IF(ISERROR('Overzicht Vol &amp; Tar AD'!N274),0,'Overzicht Vol &amp; Tar AD'!N274)</f>
        <v>447.33333333333331</v>
      </c>
    </row>
    <row r="275" spans="2:14">
      <c r="B275" s="222" t="s">
        <v>252</v>
      </c>
      <c r="D275" s="59" t="s">
        <v>164</v>
      </c>
      <c r="F275" s="90">
        <f>SUM(G275:N275)</f>
        <v>70635.056416203428</v>
      </c>
      <c r="G275" s="211">
        <f>IF(ISERROR('Overzicht Vol &amp; Tar AD'!G275),0,'Overzicht Vol &amp; Tar AD'!G275)</f>
        <v>222.66666666666666</v>
      </c>
      <c r="H275" s="211">
        <f>IF(ISERROR('Overzicht Vol &amp; Tar AD'!H275),0,'Overzicht Vol &amp; Tar AD'!H275)</f>
        <v>1750.6666666666667</v>
      </c>
      <c r="I275" s="211">
        <f>IF(ISERROR('Overzicht Vol &amp; Tar AD'!I275),0,'Overzicht Vol &amp; Tar AD'!I275)</f>
        <v>843.24900389512788</v>
      </c>
      <c r="J275" s="211">
        <f>IF(ISERROR('Overzicht Vol &amp; Tar AD'!J275),0,'Overzicht Vol &amp; Tar AD'!J275)</f>
        <v>21585.902037927353</v>
      </c>
      <c r="K275" s="211">
        <f>IF(ISERROR('Overzicht Vol &amp; Tar AD'!K275),0,'Overzicht Vol &amp; Tar AD'!K275)</f>
        <v>28544.590342052314</v>
      </c>
      <c r="L275" s="211">
        <f>IF(ISERROR('Overzicht Vol &amp; Tar AD'!L275),0,'Overzicht Vol &amp; Tar AD'!L275)</f>
        <v>234.66666666666666</v>
      </c>
      <c r="M275" s="211">
        <f>IF(ISERROR('Overzicht Vol &amp; Tar AD'!M275),0,'Overzicht Vol &amp; Tar AD'!M275)</f>
        <v>16455.64836566196</v>
      </c>
      <c r="N275" s="211">
        <f>IF(ISERROR('Overzicht Vol &amp; Tar AD'!N275),0,'Overzicht Vol &amp; Tar AD'!N275)</f>
        <v>997.66666666666663</v>
      </c>
    </row>
    <row r="276" spans="2:14">
      <c r="B276" s="222" t="s">
        <v>253</v>
      </c>
      <c r="D276" s="59" t="s">
        <v>164</v>
      </c>
      <c r="F276" s="90">
        <f>SUM(G276:N276)</f>
        <v>8589.4289824406405</v>
      </c>
      <c r="G276" s="211">
        <f>IF(ISERROR('Overzicht Vol &amp; Tar AD'!G276),0,'Overzicht Vol &amp; Tar AD'!G276)</f>
        <v>23.666666666666664</v>
      </c>
      <c r="H276" s="211">
        <f>IF(ISERROR('Overzicht Vol &amp; Tar AD'!H276),0,'Overzicht Vol &amp; Tar AD'!H276)</f>
        <v>317.33333333333331</v>
      </c>
      <c r="I276" s="211">
        <f>IF(ISERROR('Overzicht Vol &amp; Tar AD'!I276),0,'Overzicht Vol &amp; Tar AD'!I276)</f>
        <v>97.473697737579812</v>
      </c>
      <c r="J276" s="211">
        <f>IF(ISERROR('Overzicht Vol &amp; Tar AD'!J276),0,'Overzicht Vol &amp; Tar AD'!J276)</f>
        <v>2298.2466467360064</v>
      </c>
      <c r="K276" s="211">
        <f>IF(ISERROR('Overzicht Vol &amp; Tar AD'!K276),0,'Overzicht Vol &amp; Tar AD'!K276)</f>
        <v>3655.6141999052179</v>
      </c>
      <c r="L276" s="211">
        <f>IF(ISERROR('Overzicht Vol &amp; Tar AD'!L276),0,'Overzicht Vol &amp; Tar AD'!L276)</f>
        <v>26.666666666666668</v>
      </c>
      <c r="M276" s="211">
        <f>IF(ISERROR('Overzicht Vol &amp; Tar AD'!M276),0,'Overzicht Vol &amp; Tar AD'!M276)</f>
        <v>2094.4277713951701</v>
      </c>
      <c r="N276" s="211">
        <f>IF(ISERROR('Overzicht Vol &amp; Tar AD'!N276),0,'Overzicht Vol &amp; Tar AD'!N276)</f>
        <v>76</v>
      </c>
    </row>
    <row r="277" spans="2:14">
      <c r="B277" s="222" t="s">
        <v>255</v>
      </c>
      <c r="D277" s="59" t="s">
        <v>164</v>
      </c>
      <c r="F277" s="90">
        <f>SUM(G277:N277)</f>
        <v>2316.1351273600435</v>
      </c>
      <c r="G277" s="211">
        <f>IF(ISERROR('Overzicht Vol &amp; Tar AD'!G277),0,'Overzicht Vol &amp; Tar AD'!G277)</f>
        <v>12.333333333333334</v>
      </c>
      <c r="H277" s="211">
        <f>IF(ISERROR('Overzicht Vol &amp; Tar AD'!H277),0,'Overzicht Vol &amp; Tar AD'!H277)</f>
        <v>68.066666666666663</v>
      </c>
      <c r="I277" s="211">
        <f>IF(ISERROR('Overzicht Vol &amp; Tar AD'!I277),0,'Overzicht Vol &amp; Tar AD'!I277)</f>
        <v>24.678589347412554</v>
      </c>
      <c r="J277" s="211">
        <f>IF(ISERROR('Overzicht Vol &amp; Tar AD'!J277),0,'Overzicht Vol &amp; Tar AD'!J277)</f>
        <v>1008.7039834871424</v>
      </c>
      <c r="K277" s="211">
        <f>IF(ISERROR('Overzicht Vol &amp; Tar AD'!K277),0,'Overzicht Vol &amp; Tar AD'!K277)</f>
        <v>731.05800305308401</v>
      </c>
      <c r="L277" s="211">
        <f>IF(ISERROR('Overzicht Vol &amp; Tar AD'!L277),0,'Overzicht Vol &amp; Tar AD'!L277)</f>
        <v>7.333333333333333</v>
      </c>
      <c r="M277" s="211">
        <f>IF(ISERROR('Overzicht Vol &amp; Tar AD'!M277),0,'Overzicht Vol &amp; Tar AD'!M277)</f>
        <v>444.29455147240509</v>
      </c>
      <c r="N277" s="211">
        <f>IF(ISERROR('Overzicht Vol &amp; Tar AD'!N277),0,'Overzicht Vol &amp; Tar AD'!N277)</f>
        <v>19.666666666666664</v>
      </c>
    </row>
    <row r="278" spans="2:14">
      <c r="B278" s="222" t="s">
        <v>254</v>
      </c>
      <c r="D278" s="59" t="s">
        <v>164</v>
      </c>
      <c r="F278" s="90">
        <f>SUM(G278:N278)</f>
        <v>254.97589848360025</v>
      </c>
      <c r="G278" s="211">
        <f>IF(ISERROR('Overzicht Vol &amp; Tar AD'!G278),0,'Overzicht Vol &amp; Tar AD'!G278)</f>
        <v>0.33333333333333331</v>
      </c>
      <c r="H278" s="211">
        <f>IF(ISERROR('Overzicht Vol &amp; Tar AD'!H278),0,'Overzicht Vol &amp; Tar AD'!H278)</f>
        <v>2</v>
      </c>
      <c r="I278" s="211">
        <f>IF(ISERROR('Overzicht Vol &amp; Tar AD'!I278),0,'Overzicht Vol &amp; Tar AD'!I278)</f>
        <v>2.4939880561719843</v>
      </c>
      <c r="J278" s="211">
        <f>IF(ISERROR('Overzicht Vol &amp; Tar AD'!J278),0,'Overzicht Vol &amp; Tar AD'!J278)</f>
        <v>108.02731041854648</v>
      </c>
      <c r="K278" s="211">
        <f>IF(ISERROR('Overzicht Vol &amp; Tar AD'!K278),0,'Overzicht Vol &amp; Tar AD'!K278)</f>
        <v>84.052543116467049</v>
      </c>
      <c r="L278" s="211">
        <f>IF(ISERROR('Overzicht Vol &amp; Tar AD'!L278),0,'Overzicht Vol &amp; Tar AD'!L278)</f>
        <v>0.33333333333333331</v>
      </c>
      <c r="M278" s="211">
        <f>IF(ISERROR('Overzicht Vol &amp; Tar AD'!M278),0,'Overzicht Vol &amp; Tar AD'!M278)</f>
        <v>51.735390225748048</v>
      </c>
      <c r="N278" s="211">
        <f>IF(ISERROR('Overzicht Vol &amp; Tar AD'!N278),0,'Overzicht Vol &amp; Tar AD'!N278)</f>
        <v>6</v>
      </c>
    </row>
    <row r="279" spans="2:14">
      <c r="B279" s="214"/>
      <c r="D279" s="59"/>
      <c r="F279" s="91"/>
      <c r="G279" s="91"/>
      <c r="H279" s="91"/>
      <c r="I279" s="91"/>
      <c r="J279" s="91"/>
      <c r="K279" s="91"/>
      <c r="L279" s="91"/>
      <c r="M279" s="91"/>
      <c r="N279" s="91"/>
    </row>
    <row r="280" spans="2:14">
      <c r="B280" s="206" t="s">
        <v>329</v>
      </c>
      <c r="D280" s="59"/>
      <c r="F280" s="91"/>
      <c r="G280" s="91"/>
      <c r="H280" s="91"/>
      <c r="I280" s="91"/>
      <c r="J280" s="91"/>
      <c r="K280" s="91"/>
      <c r="L280" s="91"/>
      <c r="M280" s="91"/>
      <c r="N280" s="91"/>
    </row>
    <row r="281" spans="2:14">
      <c r="B281" s="222" t="s">
        <v>251</v>
      </c>
      <c r="D281" s="59" t="s">
        <v>164</v>
      </c>
      <c r="F281" s="90">
        <f>SUM(G281:N281)</f>
        <v>36513.230842630997</v>
      </c>
      <c r="G281" s="211">
        <f>IF(ISERROR('Overzicht Vol &amp; Tar AD'!G281),0,'Overzicht Vol &amp; Tar AD'!G281)</f>
        <v>364.66666666666669</v>
      </c>
      <c r="H281" s="211">
        <f>IF(ISERROR('Overzicht Vol &amp; Tar AD'!H281),0,'Overzicht Vol &amp; Tar AD'!H281)</f>
        <v>1887.6666666666667</v>
      </c>
      <c r="I281" s="211">
        <f>IF(ISERROR('Overzicht Vol &amp; Tar AD'!I281),0,'Overzicht Vol &amp; Tar AD'!I281)</f>
        <v>67.960258152173907</v>
      </c>
      <c r="J281" s="211">
        <f>IF(ISERROR('Overzicht Vol &amp; Tar AD'!J281),0,'Overzicht Vol &amp; Tar AD'!J281)</f>
        <v>18313.749474011827</v>
      </c>
      <c r="K281" s="211">
        <f>IF(ISERROR('Overzicht Vol &amp; Tar AD'!K281),0,'Overzicht Vol &amp; Tar AD'!K281)</f>
        <v>10918.5</v>
      </c>
      <c r="L281" s="211">
        <f>IF(ISERROR('Overzicht Vol &amp; Tar AD'!L281),0,'Overzicht Vol &amp; Tar AD'!L281)</f>
        <v>302</v>
      </c>
      <c r="M281" s="211">
        <f>IF(ISERROR('Overzicht Vol &amp; Tar AD'!M281),0,'Overzicht Vol &amp; Tar AD'!M281)</f>
        <v>4231.3544438003282</v>
      </c>
      <c r="N281" s="211">
        <f>IF(ISERROR('Overzicht Vol &amp; Tar AD'!N281),0,'Overzicht Vol &amp; Tar AD'!N281)</f>
        <v>427.33333333333331</v>
      </c>
    </row>
    <row r="282" spans="2:14">
      <c r="B282" s="222" t="s">
        <v>252</v>
      </c>
      <c r="D282" s="59" t="s">
        <v>164</v>
      </c>
      <c r="F282" s="90">
        <f>SUM(G282:N282)</f>
        <v>123967.15281520667</v>
      </c>
      <c r="G282" s="211">
        <f>IF(ISERROR('Overzicht Vol &amp; Tar AD'!G282),0,'Overzicht Vol &amp; Tar AD'!G282)</f>
        <v>250</v>
      </c>
      <c r="H282" s="211">
        <f>IF(ISERROR('Overzicht Vol &amp; Tar AD'!H282),0,'Overzicht Vol &amp; Tar AD'!H282)</f>
        <v>4417.333333333333</v>
      </c>
      <c r="I282" s="211">
        <f>IF(ISERROR('Overzicht Vol &amp; Tar AD'!I282),0,'Overzicht Vol &amp; Tar AD'!I282)</f>
        <v>621.61926249311898</v>
      </c>
      <c r="J282" s="211">
        <f>IF(ISERROR('Overzicht Vol &amp; Tar AD'!J282),0,'Overzicht Vol &amp; Tar AD'!J282)</f>
        <v>69655.663219799419</v>
      </c>
      <c r="K282" s="211">
        <f>IF(ISERROR('Overzicht Vol &amp; Tar AD'!K282),0,'Overzicht Vol &amp; Tar AD'!K282)</f>
        <v>33369.666666666664</v>
      </c>
      <c r="L282" s="211">
        <f>IF(ISERROR('Overzicht Vol &amp; Tar AD'!L282),0,'Overzicht Vol &amp; Tar AD'!L282)</f>
        <v>451.33333333333331</v>
      </c>
      <c r="M282" s="211">
        <f>IF(ISERROR('Overzicht Vol &amp; Tar AD'!M282),0,'Overzicht Vol &amp; Tar AD'!M282)</f>
        <v>13814.53699958082</v>
      </c>
      <c r="N282" s="211">
        <f>IF(ISERROR('Overzicht Vol &amp; Tar AD'!N282),0,'Overzicht Vol &amp; Tar AD'!N282)</f>
        <v>1387</v>
      </c>
    </row>
    <row r="283" spans="2:14">
      <c r="B283" s="222" t="s">
        <v>253</v>
      </c>
      <c r="D283" s="59" t="s">
        <v>164</v>
      </c>
      <c r="F283" s="90">
        <f>SUM(G283:N283)</f>
        <v>95700.933613496411</v>
      </c>
      <c r="G283" s="211">
        <f>IF(ISERROR('Overzicht Vol &amp; Tar AD'!G283),0,'Overzicht Vol &amp; Tar AD'!G283)</f>
        <v>256</v>
      </c>
      <c r="H283" s="211">
        <f>IF(ISERROR('Overzicht Vol &amp; Tar AD'!H283),0,'Overzicht Vol &amp; Tar AD'!H283)</f>
        <v>2653.333333333333</v>
      </c>
      <c r="I283" s="211">
        <f>IF(ISERROR('Overzicht Vol &amp; Tar AD'!I283),0,'Overzicht Vol &amp; Tar AD'!I283)</f>
        <v>554.3896266777291</v>
      </c>
      <c r="J283" s="211">
        <f>IF(ISERROR('Overzicht Vol &amp; Tar AD'!J283),0,'Overzicht Vol &amp; Tar AD'!J283)</f>
        <v>38145.544788359781</v>
      </c>
      <c r="K283" s="211">
        <f>IF(ISERROR('Overzicht Vol &amp; Tar AD'!K283),0,'Overzicht Vol &amp; Tar AD'!K283)</f>
        <v>30174.333333333336</v>
      </c>
      <c r="L283" s="211">
        <f>IF(ISERROR('Overzicht Vol &amp; Tar AD'!L283),0,'Overzicht Vol &amp; Tar AD'!L283)</f>
        <v>214</v>
      </c>
      <c r="M283" s="211">
        <f>IF(ISERROR('Overzicht Vol &amp; Tar AD'!M283),0,'Overzicht Vol &amp; Tar AD'!M283)</f>
        <v>22092.665865125575</v>
      </c>
      <c r="N283" s="211">
        <f>IF(ISERROR('Overzicht Vol &amp; Tar AD'!N283),0,'Overzicht Vol &amp; Tar AD'!N283)</f>
        <v>1610.6666666666667</v>
      </c>
    </row>
    <row r="284" spans="2:14">
      <c r="B284" s="222" t="s">
        <v>255</v>
      </c>
      <c r="D284" s="59" t="s">
        <v>164</v>
      </c>
      <c r="F284" s="90">
        <f>SUM(G284:N284)</f>
        <v>275261.81926263531</v>
      </c>
      <c r="G284" s="211">
        <f>IF(ISERROR('Overzicht Vol &amp; Tar AD'!G284),0,'Overzicht Vol &amp; Tar AD'!G284)</f>
        <v>967.99999999999989</v>
      </c>
      <c r="H284" s="211">
        <f>IF(ISERROR('Overzicht Vol &amp; Tar AD'!H284),0,'Overzicht Vol &amp; Tar AD'!H284)</f>
        <v>8586.4700000000012</v>
      </c>
      <c r="I284" s="211">
        <f>IF(ISERROR('Overzicht Vol &amp; Tar AD'!I284),0,'Overzicht Vol &amp; Tar AD'!I284)</f>
        <v>1418.9349925679983</v>
      </c>
      <c r="J284" s="211">
        <f>IF(ISERROR('Overzicht Vol &amp; Tar AD'!J284),0,'Overzicht Vol &amp; Tar AD'!J284)</f>
        <v>133547.16333097886</v>
      </c>
      <c r="K284" s="211">
        <f>IF(ISERROR('Overzicht Vol &amp; Tar AD'!K284),0,'Overzicht Vol &amp; Tar AD'!K284)</f>
        <v>79472.994343405255</v>
      </c>
      <c r="L284" s="211">
        <f>IF(ISERROR('Overzicht Vol &amp; Tar AD'!L284),0,'Overzicht Vol &amp; Tar AD'!L284)</f>
        <v>955</v>
      </c>
      <c r="M284" s="211">
        <f>IF(ISERROR('Overzicht Vol &amp; Tar AD'!M284),0,'Overzicht Vol &amp; Tar AD'!M284)</f>
        <v>47798.423262349905</v>
      </c>
      <c r="N284" s="211">
        <f>IF(ISERROR('Overzicht Vol &amp; Tar AD'!N284),0,'Overzicht Vol &amp; Tar AD'!N284)</f>
        <v>2514.833333333333</v>
      </c>
    </row>
    <row r="285" spans="2:14">
      <c r="B285" s="222" t="s">
        <v>254</v>
      </c>
      <c r="D285" s="59" t="s">
        <v>164</v>
      </c>
      <c r="F285" s="90">
        <f>SUM(G285:N285)</f>
        <v>54998.37468716719</v>
      </c>
      <c r="G285" s="211">
        <f>IF(ISERROR('Overzicht Vol &amp; Tar AD'!G285),0,'Overzicht Vol &amp; Tar AD'!G285)</f>
        <v>50</v>
      </c>
      <c r="H285" s="211">
        <f>IF(ISERROR('Overzicht Vol &amp; Tar AD'!H285),0,'Overzicht Vol &amp; Tar AD'!H285)</f>
        <v>338.33333333333331</v>
      </c>
      <c r="I285" s="211">
        <f>IF(ISERROR('Overzicht Vol &amp; Tar AD'!I285),0,'Overzicht Vol &amp; Tar AD'!I285)</f>
        <v>194.48679181080618</v>
      </c>
      <c r="J285" s="211">
        <f>IF(ISERROR('Overzicht Vol &amp; Tar AD'!J285),0,'Overzicht Vol &amp; Tar AD'!J285)</f>
        <v>10156.607388010605</v>
      </c>
      <c r="K285" s="211">
        <f>IF(ISERROR('Overzicht Vol &amp; Tar AD'!K285),0,'Overzicht Vol &amp; Tar AD'!K285)</f>
        <v>32192.83337286843</v>
      </c>
      <c r="L285" s="211">
        <f>IF(ISERROR('Overzicht Vol &amp; Tar AD'!L285),0,'Overzicht Vol &amp; Tar AD'!L285)</f>
        <v>466.66666666666669</v>
      </c>
      <c r="M285" s="211">
        <f>IF(ISERROR('Overzicht Vol &amp; Tar AD'!M285),0,'Overzicht Vol &amp; Tar AD'!M285)</f>
        <v>10783.447134477352</v>
      </c>
      <c r="N285" s="211">
        <f>IF(ISERROR('Overzicht Vol &amp; Tar AD'!N285),0,'Overzicht Vol &amp; Tar AD'!N285)</f>
        <v>816.00000000000011</v>
      </c>
    </row>
  </sheetData>
  <phoneticPr fontId="3"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P141"/>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55.140625" customWidth="1"/>
    <col min="3" max="3" width="2.5703125" customWidth="1"/>
    <col min="4" max="4" width="20" customWidth="1"/>
    <col min="5" max="5" width="2.5703125" customWidth="1"/>
    <col min="6" max="6" width="21.42578125" customWidth="1"/>
    <col min="7" max="14" width="14.85546875" customWidth="1"/>
    <col min="15" max="15" width="9.7109375" customWidth="1"/>
    <col min="16" max="16" width="22.42578125" customWidth="1"/>
    <col min="22" max="22" width="15.7109375" customWidth="1"/>
  </cols>
  <sheetData>
    <row r="1" spans="2:16" ht="12" customHeight="1"/>
    <row r="2" spans="2:16" s="1" customFormat="1" ht="18">
      <c r="B2" s="1" t="s">
        <v>178</v>
      </c>
      <c r="F2" s="5" t="s">
        <v>177</v>
      </c>
      <c r="G2" s="5" t="s">
        <v>168</v>
      </c>
      <c r="H2" s="5" t="s">
        <v>169</v>
      </c>
      <c r="I2" s="5" t="s">
        <v>170</v>
      </c>
      <c r="J2" s="5" t="s">
        <v>171</v>
      </c>
      <c r="K2" s="5" t="s">
        <v>172</v>
      </c>
      <c r="L2" s="5" t="s">
        <v>173</v>
      </c>
      <c r="M2" s="5" t="s">
        <v>174</v>
      </c>
      <c r="N2" s="5" t="s">
        <v>175</v>
      </c>
      <c r="P2" s="5" t="s">
        <v>438</v>
      </c>
    </row>
    <row r="4" spans="2:16">
      <c r="B4" s="50" t="s">
        <v>428</v>
      </c>
    </row>
    <row r="5" spans="2:16">
      <c r="B5" s="50"/>
    </row>
    <row r="7" spans="2:16" s="2" customFormat="1">
      <c r="B7" s="2" t="s">
        <v>179</v>
      </c>
    </row>
    <row r="9" spans="2:16">
      <c r="B9" s="3" t="s">
        <v>282</v>
      </c>
    </row>
    <row r="10" spans="2:16">
      <c r="B10" t="s">
        <v>283</v>
      </c>
      <c r="D10" t="s">
        <v>180</v>
      </c>
      <c r="F10" s="21">
        <f>SUM(G10:N10)</f>
        <v>0</v>
      </c>
      <c r="G10" s="8">
        <v>0</v>
      </c>
      <c r="H10" s="8">
        <v>0</v>
      </c>
      <c r="I10" s="8">
        <v>0</v>
      </c>
      <c r="J10" s="8">
        <v>0</v>
      </c>
      <c r="K10" s="8">
        <v>0</v>
      </c>
      <c r="L10" s="8">
        <v>0</v>
      </c>
      <c r="M10" s="8">
        <v>0</v>
      </c>
      <c r="N10" s="8">
        <v>0</v>
      </c>
      <c r="P10" s="26" t="s">
        <v>1137</v>
      </c>
    </row>
    <row r="11" spans="2:16">
      <c r="B11" t="s">
        <v>284</v>
      </c>
      <c r="D11" t="s">
        <v>180</v>
      </c>
      <c r="F11" s="21">
        <f>SUM(G11:N11)</f>
        <v>357504662.69023705</v>
      </c>
      <c r="G11" s="8">
        <v>2243894.7574385596</v>
      </c>
      <c r="H11" s="8">
        <v>9361262.5185793936</v>
      </c>
      <c r="I11" s="8">
        <v>5632257.5479918141</v>
      </c>
      <c r="J11" s="8">
        <v>127360095.80420877</v>
      </c>
      <c r="K11" s="8">
        <v>111213161.32468127</v>
      </c>
      <c r="L11" s="8">
        <v>1768536.4979384535</v>
      </c>
      <c r="M11" s="8">
        <v>96251707.855449006</v>
      </c>
      <c r="N11" s="8">
        <v>3673746.3839497799</v>
      </c>
    </row>
    <row r="12" spans="2:16">
      <c r="B12" t="s">
        <v>285</v>
      </c>
      <c r="D12" t="s">
        <v>180</v>
      </c>
      <c r="F12" s="21">
        <f>SUM(G12:N12)</f>
        <v>7139634627.0501585</v>
      </c>
      <c r="G12" s="8">
        <v>30750128.952325039</v>
      </c>
      <c r="H12" s="8">
        <v>135784846.31045759</v>
      </c>
      <c r="I12" s="8">
        <v>74478031.183910713</v>
      </c>
      <c r="J12" s="8">
        <v>2442837235.7240539</v>
      </c>
      <c r="K12" s="8">
        <v>2530950318.6171556</v>
      </c>
      <c r="L12" s="8">
        <v>17343633.777338076</v>
      </c>
      <c r="M12" s="8">
        <v>1822767025.4303279</v>
      </c>
      <c r="N12" s="8">
        <v>84723407.054588974</v>
      </c>
    </row>
    <row r="13" spans="2:16">
      <c r="G13" s="118"/>
      <c r="H13" s="118"/>
      <c r="I13" s="118"/>
      <c r="J13" s="118"/>
      <c r="K13" s="118"/>
      <c r="L13" s="118"/>
      <c r="M13" s="118"/>
      <c r="N13" s="118"/>
    </row>
    <row r="14" spans="2:16">
      <c r="B14" s="3" t="s">
        <v>286</v>
      </c>
      <c r="G14" s="118"/>
      <c r="H14" s="118"/>
      <c r="I14" s="118"/>
      <c r="J14" s="118"/>
      <c r="K14" s="118"/>
      <c r="L14" s="118"/>
      <c r="M14" s="118"/>
      <c r="N14" s="118"/>
    </row>
    <row r="15" spans="2:16">
      <c r="B15" t="s">
        <v>287</v>
      </c>
      <c r="D15" t="s">
        <v>180</v>
      </c>
      <c r="F15" s="21">
        <f>SUM(G15:N15)</f>
        <v>479084604.64045793</v>
      </c>
      <c r="G15" s="8">
        <v>3384000</v>
      </c>
      <c r="H15" s="8">
        <v>29427019.5</v>
      </c>
      <c r="I15" s="8">
        <v>2957724.46</v>
      </c>
      <c r="J15" s="8">
        <v>197865470.3467274</v>
      </c>
      <c r="K15" s="8">
        <v>107940411.24775401</v>
      </c>
      <c r="L15" s="8">
        <v>2686013.6</v>
      </c>
      <c r="M15" s="8">
        <v>116361599.4859765</v>
      </c>
      <c r="N15" s="8">
        <v>18462366</v>
      </c>
    </row>
    <row r="16" spans="2:16">
      <c r="B16" t="s">
        <v>277</v>
      </c>
      <c r="D16" t="s">
        <v>180</v>
      </c>
      <c r="F16" s="21">
        <f>SUM(G16:N16)</f>
        <v>81938428.653566301</v>
      </c>
      <c r="G16" s="8">
        <v>405065.88215845748</v>
      </c>
      <c r="H16" s="8">
        <v>2415269.3133902289</v>
      </c>
      <c r="I16" s="8">
        <v>790143.59378595767</v>
      </c>
      <c r="J16" s="159">
        <f>31055217.3357016+'Aanpassing gegevens (sep 2014)'!H22</f>
        <v>31180650.292306606</v>
      </c>
      <c r="K16" s="159">
        <f>23060040.8944861+'Aanpassing gegevens (sep 2014)'!H38</f>
        <v>23069589.267466102</v>
      </c>
      <c r="L16" s="8">
        <v>895188.03934242832</v>
      </c>
      <c r="M16" s="8">
        <v>19874530.380820345</v>
      </c>
      <c r="N16" s="8">
        <v>3307991.8842961737</v>
      </c>
    </row>
    <row r="17" spans="2:14">
      <c r="B17" t="s">
        <v>288</v>
      </c>
      <c r="D17" t="s">
        <v>180</v>
      </c>
      <c r="F17" s="21">
        <f>SUM(G17:N17)</f>
        <v>2483835467.1971188</v>
      </c>
      <c r="G17" s="8">
        <v>18579204.758925021</v>
      </c>
      <c r="H17" s="8">
        <v>93915867.486640096</v>
      </c>
      <c r="I17" s="8">
        <v>28354157.500970513</v>
      </c>
      <c r="J17" s="159">
        <f>756759920.863963+'Aanpassing gegevens (sep 2014)'!H23</f>
        <v>757335760.80710125</v>
      </c>
      <c r="K17" s="159">
        <f>672505037.387156+'Aanpassing gegevens (sep 2014)'!H39</f>
        <v>672942366.80543602</v>
      </c>
      <c r="L17" s="8">
        <v>16141667.390325692</v>
      </c>
      <c r="M17" s="8">
        <v>759799650.9543829</v>
      </c>
      <c r="N17" s="8">
        <v>136766791.49333698</v>
      </c>
    </row>
    <row r="18" spans="2:14">
      <c r="G18" s="118"/>
      <c r="H18" s="118"/>
      <c r="I18" s="118"/>
      <c r="J18" s="118"/>
      <c r="K18" s="118"/>
      <c r="L18" s="118"/>
      <c r="M18" s="118"/>
      <c r="N18" s="118"/>
    </row>
    <row r="19" spans="2:14">
      <c r="B19" s="3" t="s">
        <v>289</v>
      </c>
      <c r="G19" s="118"/>
      <c r="H19" s="118"/>
      <c r="I19" s="118"/>
      <c r="J19" s="118"/>
      <c r="K19" s="118"/>
      <c r="L19" s="118"/>
      <c r="M19" s="118"/>
      <c r="N19" s="118"/>
    </row>
    <row r="20" spans="2:14">
      <c r="B20" t="s">
        <v>290</v>
      </c>
      <c r="D20" t="s">
        <v>180</v>
      </c>
      <c r="F20" s="21">
        <f>SUM(G20:N20)</f>
        <v>0</v>
      </c>
      <c r="G20" s="8">
        <v>0</v>
      </c>
      <c r="H20" s="8">
        <v>0</v>
      </c>
      <c r="I20" s="8">
        <v>0</v>
      </c>
      <c r="J20" s="8">
        <v>0</v>
      </c>
      <c r="K20" s="8">
        <v>0</v>
      </c>
      <c r="L20" s="8">
        <v>0</v>
      </c>
      <c r="M20" s="8">
        <v>0</v>
      </c>
      <c r="N20" s="8">
        <v>0</v>
      </c>
    </row>
    <row r="21" spans="2:14">
      <c r="B21" t="s">
        <v>291</v>
      </c>
      <c r="D21" t="s">
        <v>180</v>
      </c>
      <c r="F21" s="21">
        <f>SUM(G21:N21)</f>
        <v>1589160.1995761734</v>
      </c>
      <c r="G21" s="8">
        <v>958273.04183276335</v>
      </c>
      <c r="H21" s="8">
        <v>0</v>
      </c>
      <c r="I21" s="8">
        <v>0</v>
      </c>
      <c r="J21" s="8">
        <v>0</v>
      </c>
      <c r="K21" s="8">
        <v>0</v>
      </c>
      <c r="L21" s="8">
        <v>630887.15774341009</v>
      </c>
      <c r="M21" s="8">
        <v>0</v>
      </c>
      <c r="N21" s="8">
        <v>0</v>
      </c>
    </row>
    <row r="22" spans="2:14">
      <c r="B22" t="s">
        <v>292</v>
      </c>
      <c r="D22" t="s">
        <v>180</v>
      </c>
      <c r="F22" s="21">
        <f>SUM(G22:N22)</f>
        <v>6636257.4615234425</v>
      </c>
      <c r="G22" s="8">
        <v>958273.04183276033</v>
      </c>
      <c r="H22" s="8">
        <v>0</v>
      </c>
      <c r="I22" s="8">
        <v>0</v>
      </c>
      <c r="J22" s="8">
        <v>0</v>
      </c>
      <c r="K22" s="8">
        <v>0</v>
      </c>
      <c r="L22" s="8">
        <v>5677984.4196906826</v>
      </c>
      <c r="M22" s="8">
        <v>0</v>
      </c>
      <c r="N22" s="8">
        <v>0</v>
      </c>
    </row>
    <row r="23" spans="2:14">
      <c r="G23" s="118"/>
      <c r="H23" s="118"/>
      <c r="I23" s="118"/>
      <c r="J23" s="118"/>
      <c r="K23" s="118"/>
      <c r="L23" s="118"/>
      <c r="M23" s="118"/>
      <c r="N23" s="118"/>
    </row>
    <row r="24" spans="2:14">
      <c r="B24" s="3" t="s">
        <v>293</v>
      </c>
      <c r="G24" s="118"/>
      <c r="H24" s="118"/>
      <c r="I24" s="118"/>
      <c r="J24" s="118"/>
      <c r="K24" s="118"/>
      <c r="L24" s="118"/>
      <c r="M24" s="118"/>
      <c r="N24" s="118"/>
    </row>
    <row r="25" spans="2:14">
      <c r="B25" t="s">
        <v>294</v>
      </c>
      <c r="D25" t="s">
        <v>180</v>
      </c>
      <c r="F25" s="21">
        <f>SUM(G25:N25)</f>
        <v>9962922.5</v>
      </c>
      <c r="G25" s="8">
        <v>0</v>
      </c>
      <c r="H25" s="8">
        <v>9962922.5</v>
      </c>
      <c r="I25" s="8">
        <v>0</v>
      </c>
      <c r="J25" s="8">
        <v>0</v>
      </c>
      <c r="K25" s="8">
        <v>0</v>
      </c>
      <c r="L25" s="8">
        <v>0</v>
      </c>
      <c r="M25" s="8">
        <v>0</v>
      </c>
      <c r="N25" s="8">
        <v>0</v>
      </c>
    </row>
    <row r="26" spans="2:14">
      <c r="B26" t="s">
        <v>295</v>
      </c>
      <c r="D26" t="s">
        <v>180</v>
      </c>
      <c r="F26" s="21">
        <f>SUM(G26:N26)</f>
        <v>113620.98424999999</v>
      </c>
      <c r="G26" s="8">
        <v>0</v>
      </c>
      <c r="H26" s="8">
        <v>113620.98424999999</v>
      </c>
      <c r="I26" s="8">
        <v>0</v>
      </c>
      <c r="J26" s="8">
        <v>0</v>
      </c>
      <c r="K26" s="8">
        <v>0</v>
      </c>
      <c r="L26" s="8">
        <v>0</v>
      </c>
      <c r="M26" s="8">
        <v>0</v>
      </c>
      <c r="N26" s="8">
        <v>0</v>
      </c>
    </row>
    <row r="27" spans="2:14">
      <c r="B27" t="s">
        <v>296</v>
      </c>
      <c r="D27" t="s">
        <v>180</v>
      </c>
      <c r="F27" s="21">
        <f>SUM(G27:N27)</f>
        <v>9849301.5157500003</v>
      </c>
      <c r="G27" s="8">
        <v>0</v>
      </c>
      <c r="H27" s="8">
        <v>9849301.5157500003</v>
      </c>
      <c r="I27" s="8">
        <v>0</v>
      </c>
      <c r="J27" s="8">
        <v>0</v>
      </c>
      <c r="K27" s="8">
        <v>0</v>
      </c>
      <c r="L27" s="8">
        <v>0</v>
      </c>
      <c r="M27" s="8">
        <v>0</v>
      </c>
      <c r="N27" s="8">
        <v>0</v>
      </c>
    </row>
    <row r="28" spans="2:14">
      <c r="G28" s="118"/>
      <c r="H28" s="118"/>
      <c r="I28" s="118"/>
      <c r="J28" s="118"/>
      <c r="K28" s="118"/>
      <c r="L28" s="118"/>
      <c r="M28" s="118"/>
      <c r="N28" s="118"/>
    </row>
    <row r="29" spans="2:14">
      <c r="B29" s="3" t="s">
        <v>297</v>
      </c>
      <c r="G29" s="118"/>
      <c r="H29" s="118"/>
      <c r="I29" s="118"/>
      <c r="J29" s="118"/>
      <c r="K29" s="118"/>
      <c r="L29" s="118"/>
      <c r="M29" s="118"/>
      <c r="N29" s="118"/>
    </row>
    <row r="30" spans="2:14">
      <c r="B30" t="s">
        <v>298</v>
      </c>
      <c r="D30" t="s">
        <v>180</v>
      </c>
      <c r="F30" s="21">
        <f>SUM(G30:N30)</f>
        <v>0</v>
      </c>
      <c r="G30" s="8">
        <v>0</v>
      </c>
      <c r="H30" s="8">
        <v>0</v>
      </c>
      <c r="I30" s="8">
        <v>0</v>
      </c>
      <c r="J30" s="8">
        <v>0</v>
      </c>
      <c r="K30" s="8">
        <v>0</v>
      </c>
      <c r="L30" s="8">
        <v>0</v>
      </c>
      <c r="M30" s="8">
        <v>0</v>
      </c>
      <c r="N30" s="8">
        <v>0</v>
      </c>
    </row>
    <row r="31" spans="2:14">
      <c r="B31" t="s">
        <v>299</v>
      </c>
      <c r="D31" t="s">
        <v>180</v>
      </c>
      <c r="F31" s="21">
        <f>SUM(G31:N31)</f>
        <v>0</v>
      </c>
      <c r="G31" s="8">
        <v>0</v>
      </c>
      <c r="H31" s="8">
        <v>0</v>
      </c>
      <c r="I31" s="8">
        <v>0</v>
      </c>
      <c r="J31" s="8">
        <v>0</v>
      </c>
      <c r="K31" s="8">
        <v>0</v>
      </c>
      <c r="L31" s="8">
        <v>0</v>
      </c>
      <c r="M31" s="8">
        <v>0</v>
      </c>
      <c r="N31" s="8">
        <v>0</v>
      </c>
    </row>
    <row r="32" spans="2:14">
      <c r="B32" t="s">
        <v>300</v>
      </c>
      <c r="D32" t="s">
        <v>180</v>
      </c>
      <c r="F32" s="21">
        <f>SUM(G32:N32)</f>
        <v>0</v>
      </c>
      <c r="G32" s="8">
        <v>0</v>
      </c>
      <c r="H32" s="8">
        <v>0</v>
      </c>
      <c r="I32" s="8">
        <v>0</v>
      </c>
      <c r="J32" s="8">
        <v>0</v>
      </c>
      <c r="K32" s="8">
        <v>0</v>
      </c>
      <c r="L32" s="8">
        <v>0</v>
      </c>
      <c r="M32" s="8">
        <v>0</v>
      </c>
      <c r="N32" s="8">
        <v>0</v>
      </c>
    </row>
    <row r="33" spans="2:14">
      <c r="G33" s="118"/>
      <c r="H33" s="118"/>
      <c r="I33" s="118"/>
      <c r="J33" s="118"/>
      <c r="K33" s="118"/>
      <c r="L33" s="118"/>
      <c r="M33" s="118"/>
      <c r="N33" s="118"/>
    </row>
    <row r="34" spans="2:14">
      <c r="B34" s="3" t="s">
        <v>301</v>
      </c>
    </row>
    <row r="35" spans="2:14">
      <c r="B35" t="s">
        <v>302</v>
      </c>
      <c r="D35" t="s">
        <v>180</v>
      </c>
      <c r="F35" s="24">
        <f>F10+F15+F20+F25+F30</f>
        <v>489047527.14045793</v>
      </c>
      <c r="G35" s="24">
        <f>G10+G15+G20+G25+G30</f>
        <v>3384000</v>
      </c>
      <c r="H35" s="24">
        <f t="shared" ref="H35:N35" si="0">H10+H15+H20+H25+H30</f>
        <v>39389942</v>
      </c>
      <c r="I35" s="24">
        <f t="shared" si="0"/>
        <v>2957724.46</v>
      </c>
      <c r="J35" s="24">
        <f t="shared" si="0"/>
        <v>197865470.3467274</v>
      </c>
      <c r="K35" s="24">
        <f t="shared" si="0"/>
        <v>107940411.24775401</v>
      </c>
      <c r="L35" s="24">
        <f t="shared" si="0"/>
        <v>2686013.6</v>
      </c>
      <c r="M35" s="24">
        <f t="shared" si="0"/>
        <v>116361599.4859765</v>
      </c>
      <c r="N35" s="24">
        <f t="shared" si="0"/>
        <v>18462366</v>
      </c>
    </row>
    <row r="36" spans="2:14">
      <c r="B36" t="s">
        <v>277</v>
      </c>
      <c r="D36" t="s">
        <v>180</v>
      </c>
      <c r="F36" s="24">
        <f>F11+F16+F21+F26+F31</f>
        <v>441145872.52762955</v>
      </c>
      <c r="G36" s="24">
        <f t="shared" ref="G36:N37" si="1">G11+G16+G21+G26+G31</f>
        <v>3607233.6814297801</v>
      </c>
      <c r="H36" s="24">
        <f t="shared" si="1"/>
        <v>11890152.816219622</v>
      </c>
      <c r="I36" s="24">
        <f t="shared" si="1"/>
        <v>6422401.1417777715</v>
      </c>
      <c r="J36" s="24">
        <f t="shared" si="1"/>
        <v>158540746.09651539</v>
      </c>
      <c r="K36" s="24">
        <f t="shared" si="1"/>
        <v>134282750.59214738</v>
      </c>
      <c r="L36" s="24">
        <f t="shared" si="1"/>
        <v>3294611.695024292</v>
      </c>
      <c r="M36" s="24">
        <f t="shared" si="1"/>
        <v>116126238.23626935</v>
      </c>
      <c r="N36" s="24">
        <f t="shared" si="1"/>
        <v>6981738.2682459541</v>
      </c>
    </row>
    <row r="37" spans="2:14">
      <c r="B37" t="s">
        <v>303</v>
      </c>
      <c r="D37" t="s">
        <v>180</v>
      </c>
      <c r="F37" s="24">
        <f>F12+F17+F22+F27+F32</f>
        <v>9639955653.2245502</v>
      </c>
      <c r="G37" s="24">
        <f t="shared" si="1"/>
        <v>50287606.753082819</v>
      </c>
      <c r="H37" s="24">
        <f t="shared" si="1"/>
        <v>239550015.31284767</v>
      </c>
      <c r="I37" s="24">
        <f t="shared" si="1"/>
        <v>102832188.68488123</v>
      </c>
      <c r="J37" s="24">
        <f t="shared" si="1"/>
        <v>3200172996.5311551</v>
      </c>
      <c r="K37" s="24">
        <f t="shared" si="1"/>
        <v>3203892685.4225917</v>
      </c>
      <c r="L37" s="24">
        <f t="shared" si="1"/>
        <v>39163285.587354451</v>
      </c>
      <c r="M37" s="24">
        <f t="shared" si="1"/>
        <v>2582566676.3847108</v>
      </c>
      <c r="N37" s="24">
        <f t="shared" si="1"/>
        <v>221490198.54792595</v>
      </c>
    </row>
    <row r="41" spans="2:14" s="2" customFormat="1">
      <c r="B41" s="2" t="s">
        <v>191</v>
      </c>
    </row>
    <row r="43" spans="2:14">
      <c r="B43" s="3" t="s">
        <v>282</v>
      </c>
    </row>
    <row r="44" spans="2:14">
      <c r="B44" t="s">
        <v>283</v>
      </c>
      <c r="D44" t="s">
        <v>181</v>
      </c>
      <c r="F44" s="21">
        <f>SUM(G44:N44)</f>
        <v>0</v>
      </c>
      <c r="G44" s="8">
        <v>0</v>
      </c>
      <c r="H44" s="8">
        <v>0</v>
      </c>
      <c r="I44" s="8">
        <v>0</v>
      </c>
      <c r="J44" s="8">
        <v>0</v>
      </c>
      <c r="K44" s="8">
        <v>0</v>
      </c>
      <c r="L44" s="8">
        <v>0</v>
      </c>
      <c r="M44" s="8">
        <v>0</v>
      </c>
      <c r="N44" s="8">
        <v>0</v>
      </c>
    </row>
    <row r="45" spans="2:14">
      <c r="B45" t="s">
        <v>284</v>
      </c>
      <c r="D45" t="s">
        <v>181</v>
      </c>
      <c r="F45" s="21">
        <f>SUM(G45:N45)</f>
        <v>358577176.67830771</v>
      </c>
      <c r="G45" s="8">
        <v>2250626.4417108754</v>
      </c>
      <c r="H45" s="8">
        <v>9389346.306135131</v>
      </c>
      <c r="I45" s="8">
        <v>5649154.3206357891</v>
      </c>
      <c r="J45" s="8">
        <v>127742176.09162138</v>
      </c>
      <c r="K45" s="8">
        <v>111546800.80865529</v>
      </c>
      <c r="L45" s="8">
        <v>1773842.1074322688</v>
      </c>
      <c r="M45" s="8">
        <v>96540462.97901535</v>
      </c>
      <c r="N45" s="8">
        <v>3684767.6231016289</v>
      </c>
    </row>
    <row r="46" spans="2:14">
      <c r="B46" t="s">
        <v>285</v>
      </c>
      <c r="D46" t="s">
        <v>181</v>
      </c>
      <c r="F46" s="21">
        <f>SUM(G46:N46)</f>
        <v>6802476354.2529993</v>
      </c>
      <c r="G46" s="8">
        <v>28591752.897471137</v>
      </c>
      <c r="H46" s="8">
        <v>126802854.54325381</v>
      </c>
      <c r="I46" s="8">
        <v>69052310.956826642</v>
      </c>
      <c r="J46" s="8">
        <v>2322423571.3396044</v>
      </c>
      <c r="K46" s="8">
        <v>2426996368.7643518</v>
      </c>
      <c r="L46" s="8">
        <v>15621822.571237817</v>
      </c>
      <c r="M46" s="8">
        <v>1731694863.5276031</v>
      </c>
      <c r="N46" s="8">
        <v>81292809.652651101</v>
      </c>
    </row>
    <row r="47" spans="2:14">
      <c r="G47" s="118"/>
      <c r="H47" s="118"/>
      <c r="I47" s="118"/>
      <c r="J47" s="118"/>
      <c r="K47" s="118"/>
      <c r="L47" s="118"/>
      <c r="M47" s="118"/>
      <c r="N47" s="118"/>
    </row>
    <row r="48" spans="2:14">
      <c r="B48" s="3" t="s">
        <v>286</v>
      </c>
      <c r="G48" s="118"/>
      <c r="H48" s="118"/>
      <c r="I48" s="118"/>
      <c r="J48" s="118"/>
      <c r="K48" s="118"/>
      <c r="L48" s="118"/>
      <c r="M48" s="118"/>
      <c r="N48" s="118"/>
    </row>
    <row r="49" spans="2:14">
      <c r="B49" t="s">
        <v>287</v>
      </c>
      <c r="D49" t="s">
        <v>181</v>
      </c>
      <c r="F49" s="21">
        <f>SUM(G49:N49)</f>
        <v>506580216.55560994</v>
      </c>
      <c r="G49" s="8">
        <v>2782000</v>
      </c>
      <c r="H49" s="8">
        <v>11756724.409225</v>
      </c>
      <c r="I49" s="8">
        <v>2314213.7238850002</v>
      </c>
      <c r="J49" s="8">
        <v>181822222.13999999</v>
      </c>
      <c r="K49" s="8">
        <v>136480697</v>
      </c>
      <c r="L49" s="8">
        <v>3718556.0100000002</v>
      </c>
      <c r="M49" s="8">
        <v>151232121.27250001</v>
      </c>
      <c r="N49" s="8">
        <v>16473682</v>
      </c>
    </row>
    <row r="50" spans="2:14">
      <c r="B50" t="s">
        <v>277</v>
      </c>
      <c r="D50" t="s">
        <v>181</v>
      </c>
      <c r="F50" s="21">
        <f>SUM(G50:N50)</f>
        <v>96898273.369858667</v>
      </c>
      <c r="G50" s="8">
        <v>473116.09480493277</v>
      </c>
      <c r="H50" s="8">
        <v>3406711.0617643162</v>
      </c>
      <c r="I50" s="8">
        <v>950297.71645983029</v>
      </c>
      <c r="J50" s="159">
        <f>38602980.3695566+'Aanpassing gegevens (sep 2014)'!H24</f>
        <v>38705653.599278048</v>
      </c>
      <c r="K50" s="159">
        <f>25814156.3166377+'Aanpassing gegevens (sep 2014)'!H40</f>
        <v>25824565.791079141</v>
      </c>
      <c r="L50" s="8">
        <v>969462.9809720862</v>
      </c>
      <c r="M50" s="8">
        <v>22815923.44817666</v>
      </c>
      <c r="N50" s="8">
        <v>3752542.6773236608</v>
      </c>
    </row>
    <row r="51" spans="2:14">
      <c r="B51" t="s">
        <v>288</v>
      </c>
      <c r="D51" t="s">
        <v>181</v>
      </c>
      <c r="F51" s="21">
        <f>SUM(G51:N51)</f>
        <v>2901029800.784461</v>
      </c>
      <c r="G51" s="8">
        <v>20943826.27839686</v>
      </c>
      <c r="H51" s="8">
        <v>102547628.43656069</v>
      </c>
      <c r="I51" s="8">
        <v>29803135.9808986</v>
      </c>
      <c r="J51" s="159">
        <f>902249442.396998+'Aanpassing gegevens (sep 2014)'!H25</f>
        <v>902724336.63024449</v>
      </c>
      <c r="K51" s="159">
        <f>785189093.18268+'Aanpassing gegevens (sep 2014)'!H41</f>
        <v>785678209.11477339</v>
      </c>
      <c r="L51" s="8">
        <v>18939185.421524581</v>
      </c>
      <c r="M51" s="8">
        <v>890495247.73156941</v>
      </c>
      <c r="N51" s="8">
        <v>149898231.19049332</v>
      </c>
    </row>
    <row r="52" spans="2:14">
      <c r="G52" s="118"/>
      <c r="H52" s="118"/>
      <c r="I52" s="118"/>
      <c r="J52" s="118"/>
      <c r="K52" s="118"/>
      <c r="L52" s="118"/>
      <c r="M52" s="118"/>
      <c r="N52" s="118"/>
    </row>
    <row r="53" spans="2:14">
      <c r="B53" s="3" t="s">
        <v>289</v>
      </c>
      <c r="G53" s="118"/>
      <c r="H53" s="118"/>
      <c r="I53" s="118"/>
      <c r="J53" s="118"/>
      <c r="K53" s="118"/>
      <c r="L53" s="118"/>
      <c r="M53" s="118"/>
      <c r="N53" s="118"/>
    </row>
    <row r="54" spans="2:14">
      <c r="B54" t="s">
        <v>290</v>
      </c>
      <c r="D54" t="s">
        <v>181</v>
      </c>
      <c r="F54" s="21">
        <f>SUM(G54:N54)</f>
        <v>0</v>
      </c>
      <c r="G54" s="8">
        <v>0</v>
      </c>
      <c r="H54" s="8">
        <v>0</v>
      </c>
      <c r="I54" s="8">
        <v>0</v>
      </c>
      <c r="J54" s="8">
        <v>0</v>
      </c>
      <c r="K54" s="8">
        <v>0</v>
      </c>
      <c r="L54" s="8">
        <v>0</v>
      </c>
      <c r="M54" s="8">
        <v>0</v>
      </c>
      <c r="N54" s="8">
        <v>0</v>
      </c>
    </row>
    <row r="55" spans="2:14">
      <c r="B55" t="s">
        <v>291</v>
      </c>
      <c r="D55" t="s">
        <v>181</v>
      </c>
      <c r="F55" s="21">
        <f>SUM(G55:N55)</f>
        <v>1593927.6801749018</v>
      </c>
      <c r="G55" s="8">
        <v>961147.86095826153</v>
      </c>
      <c r="H55" s="8">
        <v>0</v>
      </c>
      <c r="I55" s="8">
        <v>0</v>
      </c>
      <c r="J55" s="8">
        <v>0</v>
      </c>
      <c r="K55" s="8">
        <v>0</v>
      </c>
      <c r="L55" s="8">
        <v>632779.81921664032</v>
      </c>
      <c r="M55" s="8">
        <v>0</v>
      </c>
      <c r="N55" s="8">
        <v>0</v>
      </c>
    </row>
    <row r="56" spans="2:14">
      <c r="B56" t="s">
        <v>292</v>
      </c>
      <c r="D56" t="s">
        <v>181</v>
      </c>
      <c r="F56" s="21">
        <f>SUM(G56:N56)</f>
        <v>5062238.5537331104</v>
      </c>
      <c r="G56" s="8">
        <v>-3.0220018299818779E-9</v>
      </c>
      <c r="H56" s="8">
        <v>0</v>
      </c>
      <c r="I56" s="8">
        <v>0</v>
      </c>
      <c r="J56" s="8">
        <v>0</v>
      </c>
      <c r="K56" s="8">
        <v>0</v>
      </c>
      <c r="L56" s="8">
        <v>5062238.5537331132</v>
      </c>
      <c r="M56" s="8">
        <v>0</v>
      </c>
      <c r="N56" s="8">
        <v>0</v>
      </c>
    </row>
    <row r="57" spans="2:14">
      <c r="G57" s="118"/>
      <c r="H57" s="118"/>
      <c r="I57" s="118"/>
      <c r="J57" s="118"/>
      <c r="K57" s="118"/>
      <c r="L57" s="118"/>
      <c r="M57" s="118"/>
      <c r="N57" s="118"/>
    </row>
    <row r="58" spans="2:14">
      <c r="B58" s="3" t="s">
        <v>293</v>
      </c>
      <c r="G58" s="118"/>
      <c r="H58" s="118"/>
      <c r="I58" s="118"/>
      <c r="J58" s="118"/>
      <c r="K58" s="118"/>
      <c r="L58" s="118"/>
      <c r="M58" s="118"/>
      <c r="N58" s="118"/>
    </row>
    <row r="59" spans="2:14">
      <c r="B59" t="s">
        <v>294</v>
      </c>
      <c r="D59" t="s">
        <v>181</v>
      </c>
      <c r="F59" s="21">
        <f>SUM(G59:N59)</f>
        <v>0</v>
      </c>
      <c r="G59" s="8">
        <v>0</v>
      </c>
      <c r="H59" s="8">
        <v>0</v>
      </c>
      <c r="I59" s="8">
        <v>0</v>
      </c>
      <c r="J59" s="8">
        <v>0</v>
      </c>
      <c r="K59" s="8">
        <v>0</v>
      </c>
      <c r="L59" s="8">
        <v>0</v>
      </c>
      <c r="M59" s="8">
        <v>0</v>
      </c>
      <c r="N59" s="8">
        <v>0</v>
      </c>
    </row>
    <row r="60" spans="2:14">
      <c r="B60" t="s">
        <v>295</v>
      </c>
      <c r="D60" t="s">
        <v>181</v>
      </c>
      <c r="F60" s="21">
        <f>SUM(G60:N60)</f>
        <v>227923.69440549999</v>
      </c>
      <c r="G60" s="8">
        <v>0</v>
      </c>
      <c r="H60" s="8">
        <v>227923.69440549999</v>
      </c>
      <c r="I60" s="8">
        <v>0</v>
      </c>
      <c r="J60" s="8">
        <v>0</v>
      </c>
      <c r="K60" s="8">
        <v>0</v>
      </c>
      <c r="L60" s="8">
        <v>0</v>
      </c>
      <c r="M60" s="8">
        <v>0</v>
      </c>
      <c r="N60" s="8">
        <v>0</v>
      </c>
    </row>
    <row r="61" spans="2:14">
      <c r="B61" t="s">
        <v>296</v>
      </c>
      <c r="D61" t="s">
        <v>181</v>
      </c>
      <c r="F61" s="21">
        <f>SUM(G61:N61)</f>
        <v>9650925.7258917503</v>
      </c>
      <c r="G61" s="8">
        <v>0</v>
      </c>
      <c r="H61" s="8">
        <v>9650925.7258917503</v>
      </c>
      <c r="I61" s="8">
        <v>0</v>
      </c>
      <c r="J61" s="8">
        <v>0</v>
      </c>
      <c r="K61" s="8">
        <v>0</v>
      </c>
      <c r="L61" s="8">
        <v>0</v>
      </c>
      <c r="M61" s="8">
        <v>0</v>
      </c>
      <c r="N61" s="8">
        <v>0</v>
      </c>
    </row>
    <row r="62" spans="2:14">
      <c r="G62" s="118"/>
      <c r="H62" s="118"/>
      <c r="I62" s="118"/>
      <c r="J62" s="118"/>
      <c r="K62" s="118"/>
      <c r="L62" s="118"/>
      <c r="M62" s="118"/>
      <c r="N62" s="118"/>
    </row>
    <row r="63" spans="2:14">
      <c r="B63" s="3" t="s">
        <v>297</v>
      </c>
      <c r="G63" s="118"/>
      <c r="H63" s="118"/>
      <c r="I63" s="118"/>
      <c r="J63" s="118"/>
      <c r="K63" s="118"/>
      <c r="L63" s="118"/>
      <c r="M63" s="118"/>
      <c r="N63" s="118"/>
    </row>
    <row r="64" spans="2:14">
      <c r="B64" t="s">
        <v>298</v>
      </c>
      <c r="D64" t="s">
        <v>181</v>
      </c>
      <c r="F64" s="21">
        <f>SUM(G64:N64)</f>
        <v>0</v>
      </c>
      <c r="G64" s="8">
        <v>0</v>
      </c>
      <c r="H64" s="8">
        <v>0</v>
      </c>
      <c r="I64" s="8">
        <v>0</v>
      </c>
      <c r="J64" s="8">
        <v>0</v>
      </c>
      <c r="K64" s="8">
        <v>0</v>
      </c>
      <c r="L64" s="8">
        <v>0</v>
      </c>
      <c r="M64" s="8">
        <v>0</v>
      </c>
      <c r="N64" s="8">
        <v>0</v>
      </c>
    </row>
    <row r="65" spans="2:14">
      <c r="B65" t="s">
        <v>299</v>
      </c>
      <c r="D65" t="s">
        <v>181</v>
      </c>
      <c r="F65" s="21">
        <f>SUM(G65:N65)</f>
        <v>0</v>
      </c>
      <c r="G65" s="8">
        <v>0</v>
      </c>
      <c r="H65" s="8">
        <v>0</v>
      </c>
      <c r="I65" s="8">
        <v>0</v>
      </c>
      <c r="J65" s="8">
        <v>0</v>
      </c>
      <c r="K65" s="8">
        <v>0</v>
      </c>
      <c r="L65" s="8">
        <v>0</v>
      </c>
      <c r="M65" s="8">
        <v>0</v>
      </c>
      <c r="N65" s="8">
        <v>0</v>
      </c>
    </row>
    <row r="66" spans="2:14">
      <c r="B66" t="s">
        <v>300</v>
      </c>
      <c r="D66" t="s">
        <v>181</v>
      </c>
      <c r="F66" s="21">
        <f>SUM(G66:N66)</f>
        <v>0</v>
      </c>
      <c r="G66" s="8">
        <v>0</v>
      </c>
      <c r="H66" s="8">
        <v>0</v>
      </c>
      <c r="I66" s="8">
        <v>0</v>
      </c>
      <c r="J66" s="8">
        <v>0</v>
      </c>
      <c r="K66" s="8">
        <v>0</v>
      </c>
      <c r="L66" s="8">
        <v>0</v>
      </c>
      <c r="M66" s="8">
        <v>0</v>
      </c>
      <c r="N66" s="8">
        <v>0</v>
      </c>
    </row>
    <row r="68" spans="2:14">
      <c r="B68" s="3" t="s">
        <v>301</v>
      </c>
    </row>
    <row r="69" spans="2:14">
      <c r="B69" t="s">
        <v>302</v>
      </c>
      <c r="D69" t="s">
        <v>181</v>
      </c>
      <c r="F69" s="24">
        <f>F44+F49+F54+F59+F64</f>
        <v>506580216.55560994</v>
      </c>
      <c r="G69" s="24">
        <f>G44+G49+G54+G59+G64</f>
        <v>2782000</v>
      </c>
      <c r="H69" s="24">
        <f t="shared" ref="H69:N69" si="2">H44+H49+H54+H59+H64</f>
        <v>11756724.409225</v>
      </c>
      <c r="I69" s="24">
        <f t="shared" si="2"/>
        <v>2314213.7238850002</v>
      </c>
      <c r="J69" s="24">
        <f t="shared" si="2"/>
        <v>181822222.13999999</v>
      </c>
      <c r="K69" s="24">
        <f t="shared" si="2"/>
        <v>136480697</v>
      </c>
      <c r="L69" s="24">
        <f t="shared" si="2"/>
        <v>3718556.0100000002</v>
      </c>
      <c r="M69" s="24">
        <f t="shared" si="2"/>
        <v>151232121.27250001</v>
      </c>
      <c r="N69" s="24">
        <f t="shared" si="2"/>
        <v>16473682</v>
      </c>
    </row>
    <row r="70" spans="2:14">
      <c r="B70" t="s">
        <v>277</v>
      </c>
      <c r="D70" t="s">
        <v>181</v>
      </c>
      <c r="F70" s="24">
        <f t="shared" ref="F70:N71" si="3">F45+F50+F55+F60+F65</f>
        <v>457297301.42274678</v>
      </c>
      <c r="G70" s="24">
        <f t="shared" si="3"/>
        <v>3684890.3974740696</v>
      </c>
      <c r="H70" s="24">
        <f t="shared" si="3"/>
        <v>13023981.062304948</v>
      </c>
      <c r="I70" s="24">
        <f t="shared" si="3"/>
        <v>6599452.0370956194</v>
      </c>
      <c r="J70" s="24">
        <f t="shared" si="3"/>
        <v>166447829.69089943</v>
      </c>
      <c r="K70" s="24">
        <f t="shared" si="3"/>
        <v>137371366.59973443</v>
      </c>
      <c r="L70" s="24">
        <f t="shared" si="3"/>
        <v>3376084.9076209953</v>
      </c>
      <c r="M70" s="24">
        <f t="shared" si="3"/>
        <v>119356386.427192</v>
      </c>
      <c r="N70" s="24">
        <f t="shared" si="3"/>
        <v>7437310.3004252892</v>
      </c>
    </row>
    <row r="71" spans="2:14">
      <c r="B71" t="s">
        <v>303</v>
      </c>
      <c r="D71" t="s">
        <v>181</v>
      </c>
      <c r="F71" s="24">
        <f t="shared" si="3"/>
        <v>9718219319.3170853</v>
      </c>
      <c r="G71" s="24">
        <f t="shared" si="3"/>
        <v>49535579.175867997</v>
      </c>
      <c r="H71" s="24">
        <f t="shared" si="3"/>
        <v>239001408.70570624</v>
      </c>
      <c r="I71" s="24">
        <f t="shared" si="3"/>
        <v>98855446.937725246</v>
      </c>
      <c r="J71" s="24">
        <f t="shared" si="3"/>
        <v>3225147907.9698486</v>
      </c>
      <c r="K71" s="24">
        <f t="shared" si="3"/>
        <v>3212674577.8791251</v>
      </c>
      <c r="L71" s="24">
        <f t="shared" si="3"/>
        <v>39623246.546495512</v>
      </c>
      <c r="M71" s="24">
        <f t="shared" si="3"/>
        <v>2622190111.2591724</v>
      </c>
      <c r="N71" s="24">
        <f t="shared" si="3"/>
        <v>231191040.84314442</v>
      </c>
    </row>
    <row r="74" spans="2:14" s="2" customFormat="1">
      <c r="B74" s="2" t="s">
        <v>192</v>
      </c>
    </row>
    <row r="76" spans="2:14">
      <c r="B76" s="3" t="s">
        <v>282</v>
      </c>
    </row>
    <row r="77" spans="2:14">
      <c r="B77" t="s">
        <v>283</v>
      </c>
      <c r="D77" t="s">
        <v>182</v>
      </c>
      <c r="F77" s="21">
        <f>SUM(G77:N77)</f>
        <v>0</v>
      </c>
      <c r="G77" s="8">
        <v>0</v>
      </c>
      <c r="H77" s="8">
        <v>0</v>
      </c>
      <c r="I77" s="8">
        <v>0</v>
      </c>
      <c r="J77" s="8">
        <v>0</v>
      </c>
      <c r="K77" s="8">
        <v>0</v>
      </c>
      <c r="L77" s="8">
        <v>0</v>
      </c>
      <c r="M77" s="8">
        <v>0</v>
      </c>
      <c r="N77" s="8">
        <v>0</v>
      </c>
    </row>
    <row r="78" spans="2:14">
      <c r="B78" t="s">
        <v>284</v>
      </c>
      <c r="D78" t="s">
        <v>182</v>
      </c>
      <c r="F78" s="21">
        <f>SUM(G78:N78)</f>
        <v>363955834.32848233</v>
      </c>
      <c r="G78" s="8">
        <v>2284385.8383365381</v>
      </c>
      <c r="H78" s="8">
        <v>9530186.500727158</v>
      </c>
      <c r="I78" s="8">
        <v>5733891.6354453256</v>
      </c>
      <c r="J78" s="8">
        <v>129658308.7329957</v>
      </c>
      <c r="K78" s="8">
        <v>113220002.82078512</v>
      </c>
      <c r="L78" s="8">
        <v>1800449.7390437527</v>
      </c>
      <c r="M78" s="8">
        <v>97988569.923700571</v>
      </c>
      <c r="N78" s="8">
        <v>3740039.137448153</v>
      </c>
    </row>
    <row r="79" spans="2:14">
      <c r="B79" t="s">
        <v>285</v>
      </c>
      <c r="D79" t="s">
        <v>182</v>
      </c>
      <c r="F79" s="21">
        <f>SUM(G79:N79)</f>
        <v>6540557665.2383127</v>
      </c>
      <c r="G79" s="8">
        <v>26736243.352596663</v>
      </c>
      <c r="H79" s="8">
        <v>119174710.86067545</v>
      </c>
      <c r="I79" s="8">
        <v>64354203.985733703</v>
      </c>
      <c r="J79" s="8">
        <v>2227601616.176703</v>
      </c>
      <c r="K79" s="8">
        <v>2350181311.4750323</v>
      </c>
      <c r="L79" s="8">
        <v>14055700.170762632</v>
      </c>
      <c r="M79" s="8">
        <v>1659681716.5568163</v>
      </c>
      <c r="N79" s="8">
        <v>78772162.65999271</v>
      </c>
    </row>
    <row r="80" spans="2:14">
      <c r="G80" s="118"/>
      <c r="H80" s="118"/>
      <c r="I80" s="118"/>
      <c r="J80" s="118"/>
      <c r="K80" s="118"/>
      <c r="L80" s="118"/>
      <c r="M80" s="118"/>
      <c r="N80" s="118"/>
    </row>
    <row r="81" spans="2:14">
      <c r="B81" s="3" t="s">
        <v>286</v>
      </c>
      <c r="G81" s="118"/>
      <c r="H81" s="118"/>
      <c r="I81" s="118"/>
      <c r="J81" s="118"/>
      <c r="K81" s="118"/>
      <c r="L81" s="118"/>
      <c r="M81" s="118"/>
      <c r="N81" s="118"/>
    </row>
    <row r="82" spans="2:14">
      <c r="B82" t="s">
        <v>287</v>
      </c>
      <c r="D82" t="s">
        <v>182</v>
      </c>
      <c r="F82" s="21">
        <f>SUM(G82:N82)</f>
        <v>655778926.94168937</v>
      </c>
      <c r="G82" s="8">
        <v>4705325.57</v>
      </c>
      <c r="H82" s="8">
        <v>17950206.140708871</v>
      </c>
      <c r="I82" s="8">
        <v>3594676.1891587507</v>
      </c>
      <c r="J82" s="8">
        <v>247860360.76999995</v>
      </c>
      <c r="K82" s="8">
        <v>176649485.55230328</v>
      </c>
      <c r="L82" s="8">
        <v>1303550.35665</v>
      </c>
      <c r="M82" s="119">
        <v>191200208.63522267</v>
      </c>
      <c r="N82" s="8">
        <v>12515113.727645898</v>
      </c>
    </row>
    <row r="83" spans="2:14">
      <c r="B83" t="s">
        <v>277</v>
      </c>
      <c r="D83" t="s">
        <v>182</v>
      </c>
      <c r="F83" s="21">
        <f>SUM(G83:N83)</f>
        <v>113399208.55574121</v>
      </c>
      <c r="G83" s="8">
        <v>563195.9390520067</v>
      </c>
      <c r="H83" s="8">
        <v>3990422.6471143798</v>
      </c>
      <c r="I83" s="8">
        <v>1106277.7520274292</v>
      </c>
      <c r="J83" s="159">
        <f>47350641.2197849+'Aanpassing gegevens (sep 2014)'!H26</f>
        <v>47441532.626803115</v>
      </c>
      <c r="K83" s="159">
        <f>27466532.0340389+'Aanpassing gegevens (sep 2014)'!H42</f>
        <v>27478360.023196962</v>
      </c>
      <c r="L83" s="8">
        <v>947181.28329073882</v>
      </c>
      <c r="M83" s="119">
        <v>27612188.870049622</v>
      </c>
      <c r="N83" s="8">
        <v>4260049.4142069379</v>
      </c>
    </row>
    <row r="84" spans="2:14">
      <c r="B84" t="s">
        <v>288</v>
      </c>
      <c r="D84" t="s">
        <v>182</v>
      </c>
      <c r="F84" s="21">
        <f>SUM(G84:N84)</f>
        <v>3486989406.1821752</v>
      </c>
      <c r="G84" s="8">
        <v>25400113.303520806</v>
      </c>
      <c r="H84" s="8">
        <v>118045626.35670358</v>
      </c>
      <c r="I84" s="8">
        <v>32738581.457743395</v>
      </c>
      <c r="J84" s="159">
        <f>1116292903.58317+'Aanpassing gegevens (sep 2014)'!H27</f>
        <v>1116684029.8228948</v>
      </c>
      <c r="K84" s="159">
        <f>946149883.098684+'Aanpassing gegevens (sep 2014)'!H43</f>
        <v>946698947.78060079</v>
      </c>
      <c r="L84" s="8">
        <v>19579642.276206713</v>
      </c>
      <c r="M84" s="119">
        <v>1067440696.2127159</v>
      </c>
      <c r="N84" s="8">
        <v>160401768.97178966</v>
      </c>
    </row>
    <row r="85" spans="2:14">
      <c r="G85" s="118"/>
      <c r="H85" s="118"/>
      <c r="I85" s="118"/>
      <c r="J85" s="118"/>
      <c r="K85" s="118"/>
      <c r="L85" s="118"/>
      <c r="M85" s="118"/>
      <c r="N85" s="118"/>
    </row>
    <row r="86" spans="2:14">
      <c r="B86" s="3" t="s">
        <v>289</v>
      </c>
      <c r="G86" s="118"/>
      <c r="H86" s="118"/>
      <c r="I86" s="118"/>
      <c r="J86" s="118"/>
      <c r="K86" s="118"/>
      <c r="L86" s="118"/>
      <c r="M86" s="118"/>
      <c r="N86" s="118"/>
    </row>
    <row r="87" spans="2:14">
      <c r="B87" t="s">
        <v>290</v>
      </c>
      <c r="D87" t="s">
        <v>182</v>
      </c>
      <c r="F87" s="21">
        <f>SUM(G87:N87)</f>
        <v>0</v>
      </c>
      <c r="G87" s="8">
        <v>0</v>
      </c>
      <c r="H87" s="8">
        <v>0</v>
      </c>
      <c r="I87" s="8">
        <v>0</v>
      </c>
      <c r="J87" s="8">
        <v>0</v>
      </c>
      <c r="K87" s="8">
        <v>0</v>
      </c>
      <c r="L87" s="8">
        <v>0</v>
      </c>
      <c r="M87" s="8">
        <v>0</v>
      </c>
      <c r="N87" s="8">
        <v>0</v>
      </c>
    </row>
    <row r="88" spans="2:14">
      <c r="B88" t="s">
        <v>291</v>
      </c>
      <c r="D88" t="s">
        <v>182</v>
      </c>
      <c r="F88" s="21">
        <f>SUM(G88:N88)</f>
        <v>642271.51650488994</v>
      </c>
      <c r="G88" s="8">
        <v>0</v>
      </c>
      <c r="H88" s="8">
        <v>0</v>
      </c>
      <c r="I88" s="8">
        <v>0</v>
      </c>
      <c r="J88" s="8">
        <v>0</v>
      </c>
      <c r="K88" s="8">
        <v>0</v>
      </c>
      <c r="L88" s="8">
        <v>642271.51650488994</v>
      </c>
      <c r="M88" s="8">
        <v>0</v>
      </c>
      <c r="N88" s="8">
        <v>0</v>
      </c>
    </row>
    <row r="89" spans="2:14">
      <c r="B89" t="s">
        <v>292</v>
      </c>
      <c r="D89" t="s">
        <v>182</v>
      </c>
      <c r="F89" s="21">
        <f>SUM(G89:N89)</f>
        <v>4495900.6155342171</v>
      </c>
      <c r="G89" s="8">
        <v>-3.0673318574316059E-9</v>
      </c>
      <c r="H89" s="8">
        <v>0</v>
      </c>
      <c r="I89" s="8">
        <v>0</v>
      </c>
      <c r="J89" s="8">
        <v>0</v>
      </c>
      <c r="K89" s="8">
        <v>0</v>
      </c>
      <c r="L89" s="8">
        <v>4495900.6155342199</v>
      </c>
      <c r="M89" s="8">
        <v>0</v>
      </c>
      <c r="N89" s="8">
        <v>0</v>
      </c>
    </row>
    <row r="90" spans="2:14">
      <c r="G90" s="118"/>
      <c r="H90" s="118"/>
      <c r="I90" s="118"/>
      <c r="J90" s="118"/>
      <c r="K90" s="118"/>
      <c r="L90" s="118"/>
      <c r="M90" s="118"/>
      <c r="N90" s="118"/>
    </row>
    <row r="91" spans="2:14">
      <c r="B91" s="3" t="s">
        <v>293</v>
      </c>
      <c r="G91" s="118"/>
      <c r="H91" s="118"/>
      <c r="I91" s="118"/>
      <c r="J91" s="118"/>
      <c r="K91" s="118"/>
      <c r="L91" s="118"/>
      <c r="M91" s="118"/>
      <c r="N91" s="118"/>
    </row>
    <row r="92" spans="2:14">
      <c r="B92" t="s">
        <v>294</v>
      </c>
      <c r="D92" t="s">
        <v>182</v>
      </c>
      <c r="F92" s="21">
        <f>SUM(G92:N92)</f>
        <v>0</v>
      </c>
      <c r="G92" s="8">
        <v>0</v>
      </c>
      <c r="H92" s="8">
        <v>0</v>
      </c>
      <c r="I92" s="8">
        <v>0</v>
      </c>
      <c r="J92" s="8">
        <v>0</v>
      </c>
      <c r="K92" s="8">
        <v>0</v>
      </c>
      <c r="L92" s="8">
        <v>0</v>
      </c>
      <c r="M92" s="8">
        <v>0</v>
      </c>
      <c r="N92" s="8">
        <v>0</v>
      </c>
    </row>
    <row r="93" spans="2:14">
      <c r="B93" t="s">
        <v>295</v>
      </c>
      <c r="D93" t="s">
        <v>182</v>
      </c>
      <c r="F93" s="21">
        <f>SUM(G93:N93)</f>
        <v>231342.54982158248</v>
      </c>
      <c r="G93" s="8">
        <v>0</v>
      </c>
      <c r="H93" s="8">
        <v>231342.54982158248</v>
      </c>
      <c r="I93" s="8">
        <v>0</v>
      </c>
      <c r="J93" s="8">
        <v>0</v>
      </c>
      <c r="K93" s="8">
        <v>0</v>
      </c>
      <c r="L93" s="8">
        <v>0</v>
      </c>
      <c r="M93" s="8">
        <v>0</v>
      </c>
      <c r="N93" s="8">
        <v>0</v>
      </c>
    </row>
    <row r="94" spans="2:14">
      <c r="B94" t="s">
        <v>296</v>
      </c>
      <c r="D94" t="s">
        <v>182</v>
      </c>
      <c r="F94" s="21">
        <f>SUM(G94:N94)</f>
        <v>9564347.061958544</v>
      </c>
      <c r="G94" s="8">
        <v>0</v>
      </c>
      <c r="H94" s="8">
        <v>9564347.061958544</v>
      </c>
      <c r="I94" s="8">
        <v>0</v>
      </c>
      <c r="J94" s="8">
        <v>0</v>
      </c>
      <c r="K94" s="8">
        <v>0</v>
      </c>
      <c r="L94" s="8">
        <v>0</v>
      </c>
      <c r="M94" s="8">
        <v>0</v>
      </c>
      <c r="N94" s="8">
        <v>0</v>
      </c>
    </row>
    <row r="95" spans="2:14">
      <c r="G95" s="118"/>
      <c r="H95" s="118"/>
      <c r="I95" s="118"/>
      <c r="J95" s="118"/>
      <c r="K95" s="118"/>
      <c r="L95" s="118"/>
      <c r="M95" s="118"/>
      <c r="N95" s="118"/>
    </row>
    <row r="96" spans="2:14">
      <c r="B96" s="3" t="s">
        <v>297</v>
      </c>
      <c r="G96" s="118"/>
      <c r="H96" s="118"/>
      <c r="I96" s="118"/>
      <c r="J96" s="118"/>
      <c r="K96" s="118"/>
      <c r="L96" s="118"/>
      <c r="M96" s="118"/>
      <c r="N96" s="118"/>
    </row>
    <row r="97" spans="2:14">
      <c r="B97" t="s">
        <v>298</v>
      </c>
      <c r="D97" t="s">
        <v>182</v>
      </c>
      <c r="F97" s="21">
        <f>SUM(G97:N97)</f>
        <v>21500000</v>
      </c>
      <c r="G97" s="8">
        <v>0</v>
      </c>
      <c r="H97" s="8">
        <v>0</v>
      </c>
      <c r="I97" s="8">
        <v>0</v>
      </c>
      <c r="J97" s="8">
        <v>0</v>
      </c>
      <c r="K97" s="8">
        <v>0</v>
      </c>
      <c r="L97" s="8">
        <v>0</v>
      </c>
      <c r="M97" s="8">
        <v>21500000</v>
      </c>
      <c r="N97" s="8">
        <v>0</v>
      </c>
    </row>
    <row r="98" spans="2:14">
      <c r="B98" t="s">
        <v>299</v>
      </c>
      <c r="D98" t="s">
        <v>182</v>
      </c>
      <c r="F98" s="21">
        <f>SUM(G98:N98)</f>
        <v>643233.04785714298</v>
      </c>
      <c r="G98" s="8">
        <v>0</v>
      </c>
      <c r="H98" s="8">
        <v>0</v>
      </c>
      <c r="I98" s="8">
        <v>0</v>
      </c>
      <c r="J98" s="8">
        <v>0</v>
      </c>
      <c r="K98" s="8">
        <v>0</v>
      </c>
      <c r="L98" s="8">
        <v>0</v>
      </c>
      <c r="M98" s="8">
        <v>643233.04785714298</v>
      </c>
      <c r="N98" s="8">
        <v>0</v>
      </c>
    </row>
    <row r="99" spans="2:14">
      <c r="B99" t="s">
        <v>300</v>
      </c>
      <c r="D99" t="s">
        <v>182</v>
      </c>
      <c r="F99" s="21">
        <f>SUM(G99:N99)</f>
        <v>20856766.952142857</v>
      </c>
      <c r="G99" s="8">
        <v>0</v>
      </c>
      <c r="H99" s="8">
        <v>0</v>
      </c>
      <c r="I99" s="8">
        <v>0</v>
      </c>
      <c r="J99" s="8">
        <v>0</v>
      </c>
      <c r="K99" s="8">
        <v>0</v>
      </c>
      <c r="L99" s="8">
        <v>0</v>
      </c>
      <c r="M99" s="8">
        <v>20856766.952142857</v>
      </c>
      <c r="N99" s="8">
        <v>0</v>
      </c>
    </row>
    <row r="101" spans="2:14">
      <c r="B101" s="3" t="s">
        <v>301</v>
      </c>
    </row>
    <row r="102" spans="2:14">
      <c r="B102" t="s">
        <v>302</v>
      </c>
      <c r="D102" t="s">
        <v>182</v>
      </c>
      <c r="F102" s="24">
        <f>F77+F82+F87+F92+F97</f>
        <v>677278926.94168937</v>
      </c>
      <c r="G102" s="24">
        <f>G77+G82+G87+G92+G97</f>
        <v>4705325.57</v>
      </c>
      <c r="H102" s="24">
        <f t="shared" ref="H102:N102" si="4">H77+H82+H87+H92+H97</f>
        <v>17950206.140708871</v>
      </c>
      <c r="I102" s="24">
        <f t="shared" si="4"/>
        <v>3594676.1891587507</v>
      </c>
      <c r="J102" s="24">
        <f t="shared" si="4"/>
        <v>247860360.76999995</v>
      </c>
      <c r="K102" s="24">
        <f t="shared" si="4"/>
        <v>176649485.55230328</v>
      </c>
      <c r="L102" s="24">
        <f t="shared" si="4"/>
        <v>1303550.35665</v>
      </c>
      <c r="M102" s="24">
        <f t="shared" si="4"/>
        <v>212700208.63522267</v>
      </c>
      <c r="N102" s="24">
        <f t="shared" si="4"/>
        <v>12515113.727645898</v>
      </c>
    </row>
    <row r="103" spans="2:14">
      <c r="B103" t="s">
        <v>277</v>
      </c>
      <c r="D103" t="s">
        <v>182</v>
      </c>
      <c r="F103" s="24">
        <f t="shared" ref="F103:N104" si="5">F78+F83+F88+F93+F98</f>
        <v>478871889.99840713</v>
      </c>
      <c r="G103" s="24">
        <f t="shared" si="5"/>
        <v>2847581.7773885448</v>
      </c>
      <c r="H103" s="24">
        <f t="shared" si="5"/>
        <v>13751951.697663119</v>
      </c>
      <c r="I103" s="24">
        <f t="shared" si="5"/>
        <v>6840169.3874727543</v>
      </c>
      <c r="J103" s="24">
        <f t="shared" si="5"/>
        <v>177099841.35979882</v>
      </c>
      <c r="K103" s="24">
        <f t="shared" si="5"/>
        <v>140698362.84398207</v>
      </c>
      <c r="L103" s="24">
        <f t="shared" si="5"/>
        <v>3389902.5388393812</v>
      </c>
      <c r="M103" s="24">
        <f t="shared" si="5"/>
        <v>126243991.84160733</v>
      </c>
      <c r="N103" s="24">
        <f t="shared" si="5"/>
        <v>8000088.5516550913</v>
      </c>
    </row>
    <row r="104" spans="2:14">
      <c r="B104" t="s">
        <v>303</v>
      </c>
      <c r="D104" t="s">
        <v>182</v>
      </c>
      <c r="F104" s="24">
        <f t="shared" si="5"/>
        <v>10062464086.050123</v>
      </c>
      <c r="G104" s="24">
        <f t="shared" si="5"/>
        <v>52136356.656117469</v>
      </c>
      <c r="H104" s="24">
        <f t="shared" si="5"/>
        <v>246784684.27933758</v>
      </c>
      <c r="I104" s="24">
        <f t="shared" si="5"/>
        <v>97092785.443477094</v>
      </c>
      <c r="J104" s="24">
        <f t="shared" si="5"/>
        <v>3344285645.9995975</v>
      </c>
      <c r="K104" s="24">
        <f t="shared" si="5"/>
        <v>3296880259.2556334</v>
      </c>
      <c r="L104" s="24">
        <f t="shared" si="5"/>
        <v>38131243.062503561</v>
      </c>
      <c r="M104" s="24">
        <f t="shared" si="5"/>
        <v>2747979179.7216749</v>
      </c>
      <c r="N104" s="24">
        <f t="shared" si="5"/>
        <v>239173931.63178235</v>
      </c>
    </row>
    <row r="107" spans="2:14" s="2" customFormat="1">
      <c r="B107" s="2" t="s">
        <v>193</v>
      </c>
    </row>
    <row r="109" spans="2:14">
      <c r="B109" s="3" t="s">
        <v>282</v>
      </c>
    </row>
    <row r="110" spans="2:14">
      <c r="B110" t="s">
        <v>283</v>
      </c>
      <c r="D110" t="s">
        <v>183</v>
      </c>
      <c r="F110" s="21">
        <f>SUM(G110:N110)</f>
        <v>0</v>
      </c>
      <c r="G110" s="8">
        <v>0</v>
      </c>
      <c r="H110" s="8">
        <v>0</v>
      </c>
      <c r="I110" s="8">
        <v>0</v>
      </c>
      <c r="J110" s="8">
        <v>0</v>
      </c>
      <c r="K110" s="8">
        <v>0</v>
      </c>
      <c r="L110" s="8">
        <v>0</v>
      </c>
      <c r="M110" s="8">
        <v>0</v>
      </c>
      <c r="N110" s="8">
        <v>0</v>
      </c>
    </row>
    <row r="111" spans="2:14">
      <c r="B111" t="s">
        <v>284</v>
      </c>
      <c r="D111" t="s">
        <v>183</v>
      </c>
      <c r="F111" s="21">
        <f>SUM(G111:N111)</f>
        <v>373418686.02102286</v>
      </c>
      <c r="G111" s="8">
        <v>2343779.8701332882</v>
      </c>
      <c r="H111" s="8">
        <v>9777971.3497460634</v>
      </c>
      <c r="I111" s="8">
        <v>5882972.8179669036</v>
      </c>
      <c r="J111" s="8">
        <v>133029424.76005359</v>
      </c>
      <c r="K111" s="8">
        <v>116163722.89412554</v>
      </c>
      <c r="L111" s="8">
        <v>1847261.4322588902</v>
      </c>
      <c r="M111" s="8">
        <v>100536272.74171679</v>
      </c>
      <c r="N111" s="8">
        <v>3837280.1550218049</v>
      </c>
    </row>
    <row r="112" spans="2:14">
      <c r="B112" t="s">
        <v>285</v>
      </c>
      <c r="D112" t="s">
        <v>183</v>
      </c>
      <c r="F112" s="21">
        <f>SUM(G112:N112)</f>
        <v>6337193478.5134859</v>
      </c>
      <c r="G112" s="8">
        <v>25087605.809630886</v>
      </c>
      <c r="H112" s="8">
        <v>112495281.99330693</v>
      </c>
      <c r="I112" s="8">
        <v>60144440.471395873</v>
      </c>
      <c r="J112" s="8">
        <v>2152489833.4372439</v>
      </c>
      <c r="K112" s="8">
        <v>2295122302.6792579</v>
      </c>
      <c r="L112" s="8">
        <v>12573886.942943569</v>
      </c>
      <c r="M112" s="8">
        <v>1602297168.4455764</v>
      </c>
      <c r="N112" s="8">
        <v>76982958.73413071</v>
      </c>
    </row>
    <row r="113" spans="2:16">
      <c r="G113" s="118"/>
      <c r="H113" s="118"/>
      <c r="I113" s="118"/>
      <c r="J113" s="118"/>
      <c r="K113" s="118"/>
      <c r="L113" s="118"/>
      <c r="M113" s="118"/>
      <c r="N113" s="118"/>
    </row>
    <row r="114" spans="2:16">
      <c r="B114" s="3" t="s">
        <v>286</v>
      </c>
      <c r="G114" s="118"/>
      <c r="H114" s="118"/>
      <c r="I114" s="118"/>
      <c r="J114" s="118"/>
      <c r="K114" s="118"/>
      <c r="L114" s="118"/>
      <c r="M114" s="118"/>
      <c r="N114" s="118"/>
    </row>
    <row r="115" spans="2:16">
      <c r="B115" t="s">
        <v>287</v>
      </c>
      <c r="D115" t="s">
        <v>183</v>
      </c>
      <c r="F115" s="21">
        <f>SUM(G115:N115)</f>
        <v>649878194.74616981</v>
      </c>
      <c r="G115" s="119">
        <v>3879809</v>
      </c>
      <c r="H115" s="119">
        <v>21683458.133099999</v>
      </c>
      <c r="I115" s="119">
        <v>7186733.5627800003</v>
      </c>
      <c r="J115" s="119">
        <v>224287714.21000001</v>
      </c>
      <c r="K115" s="119">
        <v>191852407.90066698</v>
      </c>
      <c r="L115" s="119">
        <v>1513958.19</v>
      </c>
      <c r="M115" s="119">
        <v>192162981.66098002</v>
      </c>
      <c r="N115" s="119">
        <v>7311132.0886428747</v>
      </c>
    </row>
    <row r="116" spans="2:16">
      <c r="B116" t="s">
        <v>277</v>
      </c>
      <c r="D116" t="s">
        <v>183</v>
      </c>
      <c r="F116" s="21">
        <f>SUM(G116:N116)</f>
        <v>130211454.21570057</v>
      </c>
      <c r="G116" s="119">
        <v>672751.03269080888</v>
      </c>
      <c r="H116" s="119">
        <v>4331475.1117524076</v>
      </c>
      <c r="I116" s="119">
        <v>1568936.7504146416</v>
      </c>
      <c r="J116" s="159">
        <f>55916397.0751887+'Aanpassing gegevens (sep 2014)'!H28</f>
        <v>55994592.798026927</v>
      </c>
      <c r="K116" s="159">
        <f>28273401.3358468+'Aanpassing gegevens (sep 2014)'!H44</f>
        <v>28286198.007122971</v>
      </c>
      <c r="L116" s="119">
        <v>883125.76748998149</v>
      </c>
      <c r="M116" s="119">
        <v>33771679.391945891</v>
      </c>
      <c r="N116" s="119">
        <v>4702695.3562569292</v>
      </c>
      <c r="P116" s="28"/>
    </row>
    <row r="117" spans="2:16">
      <c r="B117" t="s">
        <v>288</v>
      </c>
      <c r="D117" t="s">
        <v>183</v>
      </c>
      <c r="F117" s="21">
        <f>SUM(G117:N117)</f>
        <v>4097317871.2733817</v>
      </c>
      <c r="G117" s="119">
        <v>29267574.216721538</v>
      </c>
      <c r="H117" s="119">
        <v>138466795.66332546</v>
      </c>
      <c r="I117" s="119">
        <v>39207581.388010085</v>
      </c>
      <c r="J117" s="159">
        <f>1313687836.21114+'Aanpassing gegevens (sep 2014)'!H29</f>
        <v>1314010936.0102632</v>
      </c>
      <c r="K117" s="159">
        <f>1134328786.62407+'Aanpassing gegevens (sep 2014)'!H45</f>
        <v>1134879330.3164403</v>
      </c>
      <c r="L117" s="119">
        <v>20719545.397898104</v>
      </c>
      <c r="M117" s="119">
        <v>1253585456.5832806</v>
      </c>
      <c r="N117" s="119">
        <v>167180651.69744214</v>
      </c>
    </row>
    <row r="118" spans="2:16">
      <c r="G118" s="118"/>
      <c r="H118" s="118"/>
      <c r="I118" s="118"/>
      <c r="J118" s="118"/>
      <c r="K118" s="118"/>
      <c r="L118" s="118"/>
      <c r="M118" s="118"/>
      <c r="N118" s="118"/>
    </row>
    <row r="119" spans="2:16">
      <c r="B119" s="3" t="s">
        <v>289</v>
      </c>
      <c r="G119" s="118"/>
      <c r="H119" s="118"/>
      <c r="I119" s="118"/>
      <c r="J119" s="118"/>
      <c r="K119" s="118"/>
      <c r="L119" s="118"/>
      <c r="M119" s="118"/>
      <c r="N119" s="118"/>
    </row>
    <row r="120" spans="2:16">
      <c r="B120" t="s">
        <v>290</v>
      </c>
      <c r="D120" t="s">
        <v>183</v>
      </c>
      <c r="F120" s="21">
        <f>SUM(G120:N120)</f>
        <v>0</v>
      </c>
      <c r="G120" s="8">
        <v>0</v>
      </c>
      <c r="H120" s="8">
        <v>0</v>
      </c>
      <c r="I120" s="8">
        <v>0</v>
      </c>
      <c r="J120" s="8">
        <v>0</v>
      </c>
      <c r="K120" s="8">
        <v>0</v>
      </c>
      <c r="L120" s="8">
        <v>0</v>
      </c>
      <c r="M120" s="8">
        <v>0</v>
      </c>
      <c r="N120" s="8">
        <v>0</v>
      </c>
    </row>
    <row r="121" spans="2:16">
      <c r="B121" t="s">
        <v>291</v>
      </c>
      <c r="D121" t="s">
        <v>183</v>
      </c>
      <c r="F121" s="21">
        <f>SUM(G121:N121)</f>
        <v>658970.57593401696</v>
      </c>
      <c r="G121" s="8">
        <v>0</v>
      </c>
      <c r="H121" s="8">
        <v>0</v>
      </c>
      <c r="I121" s="8">
        <v>0</v>
      </c>
      <c r="J121" s="8">
        <v>0</v>
      </c>
      <c r="K121" s="8">
        <v>0</v>
      </c>
      <c r="L121" s="8">
        <v>658970.57593401696</v>
      </c>
      <c r="M121" s="8">
        <v>0</v>
      </c>
      <c r="N121" s="8">
        <v>0</v>
      </c>
    </row>
    <row r="122" spans="2:16">
      <c r="B122" t="s">
        <v>292</v>
      </c>
      <c r="D122" t="s">
        <v>183</v>
      </c>
      <c r="F122" s="21">
        <f>SUM(G122:N122)</f>
        <v>3953823.4556040894</v>
      </c>
      <c r="G122" s="8">
        <v>-3.1470824857248278E-9</v>
      </c>
      <c r="H122" s="8">
        <v>0</v>
      </c>
      <c r="I122" s="8">
        <v>0</v>
      </c>
      <c r="J122" s="8">
        <v>0</v>
      </c>
      <c r="K122" s="8">
        <v>0</v>
      </c>
      <c r="L122" s="8">
        <v>3953823.4556040927</v>
      </c>
      <c r="M122" s="8">
        <v>0</v>
      </c>
      <c r="N122" s="8">
        <v>0</v>
      </c>
    </row>
    <row r="123" spans="2:16">
      <c r="G123" s="118"/>
      <c r="H123" s="118"/>
      <c r="I123" s="118"/>
      <c r="J123" s="118"/>
      <c r="K123" s="118"/>
      <c r="L123" s="118"/>
      <c r="M123" s="118"/>
      <c r="N123" s="118"/>
    </row>
    <row r="124" spans="2:16">
      <c r="B124" s="3" t="s">
        <v>293</v>
      </c>
      <c r="G124" s="118"/>
      <c r="H124" s="118"/>
      <c r="I124" s="118"/>
      <c r="J124" s="118"/>
      <c r="K124" s="118"/>
      <c r="L124" s="118"/>
      <c r="M124" s="118"/>
      <c r="N124" s="118"/>
    </row>
    <row r="125" spans="2:16">
      <c r="B125" t="s">
        <v>294</v>
      </c>
      <c r="D125" t="s">
        <v>183</v>
      </c>
      <c r="F125" s="21">
        <f>SUM(G125:N125)</f>
        <v>0</v>
      </c>
      <c r="G125" s="8">
        <v>0</v>
      </c>
      <c r="H125" s="8">
        <v>0</v>
      </c>
      <c r="I125" s="8">
        <v>0</v>
      </c>
      <c r="J125" s="8">
        <v>0</v>
      </c>
      <c r="K125" s="8">
        <v>0</v>
      </c>
      <c r="L125" s="8">
        <v>0</v>
      </c>
      <c r="M125" s="8">
        <v>0</v>
      </c>
      <c r="N125" s="8">
        <v>0</v>
      </c>
    </row>
    <row r="126" spans="2:16">
      <c r="B126" t="s">
        <v>295</v>
      </c>
      <c r="D126" t="s">
        <v>183</v>
      </c>
      <c r="F126" s="21">
        <f>SUM(G126:N126)</f>
        <v>237357.45611694362</v>
      </c>
      <c r="G126" s="8">
        <v>0</v>
      </c>
      <c r="H126" s="8">
        <v>237357.45611694362</v>
      </c>
      <c r="I126" s="8">
        <v>0</v>
      </c>
      <c r="J126" s="8">
        <v>0</v>
      </c>
      <c r="K126" s="8">
        <v>0</v>
      </c>
      <c r="L126" s="8">
        <v>0</v>
      </c>
      <c r="M126" s="8">
        <v>0</v>
      </c>
      <c r="N126" s="8">
        <v>0</v>
      </c>
    </row>
    <row r="127" spans="2:16">
      <c r="B127" t="s">
        <v>296</v>
      </c>
      <c r="D127" t="s">
        <v>183</v>
      </c>
      <c r="F127" s="21">
        <f>SUM(G127:N127)</f>
        <v>9575662.6294525228</v>
      </c>
      <c r="G127" s="8">
        <v>0</v>
      </c>
      <c r="H127" s="8">
        <v>9575662.6294525228</v>
      </c>
      <c r="I127" s="8">
        <v>0</v>
      </c>
      <c r="J127" s="8">
        <v>0</v>
      </c>
      <c r="K127" s="8">
        <v>0</v>
      </c>
      <c r="L127" s="8">
        <v>0</v>
      </c>
      <c r="M127" s="8">
        <v>0</v>
      </c>
      <c r="N127" s="8">
        <v>0</v>
      </c>
    </row>
    <row r="128" spans="2:16">
      <c r="G128" s="118"/>
      <c r="H128" s="118"/>
      <c r="I128" s="118"/>
      <c r="J128" s="118"/>
      <c r="K128" s="118"/>
      <c r="L128" s="118"/>
      <c r="M128" s="118"/>
      <c r="N128" s="118"/>
    </row>
    <row r="129" spans="2:14">
      <c r="B129" s="3" t="s">
        <v>297</v>
      </c>
      <c r="G129" s="118"/>
      <c r="H129" s="118"/>
      <c r="I129" s="118"/>
      <c r="J129" s="118"/>
      <c r="K129" s="118"/>
      <c r="L129" s="118"/>
      <c r="M129" s="118"/>
      <c r="N129" s="118"/>
    </row>
    <row r="130" spans="2:14">
      <c r="B130" t="s">
        <v>298</v>
      </c>
      <c r="D130" t="s">
        <v>183</v>
      </c>
      <c r="F130" s="21">
        <f>SUM(G130:N130)</f>
        <v>6392086.7999999998</v>
      </c>
      <c r="G130" s="8">
        <v>0</v>
      </c>
      <c r="H130" s="8">
        <v>1030000</v>
      </c>
      <c r="I130" s="8">
        <v>0</v>
      </c>
      <c r="J130" s="8">
        <v>279304.8</v>
      </c>
      <c r="K130" s="8">
        <v>5082782</v>
      </c>
      <c r="L130" s="8">
        <v>0</v>
      </c>
      <c r="M130" s="8">
        <v>0</v>
      </c>
      <c r="N130" s="8">
        <v>0</v>
      </c>
    </row>
    <row r="131" spans="2:14">
      <c r="B131" t="s">
        <v>299</v>
      </c>
      <c r="D131" t="s">
        <v>183</v>
      </c>
      <c r="F131" s="21">
        <f>SUM(G131:N131)</f>
        <v>1582403.5213139681</v>
      </c>
      <c r="G131" s="8">
        <v>0</v>
      </c>
      <c r="H131" s="8">
        <v>51500</v>
      </c>
      <c r="I131" s="8">
        <v>0</v>
      </c>
      <c r="J131" s="8">
        <v>4706.0959999999995</v>
      </c>
      <c r="K131" s="8">
        <v>206283.21111111113</v>
      </c>
      <c r="L131" s="8">
        <v>0</v>
      </c>
      <c r="M131" s="8">
        <v>1319914.2142028571</v>
      </c>
      <c r="N131" s="8">
        <v>0</v>
      </c>
    </row>
    <row r="132" spans="2:14">
      <c r="B132" t="s">
        <v>300</v>
      </c>
      <c r="D132" t="s">
        <v>183</v>
      </c>
      <c r="F132" s="21">
        <f>SUM(G132:N132)</f>
        <v>26208726.171584606</v>
      </c>
      <c r="G132" s="8">
        <v>0</v>
      </c>
      <c r="H132" s="8">
        <v>978500</v>
      </c>
      <c r="I132" s="8">
        <v>0</v>
      </c>
      <c r="J132" s="8">
        <v>274598.70400000003</v>
      </c>
      <c r="K132" s="8">
        <v>4876498.7888888884</v>
      </c>
      <c r="L132" s="8">
        <v>0</v>
      </c>
      <c r="M132" s="8">
        <v>20079128.678695716</v>
      </c>
      <c r="N132" s="8">
        <v>0</v>
      </c>
    </row>
    <row r="134" spans="2:14">
      <c r="B134" s="3" t="s">
        <v>301</v>
      </c>
    </row>
    <row r="135" spans="2:14">
      <c r="B135" t="s">
        <v>302</v>
      </c>
      <c r="D135" t="s">
        <v>183</v>
      </c>
      <c r="F135" s="24">
        <f>F110+F115+F120+F125+F130</f>
        <v>656270281.54616976</v>
      </c>
      <c r="G135" s="24">
        <f>G110+G115+G120+G125+G130</f>
        <v>3879809</v>
      </c>
      <c r="H135" s="24">
        <f t="shared" ref="H135:N135" si="6">H110+H115+H120+H125+H130</f>
        <v>22713458.133099999</v>
      </c>
      <c r="I135" s="24">
        <f t="shared" si="6"/>
        <v>7186733.5627800003</v>
      </c>
      <c r="J135" s="24">
        <f t="shared" si="6"/>
        <v>224567019.01000002</v>
      </c>
      <c r="K135" s="24">
        <f t="shared" si="6"/>
        <v>196935189.90066698</v>
      </c>
      <c r="L135" s="24">
        <f t="shared" si="6"/>
        <v>1513958.19</v>
      </c>
      <c r="M135" s="24">
        <f t="shared" si="6"/>
        <v>192162981.66098002</v>
      </c>
      <c r="N135" s="24">
        <f t="shared" si="6"/>
        <v>7311132.0886428747</v>
      </c>
    </row>
    <row r="136" spans="2:14">
      <c r="B136" t="s">
        <v>277</v>
      </c>
      <c r="D136" t="s">
        <v>183</v>
      </c>
      <c r="F136" s="24">
        <f t="shared" ref="F136:N137" si="7">F111+F116+F121+F126+F131</f>
        <v>506108871.7900883</v>
      </c>
      <c r="G136" s="24">
        <f t="shared" si="7"/>
        <v>3016530.9028240973</v>
      </c>
      <c r="H136" s="24">
        <f t="shared" si="7"/>
        <v>14398303.917615414</v>
      </c>
      <c r="I136" s="24">
        <f t="shared" si="7"/>
        <v>7451909.5683815451</v>
      </c>
      <c r="J136" s="24">
        <f t="shared" si="7"/>
        <v>189028723.65408051</v>
      </c>
      <c r="K136" s="24">
        <f t="shared" si="7"/>
        <v>144656204.11235961</v>
      </c>
      <c r="L136" s="24">
        <f t="shared" si="7"/>
        <v>3389357.7756828889</v>
      </c>
      <c r="M136" s="24">
        <f t="shared" si="7"/>
        <v>135627866.34786552</v>
      </c>
      <c r="N136" s="24">
        <f t="shared" si="7"/>
        <v>8539975.5112787336</v>
      </c>
    </row>
    <row r="137" spans="2:14">
      <c r="B137" t="s">
        <v>303</v>
      </c>
      <c r="D137" t="s">
        <v>183</v>
      </c>
      <c r="F137" s="24">
        <f t="shared" si="7"/>
        <v>10474249562.043509</v>
      </c>
      <c r="G137" s="24">
        <f t="shared" si="7"/>
        <v>54355180.02635242</v>
      </c>
      <c r="H137" s="24">
        <f t="shared" si="7"/>
        <v>261516240.28608492</v>
      </c>
      <c r="I137" s="24">
        <f t="shared" si="7"/>
        <v>99352021.859405965</v>
      </c>
      <c r="J137" s="24">
        <f t="shared" si="7"/>
        <v>3466775368.1515069</v>
      </c>
      <c r="K137" s="24">
        <f t="shared" si="7"/>
        <v>3434878131.7845869</v>
      </c>
      <c r="L137" s="24">
        <f t="shared" si="7"/>
        <v>37247255.796445765</v>
      </c>
      <c r="M137" s="24">
        <f t="shared" si="7"/>
        <v>2875961753.7075529</v>
      </c>
      <c r="N137" s="24">
        <f t="shared" si="7"/>
        <v>244163610.43157285</v>
      </c>
    </row>
    <row r="141" spans="2:14">
      <c r="F141" s="32"/>
    </row>
  </sheetData>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enableFormatConditionsCalculation="0">
    <tabColor rgb="FFFFCC99"/>
  </sheetPr>
  <dimension ref="B1:P610"/>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8.28515625" customWidth="1"/>
    <col min="16" max="16" width="21.42578125" customWidth="1"/>
  </cols>
  <sheetData>
    <row r="1" spans="2:16" ht="12" customHeight="1"/>
    <row r="2" spans="2:16" s="1" customFormat="1" ht="18">
      <c r="B2" s="1" t="s">
        <v>66</v>
      </c>
      <c r="F2" s="47" t="s">
        <v>177</v>
      </c>
      <c r="G2" s="5" t="s">
        <v>168</v>
      </c>
      <c r="H2" s="5" t="s">
        <v>169</v>
      </c>
      <c r="I2" s="5" t="s">
        <v>170</v>
      </c>
      <c r="J2" s="5" t="s">
        <v>171</v>
      </c>
      <c r="K2" s="5" t="s">
        <v>172</v>
      </c>
      <c r="L2" s="5" t="s">
        <v>173</v>
      </c>
      <c r="M2" s="5" t="s">
        <v>174</v>
      </c>
      <c r="N2" s="5" t="s">
        <v>175</v>
      </c>
      <c r="P2" s="5" t="s">
        <v>438</v>
      </c>
    </row>
    <row r="4" spans="2:16">
      <c r="B4" s="80" t="s">
        <v>1139</v>
      </c>
    </row>
    <row r="5" spans="2:16">
      <c r="B5" s="27" t="s">
        <v>1138</v>
      </c>
    </row>
    <row r="6" spans="2:16">
      <c r="B6" s="27"/>
    </row>
    <row r="8" spans="2:16" s="2" customFormat="1">
      <c r="B8" s="2" t="s">
        <v>67</v>
      </c>
      <c r="F8" s="48"/>
    </row>
    <row r="10" spans="2:16">
      <c r="B10" s="3"/>
    </row>
    <row r="11" spans="2:16">
      <c r="B11" s="85" t="s">
        <v>212</v>
      </c>
    </row>
    <row r="12" spans="2:16">
      <c r="B12" s="86" t="s">
        <v>213</v>
      </c>
      <c r="D12" t="s">
        <v>164</v>
      </c>
      <c r="F12" s="82">
        <f>SUM(G12:N12)</f>
        <v>10</v>
      </c>
      <c r="G12" s="41">
        <f>'PRD Volumes TD (2009-2012)'!G14</f>
        <v>0</v>
      </c>
      <c r="H12" s="41">
        <f>'PRD Volumes TD (2009-2012)'!H14</f>
        <v>0</v>
      </c>
      <c r="I12" s="41">
        <f>'PRD Volumes TD (2009-2012)'!I14</f>
        <v>0</v>
      </c>
      <c r="J12" s="41">
        <f>'PRD Volumes TD (2009-2012)'!J14</f>
        <v>0</v>
      </c>
      <c r="K12" s="41">
        <f>'PRD Volumes TD (2009-2012)'!K14</f>
        <v>8</v>
      </c>
      <c r="L12" s="41">
        <f>'PRD Volumes TD (2009-2012)'!L14</f>
        <v>0</v>
      </c>
      <c r="M12" s="41">
        <f>'PRD Volumes TD (2009-2012)'!M14</f>
        <v>2</v>
      </c>
      <c r="N12" s="41">
        <f>'PRD Volumes TD (2009-2012)'!N14</f>
        <v>0</v>
      </c>
    </row>
    <row r="13" spans="2:16">
      <c r="B13" s="86" t="s">
        <v>43</v>
      </c>
      <c r="F13" s="7"/>
      <c r="G13" s="7"/>
      <c r="H13" s="7"/>
      <c r="I13" s="7"/>
      <c r="J13" s="7"/>
      <c r="K13" s="7"/>
      <c r="L13" s="7"/>
      <c r="M13" s="7"/>
      <c r="N13" s="7"/>
    </row>
    <row r="14" spans="2:16">
      <c r="B14" s="86" t="s">
        <v>214</v>
      </c>
      <c r="D14" t="s">
        <v>164</v>
      </c>
      <c r="F14" s="82">
        <f>SUM(G14:N14)</f>
        <v>269665</v>
      </c>
      <c r="G14" s="41">
        <f>'PRD Volumes TD (2009-2012)'!G16</f>
        <v>0</v>
      </c>
      <c r="H14" s="41">
        <f>'PRD Volumes TD (2009-2012)'!H16</f>
        <v>0</v>
      </c>
      <c r="I14" s="41">
        <f>'PRD Volumes TD (2009-2012)'!I16</f>
        <v>0</v>
      </c>
      <c r="J14" s="41">
        <f>'PRD Volumes TD (2009-2012)'!J16</f>
        <v>0</v>
      </c>
      <c r="K14" s="41">
        <f>'PRD Volumes TD (2009-2012)'!K16</f>
        <v>8025</v>
      </c>
      <c r="L14" s="41">
        <f>'PRD Volumes TD (2009-2012)'!L16</f>
        <v>0</v>
      </c>
      <c r="M14" s="41">
        <f>'PRD Volumes TD (2009-2012)'!M16</f>
        <v>261640</v>
      </c>
      <c r="N14" s="41">
        <f>'PRD Volumes TD (2009-2012)'!N16</f>
        <v>0</v>
      </c>
    </row>
    <row r="15" spans="2:16">
      <c r="B15" s="86" t="s">
        <v>215</v>
      </c>
      <c r="D15" t="s">
        <v>164</v>
      </c>
      <c r="F15" s="82">
        <f>SUM(G15:N15)</f>
        <v>2819612.5714285714</v>
      </c>
      <c r="G15" s="41">
        <f>'PRD Volumes TD (2009-2012)'!G17</f>
        <v>0</v>
      </c>
      <c r="H15" s="41">
        <f>'PRD Volumes TD (2009-2012)'!H17</f>
        <v>0</v>
      </c>
      <c r="I15" s="41">
        <f>'PRD Volumes TD (2009-2012)'!I17</f>
        <v>0</v>
      </c>
      <c r="J15" s="41">
        <f>'PRD Volumes TD (2009-2012)'!J17</f>
        <v>0</v>
      </c>
      <c r="K15" s="41">
        <f>'PRD Volumes TD (2009-2012)'!K17</f>
        <v>53876.571428571428</v>
      </c>
      <c r="L15" s="41">
        <f>'PRD Volumes TD (2009-2012)'!L17</f>
        <v>0</v>
      </c>
      <c r="M15" s="41">
        <f>'PRD Volumes TD (2009-2012)'!M17</f>
        <v>2765736</v>
      </c>
      <c r="N15" s="41">
        <f>'PRD Volumes TD (2009-2012)'!N17</f>
        <v>0</v>
      </c>
    </row>
    <row r="16" spans="2:16">
      <c r="B16" s="86" t="s">
        <v>224</v>
      </c>
      <c r="F16" s="7"/>
      <c r="G16" s="7"/>
      <c r="H16" s="7"/>
      <c r="I16" s="7"/>
      <c r="J16" s="7"/>
      <c r="K16" s="7"/>
      <c r="L16" s="7"/>
      <c r="M16" s="7"/>
      <c r="N16" s="7"/>
    </row>
    <row r="17" spans="2:14">
      <c r="B17" s="86" t="s">
        <v>44</v>
      </c>
      <c r="D17" t="s">
        <v>164</v>
      </c>
      <c r="F17" s="82">
        <f>SUM(G17:N17)</f>
        <v>0</v>
      </c>
      <c r="G17" s="41">
        <f>'PRD Volumes TD (2009-2012)'!G19</f>
        <v>0</v>
      </c>
      <c r="H17" s="41">
        <f>'PRD Volumes TD (2009-2012)'!H19</f>
        <v>0</v>
      </c>
      <c r="I17" s="41">
        <f>'PRD Volumes TD (2009-2012)'!I19</f>
        <v>0</v>
      </c>
      <c r="J17" s="41">
        <f>'PRD Volumes TD (2009-2012)'!J19</f>
        <v>0</v>
      </c>
      <c r="K17" s="41">
        <f>'PRD Volumes TD (2009-2012)'!K19</f>
        <v>0</v>
      </c>
      <c r="L17" s="41">
        <f>'PRD Volumes TD (2009-2012)'!L19</f>
        <v>0</v>
      </c>
      <c r="M17" s="41">
        <f>'PRD Volumes TD (2009-2012)'!M19</f>
        <v>0</v>
      </c>
      <c r="N17" s="41">
        <f>'PRD Volumes TD (2009-2012)'!N19</f>
        <v>0</v>
      </c>
    </row>
    <row r="18" spans="2:14">
      <c r="B18" s="87"/>
    </row>
    <row r="19" spans="2:14">
      <c r="B19" s="86"/>
    </row>
    <row r="20" spans="2:14">
      <c r="B20" s="85" t="s">
        <v>216</v>
      </c>
    </row>
    <row r="21" spans="2:14">
      <c r="B21" s="86" t="s">
        <v>213</v>
      </c>
      <c r="D21" t="s">
        <v>164</v>
      </c>
      <c r="F21" s="82">
        <f>SUM(G21:N21)</f>
        <v>6</v>
      </c>
      <c r="G21" s="41">
        <f>'PRD Volumes TD (2009-2012)'!G23</f>
        <v>0</v>
      </c>
      <c r="H21" s="41">
        <f>'PRD Volumes TD (2009-2012)'!H23</f>
        <v>0</v>
      </c>
      <c r="I21" s="41">
        <f>'PRD Volumes TD (2009-2012)'!I23</f>
        <v>0</v>
      </c>
      <c r="J21" s="41">
        <f>'PRD Volumes TD (2009-2012)'!J23</f>
        <v>0</v>
      </c>
      <c r="K21" s="41">
        <f>'PRD Volumes TD (2009-2012)'!K23</f>
        <v>0</v>
      </c>
      <c r="L21" s="41">
        <f>'PRD Volumes TD (2009-2012)'!L23</f>
        <v>0</v>
      </c>
      <c r="M21" s="41">
        <f>'PRD Volumes TD (2009-2012)'!M23</f>
        <v>6</v>
      </c>
      <c r="N21" s="41">
        <f>'PRD Volumes TD (2009-2012)'!N23</f>
        <v>0</v>
      </c>
    </row>
    <row r="22" spans="2:14">
      <c r="B22" s="86" t="s">
        <v>43</v>
      </c>
      <c r="F22" s="7"/>
      <c r="G22" s="7"/>
      <c r="H22" s="7"/>
      <c r="I22" s="7"/>
      <c r="J22" s="7"/>
      <c r="K22" s="7"/>
      <c r="L22" s="7"/>
      <c r="M22" s="7"/>
      <c r="N22" s="7"/>
    </row>
    <row r="23" spans="2:14">
      <c r="B23" s="86" t="s">
        <v>214</v>
      </c>
      <c r="D23" t="s">
        <v>164</v>
      </c>
      <c r="F23" s="82">
        <f>SUM(G23:N23)</f>
        <v>24282.000000000004</v>
      </c>
      <c r="G23" s="41">
        <f>'PRD Volumes TD (2009-2012)'!G25</f>
        <v>0</v>
      </c>
      <c r="H23" s="41">
        <f>'PRD Volumes TD (2009-2012)'!H25</f>
        <v>0</v>
      </c>
      <c r="I23" s="41">
        <f>'PRD Volumes TD (2009-2012)'!I25</f>
        <v>0</v>
      </c>
      <c r="J23" s="41">
        <f>'PRD Volumes TD (2009-2012)'!J25</f>
        <v>0</v>
      </c>
      <c r="K23" s="41">
        <f>'PRD Volumes TD (2009-2012)'!K25</f>
        <v>0</v>
      </c>
      <c r="L23" s="41">
        <f>'PRD Volumes TD (2009-2012)'!L25</f>
        <v>0</v>
      </c>
      <c r="M23" s="41">
        <f>'PRD Volumes TD (2009-2012)'!M25</f>
        <v>24282.000000000004</v>
      </c>
      <c r="N23" s="41">
        <f>'PRD Volumes TD (2009-2012)'!N25</f>
        <v>0</v>
      </c>
    </row>
    <row r="24" spans="2:14">
      <c r="B24" s="86" t="s">
        <v>217</v>
      </c>
      <c r="D24" t="s">
        <v>164</v>
      </c>
      <c r="F24" s="82">
        <f>SUM(G24:N24)</f>
        <v>129184.625</v>
      </c>
      <c r="G24" s="41">
        <f>'PRD Volumes TD (2009-2012)'!G26</f>
        <v>0</v>
      </c>
      <c r="H24" s="41">
        <f>'PRD Volumes TD (2009-2012)'!H26</f>
        <v>0</v>
      </c>
      <c r="I24" s="41">
        <f>'PRD Volumes TD (2009-2012)'!I26</f>
        <v>0</v>
      </c>
      <c r="J24" s="41">
        <f>'PRD Volumes TD (2009-2012)'!J26</f>
        <v>0</v>
      </c>
      <c r="K24" s="41">
        <f>'PRD Volumes TD (2009-2012)'!K26</f>
        <v>0</v>
      </c>
      <c r="L24" s="41">
        <f>'PRD Volumes TD (2009-2012)'!L26</f>
        <v>0</v>
      </c>
      <c r="M24" s="41">
        <f>'PRD Volumes TD (2009-2012)'!M26</f>
        <v>129184.625</v>
      </c>
      <c r="N24" s="41">
        <f>'PRD Volumes TD (2009-2012)'!N26</f>
        <v>0</v>
      </c>
    </row>
    <row r="25" spans="2:14">
      <c r="B25" s="86" t="s">
        <v>224</v>
      </c>
      <c r="F25" s="7"/>
      <c r="G25" s="7"/>
      <c r="H25" s="7"/>
      <c r="I25" s="7"/>
      <c r="J25" s="7"/>
      <c r="K25" s="7"/>
      <c r="L25" s="7"/>
      <c r="M25" s="7"/>
      <c r="N25" s="7"/>
    </row>
    <row r="26" spans="2:14">
      <c r="B26" s="86" t="s">
        <v>44</v>
      </c>
      <c r="D26" t="s">
        <v>164</v>
      </c>
      <c r="F26" s="82">
        <f>SUM(G26:N26)</f>
        <v>3966653.3333333335</v>
      </c>
      <c r="G26" s="41">
        <f>'PRD Volumes TD (2009-2012)'!G28</f>
        <v>0</v>
      </c>
      <c r="H26" s="41">
        <f>'PRD Volumes TD (2009-2012)'!H28</f>
        <v>0</v>
      </c>
      <c r="I26" s="41">
        <f>'PRD Volumes TD (2009-2012)'!I28</f>
        <v>0</v>
      </c>
      <c r="J26" s="41">
        <f>'PRD Volumes TD (2009-2012)'!J28</f>
        <v>0</v>
      </c>
      <c r="K26" s="41">
        <f>'PRD Volumes TD (2009-2012)'!K28</f>
        <v>0</v>
      </c>
      <c r="L26" s="41">
        <f>'PRD Volumes TD (2009-2012)'!L28</f>
        <v>0</v>
      </c>
      <c r="M26" s="41">
        <f>'PRD Volumes TD (2009-2012)'!M28</f>
        <v>3966653.3333333335</v>
      </c>
      <c r="N26" s="41">
        <f>'PRD Volumes TD (2009-2012)'!N28</f>
        <v>0</v>
      </c>
    </row>
    <row r="27" spans="2:14">
      <c r="B27" s="87"/>
    </row>
    <row r="28" spans="2:14">
      <c r="B28" s="86"/>
    </row>
    <row r="29" spans="2:14">
      <c r="B29" s="85" t="s">
        <v>218</v>
      </c>
    </row>
    <row r="30" spans="2:14">
      <c r="B30" s="86" t="s">
        <v>213</v>
      </c>
      <c r="D30" t="s">
        <v>164</v>
      </c>
      <c r="F30" s="82">
        <f>SUM(G30:N30)</f>
        <v>79.011486667761602</v>
      </c>
      <c r="G30" s="41">
        <f>'PRD Volumes TD (2009-2012)'!G32</f>
        <v>0</v>
      </c>
      <c r="H30" s="41">
        <f>'PRD Volumes TD (2009-2012)'!H32</f>
        <v>1.0833333333333333</v>
      </c>
      <c r="I30" s="41">
        <f>'PRD Volumes TD (2009-2012)'!I32</f>
        <v>0</v>
      </c>
      <c r="J30" s="41">
        <f>'PRD Volumes TD (2009-2012)'!J32</f>
        <v>3</v>
      </c>
      <c r="K30" s="41">
        <f>'PRD Volumes TD (2009-2012)'!K32</f>
        <v>12.473606232978989</v>
      </c>
      <c r="L30" s="41">
        <f>'PRD Volumes TD (2009-2012)'!L32</f>
        <v>0</v>
      </c>
      <c r="M30" s="41">
        <f>'PRD Volumes TD (2009-2012)'!M32</f>
        <v>62.454547101449272</v>
      </c>
      <c r="N30" s="41">
        <f>'PRD Volumes TD (2009-2012)'!N32</f>
        <v>0</v>
      </c>
    </row>
    <row r="31" spans="2:14">
      <c r="B31" s="86" t="s">
        <v>43</v>
      </c>
      <c r="F31" s="7"/>
      <c r="G31" s="7"/>
      <c r="H31" s="7"/>
      <c r="I31" s="7"/>
      <c r="J31" s="7"/>
      <c r="K31" s="7"/>
      <c r="L31" s="7"/>
      <c r="M31" s="7"/>
      <c r="N31" s="7"/>
    </row>
    <row r="32" spans="2:14">
      <c r="B32" s="86" t="s">
        <v>214</v>
      </c>
      <c r="D32" t="s">
        <v>164</v>
      </c>
      <c r="F32" s="82">
        <f>SUM(G32:N32)</f>
        <v>748631.94217238179</v>
      </c>
      <c r="G32" s="41">
        <f>'PRD Volumes TD (2009-2012)'!G34</f>
        <v>0</v>
      </c>
      <c r="H32" s="41">
        <f>'PRD Volumes TD (2009-2012)'!H34</f>
        <v>22018.999999999996</v>
      </c>
      <c r="I32" s="41">
        <f>'PRD Volumes TD (2009-2012)'!I34</f>
        <v>0</v>
      </c>
      <c r="J32" s="41">
        <f>'PRD Volumes TD (2009-2012)'!J34</f>
        <v>54378.225187656382</v>
      </c>
      <c r="K32" s="41">
        <f>'PRD Volumes TD (2009-2012)'!K34</f>
        <v>115955.89874325563</v>
      </c>
      <c r="L32" s="41">
        <f>'PRD Volumes TD (2009-2012)'!L34</f>
        <v>0</v>
      </c>
      <c r="M32" s="41">
        <f>'PRD Volumes TD (2009-2012)'!M34</f>
        <v>556278.81824146979</v>
      </c>
      <c r="N32" s="41">
        <f>'PRD Volumes TD (2009-2012)'!N34</f>
        <v>0</v>
      </c>
    </row>
    <row r="33" spans="2:14">
      <c r="B33" s="86" t="s">
        <v>215</v>
      </c>
      <c r="D33" t="s">
        <v>164</v>
      </c>
      <c r="F33" s="82">
        <f>SUM(G33:N33)</f>
        <v>6935559.412514017</v>
      </c>
      <c r="G33" s="41">
        <f>'PRD Volumes TD (2009-2012)'!G35</f>
        <v>0</v>
      </c>
      <c r="H33" s="41">
        <f>'PRD Volumes TD (2009-2012)'!H35</f>
        <v>196972</v>
      </c>
      <c r="I33" s="41">
        <f>'PRD Volumes TD (2009-2012)'!I35</f>
        <v>0</v>
      </c>
      <c r="J33" s="41">
        <f>'PRD Volumes TD (2009-2012)'!J35</f>
        <v>347301.98347107437</v>
      </c>
      <c r="K33" s="41">
        <f>'PRD Volumes TD (2009-2012)'!K35</f>
        <v>1142836.7055135295</v>
      </c>
      <c r="L33" s="41">
        <f>'PRD Volumes TD (2009-2012)'!L35</f>
        <v>0</v>
      </c>
      <c r="M33" s="41">
        <f>'PRD Volumes TD (2009-2012)'!M35</f>
        <v>5248448.7235294133</v>
      </c>
      <c r="N33" s="41">
        <f>'PRD Volumes TD (2009-2012)'!N35</f>
        <v>0</v>
      </c>
    </row>
    <row r="34" spans="2:14">
      <c r="B34" s="86" t="s">
        <v>224</v>
      </c>
      <c r="F34" s="7"/>
      <c r="G34" s="7"/>
      <c r="H34" s="7"/>
      <c r="I34" s="7"/>
      <c r="J34" s="7"/>
      <c r="K34" s="7"/>
      <c r="L34" s="7"/>
      <c r="M34" s="7"/>
      <c r="N34" s="7"/>
    </row>
    <row r="35" spans="2:14">
      <c r="B35" s="86" t="s">
        <v>44</v>
      </c>
      <c r="D35" t="s">
        <v>164</v>
      </c>
      <c r="F35" s="82">
        <f>SUM(G35:N35)</f>
        <v>26320350.606060605</v>
      </c>
      <c r="G35" s="41">
        <f>'PRD Volumes TD (2009-2012)'!G37</f>
        <v>0</v>
      </c>
      <c r="H35" s="41">
        <f>'PRD Volumes TD (2009-2012)'!H37</f>
        <v>0</v>
      </c>
      <c r="I35" s="41">
        <f>'PRD Volumes TD (2009-2012)'!I37</f>
        <v>0</v>
      </c>
      <c r="J35" s="41">
        <f>'PRD Volumes TD (2009-2012)'!J37</f>
        <v>6272967.2727272725</v>
      </c>
      <c r="K35" s="41">
        <f>'PRD Volumes TD (2009-2012)'!K37</f>
        <v>0</v>
      </c>
      <c r="L35" s="41">
        <f>'PRD Volumes TD (2009-2012)'!L37</f>
        <v>0</v>
      </c>
      <c r="M35" s="41">
        <f>'PRD Volumes TD (2009-2012)'!M37</f>
        <v>20047383.333333332</v>
      </c>
      <c r="N35" s="41">
        <f>'PRD Volumes TD (2009-2012)'!N37</f>
        <v>0</v>
      </c>
    </row>
    <row r="36" spans="2:14">
      <c r="B36" s="87"/>
    </row>
    <row r="37" spans="2:14">
      <c r="B37" s="86"/>
    </row>
    <row r="38" spans="2:14">
      <c r="B38" s="85" t="s">
        <v>219</v>
      </c>
    </row>
    <row r="39" spans="2:14">
      <c r="B39" s="86" t="s">
        <v>213</v>
      </c>
      <c r="D39" t="s">
        <v>164</v>
      </c>
      <c r="F39" s="82">
        <f>SUM(G39:N39)</f>
        <v>24</v>
      </c>
      <c r="G39" s="41">
        <f>'PRD Volumes TD (2009-2012)'!G41</f>
        <v>0</v>
      </c>
      <c r="H39" s="41">
        <f>'PRD Volumes TD (2009-2012)'!H41</f>
        <v>0</v>
      </c>
      <c r="I39" s="41">
        <f>'PRD Volumes TD (2009-2012)'!I41</f>
        <v>0</v>
      </c>
      <c r="J39" s="41">
        <f>'PRD Volumes TD (2009-2012)'!J41</f>
        <v>1</v>
      </c>
      <c r="K39" s="41">
        <f>'PRD Volumes TD (2009-2012)'!K41</f>
        <v>12</v>
      </c>
      <c r="L39" s="41">
        <f>'PRD Volumes TD (2009-2012)'!L41</f>
        <v>0</v>
      </c>
      <c r="M39" s="41">
        <f>'PRD Volumes TD (2009-2012)'!M41</f>
        <v>11</v>
      </c>
      <c r="N39" s="41">
        <f>'PRD Volumes TD (2009-2012)'!N41</f>
        <v>0</v>
      </c>
    </row>
    <row r="40" spans="2:14">
      <c r="B40" s="86" t="s">
        <v>43</v>
      </c>
      <c r="F40" s="7"/>
      <c r="G40" s="7"/>
      <c r="H40" s="7"/>
      <c r="I40" s="7"/>
      <c r="J40" s="7"/>
      <c r="K40" s="7"/>
      <c r="L40" s="7"/>
      <c r="M40" s="7"/>
      <c r="N40" s="7"/>
    </row>
    <row r="41" spans="2:14">
      <c r="B41" s="86" t="s">
        <v>214</v>
      </c>
      <c r="D41" t="s">
        <v>164</v>
      </c>
      <c r="F41" s="82">
        <f>SUM(G41:N41)</f>
        <v>371117.31758530188</v>
      </c>
      <c r="G41" s="41">
        <f>'PRD Volumes TD (2009-2012)'!G43</f>
        <v>0</v>
      </c>
      <c r="H41" s="41">
        <f>'PRD Volumes TD (2009-2012)'!H43</f>
        <v>0</v>
      </c>
      <c r="I41" s="41">
        <f>'PRD Volumes TD (2009-2012)'!I43</f>
        <v>0</v>
      </c>
      <c r="J41" s="41">
        <f>'PRD Volumes TD (2009-2012)'!J43</f>
        <v>5072</v>
      </c>
      <c r="K41" s="41">
        <f>'PRD Volumes TD (2009-2012)'!K43</f>
        <v>69147.5</v>
      </c>
      <c r="L41" s="41">
        <f>'PRD Volumes TD (2009-2012)'!L43</f>
        <v>0</v>
      </c>
      <c r="M41" s="41">
        <f>'PRD Volumes TD (2009-2012)'!M43</f>
        <v>296897.81758530188</v>
      </c>
      <c r="N41" s="41">
        <f>'PRD Volumes TD (2009-2012)'!N43</f>
        <v>0</v>
      </c>
    </row>
    <row r="42" spans="2:14">
      <c r="B42" s="86" t="s">
        <v>217</v>
      </c>
      <c r="D42" t="s">
        <v>164</v>
      </c>
      <c r="F42" s="82">
        <f>SUM(G42:N42)</f>
        <v>3164824.822804315</v>
      </c>
      <c r="G42" s="41">
        <f>'PRD Volumes TD (2009-2012)'!G44</f>
        <v>0</v>
      </c>
      <c r="H42" s="41">
        <f>'PRD Volumes TD (2009-2012)'!H44</f>
        <v>0</v>
      </c>
      <c r="I42" s="41">
        <f>'PRD Volumes TD (2009-2012)'!I44</f>
        <v>0</v>
      </c>
      <c r="J42" s="41">
        <f>'PRD Volumes TD (2009-2012)'!J44</f>
        <v>35083.63636363636</v>
      </c>
      <c r="K42" s="41">
        <f>'PRD Volumes TD (2009-2012)'!K44</f>
        <v>1017475</v>
      </c>
      <c r="L42" s="41">
        <f>'PRD Volumes TD (2009-2012)'!L44</f>
        <v>0</v>
      </c>
      <c r="M42" s="41">
        <f>'PRD Volumes TD (2009-2012)'!M44</f>
        <v>2112266.1864406783</v>
      </c>
      <c r="N42" s="41">
        <f>'PRD Volumes TD (2009-2012)'!N44</f>
        <v>0</v>
      </c>
    </row>
    <row r="43" spans="2:14">
      <c r="B43" s="86" t="s">
        <v>224</v>
      </c>
      <c r="F43" s="7"/>
      <c r="G43" s="7"/>
      <c r="H43" s="7"/>
      <c r="I43" s="7"/>
      <c r="J43" s="7"/>
      <c r="K43" s="7"/>
      <c r="L43" s="7"/>
      <c r="M43" s="7"/>
      <c r="N43" s="7"/>
    </row>
    <row r="44" spans="2:14">
      <c r="B44" s="86" t="s">
        <v>44</v>
      </c>
      <c r="D44" t="s">
        <v>164</v>
      </c>
      <c r="F44" s="82">
        <f>SUM(G44:N44)</f>
        <v>1610272.7272727273</v>
      </c>
      <c r="G44" s="41">
        <f>'PRD Volumes TD (2009-2012)'!G46</f>
        <v>0</v>
      </c>
      <c r="H44" s="41">
        <f>'PRD Volumes TD (2009-2012)'!H46</f>
        <v>0</v>
      </c>
      <c r="I44" s="41">
        <f>'PRD Volumes TD (2009-2012)'!I46</f>
        <v>0</v>
      </c>
      <c r="J44" s="41">
        <f>'PRD Volumes TD (2009-2012)'!J46</f>
        <v>1381912.7272727273</v>
      </c>
      <c r="K44" s="41">
        <f>'PRD Volumes TD (2009-2012)'!K46</f>
        <v>0</v>
      </c>
      <c r="L44" s="41">
        <f>'PRD Volumes TD (2009-2012)'!L46</f>
        <v>0</v>
      </c>
      <c r="M44" s="41">
        <f>'PRD Volumes TD (2009-2012)'!M46</f>
        <v>228359.99999999997</v>
      </c>
      <c r="N44" s="41">
        <f>'PRD Volumes TD (2009-2012)'!N46</f>
        <v>0</v>
      </c>
    </row>
    <row r="45" spans="2:14">
      <c r="B45" s="87"/>
    </row>
    <row r="46" spans="2:14">
      <c r="B46" s="86"/>
    </row>
    <row r="47" spans="2:14">
      <c r="B47" s="85" t="s">
        <v>220</v>
      </c>
    </row>
    <row r="48" spans="2:14">
      <c r="B48" s="86" t="s">
        <v>213</v>
      </c>
      <c r="D48" t="s">
        <v>164</v>
      </c>
      <c r="F48" s="82">
        <f>SUM(G48:N48)</f>
        <v>624.71060468476855</v>
      </c>
      <c r="G48" s="41">
        <f>'PRD Volumes TD (2009-2012)'!G50</f>
        <v>0</v>
      </c>
      <c r="H48" s="41">
        <f>'PRD Volumes TD (2009-2012)'!H50</f>
        <v>42</v>
      </c>
      <c r="I48" s="41">
        <f>'PRD Volumes TD (2009-2012)'!I50</f>
        <v>0.99665730090209637</v>
      </c>
      <c r="J48" s="41">
        <f>'PRD Volumes TD (2009-2012)'!J50</f>
        <v>177.25550197628456</v>
      </c>
      <c r="K48" s="41">
        <f>'PRD Volumes TD (2009-2012)'!K50</f>
        <v>296.34178236410361</v>
      </c>
      <c r="L48" s="41">
        <f>'PRD Volumes TD (2009-2012)'!L50</f>
        <v>0</v>
      </c>
      <c r="M48" s="41">
        <f>'PRD Volumes TD (2009-2012)'!M50</f>
        <v>106.99999637681159</v>
      </c>
      <c r="N48" s="41">
        <f>'PRD Volumes TD (2009-2012)'!N50</f>
        <v>1.1166666666666667</v>
      </c>
    </row>
    <row r="49" spans="2:14">
      <c r="B49" s="86" t="s">
        <v>43</v>
      </c>
      <c r="F49" s="7"/>
      <c r="G49" s="7"/>
      <c r="H49" s="7"/>
      <c r="I49" s="7"/>
      <c r="J49" s="7"/>
      <c r="K49" s="7"/>
      <c r="L49" s="7"/>
      <c r="M49" s="7"/>
      <c r="N49" s="7"/>
    </row>
    <row r="50" spans="2:14">
      <c r="B50" s="86" t="s">
        <v>214</v>
      </c>
      <c r="D50" t="s">
        <v>164</v>
      </c>
      <c r="F50" s="82">
        <f>SUM(G50:N50)</f>
        <v>2840287.1833041203</v>
      </c>
      <c r="G50" s="41">
        <f>'PRD Volumes TD (2009-2012)'!G52</f>
        <v>0</v>
      </c>
      <c r="H50" s="41">
        <f>'PRD Volumes TD (2009-2012)'!H52</f>
        <v>74330.166666666657</v>
      </c>
      <c r="I50" s="41">
        <f>'PRD Volumes TD (2009-2012)'!I52</f>
        <v>14935.6968584645</v>
      </c>
      <c r="J50" s="41">
        <f>'PRD Volumes TD (2009-2012)'!J52</f>
        <v>1316544.5550110263</v>
      </c>
      <c r="K50" s="41">
        <f>'PRD Volumes TD (2009-2012)'!K52</f>
        <v>1023162.8864346296</v>
      </c>
      <c r="L50" s="41">
        <f>'PRD Volumes TD (2009-2012)'!L52</f>
        <v>0</v>
      </c>
      <c r="M50" s="41">
        <f>'PRD Volumes TD (2009-2012)'!M52</f>
        <v>392978.54500000004</v>
      </c>
      <c r="N50" s="41">
        <f>'PRD Volumes TD (2009-2012)'!N52</f>
        <v>18335.333333333332</v>
      </c>
    </row>
    <row r="51" spans="2:14">
      <c r="B51" s="86" t="s">
        <v>215</v>
      </c>
      <c r="D51" t="s">
        <v>164</v>
      </c>
      <c r="F51" s="82">
        <f>SUM(G51:N51)</f>
        <v>27081888.754755691</v>
      </c>
      <c r="G51" s="41">
        <f>'PRD Volumes TD (2009-2012)'!G53</f>
        <v>0</v>
      </c>
      <c r="H51" s="41">
        <f>'PRD Volumes TD (2009-2012)'!H53</f>
        <v>435330.8571428571</v>
      </c>
      <c r="I51" s="41">
        <f>'PRD Volumes TD (2009-2012)'!I53</f>
        <v>161377.4927345636</v>
      </c>
      <c r="J51" s="41">
        <f>'PRD Volumes TD (2009-2012)'!J53</f>
        <v>13085783.290161889</v>
      </c>
      <c r="K51" s="41">
        <f>'PRD Volumes TD (2009-2012)'!K53</f>
        <v>9580235.3677114453</v>
      </c>
      <c r="L51" s="41">
        <f>'PRD Volumes TD (2009-2012)'!L53</f>
        <v>0</v>
      </c>
      <c r="M51" s="41">
        <f>'PRD Volumes TD (2009-2012)'!M53</f>
        <v>3640770.5454545454</v>
      </c>
      <c r="N51" s="41">
        <f>'PRD Volumes TD (2009-2012)'!N53</f>
        <v>178391.2015503876</v>
      </c>
    </row>
    <row r="52" spans="2:14">
      <c r="B52" s="86" t="s">
        <v>224</v>
      </c>
      <c r="F52" s="7"/>
      <c r="G52" s="7"/>
      <c r="H52" s="7"/>
      <c r="I52" s="7"/>
      <c r="J52" s="7"/>
      <c r="K52" s="7"/>
      <c r="L52" s="7"/>
      <c r="M52" s="7"/>
      <c r="N52" s="7"/>
    </row>
    <row r="53" spans="2:14">
      <c r="B53" s="86" t="s">
        <v>44</v>
      </c>
      <c r="D53" t="s">
        <v>164</v>
      </c>
      <c r="F53" s="82">
        <f>SUM(G53:N53)</f>
        <v>58755437.121212125</v>
      </c>
      <c r="G53" s="41">
        <f>'PRD Volumes TD (2009-2012)'!G55</f>
        <v>0</v>
      </c>
      <c r="H53" s="41">
        <f>'PRD Volumes TD (2009-2012)'!H55</f>
        <v>0</v>
      </c>
      <c r="I53" s="41">
        <f>'PRD Volumes TD (2009-2012)'!I55</f>
        <v>0</v>
      </c>
      <c r="J53" s="41">
        <f>'PRD Volumes TD (2009-2012)'!J55</f>
        <v>46422245.454545453</v>
      </c>
      <c r="K53" s="41">
        <f>'PRD Volumes TD (2009-2012)'!K55</f>
        <v>0</v>
      </c>
      <c r="L53" s="41">
        <f>'PRD Volumes TD (2009-2012)'!L55</f>
        <v>0</v>
      </c>
      <c r="M53" s="41">
        <f>'PRD Volumes TD (2009-2012)'!M55</f>
        <v>12333191.666666668</v>
      </c>
      <c r="N53" s="41">
        <f>'PRD Volumes TD (2009-2012)'!N55</f>
        <v>0</v>
      </c>
    </row>
    <row r="54" spans="2:14">
      <c r="B54" s="87"/>
    </row>
    <row r="55" spans="2:14">
      <c r="B55" s="86"/>
    </row>
    <row r="56" spans="2:14">
      <c r="B56" s="85" t="s">
        <v>221</v>
      </c>
    </row>
    <row r="57" spans="2:14">
      <c r="B57" s="86" t="s">
        <v>213</v>
      </c>
      <c r="D57" t="s">
        <v>164</v>
      </c>
      <c r="F57" s="82">
        <f>SUM(G57:N57)</f>
        <v>29.31818181818182</v>
      </c>
      <c r="G57" s="41">
        <f>'PRD Volumes TD (2009-2012)'!G59</f>
        <v>0</v>
      </c>
      <c r="H57" s="41">
        <f>'PRD Volumes TD (2009-2012)'!H59</f>
        <v>1</v>
      </c>
      <c r="I57" s="41">
        <f>'PRD Volumes TD (2009-2012)'!I59</f>
        <v>0</v>
      </c>
      <c r="J57" s="41">
        <f>'PRD Volumes TD (2009-2012)'!J59</f>
        <v>12.818181818181818</v>
      </c>
      <c r="K57" s="41">
        <f>'PRD Volumes TD (2009-2012)'!K59</f>
        <v>13.5</v>
      </c>
      <c r="L57" s="41">
        <f>'PRD Volumes TD (2009-2012)'!L59</f>
        <v>0</v>
      </c>
      <c r="M57" s="41">
        <f>'PRD Volumes TD (2009-2012)'!M59</f>
        <v>2</v>
      </c>
      <c r="N57" s="41">
        <f>'PRD Volumes TD (2009-2012)'!N59</f>
        <v>0</v>
      </c>
    </row>
    <row r="58" spans="2:14">
      <c r="B58" s="86" t="s">
        <v>43</v>
      </c>
      <c r="F58" s="7"/>
      <c r="G58" s="7"/>
      <c r="H58" s="7"/>
      <c r="I58" s="7"/>
      <c r="J58" s="7"/>
      <c r="K58" s="7"/>
      <c r="L58" s="7"/>
      <c r="M58" s="7"/>
      <c r="N58" s="7"/>
    </row>
    <row r="59" spans="2:14">
      <c r="B59" s="86" t="s">
        <v>214</v>
      </c>
      <c r="D59" t="s">
        <v>164</v>
      </c>
      <c r="F59" s="82">
        <f>SUM(G59:N59)</f>
        <v>144484.97524898581</v>
      </c>
      <c r="G59" s="41">
        <f>'PRD Volumes TD (2009-2012)'!G61</f>
        <v>0</v>
      </c>
      <c r="H59" s="41">
        <f>'PRD Volumes TD (2009-2012)'!H61</f>
        <v>9116.0000000000036</v>
      </c>
      <c r="I59" s="41">
        <f>'PRD Volumes TD (2009-2012)'!I61</f>
        <v>0</v>
      </c>
      <c r="J59" s="41">
        <f>'PRD Volumes TD (2009-2012)'!J61</f>
        <v>93636.71747120803</v>
      </c>
      <c r="K59" s="41">
        <f>'PRD Volumes TD (2009-2012)'!K61</f>
        <v>31667.166666666664</v>
      </c>
      <c r="L59" s="41">
        <f>'PRD Volumes TD (2009-2012)'!L61</f>
        <v>0</v>
      </c>
      <c r="M59" s="41">
        <f>'PRD Volumes TD (2009-2012)'!M61</f>
        <v>10065.091111111113</v>
      </c>
      <c r="N59" s="41">
        <f>'PRD Volumes TD (2009-2012)'!N61</f>
        <v>0</v>
      </c>
    </row>
    <row r="60" spans="2:14">
      <c r="B60" s="86" t="s">
        <v>217</v>
      </c>
      <c r="D60" t="s">
        <v>164</v>
      </c>
      <c r="F60" s="82">
        <f>SUM(G60:N60)</f>
        <v>2051166.204477875</v>
      </c>
      <c r="G60" s="41">
        <f>'PRD Volumes TD (2009-2012)'!G62</f>
        <v>0</v>
      </c>
      <c r="H60" s="41">
        <f>'PRD Volumes TD (2009-2012)'!H62</f>
        <v>137621.14285714287</v>
      </c>
      <c r="I60" s="41">
        <f>'PRD Volumes TD (2009-2012)'!I62</f>
        <v>0</v>
      </c>
      <c r="J60" s="41">
        <f>'PRD Volumes TD (2009-2012)'!J62</f>
        <v>1254540.8770053475</v>
      </c>
      <c r="K60" s="41">
        <f>'PRD Volumes TD (2009-2012)'!K62</f>
        <v>429466</v>
      </c>
      <c r="L60" s="41">
        <f>'PRD Volumes TD (2009-2012)'!L62</f>
        <v>0</v>
      </c>
      <c r="M60" s="41">
        <f>'PRD Volumes TD (2009-2012)'!M62</f>
        <v>229538.18461538461</v>
      </c>
      <c r="N60" s="41">
        <f>'PRD Volumes TD (2009-2012)'!N62</f>
        <v>0</v>
      </c>
    </row>
    <row r="61" spans="2:14">
      <c r="B61" s="86" t="s">
        <v>224</v>
      </c>
      <c r="F61" s="7"/>
      <c r="G61" s="7"/>
      <c r="H61" s="7"/>
      <c r="I61" s="7"/>
      <c r="J61" s="7"/>
      <c r="K61" s="7"/>
      <c r="L61" s="7"/>
      <c r="M61" s="7"/>
      <c r="N61" s="7"/>
    </row>
    <row r="62" spans="2:14">
      <c r="B62" s="86" t="s">
        <v>44</v>
      </c>
      <c r="D62" t="s">
        <v>164</v>
      </c>
      <c r="F62" s="82">
        <f>SUM(G62:N62)</f>
        <v>3453165.4545454541</v>
      </c>
      <c r="G62" s="41">
        <f>'PRD Volumes TD (2009-2012)'!G64</f>
        <v>0</v>
      </c>
      <c r="H62" s="41">
        <f>'PRD Volumes TD (2009-2012)'!H64</f>
        <v>0</v>
      </c>
      <c r="I62" s="41">
        <f>'PRD Volumes TD (2009-2012)'!I64</f>
        <v>0</v>
      </c>
      <c r="J62" s="41">
        <f>'PRD Volumes TD (2009-2012)'!J64</f>
        <v>3453165.4545454541</v>
      </c>
      <c r="K62" s="41">
        <f>'PRD Volumes TD (2009-2012)'!K64</f>
        <v>0</v>
      </c>
      <c r="L62" s="41">
        <f>'PRD Volumes TD (2009-2012)'!L64</f>
        <v>0</v>
      </c>
      <c r="M62" s="41">
        <f>'PRD Volumes TD (2009-2012)'!M64</f>
        <v>0</v>
      </c>
      <c r="N62" s="41">
        <f>'PRD Volumes TD (2009-2012)'!N64</f>
        <v>0</v>
      </c>
    </row>
    <row r="63" spans="2:14">
      <c r="B63" s="87"/>
    </row>
    <row r="64" spans="2:14">
      <c r="B64" s="86"/>
    </row>
    <row r="65" spans="2:14">
      <c r="B65" s="85" t="s">
        <v>210</v>
      </c>
    </row>
    <row r="66" spans="2:14">
      <c r="B66" s="86" t="s">
        <v>213</v>
      </c>
      <c r="D66" t="s">
        <v>164</v>
      </c>
      <c r="F66" s="82">
        <f>SUM(G66:N66)</f>
        <v>250.1648343039125</v>
      </c>
      <c r="G66" s="41">
        <f>'PRD Volumes TD (2009-2012)'!G68</f>
        <v>0</v>
      </c>
      <c r="H66" s="41">
        <f>'PRD Volumes TD (2009-2012)'!H68</f>
        <v>0</v>
      </c>
      <c r="I66" s="41">
        <f>'PRD Volumes TD (2009-2012)'!I68</f>
        <v>3.986448404098025</v>
      </c>
      <c r="J66" s="41">
        <f>'PRD Volumes TD (2009-2012)'!J68</f>
        <v>245.17838589981449</v>
      </c>
      <c r="K66" s="41">
        <f>'PRD Volumes TD (2009-2012)'!K68</f>
        <v>0</v>
      </c>
      <c r="L66" s="41">
        <f>'PRD Volumes TD (2009-2012)'!L68</f>
        <v>1</v>
      </c>
      <c r="M66" s="41">
        <f>'PRD Volumes TD (2009-2012)'!M68</f>
        <v>0</v>
      </c>
      <c r="N66" s="41">
        <f>'PRD Volumes TD (2009-2012)'!N68</f>
        <v>0</v>
      </c>
    </row>
    <row r="67" spans="2:14">
      <c r="B67" s="86" t="s">
        <v>223</v>
      </c>
      <c r="D67" t="s">
        <v>164</v>
      </c>
      <c r="F67" s="82">
        <f>SUM(G67:N67)</f>
        <v>719364.74483901332</v>
      </c>
      <c r="G67" s="41">
        <f>'PRD Volumes TD (2009-2012)'!G69</f>
        <v>0</v>
      </c>
      <c r="H67" s="41">
        <f>'PRD Volumes TD (2009-2012)'!H69</f>
        <v>0</v>
      </c>
      <c r="I67" s="41">
        <f>'PRD Volumes TD (2009-2012)'!I69</f>
        <v>22689.79752683203</v>
      </c>
      <c r="J67" s="41">
        <f>'PRD Volumes TD (2009-2012)'!J69</f>
        <v>689684.94731218135</v>
      </c>
      <c r="K67" s="41">
        <f>'PRD Volumes TD (2009-2012)'!K69</f>
        <v>0</v>
      </c>
      <c r="L67" s="41">
        <f>'PRD Volumes TD (2009-2012)'!L69</f>
        <v>6990</v>
      </c>
      <c r="M67" s="41">
        <f>'PRD Volumes TD (2009-2012)'!M69</f>
        <v>0</v>
      </c>
      <c r="N67" s="41">
        <f>'PRD Volumes TD (2009-2012)'!N69</f>
        <v>0</v>
      </c>
    </row>
    <row r="68" spans="2:14">
      <c r="B68" s="86" t="s">
        <v>215</v>
      </c>
      <c r="D68" t="s">
        <v>164</v>
      </c>
      <c r="F68" s="82">
        <f>SUM(G68:N68)</f>
        <v>6882412.804132631</v>
      </c>
      <c r="G68" s="41">
        <f>'PRD Volumes TD (2009-2012)'!G70</f>
        <v>0</v>
      </c>
      <c r="H68" s="41">
        <f>'PRD Volumes TD (2009-2012)'!H70</f>
        <v>0</v>
      </c>
      <c r="I68" s="41">
        <f>'PRD Volumes TD (2009-2012)'!I70</f>
        <v>250071.45833823923</v>
      </c>
      <c r="J68" s="41">
        <f>'PRD Volumes TD (2009-2012)'!J70</f>
        <v>6559230.3457943918</v>
      </c>
      <c r="K68" s="41">
        <f>'PRD Volumes TD (2009-2012)'!K70</f>
        <v>0</v>
      </c>
      <c r="L68" s="41">
        <f>'PRD Volumes TD (2009-2012)'!L70</f>
        <v>73111</v>
      </c>
      <c r="M68" s="41">
        <f>'PRD Volumes TD (2009-2012)'!M70</f>
        <v>0</v>
      </c>
      <c r="N68" s="41">
        <f>'PRD Volumes TD (2009-2012)'!N70</f>
        <v>0</v>
      </c>
    </row>
    <row r="69" spans="2:14">
      <c r="B69" s="86" t="s">
        <v>224</v>
      </c>
      <c r="D69" t="s">
        <v>164</v>
      </c>
      <c r="F69" s="82">
        <f>SUM(G69:N69)</f>
        <v>2666411255.9762263</v>
      </c>
      <c r="G69" s="41">
        <f>'PRD Volumes TD (2009-2012)'!G71</f>
        <v>0</v>
      </c>
      <c r="H69" s="41">
        <f>'PRD Volumes TD (2009-2012)'!H71</f>
        <v>0</v>
      </c>
      <c r="I69" s="41">
        <f>'PRD Volumes TD (2009-2012)'!I71</f>
        <v>92566296.634234741</v>
      </c>
      <c r="J69" s="41">
        <f>'PRD Volumes TD (2009-2012)'!J71</f>
        <v>2569025691.3419914</v>
      </c>
      <c r="K69" s="41">
        <f>'PRD Volumes TD (2009-2012)'!K71</f>
        <v>0</v>
      </c>
      <c r="L69" s="41">
        <f>'PRD Volumes TD (2009-2012)'!L71</f>
        <v>4819268</v>
      </c>
      <c r="M69" s="41">
        <f>'PRD Volumes TD (2009-2012)'!M71</f>
        <v>0</v>
      </c>
      <c r="N69" s="41">
        <f>'PRD Volumes TD (2009-2012)'!N71</f>
        <v>0</v>
      </c>
    </row>
    <row r="70" spans="2:14">
      <c r="B70" s="86" t="s">
        <v>44</v>
      </c>
      <c r="D70" t="s">
        <v>164</v>
      </c>
      <c r="F70" s="82">
        <f>SUM(G70:N70)</f>
        <v>56064187.272727273</v>
      </c>
      <c r="G70" s="41">
        <f>'PRD Volumes TD (2009-2012)'!G72</f>
        <v>0</v>
      </c>
      <c r="H70" s="41">
        <f>'PRD Volumes TD (2009-2012)'!H72</f>
        <v>0</v>
      </c>
      <c r="I70" s="41">
        <f>'PRD Volumes TD (2009-2012)'!I72</f>
        <v>0</v>
      </c>
      <c r="J70" s="41">
        <f>'PRD Volumes TD (2009-2012)'!J72</f>
        <v>56064187.272727273</v>
      </c>
      <c r="K70" s="41">
        <f>'PRD Volumes TD (2009-2012)'!K72</f>
        <v>0</v>
      </c>
      <c r="L70" s="41">
        <f>'PRD Volumes TD (2009-2012)'!L72</f>
        <v>0</v>
      </c>
      <c r="M70" s="41">
        <f>'PRD Volumes TD (2009-2012)'!M72</f>
        <v>0</v>
      </c>
      <c r="N70" s="41">
        <f>'PRD Volumes TD (2009-2012)'!N72</f>
        <v>0</v>
      </c>
    </row>
    <row r="71" spans="2:14">
      <c r="B71" s="87"/>
    </row>
    <row r="72" spans="2:14">
      <c r="B72" s="87"/>
    </row>
    <row r="73" spans="2:14">
      <c r="B73" s="85" t="s">
        <v>211</v>
      </c>
    </row>
    <row r="74" spans="2:14">
      <c r="B74" s="86" t="s">
        <v>213</v>
      </c>
      <c r="D74" t="s">
        <v>164</v>
      </c>
      <c r="F74" s="82">
        <f>SUM(G74:N74)</f>
        <v>22512.427957897951</v>
      </c>
      <c r="G74" s="41">
        <f>'PRD Volumes TD (2009-2012)'!G76</f>
        <v>30</v>
      </c>
      <c r="H74" s="41">
        <f>'PRD Volumes TD (2009-2012)'!H76</f>
        <v>400.75000000000006</v>
      </c>
      <c r="I74" s="41">
        <f>'PRD Volumes TD (2009-2012)'!I76</f>
        <v>583.29208075729707</v>
      </c>
      <c r="J74" s="41">
        <f>'PRD Volumes TD (2009-2012)'!J76</f>
        <v>9154.1289053803339</v>
      </c>
      <c r="K74" s="41">
        <f>'PRD Volumes TD (2009-2012)'!K76</f>
        <v>9008.6810987444478</v>
      </c>
      <c r="L74" s="41">
        <f>'PRD Volumes TD (2009-2012)'!L76</f>
        <v>17.73</v>
      </c>
      <c r="M74" s="41">
        <f>'PRD Volumes TD (2009-2012)'!M76</f>
        <v>3047.8181859410429</v>
      </c>
      <c r="N74" s="41">
        <f>'PRD Volumes TD (2009-2012)'!N76</f>
        <v>270.02768707482994</v>
      </c>
    </row>
    <row r="75" spans="2:14">
      <c r="B75" s="86" t="s">
        <v>223</v>
      </c>
      <c r="D75" t="s">
        <v>164</v>
      </c>
      <c r="F75" s="82">
        <f>SUM(G75:N75)</f>
        <v>8648319.3151410948</v>
      </c>
      <c r="G75" s="41">
        <f>'PRD Volumes TD (2009-2012)'!G77</f>
        <v>31457</v>
      </c>
      <c r="H75" s="41">
        <f>'PRD Volumes TD (2009-2012)'!H77</f>
        <v>177244.41666666669</v>
      </c>
      <c r="I75" s="41">
        <f>'PRD Volumes TD (2009-2012)'!I77</f>
        <v>152716.89854458001</v>
      </c>
      <c r="J75" s="41">
        <f>'PRD Volumes TD (2009-2012)'!J77</f>
        <v>2946866.3987718411</v>
      </c>
      <c r="K75" s="41">
        <f>'PRD Volumes TD (2009-2012)'!K77</f>
        <v>3194870.5431922991</v>
      </c>
      <c r="L75" s="41">
        <f>'PRD Volumes TD (2009-2012)'!L77</f>
        <v>21018</v>
      </c>
      <c r="M75" s="41">
        <f>'PRD Volumes TD (2009-2012)'!M77</f>
        <v>1864125.5468164799</v>
      </c>
      <c r="N75" s="41">
        <f>'PRD Volumes TD (2009-2012)'!N77</f>
        <v>260020.51114922811</v>
      </c>
    </row>
    <row r="76" spans="2:14">
      <c r="B76" s="86" t="s">
        <v>215</v>
      </c>
      <c r="D76" t="s">
        <v>164</v>
      </c>
      <c r="F76" s="82">
        <f>SUM(G76:N76)</f>
        <v>72278906.415101692</v>
      </c>
      <c r="G76" s="41">
        <f>'PRD Volumes TD (2009-2012)'!G78</f>
        <v>322886</v>
      </c>
      <c r="H76" s="41">
        <f>'PRD Volumes TD (2009-2012)'!H78</f>
        <v>1458129</v>
      </c>
      <c r="I76" s="41">
        <f>'PRD Volumes TD (2009-2012)'!I78</f>
        <v>1184984.3576887576</v>
      </c>
      <c r="J76" s="41">
        <f>'PRD Volumes TD (2009-2012)'!J78</f>
        <v>26120456.888257578</v>
      </c>
      <c r="K76" s="41">
        <f>'PRD Volumes TD (2009-2012)'!K78</f>
        <v>26904835.058671664</v>
      </c>
      <c r="L76" s="41">
        <f>'PRD Volumes TD (2009-2012)'!L78</f>
        <v>201386</v>
      </c>
      <c r="M76" s="41">
        <f>'PRD Volumes TD (2009-2012)'!M78</f>
        <v>14200155.36551724</v>
      </c>
      <c r="N76" s="41">
        <f>'PRD Volumes TD (2009-2012)'!N78</f>
        <v>1886073.7449664432</v>
      </c>
    </row>
    <row r="77" spans="2:14">
      <c r="B77" s="86" t="s">
        <v>224</v>
      </c>
      <c r="D77" t="s">
        <v>164</v>
      </c>
      <c r="F77" s="82">
        <f>SUM(G77:N77)</f>
        <v>22913553358.652435</v>
      </c>
      <c r="G77" s="41">
        <f>'PRD Volumes TD (2009-2012)'!G79</f>
        <v>109111499</v>
      </c>
      <c r="H77" s="41">
        <f>'PRD Volumes TD (2009-2012)'!H79</f>
        <v>460008638.55921054</v>
      </c>
      <c r="I77" s="41">
        <f>'PRD Volumes TD (2009-2012)'!I79</f>
        <v>397691192.8137176</v>
      </c>
      <c r="J77" s="41">
        <f>'PRD Volumes TD (2009-2012)'!J79</f>
        <v>7946310326.2869663</v>
      </c>
      <c r="K77" s="41">
        <f>'PRD Volumes TD (2009-2012)'!K79</f>
        <v>8720106593.8239975</v>
      </c>
      <c r="L77" s="41">
        <f>'PRD Volumes TD (2009-2012)'!L79</f>
        <v>73450339</v>
      </c>
      <c r="M77" s="41">
        <f>'PRD Volumes TD (2009-2012)'!M79</f>
        <v>4722846865.168539</v>
      </c>
      <c r="N77" s="41">
        <f>'PRD Volumes TD (2009-2012)'!N79</f>
        <v>484027904</v>
      </c>
    </row>
    <row r="78" spans="2:14">
      <c r="B78" s="86" t="s">
        <v>44</v>
      </c>
      <c r="D78" t="s">
        <v>164</v>
      </c>
      <c r="F78" s="82">
        <f>SUM(G78:N78)</f>
        <v>313941381.54062188</v>
      </c>
      <c r="G78" s="41">
        <f>'PRD Volumes TD (2009-2012)'!G80</f>
        <v>1508631</v>
      </c>
      <c r="H78" s="41">
        <f>'PRD Volumes TD (2009-2012)'!H80</f>
        <v>0</v>
      </c>
      <c r="I78" s="41">
        <f>'PRD Volumes TD (2009-2012)'!I80</f>
        <v>5345962.7224401124</v>
      </c>
      <c r="J78" s="41">
        <f>'PRD Volumes TD (2009-2012)'!J80</f>
        <v>248060746.81818178</v>
      </c>
      <c r="K78" s="41">
        <f>'PRD Volumes TD (2009-2012)'!K80</f>
        <v>0</v>
      </c>
      <c r="L78" s="41">
        <f>'PRD Volumes TD (2009-2012)'!L80</f>
        <v>1070076</v>
      </c>
      <c r="M78" s="41">
        <f>'PRD Volumes TD (2009-2012)'!M80</f>
        <v>57955964.999999993</v>
      </c>
      <c r="N78" s="41">
        <f>'PRD Volumes TD (2009-2012)'!N80</f>
        <v>0</v>
      </c>
    </row>
    <row r="79" spans="2:14">
      <c r="B79" s="87"/>
    </row>
    <row r="80" spans="2:14">
      <c r="B80" s="86"/>
    </row>
    <row r="81" spans="2:14">
      <c r="B81" s="85" t="s">
        <v>226</v>
      </c>
    </row>
    <row r="82" spans="2:14">
      <c r="B82" s="86" t="s">
        <v>213</v>
      </c>
      <c r="D82" t="s">
        <v>164</v>
      </c>
      <c r="F82" s="82">
        <f>SUM(G82:N82)</f>
        <v>40156.941918832847</v>
      </c>
      <c r="G82" s="41">
        <f>'PRD Volumes TD (2009-2012)'!G84</f>
        <v>209</v>
      </c>
      <c r="H82" s="41">
        <f>'PRD Volumes TD (2009-2012)'!H84</f>
        <v>1444.9166666666665</v>
      </c>
      <c r="I82" s="41">
        <f>'PRD Volumes TD (2009-2012)'!I84</f>
        <v>656.87492768387926</v>
      </c>
      <c r="J82" s="41">
        <f>'PRD Volumes TD (2009-2012)'!J84</f>
        <v>14388.939066171924</v>
      </c>
      <c r="K82" s="41">
        <f>'PRD Volumes TD (2009-2012)'!K84</f>
        <v>13388.265022482712</v>
      </c>
      <c r="L82" s="41">
        <f>'PRD Volumes TD (2009-2012)'!L84</f>
        <v>134.06</v>
      </c>
      <c r="M82" s="41">
        <f>'PRD Volumes TD (2009-2012)'!M84</f>
        <v>8874.727278911565</v>
      </c>
      <c r="N82" s="41">
        <f>'PRD Volumes TD (2009-2012)'!N84</f>
        <v>1060.1589569160999</v>
      </c>
    </row>
    <row r="83" spans="2:14">
      <c r="B83" s="86" t="s">
        <v>223</v>
      </c>
      <c r="D83" t="s">
        <v>164</v>
      </c>
      <c r="F83" s="82">
        <f>SUM(G83:N83)</f>
        <v>3849979.4014646895</v>
      </c>
      <c r="G83" s="41">
        <f>'PRD Volumes TD (2009-2012)'!G85</f>
        <v>41068</v>
      </c>
      <c r="H83" s="41">
        <f>'PRD Volumes TD (2009-2012)'!H85</f>
        <v>138825.66666666666</v>
      </c>
      <c r="I83" s="41">
        <f>'PRD Volumes TD (2009-2012)'!I85</f>
        <v>39237.062418822061</v>
      </c>
      <c r="J83" s="41">
        <f>'PRD Volumes TD (2009-2012)'!J85</f>
        <v>1053288.6662373275</v>
      </c>
      <c r="K83" s="41">
        <f>'PRD Volumes TD (2009-2012)'!K85</f>
        <v>1189134.1860904596</v>
      </c>
      <c r="L83" s="41">
        <f>'PRD Volumes TD (2009-2012)'!L85</f>
        <v>22547</v>
      </c>
      <c r="M83" s="41">
        <f>'PRD Volumes TD (2009-2012)'!M85</f>
        <v>1152164</v>
      </c>
      <c r="N83" s="41">
        <f>'PRD Volumes TD (2009-2012)'!N85</f>
        <v>213714.8200514139</v>
      </c>
    </row>
    <row r="84" spans="2:14">
      <c r="B84" s="86" t="s">
        <v>215</v>
      </c>
      <c r="D84" t="s">
        <v>164</v>
      </c>
      <c r="F84" s="82">
        <f>SUM(G84:N84)</f>
        <v>28921861.577609312</v>
      </c>
      <c r="G84" s="41">
        <f>'PRD Volumes TD (2009-2012)'!G86</f>
        <v>362639</v>
      </c>
      <c r="H84" s="41">
        <f>'PRD Volumes TD (2009-2012)'!H86</f>
        <v>1059003.92</v>
      </c>
      <c r="I84" s="41">
        <f>'PRD Volumes TD (2009-2012)'!I86</f>
        <v>260076.28065434218</v>
      </c>
      <c r="J84" s="41">
        <f>'PRD Volumes TD (2009-2012)'!J86</f>
        <v>8343391.2500000009</v>
      </c>
      <c r="K84" s="41">
        <f>'PRD Volumes TD (2009-2012)'!K86</f>
        <v>9152817.0006416142</v>
      </c>
      <c r="L84" s="41">
        <f>'PRD Volumes TD (2009-2012)'!L86</f>
        <v>216002</v>
      </c>
      <c r="M84" s="41">
        <f>'PRD Volumes TD (2009-2012)'!M86</f>
        <v>7944104.4551724149</v>
      </c>
      <c r="N84" s="41">
        <f>'PRD Volumes TD (2009-2012)'!N86</f>
        <v>1583827.6711409392</v>
      </c>
    </row>
    <row r="85" spans="2:14">
      <c r="B85" s="86" t="s">
        <v>224</v>
      </c>
      <c r="D85" t="s">
        <v>164</v>
      </c>
      <c r="F85" s="82">
        <f>SUM(G85:N85)</f>
        <v>7933557544.5842438</v>
      </c>
      <c r="G85" s="41">
        <f>'PRD Volumes TD (2009-2012)'!G87</f>
        <v>96969671</v>
      </c>
      <c r="H85" s="41">
        <f>'PRD Volumes TD (2009-2012)'!H87</f>
        <v>276822280.38947374</v>
      </c>
      <c r="I85" s="41">
        <f>'PRD Volumes TD (2009-2012)'!I87</f>
        <v>70318119.05381988</v>
      </c>
      <c r="J85" s="41">
        <f>'PRD Volumes TD (2009-2012)'!J87</f>
        <v>2187557610.0766702</v>
      </c>
      <c r="K85" s="41">
        <f>'PRD Volumes TD (2009-2012)'!K87</f>
        <v>2533771483.7609086</v>
      </c>
      <c r="L85" s="41">
        <f>'PRD Volumes TD (2009-2012)'!L87</f>
        <v>55742080</v>
      </c>
      <c r="M85" s="41">
        <f>'PRD Volumes TD (2009-2012)'!M87</f>
        <v>2292733357.303371</v>
      </c>
      <c r="N85" s="41">
        <f>'PRD Volumes TD (2009-2012)'!N87</f>
        <v>419642943</v>
      </c>
    </row>
    <row r="86" spans="2:14">
      <c r="B86" s="86" t="s">
        <v>44</v>
      </c>
      <c r="D86" t="s">
        <v>164</v>
      </c>
      <c r="F86" s="82">
        <f>SUM(G86:N86)</f>
        <v>29319231.540963151</v>
      </c>
      <c r="G86" s="41">
        <f>'PRD Volumes TD (2009-2012)'!G88</f>
        <v>1087461</v>
      </c>
      <c r="H86" s="41">
        <f>'PRD Volumes TD (2009-2012)'!H88</f>
        <v>0</v>
      </c>
      <c r="I86" s="41">
        <f>'PRD Volumes TD (2009-2012)'!I88</f>
        <v>165552.66217527151</v>
      </c>
      <c r="J86" s="41">
        <f>'PRD Volumes TD (2009-2012)'!J88</f>
        <v>12380964.545454549</v>
      </c>
      <c r="K86" s="41">
        <f>'PRD Volumes TD (2009-2012)'!K88</f>
        <v>0</v>
      </c>
      <c r="L86" s="41">
        <f>'PRD Volumes TD (2009-2012)'!L88</f>
        <v>860895</v>
      </c>
      <c r="M86" s="41">
        <f>'PRD Volumes TD (2009-2012)'!M88</f>
        <v>14824358.333333332</v>
      </c>
      <c r="N86" s="41">
        <f>'PRD Volumes TD (2009-2012)'!N88</f>
        <v>0</v>
      </c>
    </row>
    <row r="87" spans="2:14">
      <c r="B87" s="87"/>
    </row>
    <row r="88" spans="2:14">
      <c r="B88" s="86"/>
    </row>
    <row r="89" spans="2:14">
      <c r="B89" s="85" t="s">
        <v>227</v>
      </c>
    </row>
    <row r="90" spans="2:14">
      <c r="B90" s="86" t="s">
        <v>213</v>
      </c>
      <c r="D90" t="s">
        <v>164</v>
      </c>
      <c r="F90" s="82">
        <f>SUM(G90:N90)</f>
        <v>16936.664586462699</v>
      </c>
      <c r="G90" s="41">
        <f>'PRD Volumes TD (2009-2012)'!G92</f>
        <v>305</v>
      </c>
      <c r="H90" s="41">
        <f>'PRD Volumes TD (2009-2012)'!H92</f>
        <v>352.41666666666669</v>
      </c>
      <c r="I90" s="41">
        <f>'PRD Volumes TD (2009-2012)'!I92</f>
        <v>0</v>
      </c>
      <c r="J90" s="41">
        <f>'PRD Volumes TD (2009-2012)'!J92</f>
        <v>3129.8296969696976</v>
      </c>
      <c r="K90" s="41">
        <f>'PRD Volumes TD (2009-2012)'!K92</f>
        <v>5828.2165561596657</v>
      </c>
      <c r="L90" s="41">
        <f>'PRD Volumes TD (2009-2012)'!L92</f>
        <v>122.1</v>
      </c>
      <c r="M90" s="41">
        <f>'PRD Volumes TD (2009-2012)'!M92</f>
        <v>7132.4544444444437</v>
      </c>
      <c r="N90" s="41">
        <f>'PRD Volumes TD (2009-2012)'!N92</f>
        <v>66.647222222222226</v>
      </c>
    </row>
    <row r="91" spans="2:14">
      <c r="B91" s="86" t="s">
        <v>223</v>
      </c>
      <c r="D91" t="s">
        <v>164</v>
      </c>
      <c r="F91" s="82">
        <f>SUM(G91:N91)</f>
        <v>963106.01171775942</v>
      </c>
      <c r="G91" s="41">
        <f>'PRD Volumes TD (2009-2012)'!G93</f>
        <v>23504</v>
      </c>
      <c r="H91" s="41">
        <f>'PRD Volumes TD (2009-2012)'!H93</f>
        <v>17433</v>
      </c>
      <c r="I91" s="41">
        <f>'PRD Volumes TD (2009-2012)'!I93</f>
        <v>0</v>
      </c>
      <c r="J91" s="41">
        <f>'PRD Volumes TD (2009-2012)'!J93</f>
        <v>101691.90927873777</v>
      </c>
      <c r="K91" s="41">
        <f>'PRD Volumes TD (2009-2012)'!K93</f>
        <v>211016.96094178432</v>
      </c>
      <c r="L91" s="41">
        <f>'PRD Volumes TD (2009-2012)'!L93</f>
        <v>7633</v>
      </c>
      <c r="M91" s="41">
        <f>'PRD Volumes TD (2009-2012)'!M93</f>
        <v>597518.45720720722</v>
      </c>
      <c r="N91" s="41">
        <f>'PRD Volumes TD (2009-2012)'!N93</f>
        <v>4308.6842900302127</v>
      </c>
    </row>
    <row r="92" spans="2:14">
      <c r="B92" s="86" t="s">
        <v>228</v>
      </c>
      <c r="D92" t="s">
        <v>164</v>
      </c>
      <c r="F92" s="82">
        <f>SUM(G92:N92)</f>
        <v>621881936.41200149</v>
      </c>
      <c r="G92" s="41">
        <f>'PRD Volumes TD (2009-2012)'!G94</f>
        <v>14822263</v>
      </c>
      <c r="H92" s="41">
        <f>'PRD Volumes TD (2009-2012)'!H94</f>
        <v>8303103.0138157895</v>
      </c>
      <c r="I92" s="41">
        <f>'PRD Volumes TD (2009-2012)'!I94</f>
        <v>0</v>
      </c>
      <c r="J92" s="41">
        <f>'PRD Volumes TD (2009-2012)'!J94</f>
        <v>66532794.177064769</v>
      </c>
      <c r="K92" s="41">
        <f>'PRD Volumes TD (2009-2012)'!K94</f>
        <v>158785264.15167654</v>
      </c>
      <c r="L92" s="41">
        <f>'PRD Volumes TD (2009-2012)'!L94</f>
        <v>5947722</v>
      </c>
      <c r="M92" s="41">
        <f>'PRD Volumes TD (2009-2012)'!M94</f>
        <v>363883700.625</v>
      </c>
      <c r="N92" s="41">
        <f>'PRD Volumes TD (2009-2012)'!N94</f>
        <v>3607089.444444445</v>
      </c>
    </row>
    <row r="93" spans="2:14">
      <c r="B93" s="86" t="s">
        <v>224</v>
      </c>
      <c r="D93" t="s">
        <v>164</v>
      </c>
      <c r="F93" s="82">
        <f>SUM(G93:N93)</f>
        <v>987281577.52621591</v>
      </c>
      <c r="G93" s="41">
        <f>'PRD Volumes TD (2009-2012)'!G95</f>
        <v>29058707</v>
      </c>
      <c r="H93" s="41">
        <f>'PRD Volumes TD (2009-2012)'!H95</f>
        <v>11040413.394078949</v>
      </c>
      <c r="I93" s="41">
        <f>'PRD Volumes TD (2009-2012)'!I95</f>
        <v>0</v>
      </c>
      <c r="J93" s="41">
        <f>'PRD Volumes TD (2009-2012)'!J95</f>
        <v>101213575.45764814</v>
      </c>
      <c r="K93" s="41">
        <f>'PRD Volumes TD (2009-2012)'!K95</f>
        <v>242915658.71953067</v>
      </c>
      <c r="L93" s="41">
        <f>'PRD Volumes TD (2009-2012)'!L95</f>
        <v>11855582</v>
      </c>
      <c r="M93" s="41">
        <f>'PRD Volumes TD (2009-2012)'!M95</f>
        <v>586466125.3125</v>
      </c>
      <c r="N93" s="41">
        <f>'PRD Volumes TD (2009-2012)'!N95</f>
        <v>4731515.6424580999</v>
      </c>
    </row>
    <row r="94" spans="2:14">
      <c r="B94" s="86" t="s">
        <v>44</v>
      </c>
      <c r="D94" t="s">
        <v>164</v>
      </c>
      <c r="F94" s="82">
        <f>SUM(G94:N94)</f>
        <v>10168502.666666666</v>
      </c>
      <c r="G94" s="41">
        <f>'PRD Volumes TD (2009-2012)'!G96</f>
        <v>632422</v>
      </c>
      <c r="H94" s="41">
        <f>'PRD Volumes TD (2009-2012)'!H96</f>
        <v>0</v>
      </c>
      <c r="I94" s="41">
        <f>'PRD Volumes TD (2009-2012)'!I96</f>
        <v>0</v>
      </c>
      <c r="J94" s="41">
        <f>'PRD Volumes TD (2009-2012)'!J96</f>
        <v>1481.6666666666667</v>
      </c>
      <c r="K94" s="41">
        <f>'PRD Volumes TD (2009-2012)'!K96</f>
        <v>0</v>
      </c>
      <c r="L94" s="41">
        <f>'PRD Volumes TD (2009-2012)'!L96</f>
        <v>370744</v>
      </c>
      <c r="M94" s="41">
        <f>'PRD Volumes TD (2009-2012)'!M96</f>
        <v>9163855</v>
      </c>
      <c r="N94" s="41">
        <f>'PRD Volumes TD (2009-2012)'!N96</f>
        <v>0</v>
      </c>
    </row>
    <row r="95" spans="2:14">
      <c r="B95" s="87"/>
    </row>
    <row r="96" spans="2:14">
      <c r="B96" s="86"/>
    </row>
    <row r="97" spans="2:14">
      <c r="B97" s="85" t="s">
        <v>229</v>
      </c>
    </row>
    <row r="98" spans="2:14">
      <c r="B98" s="86" t="s">
        <v>230</v>
      </c>
      <c r="D98" t="s">
        <v>164</v>
      </c>
      <c r="F98" s="82">
        <f>SUM(G98:N98)</f>
        <v>2598297.5850294596</v>
      </c>
      <c r="G98" s="41">
        <f>'PRD Volumes TD (2009-2012)'!G100</f>
        <v>22611</v>
      </c>
      <c r="H98" s="41">
        <f>'PRD Volumes TD (2009-2012)'!H100</f>
        <v>84946</v>
      </c>
      <c r="I98" s="41">
        <f>'PRD Volumes TD (2009-2012)'!I100</f>
        <v>43451.231434195404</v>
      </c>
      <c r="J98" s="41">
        <f>'PRD Volumes TD (2009-2012)'!J100</f>
        <v>1062646.7104377104</v>
      </c>
      <c r="K98" s="41">
        <f>'PRD Volumes TD (2009-2012)'!K100</f>
        <v>772155.86702324392</v>
      </c>
      <c r="L98" s="41">
        <f>'PRD Volumes TD (2009-2012)'!L100</f>
        <v>18103</v>
      </c>
      <c r="M98" s="41">
        <f>'PRD Volumes TD (2009-2012)'!M100</f>
        <v>569974.49999999988</v>
      </c>
      <c r="N98" s="41">
        <f>'PRD Volumes TD (2009-2012)'!N100</f>
        <v>24409.276134309901</v>
      </c>
    </row>
    <row r="99" spans="2:14">
      <c r="B99" s="86" t="s">
        <v>231</v>
      </c>
      <c r="D99" t="s">
        <v>164</v>
      </c>
      <c r="F99" s="82">
        <f>SUM(G99:N99)</f>
        <v>7721143.8795174826</v>
      </c>
      <c r="G99" s="41">
        <f>'PRD Volumes TD (2009-2012)'!G101</f>
        <v>51953</v>
      </c>
      <c r="H99" s="41">
        <f>'PRD Volumes TD (2009-2012)'!H101</f>
        <v>202530.66666666666</v>
      </c>
      <c r="I99" s="41">
        <f>'PRD Volumes TD (2009-2012)'!I101</f>
        <v>102534.11035590449</v>
      </c>
      <c r="J99" s="41">
        <f>'PRD Volumes TD (2009-2012)'!J101</f>
        <v>2529420.9846499716</v>
      </c>
      <c r="K99" s="41">
        <f>'PRD Volumes TD (2009-2012)'!K101</f>
        <v>2821905.2306559691</v>
      </c>
      <c r="L99" s="41">
        <f>'PRD Volumes TD (2009-2012)'!L101</f>
        <v>30881.599999999999</v>
      </c>
      <c r="M99" s="41">
        <f>'PRD Volumes TD (2009-2012)'!M101</f>
        <v>1930165.1816666664</v>
      </c>
      <c r="N99" s="41">
        <f>'PRD Volumes TD (2009-2012)'!N101</f>
        <v>51753.105522305159</v>
      </c>
    </row>
    <row r="100" spans="2:14">
      <c r="B100" s="87"/>
    </row>
    <row r="101" spans="2:14">
      <c r="B101" s="86"/>
    </row>
    <row r="102" spans="2:14">
      <c r="B102" s="85" t="s">
        <v>45</v>
      </c>
    </row>
    <row r="103" spans="2:14">
      <c r="B103" s="86" t="s">
        <v>233</v>
      </c>
      <c r="D103" t="s">
        <v>164</v>
      </c>
      <c r="F103" s="82">
        <f t="shared" ref="F103:F108" si="0">SUM(G103:N103)</f>
        <v>43179.747164681146</v>
      </c>
      <c r="G103" s="41">
        <f>'PRD Volumes TD (2009-2012)'!G105</f>
        <v>246</v>
      </c>
      <c r="H103" s="41">
        <f>'PRD Volumes TD (2009-2012)'!H105</f>
        <v>1128.9999999999998</v>
      </c>
      <c r="I103" s="41">
        <f>'PRD Volumes TD (2009-2012)'!I105</f>
        <v>108.83069295116243</v>
      </c>
      <c r="J103" s="41">
        <f>'PRD Volumes TD (2009-2012)'!J105</f>
        <v>16901.304398226257</v>
      </c>
      <c r="K103" s="41">
        <f>'PRD Volumes TD (2009-2012)'!K105</f>
        <v>16536.84176890368</v>
      </c>
      <c r="L103" s="41">
        <f>'PRD Volumes TD (2009-2012)'!L105</f>
        <v>173.8</v>
      </c>
      <c r="M103" s="41">
        <f>'PRD Volumes TD (2009-2012)'!M105</f>
        <v>7452.5278250993751</v>
      </c>
      <c r="N103" s="41">
        <f>'PRD Volumes TD (2009-2012)'!N105</f>
        <v>631.44247950067324</v>
      </c>
    </row>
    <row r="104" spans="2:14">
      <c r="B104" s="86" t="s">
        <v>234</v>
      </c>
      <c r="D104" t="s">
        <v>164</v>
      </c>
      <c r="F104" s="82">
        <f t="shared" si="0"/>
        <v>58850.061128907313</v>
      </c>
      <c r="G104" s="41">
        <f>'PRD Volumes TD (2009-2012)'!G106</f>
        <v>258</v>
      </c>
      <c r="H104" s="41">
        <f>'PRD Volumes TD (2009-2012)'!H106</f>
        <v>1257.6666666666665</v>
      </c>
      <c r="I104" s="41">
        <f>'PRD Volumes TD (2009-2012)'!I106</f>
        <v>1286.2485496013931</v>
      </c>
      <c r="J104" s="41">
        <f>'PRD Volumes TD (2009-2012)'!J106</f>
        <v>22093.589436005735</v>
      </c>
      <c r="K104" s="41">
        <f>'PRD Volumes TD (2009-2012)'!K106</f>
        <v>20109.56740247667</v>
      </c>
      <c r="L104" s="41">
        <f>'PRD Volumes TD (2009-2012)'!L106</f>
        <v>216.2</v>
      </c>
      <c r="M104" s="41">
        <f>'PRD Volumes TD (2009-2012)'!M106</f>
        <v>12952.737649063032</v>
      </c>
      <c r="N104" s="41">
        <f>'PRD Volumes TD (2009-2012)'!N106</f>
        <v>676.0514250938229</v>
      </c>
    </row>
    <row r="105" spans="2:14">
      <c r="B105" s="86" t="s">
        <v>235</v>
      </c>
      <c r="D105" t="s">
        <v>164</v>
      </c>
      <c r="F105" s="82">
        <f t="shared" si="0"/>
        <v>61635.347479707285</v>
      </c>
      <c r="G105" s="41">
        <f>'PRD Volumes TD (2009-2012)'!G107</f>
        <v>281</v>
      </c>
      <c r="H105" s="41">
        <f>'PRD Volumes TD (2009-2012)'!H107</f>
        <v>1840.9166666666667</v>
      </c>
      <c r="I105" s="41">
        <f>'PRD Volumes TD (2009-2012)'!I107</f>
        <v>688.40660765698749</v>
      </c>
      <c r="J105" s="41">
        <f>'PRD Volumes TD (2009-2012)'!J107</f>
        <v>23665.998056456989</v>
      </c>
      <c r="K105" s="41">
        <f>'PRD Volumes TD (2009-2012)'!K107</f>
        <v>22788.700382743133</v>
      </c>
      <c r="L105" s="41">
        <f>'PRD Volumes TD (2009-2012)'!L107</f>
        <v>281</v>
      </c>
      <c r="M105" s="41">
        <f>'PRD Volumes TD (2009-2012)'!M107</f>
        <v>11234.94747302669</v>
      </c>
      <c r="N105" s="41">
        <f>'PRD Volumes TD (2009-2012)'!N107</f>
        <v>854.37829315682006</v>
      </c>
    </row>
    <row r="106" spans="2:14">
      <c r="B106" s="86" t="s">
        <v>236</v>
      </c>
      <c r="D106" t="s">
        <v>164</v>
      </c>
      <c r="F106" s="82">
        <f t="shared" si="0"/>
        <v>153566.41817389405</v>
      </c>
      <c r="G106" s="41">
        <f>'PRD Volumes TD (2009-2012)'!G108</f>
        <v>866</v>
      </c>
      <c r="H106" s="41">
        <f>'PRD Volumes TD (2009-2012)'!H108</f>
        <v>3853.0833333333335</v>
      </c>
      <c r="I106" s="41">
        <f>'PRD Volumes TD (2009-2012)'!I108</f>
        <v>1300.9004197552304</v>
      </c>
      <c r="J106" s="41">
        <f>'PRD Volumes TD (2009-2012)'!J108</f>
        <v>60155.910118161803</v>
      </c>
      <c r="K106" s="41">
        <f>'PRD Volumes TD (2009-2012)'!K108</f>
        <v>52149.792704230269</v>
      </c>
      <c r="L106" s="41">
        <f>'PRD Volumes TD (2009-2012)'!L108</f>
        <v>541.79999999999995</v>
      </c>
      <c r="M106" s="41">
        <f>'PRD Volumes TD (2009-2012)'!M108</f>
        <v>33259.423977853497</v>
      </c>
      <c r="N106" s="41">
        <f>'PRD Volumes TD (2009-2012)'!N108</f>
        <v>1439.5076205598832</v>
      </c>
    </row>
    <row r="107" spans="2:14">
      <c r="B107" s="86" t="s">
        <v>46</v>
      </c>
      <c r="D107" t="s">
        <v>164</v>
      </c>
      <c r="F107" s="82">
        <f t="shared" si="0"/>
        <v>7394960.3985486198</v>
      </c>
      <c r="G107" s="41">
        <f>'PRD Volumes TD (2009-2012)'!G109</f>
        <v>50302</v>
      </c>
      <c r="H107" s="41">
        <f>'PRD Volumes TD (2009-2012)'!H109</f>
        <v>194439.58333333334</v>
      </c>
      <c r="I107" s="41">
        <f>'PRD Volumes TD (2009-2012)'!I109</f>
        <v>99149.724085939713</v>
      </c>
      <c r="J107" s="41">
        <f>'PRD Volumes TD (2009-2012)'!J109</f>
        <v>2407033.4954415876</v>
      </c>
      <c r="K107" s="41">
        <f>'PRD Volumes TD (2009-2012)'!K109</f>
        <v>2710319.8882688307</v>
      </c>
      <c r="L107" s="41">
        <f>'PRD Volumes TD (2009-2012)'!L109</f>
        <v>29668.799999999999</v>
      </c>
      <c r="M107" s="41">
        <f>'PRD Volumes TD (2009-2012)'!M109</f>
        <v>1855895.1817149343</v>
      </c>
      <c r="N107" s="41">
        <f>'PRD Volumes TD (2009-2012)'!N109</f>
        <v>48151.725703993958</v>
      </c>
    </row>
    <row r="108" spans="2:14">
      <c r="B108" s="86" t="s">
        <v>238</v>
      </c>
      <c r="D108" t="s">
        <v>164</v>
      </c>
      <c r="F108" s="82">
        <f t="shared" si="0"/>
        <v>2598296.7511811792</v>
      </c>
      <c r="G108" s="41">
        <f>'PRD Volumes TD (2009-2012)'!G110</f>
        <v>22611</v>
      </c>
      <c r="H108" s="41">
        <f>'PRD Volumes TD (2009-2012)'!H110</f>
        <v>84946</v>
      </c>
      <c r="I108" s="41">
        <f>'PRD Volumes TD (2009-2012)'!I110</f>
        <v>43451.231434195404</v>
      </c>
      <c r="J108" s="41">
        <f>'PRD Volumes TD (2009-2012)'!J110</f>
        <v>1062646.0497157113</v>
      </c>
      <c r="K108" s="41">
        <f>'PRD Volumes TD (2009-2012)'!K110</f>
        <v>772155.68367549754</v>
      </c>
      <c r="L108" s="41">
        <f>'PRD Volumes TD (2009-2012)'!L110</f>
        <v>18103</v>
      </c>
      <c r="M108" s="41">
        <f>'PRD Volumes TD (2009-2012)'!M110</f>
        <v>569974.51022146514</v>
      </c>
      <c r="N108" s="41">
        <f>'PRD Volumes TD (2009-2012)'!N110</f>
        <v>24409.276134309901</v>
      </c>
    </row>
    <row r="109" spans="2:14">
      <c r="B109" s="87"/>
    </row>
    <row r="111" spans="2:14" s="2" customFormat="1">
      <c r="B111" s="2" t="s">
        <v>531</v>
      </c>
      <c r="F111" s="48"/>
    </row>
    <row r="113" spans="2:14">
      <c r="B113" s="3"/>
    </row>
    <row r="114" spans="2:14">
      <c r="B114" s="3" t="s">
        <v>49</v>
      </c>
    </row>
    <row r="115" spans="2:14">
      <c r="B115" s="3"/>
      <c r="G115" s="27"/>
    </row>
    <row r="116" spans="2:14">
      <c r="B116" s="3"/>
      <c r="G116" s="27"/>
    </row>
    <row r="117" spans="2:14">
      <c r="B117" s="85" t="s">
        <v>212</v>
      </c>
    </row>
    <row r="118" spans="2:14">
      <c r="B118" t="s">
        <v>213</v>
      </c>
      <c r="D118" t="s">
        <v>164</v>
      </c>
      <c r="F118" s="82">
        <f>SUM(G118:N118)</f>
        <v>10</v>
      </c>
      <c r="G118" s="134">
        <f>G12</f>
        <v>0</v>
      </c>
      <c r="H118" s="134">
        <f t="shared" ref="H118:N118" si="1">H12</f>
        <v>0</v>
      </c>
      <c r="I118" s="134">
        <f t="shared" si="1"/>
        <v>0</v>
      </c>
      <c r="J118" s="134">
        <f t="shared" si="1"/>
        <v>0</v>
      </c>
      <c r="K118" s="134">
        <f t="shared" si="1"/>
        <v>8</v>
      </c>
      <c r="L118" s="134">
        <f t="shared" si="1"/>
        <v>0</v>
      </c>
      <c r="M118" s="134">
        <f t="shared" si="1"/>
        <v>2</v>
      </c>
      <c r="N118" s="134">
        <f t="shared" si="1"/>
        <v>0</v>
      </c>
    </row>
    <row r="119" spans="2:14">
      <c r="B119" t="s">
        <v>214</v>
      </c>
      <c r="D119" t="s">
        <v>164</v>
      </c>
      <c r="F119" s="82">
        <f>SUM(G119:N119)</f>
        <v>269665</v>
      </c>
      <c r="G119" s="41">
        <f>G14</f>
        <v>0</v>
      </c>
      <c r="H119" s="41">
        <f t="shared" ref="H119:N119" si="2">H14</f>
        <v>0</v>
      </c>
      <c r="I119" s="41">
        <f t="shared" si="2"/>
        <v>0</v>
      </c>
      <c r="J119" s="41">
        <f t="shared" si="2"/>
        <v>0</v>
      </c>
      <c r="K119" s="41">
        <f t="shared" si="2"/>
        <v>8025</v>
      </c>
      <c r="L119" s="41">
        <f t="shared" si="2"/>
        <v>0</v>
      </c>
      <c r="M119" s="41">
        <f t="shared" si="2"/>
        <v>261640</v>
      </c>
      <c r="N119" s="41">
        <f t="shared" si="2"/>
        <v>0</v>
      </c>
    </row>
    <row r="120" spans="2:14">
      <c r="B120" t="s">
        <v>215</v>
      </c>
      <c r="D120" t="s">
        <v>164</v>
      </c>
      <c r="F120" s="82">
        <f>SUM(G120:N120)</f>
        <v>2819612.5714285714</v>
      </c>
      <c r="G120" s="41">
        <f>G15</f>
        <v>0</v>
      </c>
      <c r="H120" s="41">
        <f t="shared" ref="H120:N120" si="3">H15</f>
        <v>0</v>
      </c>
      <c r="I120" s="41">
        <f t="shared" si="3"/>
        <v>0</v>
      </c>
      <c r="J120" s="41">
        <f t="shared" si="3"/>
        <v>0</v>
      </c>
      <c r="K120" s="41">
        <f t="shared" si="3"/>
        <v>53876.571428571428</v>
      </c>
      <c r="L120" s="41">
        <f t="shared" si="3"/>
        <v>0</v>
      </c>
      <c r="M120" s="41">
        <f t="shared" si="3"/>
        <v>2765736</v>
      </c>
      <c r="N120" s="41">
        <f t="shared" si="3"/>
        <v>0</v>
      </c>
    </row>
    <row r="122" spans="2:14">
      <c r="B122" s="3" t="s">
        <v>216</v>
      </c>
    </row>
    <row r="123" spans="2:14">
      <c r="B123" t="s">
        <v>213</v>
      </c>
      <c r="D123" t="s">
        <v>164</v>
      </c>
      <c r="F123" s="82">
        <f>SUM(G123:N123)</f>
        <v>6</v>
      </c>
      <c r="G123" s="41">
        <f>G21</f>
        <v>0</v>
      </c>
      <c r="H123" s="41">
        <f t="shared" ref="H123:N123" si="4">H21</f>
        <v>0</v>
      </c>
      <c r="I123" s="41">
        <f t="shared" si="4"/>
        <v>0</v>
      </c>
      <c r="J123" s="41">
        <f t="shared" si="4"/>
        <v>0</v>
      </c>
      <c r="K123" s="41">
        <f t="shared" si="4"/>
        <v>0</v>
      </c>
      <c r="L123" s="41">
        <f t="shared" si="4"/>
        <v>0</v>
      </c>
      <c r="M123" s="41">
        <f t="shared" si="4"/>
        <v>6</v>
      </c>
      <c r="N123" s="41">
        <f t="shared" si="4"/>
        <v>0</v>
      </c>
    </row>
    <row r="124" spans="2:14">
      <c r="B124" t="s">
        <v>214</v>
      </c>
      <c r="D124" t="s">
        <v>164</v>
      </c>
      <c r="F124" s="82">
        <f>SUM(G124:N124)</f>
        <v>24282.000000000004</v>
      </c>
      <c r="G124" s="41">
        <f>G23</f>
        <v>0</v>
      </c>
      <c r="H124" s="41">
        <f t="shared" ref="H124:N124" si="5">H23</f>
        <v>0</v>
      </c>
      <c r="I124" s="41">
        <f t="shared" si="5"/>
        <v>0</v>
      </c>
      <c r="J124" s="41">
        <f t="shared" si="5"/>
        <v>0</v>
      </c>
      <c r="K124" s="41">
        <f t="shared" si="5"/>
        <v>0</v>
      </c>
      <c r="L124" s="41">
        <f t="shared" si="5"/>
        <v>0</v>
      </c>
      <c r="M124" s="41">
        <f t="shared" si="5"/>
        <v>24282.000000000004</v>
      </c>
      <c r="N124" s="41">
        <f t="shared" si="5"/>
        <v>0</v>
      </c>
    </row>
    <row r="125" spans="2:14">
      <c r="B125" t="s">
        <v>217</v>
      </c>
      <c r="D125" t="s">
        <v>164</v>
      </c>
      <c r="F125" s="82">
        <f>SUM(G125:N125)</f>
        <v>129184.625</v>
      </c>
      <c r="G125" s="41">
        <f>G24</f>
        <v>0</v>
      </c>
      <c r="H125" s="41">
        <f t="shared" ref="H125:N125" si="6">H24</f>
        <v>0</v>
      </c>
      <c r="I125" s="41">
        <f t="shared" si="6"/>
        <v>0</v>
      </c>
      <c r="J125" s="41">
        <f t="shared" si="6"/>
        <v>0</v>
      </c>
      <c r="K125" s="41">
        <f t="shared" si="6"/>
        <v>0</v>
      </c>
      <c r="L125" s="41">
        <f t="shared" si="6"/>
        <v>0</v>
      </c>
      <c r="M125" s="41">
        <f t="shared" si="6"/>
        <v>129184.625</v>
      </c>
      <c r="N125" s="41">
        <f t="shared" si="6"/>
        <v>0</v>
      </c>
    </row>
    <row r="127" spans="2:14">
      <c r="B127" s="3" t="s">
        <v>218</v>
      </c>
    </row>
    <row r="128" spans="2:14">
      <c r="B128" t="s">
        <v>213</v>
      </c>
      <c r="D128" t="s">
        <v>164</v>
      </c>
      <c r="F128" s="82">
        <f>SUM(G128:N128)</f>
        <v>79.011486667761602</v>
      </c>
      <c r="G128" s="41">
        <f>G30</f>
        <v>0</v>
      </c>
      <c r="H128" s="41">
        <f t="shared" ref="H128:N128" si="7">H30</f>
        <v>1.0833333333333333</v>
      </c>
      <c r="I128" s="41">
        <f t="shared" si="7"/>
        <v>0</v>
      </c>
      <c r="J128" s="41">
        <f t="shared" si="7"/>
        <v>3</v>
      </c>
      <c r="K128" s="41">
        <f t="shared" si="7"/>
        <v>12.473606232978989</v>
      </c>
      <c r="L128" s="41">
        <f t="shared" si="7"/>
        <v>0</v>
      </c>
      <c r="M128" s="41">
        <f t="shared" si="7"/>
        <v>62.454547101449272</v>
      </c>
      <c r="N128" s="41">
        <f t="shared" si="7"/>
        <v>0</v>
      </c>
    </row>
    <row r="129" spans="2:14">
      <c r="B129" t="s">
        <v>214</v>
      </c>
      <c r="D129" t="s">
        <v>164</v>
      </c>
      <c r="F129" s="82">
        <f>SUM(G129:N129)</f>
        <v>748631.94217238179</v>
      </c>
      <c r="G129" s="41">
        <f>G32</f>
        <v>0</v>
      </c>
      <c r="H129" s="41">
        <f t="shared" ref="H129:N129" si="8">H32</f>
        <v>22018.999999999996</v>
      </c>
      <c r="I129" s="41">
        <f t="shared" si="8"/>
        <v>0</v>
      </c>
      <c r="J129" s="41">
        <f t="shared" si="8"/>
        <v>54378.225187656382</v>
      </c>
      <c r="K129" s="41">
        <f t="shared" si="8"/>
        <v>115955.89874325563</v>
      </c>
      <c r="L129" s="41">
        <f t="shared" si="8"/>
        <v>0</v>
      </c>
      <c r="M129" s="41">
        <f t="shared" si="8"/>
        <v>556278.81824146979</v>
      </c>
      <c r="N129" s="41">
        <f t="shared" si="8"/>
        <v>0</v>
      </c>
    </row>
    <row r="130" spans="2:14">
      <c r="B130" t="s">
        <v>215</v>
      </c>
      <c r="D130" t="s">
        <v>164</v>
      </c>
      <c r="F130" s="82">
        <f>SUM(G130:N130)</f>
        <v>6935559.412514017</v>
      </c>
      <c r="G130" s="41">
        <f>G33</f>
        <v>0</v>
      </c>
      <c r="H130" s="41">
        <f t="shared" ref="H130:N130" si="9">H33</f>
        <v>196972</v>
      </c>
      <c r="I130" s="41">
        <f t="shared" si="9"/>
        <v>0</v>
      </c>
      <c r="J130" s="41">
        <f t="shared" si="9"/>
        <v>347301.98347107437</v>
      </c>
      <c r="K130" s="41">
        <f t="shared" si="9"/>
        <v>1142836.7055135295</v>
      </c>
      <c r="L130" s="41">
        <f t="shared" si="9"/>
        <v>0</v>
      </c>
      <c r="M130" s="41">
        <f t="shared" si="9"/>
        <v>5248448.7235294133</v>
      </c>
      <c r="N130" s="41">
        <f t="shared" si="9"/>
        <v>0</v>
      </c>
    </row>
    <row r="132" spans="2:14">
      <c r="B132" s="3" t="s">
        <v>219</v>
      </c>
    </row>
    <row r="133" spans="2:14">
      <c r="B133" t="s">
        <v>213</v>
      </c>
      <c r="D133" t="s">
        <v>164</v>
      </c>
      <c r="F133" s="82">
        <f>SUM(G133:N133)</f>
        <v>24</v>
      </c>
      <c r="G133" s="41">
        <f>G39</f>
        <v>0</v>
      </c>
      <c r="H133" s="41">
        <f t="shared" ref="H133:N133" si="10">H39</f>
        <v>0</v>
      </c>
      <c r="I133" s="41">
        <f t="shared" si="10"/>
        <v>0</v>
      </c>
      <c r="J133" s="41">
        <f t="shared" si="10"/>
        <v>1</v>
      </c>
      <c r="K133" s="41">
        <f t="shared" si="10"/>
        <v>12</v>
      </c>
      <c r="L133" s="41">
        <f t="shared" si="10"/>
        <v>0</v>
      </c>
      <c r="M133" s="41">
        <f t="shared" si="10"/>
        <v>11</v>
      </c>
      <c r="N133" s="41">
        <f t="shared" si="10"/>
        <v>0</v>
      </c>
    </row>
    <row r="134" spans="2:14">
      <c r="B134" t="s">
        <v>214</v>
      </c>
      <c r="D134" t="s">
        <v>164</v>
      </c>
      <c r="F134" s="82">
        <f>SUM(G134:N134)</f>
        <v>371117.31758530188</v>
      </c>
      <c r="G134" s="41">
        <f>G41</f>
        <v>0</v>
      </c>
      <c r="H134" s="41">
        <f t="shared" ref="H134:N134" si="11">H41</f>
        <v>0</v>
      </c>
      <c r="I134" s="41">
        <f t="shared" si="11"/>
        <v>0</v>
      </c>
      <c r="J134" s="41">
        <f t="shared" si="11"/>
        <v>5072</v>
      </c>
      <c r="K134" s="41">
        <f t="shared" si="11"/>
        <v>69147.5</v>
      </c>
      <c r="L134" s="41">
        <f t="shared" si="11"/>
        <v>0</v>
      </c>
      <c r="M134" s="41">
        <f t="shared" si="11"/>
        <v>296897.81758530188</v>
      </c>
      <c r="N134" s="41">
        <f t="shared" si="11"/>
        <v>0</v>
      </c>
    </row>
    <row r="135" spans="2:14">
      <c r="B135" t="s">
        <v>217</v>
      </c>
      <c r="D135" t="s">
        <v>164</v>
      </c>
      <c r="F135" s="82">
        <f>SUM(G135:N135)</f>
        <v>3164824.822804315</v>
      </c>
      <c r="G135" s="41">
        <f>G42</f>
        <v>0</v>
      </c>
      <c r="H135" s="41">
        <f t="shared" ref="H135:N135" si="12">H42</f>
        <v>0</v>
      </c>
      <c r="I135" s="41">
        <f t="shared" si="12"/>
        <v>0</v>
      </c>
      <c r="J135" s="41">
        <f t="shared" si="12"/>
        <v>35083.63636363636</v>
      </c>
      <c r="K135" s="41">
        <f t="shared" si="12"/>
        <v>1017475</v>
      </c>
      <c r="L135" s="41">
        <f t="shared" si="12"/>
        <v>0</v>
      </c>
      <c r="M135" s="41">
        <f t="shared" si="12"/>
        <v>2112266.1864406783</v>
      </c>
      <c r="N135" s="41">
        <f t="shared" si="12"/>
        <v>0</v>
      </c>
    </row>
    <row r="137" spans="2:14">
      <c r="B137" s="3" t="s">
        <v>220</v>
      </c>
    </row>
    <row r="138" spans="2:14">
      <c r="B138" t="s">
        <v>213</v>
      </c>
      <c r="D138" t="s">
        <v>164</v>
      </c>
      <c r="F138" s="82">
        <f>SUM(G138:N138)</f>
        <v>624.71060468476855</v>
      </c>
      <c r="G138" s="41">
        <f>G48</f>
        <v>0</v>
      </c>
      <c r="H138" s="41">
        <f t="shared" ref="H138:N138" si="13">H48</f>
        <v>42</v>
      </c>
      <c r="I138" s="41">
        <f t="shared" si="13"/>
        <v>0.99665730090209637</v>
      </c>
      <c r="J138" s="41">
        <f t="shared" si="13"/>
        <v>177.25550197628456</v>
      </c>
      <c r="K138" s="41">
        <f t="shared" si="13"/>
        <v>296.34178236410361</v>
      </c>
      <c r="L138" s="41">
        <f t="shared" si="13"/>
        <v>0</v>
      </c>
      <c r="M138" s="41">
        <f t="shared" si="13"/>
        <v>106.99999637681159</v>
      </c>
      <c r="N138" s="41">
        <f t="shared" si="13"/>
        <v>1.1166666666666667</v>
      </c>
    </row>
    <row r="139" spans="2:14">
      <c r="B139" t="s">
        <v>214</v>
      </c>
      <c r="D139" t="s">
        <v>164</v>
      </c>
      <c r="F139" s="82">
        <f>SUM(G139:N139)</f>
        <v>2840287.1833041203</v>
      </c>
      <c r="G139" s="41">
        <f>G50</f>
        <v>0</v>
      </c>
      <c r="H139" s="41">
        <f t="shared" ref="H139:N139" si="14">H50</f>
        <v>74330.166666666657</v>
      </c>
      <c r="I139" s="41">
        <f t="shared" si="14"/>
        <v>14935.6968584645</v>
      </c>
      <c r="J139" s="41">
        <f t="shared" si="14"/>
        <v>1316544.5550110263</v>
      </c>
      <c r="K139" s="41">
        <f t="shared" si="14"/>
        <v>1023162.8864346296</v>
      </c>
      <c r="L139" s="41">
        <f t="shared" si="14"/>
        <v>0</v>
      </c>
      <c r="M139" s="41">
        <f t="shared" si="14"/>
        <v>392978.54500000004</v>
      </c>
      <c r="N139" s="41">
        <f t="shared" si="14"/>
        <v>18335.333333333332</v>
      </c>
    </row>
    <row r="140" spans="2:14">
      <c r="B140" t="s">
        <v>215</v>
      </c>
      <c r="D140" t="s">
        <v>164</v>
      </c>
      <c r="F140" s="82">
        <f>SUM(G140:N140)</f>
        <v>27081888.754755691</v>
      </c>
      <c r="G140" s="41">
        <f>G51</f>
        <v>0</v>
      </c>
      <c r="H140" s="41">
        <f t="shared" ref="H140:N140" si="15">H51</f>
        <v>435330.8571428571</v>
      </c>
      <c r="I140" s="41">
        <f t="shared" si="15"/>
        <v>161377.4927345636</v>
      </c>
      <c r="J140" s="41">
        <f t="shared" si="15"/>
        <v>13085783.290161889</v>
      </c>
      <c r="K140" s="41">
        <f t="shared" si="15"/>
        <v>9580235.3677114453</v>
      </c>
      <c r="L140" s="41">
        <f t="shared" si="15"/>
        <v>0</v>
      </c>
      <c r="M140" s="41">
        <f t="shared" si="15"/>
        <v>3640770.5454545454</v>
      </c>
      <c r="N140" s="41">
        <f t="shared" si="15"/>
        <v>178391.2015503876</v>
      </c>
    </row>
    <row r="142" spans="2:14">
      <c r="B142" s="3" t="s">
        <v>221</v>
      </c>
    </row>
    <row r="143" spans="2:14">
      <c r="B143" t="s">
        <v>213</v>
      </c>
      <c r="D143" t="s">
        <v>164</v>
      </c>
      <c r="F143" s="82">
        <f>SUM(G143:N143)</f>
        <v>29.31818181818182</v>
      </c>
      <c r="G143" s="41">
        <f>G57</f>
        <v>0</v>
      </c>
      <c r="H143" s="41">
        <f t="shared" ref="H143:N143" si="16">H57</f>
        <v>1</v>
      </c>
      <c r="I143" s="41">
        <f t="shared" si="16"/>
        <v>0</v>
      </c>
      <c r="J143" s="41">
        <f t="shared" si="16"/>
        <v>12.818181818181818</v>
      </c>
      <c r="K143" s="41">
        <f t="shared" si="16"/>
        <v>13.5</v>
      </c>
      <c r="L143" s="41">
        <f t="shared" si="16"/>
        <v>0</v>
      </c>
      <c r="M143" s="41">
        <f t="shared" si="16"/>
        <v>2</v>
      </c>
      <c r="N143" s="41">
        <f t="shared" si="16"/>
        <v>0</v>
      </c>
    </row>
    <row r="144" spans="2:14">
      <c r="B144" t="s">
        <v>214</v>
      </c>
      <c r="D144" t="s">
        <v>164</v>
      </c>
      <c r="F144" s="82">
        <f>SUM(G144:N144)</f>
        <v>144484.97524898581</v>
      </c>
      <c r="G144" s="41">
        <f>G59</f>
        <v>0</v>
      </c>
      <c r="H144" s="41">
        <f t="shared" ref="H144:N144" si="17">H59</f>
        <v>9116.0000000000036</v>
      </c>
      <c r="I144" s="41">
        <f t="shared" si="17"/>
        <v>0</v>
      </c>
      <c r="J144" s="41">
        <f t="shared" si="17"/>
        <v>93636.71747120803</v>
      </c>
      <c r="K144" s="41">
        <f t="shared" si="17"/>
        <v>31667.166666666664</v>
      </c>
      <c r="L144" s="41">
        <f t="shared" si="17"/>
        <v>0</v>
      </c>
      <c r="M144" s="41">
        <f t="shared" si="17"/>
        <v>10065.091111111113</v>
      </c>
      <c r="N144" s="41">
        <f t="shared" si="17"/>
        <v>0</v>
      </c>
    </row>
    <row r="145" spans="2:14">
      <c r="B145" t="s">
        <v>217</v>
      </c>
      <c r="D145" t="s">
        <v>164</v>
      </c>
      <c r="F145" s="82">
        <f>SUM(G145:N145)</f>
        <v>2051166.204477875</v>
      </c>
      <c r="G145" s="41">
        <f>G60</f>
        <v>0</v>
      </c>
      <c r="H145" s="41">
        <f t="shared" ref="H145:N145" si="18">H60</f>
        <v>137621.14285714287</v>
      </c>
      <c r="I145" s="41">
        <f t="shared" si="18"/>
        <v>0</v>
      </c>
      <c r="J145" s="41">
        <f t="shared" si="18"/>
        <v>1254540.8770053475</v>
      </c>
      <c r="K145" s="41">
        <f t="shared" si="18"/>
        <v>429466</v>
      </c>
      <c r="L145" s="41">
        <f t="shared" si="18"/>
        <v>0</v>
      </c>
      <c r="M145" s="41">
        <f t="shared" si="18"/>
        <v>229538.18461538461</v>
      </c>
      <c r="N145" s="41">
        <f t="shared" si="18"/>
        <v>0</v>
      </c>
    </row>
    <row r="151" spans="2:14">
      <c r="B151" s="3" t="s">
        <v>50</v>
      </c>
    </row>
    <row r="154" spans="2:14">
      <c r="B154" s="3" t="s">
        <v>222</v>
      </c>
    </row>
    <row r="155" spans="2:14">
      <c r="B155" t="s">
        <v>213</v>
      </c>
      <c r="D155" t="s">
        <v>164</v>
      </c>
      <c r="F155" s="82">
        <f>SUM(G155:N155)</f>
        <v>250.1648343039125</v>
      </c>
      <c r="G155" s="41">
        <f>G66</f>
        <v>0</v>
      </c>
      <c r="H155" s="41">
        <f t="shared" ref="H155:N155" si="19">H66</f>
        <v>0</v>
      </c>
      <c r="I155" s="41">
        <f t="shared" si="19"/>
        <v>3.986448404098025</v>
      </c>
      <c r="J155" s="41">
        <f t="shared" si="19"/>
        <v>245.17838589981449</v>
      </c>
      <c r="K155" s="41">
        <f t="shared" si="19"/>
        <v>0</v>
      </c>
      <c r="L155" s="41">
        <f t="shared" si="19"/>
        <v>1</v>
      </c>
      <c r="M155" s="41">
        <f t="shared" si="19"/>
        <v>0</v>
      </c>
      <c r="N155" s="41">
        <f t="shared" si="19"/>
        <v>0</v>
      </c>
    </row>
    <row r="156" spans="2:14">
      <c r="B156" t="s">
        <v>223</v>
      </c>
      <c r="D156" t="s">
        <v>164</v>
      </c>
      <c r="F156" s="82">
        <f>SUM(G156:N156)</f>
        <v>719364.74483901332</v>
      </c>
      <c r="G156" s="41">
        <f t="shared" ref="G156:N158" si="20">G67</f>
        <v>0</v>
      </c>
      <c r="H156" s="41">
        <f t="shared" si="20"/>
        <v>0</v>
      </c>
      <c r="I156" s="41">
        <f t="shared" si="20"/>
        <v>22689.79752683203</v>
      </c>
      <c r="J156" s="41">
        <f t="shared" si="20"/>
        <v>689684.94731218135</v>
      </c>
      <c r="K156" s="41">
        <f t="shared" si="20"/>
        <v>0</v>
      </c>
      <c r="L156" s="41">
        <f t="shared" si="20"/>
        <v>6990</v>
      </c>
      <c r="M156" s="41">
        <f t="shared" si="20"/>
        <v>0</v>
      </c>
      <c r="N156" s="41">
        <f t="shared" si="20"/>
        <v>0</v>
      </c>
    </row>
    <row r="157" spans="2:14">
      <c r="B157" t="s">
        <v>215</v>
      </c>
      <c r="D157" t="s">
        <v>164</v>
      </c>
      <c r="F157" s="82">
        <f>SUM(G157:N157)</f>
        <v>6882412.804132631</v>
      </c>
      <c r="G157" s="41">
        <f t="shared" si="20"/>
        <v>0</v>
      </c>
      <c r="H157" s="41">
        <f t="shared" si="20"/>
        <v>0</v>
      </c>
      <c r="I157" s="41">
        <f t="shared" si="20"/>
        <v>250071.45833823923</v>
      </c>
      <c r="J157" s="41">
        <f t="shared" si="20"/>
        <v>6559230.3457943918</v>
      </c>
      <c r="K157" s="41">
        <f t="shared" si="20"/>
        <v>0</v>
      </c>
      <c r="L157" s="41">
        <f t="shared" si="20"/>
        <v>73111</v>
      </c>
      <c r="M157" s="41">
        <f t="shared" si="20"/>
        <v>0</v>
      </c>
      <c r="N157" s="41">
        <f t="shared" si="20"/>
        <v>0</v>
      </c>
    </row>
    <row r="158" spans="2:14">
      <c r="B158" t="s">
        <v>224</v>
      </c>
      <c r="D158" t="s">
        <v>164</v>
      </c>
      <c r="F158" s="82">
        <f>SUM(G158:N158)</f>
        <v>2666411255.9762263</v>
      </c>
      <c r="G158" s="41">
        <f t="shared" si="20"/>
        <v>0</v>
      </c>
      <c r="H158" s="41">
        <f t="shared" si="20"/>
        <v>0</v>
      </c>
      <c r="I158" s="41">
        <f t="shared" si="20"/>
        <v>92566296.634234741</v>
      </c>
      <c r="J158" s="41">
        <f t="shared" si="20"/>
        <v>2569025691.3419914</v>
      </c>
      <c r="K158" s="41">
        <f t="shared" si="20"/>
        <v>0</v>
      </c>
      <c r="L158" s="41">
        <f t="shared" si="20"/>
        <v>4819268</v>
      </c>
      <c r="M158" s="41">
        <f t="shared" si="20"/>
        <v>0</v>
      </c>
      <c r="N158" s="41">
        <f t="shared" si="20"/>
        <v>0</v>
      </c>
    </row>
    <row r="160" spans="2:14">
      <c r="B160" s="3" t="s">
        <v>225</v>
      </c>
    </row>
    <row r="161" spans="2:14">
      <c r="B161" t="s">
        <v>213</v>
      </c>
      <c r="D161" t="s">
        <v>164</v>
      </c>
      <c r="F161" s="82">
        <f>SUM(G161:N161)</f>
        <v>22512.427957897951</v>
      </c>
      <c r="G161" s="41">
        <f>G74</f>
        <v>30</v>
      </c>
      <c r="H161" s="41">
        <f t="shared" ref="H161:N161" si="21">H74</f>
        <v>400.75000000000006</v>
      </c>
      <c r="I161" s="41">
        <f t="shared" si="21"/>
        <v>583.29208075729707</v>
      </c>
      <c r="J161" s="41">
        <f t="shared" si="21"/>
        <v>9154.1289053803339</v>
      </c>
      <c r="K161" s="41">
        <f t="shared" si="21"/>
        <v>9008.6810987444478</v>
      </c>
      <c r="L161" s="41">
        <f t="shared" si="21"/>
        <v>17.73</v>
      </c>
      <c r="M161" s="41">
        <f t="shared" si="21"/>
        <v>3047.8181859410429</v>
      </c>
      <c r="N161" s="41">
        <f t="shared" si="21"/>
        <v>270.02768707482994</v>
      </c>
    </row>
    <row r="162" spans="2:14">
      <c r="B162" t="s">
        <v>223</v>
      </c>
      <c r="D162" t="s">
        <v>164</v>
      </c>
      <c r="F162" s="82">
        <f>SUM(G162:N162)</f>
        <v>8648319.3151410948</v>
      </c>
      <c r="G162" s="41">
        <f t="shared" ref="G162:N164" si="22">G75</f>
        <v>31457</v>
      </c>
      <c r="H162" s="41">
        <f t="shared" si="22"/>
        <v>177244.41666666669</v>
      </c>
      <c r="I162" s="41">
        <f t="shared" si="22"/>
        <v>152716.89854458001</v>
      </c>
      <c r="J162" s="41">
        <f t="shared" si="22"/>
        <v>2946866.3987718411</v>
      </c>
      <c r="K162" s="41">
        <f t="shared" si="22"/>
        <v>3194870.5431922991</v>
      </c>
      <c r="L162" s="41">
        <f t="shared" si="22"/>
        <v>21018</v>
      </c>
      <c r="M162" s="41">
        <f t="shared" si="22"/>
        <v>1864125.5468164799</v>
      </c>
      <c r="N162" s="41">
        <f t="shared" si="22"/>
        <v>260020.51114922811</v>
      </c>
    </row>
    <row r="163" spans="2:14">
      <c r="B163" t="s">
        <v>215</v>
      </c>
      <c r="D163" t="s">
        <v>164</v>
      </c>
      <c r="F163" s="82">
        <f>SUM(G163:N163)</f>
        <v>72278906.415101692</v>
      </c>
      <c r="G163" s="41">
        <f t="shared" si="22"/>
        <v>322886</v>
      </c>
      <c r="H163" s="41">
        <f t="shared" si="22"/>
        <v>1458129</v>
      </c>
      <c r="I163" s="41">
        <f t="shared" si="22"/>
        <v>1184984.3576887576</v>
      </c>
      <c r="J163" s="41">
        <f t="shared" si="22"/>
        <v>26120456.888257578</v>
      </c>
      <c r="K163" s="41">
        <f t="shared" si="22"/>
        <v>26904835.058671664</v>
      </c>
      <c r="L163" s="41">
        <f t="shared" si="22"/>
        <v>201386</v>
      </c>
      <c r="M163" s="41">
        <f t="shared" si="22"/>
        <v>14200155.36551724</v>
      </c>
      <c r="N163" s="41">
        <f t="shared" si="22"/>
        <v>1886073.7449664432</v>
      </c>
    </row>
    <row r="164" spans="2:14">
      <c r="B164" t="s">
        <v>224</v>
      </c>
      <c r="D164" t="s">
        <v>164</v>
      </c>
      <c r="F164" s="82">
        <f>SUM(G164:N164)</f>
        <v>22913553358.652435</v>
      </c>
      <c r="G164" s="41">
        <f t="shared" si="22"/>
        <v>109111499</v>
      </c>
      <c r="H164" s="41">
        <f t="shared" si="22"/>
        <v>460008638.55921054</v>
      </c>
      <c r="I164" s="41">
        <f t="shared" si="22"/>
        <v>397691192.8137176</v>
      </c>
      <c r="J164" s="41">
        <f t="shared" si="22"/>
        <v>7946310326.2869663</v>
      </c>
      <c r="K164" s="41">
        <f t="shared" si="22"/>
        <v>8720106593.8239975</v>
      </c>
      <c r="L164" s="41">
        <f t="shared" si="22"/>
        <v>73450339</v>
      </c>
      <c r="M164" s="41">
        <f t="shared" si="22"/>
        <v>4722846865.168539</v>
      </c>
      <c r="N164" s="41">
        <f t="shared" si="22"/>
        <v>484027904</v>
      </c>
    </row>
    <row r="166" spans="2:14">
      <c r="B166" s="3" t="s">
        <v>226</v>
      </c>
    </row>
    <row r="167" spans="2:14">
      <c r="B167" t="s">
        <v>213</v>
      </c>
      <c r="D167" t="s">
        <v>164</v>
      </c>
      <c r="F167" s="82">
        <f>SUM(G167:N167)</f>
        <v>40156.941918832847</v>
      </c>
      <c r="G167" s="41">
        <f>G82</f>
        <v>209</v>
      </c>
      <c r="H167" s="41">
        <f t="shared" ref="H167:N167" si="23">H82</f>
        <v>1444.9166666666665</v>
      </c>
      <c r="I167" s="41">
        <f t="shared" si="23"/>
        <v>656.87492768387926</v>
      </c>
      <c r="J167" s="41">
        <f t="shared" si="23"/>
        <v>14388.939066171924</v>
      </c>
      <c r="K167" s="41">
        <f t="shared" si="23"/>
        <v>13388.265022482712</v>
      </c>
      <c r="L167" s="41">
        <f t="shared" si="23"/>
        <v>134.06</v>
      </c>
      <c r="M167" s="41">
        <f t="shared" si="23"/>
        <v>8874.727278911565</v>
      </c>
      <c r="N167" s="41">
        <f t="shared" si="23"/>
        <v>1060.1589569160999</v>
      </c>
    </row>
    <row r="168" spans="2:14">
      <c r="B168" t="s">
        <v>223</v>
      </c>
      <c r="D168" t="s">
        <v>164</v>
      </c>
      <c r="F168" s="82">
        <f>SUM(G168:N168)</f>
        <v>3849979.4014646895</v>
      </c>
      <c r="G168" s="41">
        <f t="shared" ref="G168:N170" si="24">G83</f>
        <v>41068</v>
      </c>
      <c r="H168" s="41">
        <f t="shared" si="24"/>
        <v>138825.66666666666</v>
      </c>
      <c r="I168" s="41">
        <f t="shared" si="24"/>
        <v>39237.062418822061</v>
      </c>
      <c r="J168" s="41">
        <f t="shared" si="24"/>
        <v>1053288.6662373275</v>
      </c>
      <c r="K168" s="41">
        <f t="shared" si="24"/>
        <v>1189134.1860904596</v>
      </c>
      <c r="L168" s="41">
        <f t="shared" si="24"/>
        <v>22547</v>
      </c>
      <c r="M168" s="41">
        <f t="shared" si="24"/>
        <v>1152164</v>
      </c>
      <c r="N168" s="41">
        <f t="shared" si="24"/>
        <v>213714.8200514139</v>
      </c>
    </row>
    <row r="169" spans="2:14">
      <c r="B169" t="s">
        <v>215</v>
      </c>
      <c r="D169" t="s">
        <v>164</v>
      </c>
      <c r="F169" s="82">
        <f>SUM(G169:N169)</f>
        <v>28921861.577609312</v>
      </c>
      <c r="G169" s="41">
        <f t="shared" si="24"/>
        <v>362639</v>
      </c>
      <c r="H169" s="41">
        <f t="shared" si="24"/>
        <v>1059003.92</v>
      </c>
      <c r="I169" s="41">
        <f t="shared" si="24"/>
        <v>260076.28065434218</v>
      </c>
      <c r="J169" s="41">
        <f t="shared" si="24"/>
        <v>8343391.2500000009</v>
      </c>
      <c r="K169" s="41">
        <f t="shared" si="24"/>
        <v>9152817.0006416142</v>
      </c>
      <c r="L169" s="41">
        <f t="shared" si="24"/>
        <v>216002</v>
      </c>
      <c r="M169" s="41">
        <f t="shared" si="24"/>
        <v>7944104.4551724149</v>
      </c>
      <c r="N169" s="41">
        <f t="shared" si="24"/>
        <v>1583827.6711409392</v>
      </c>
    </row>
    <row r="170" spans="2:14">
      <c r="B170" t="s">
        <v>224</v>
      </c>
      <c r="D170" t="s">
        <v>164</v>
      </c>
      <c r="F170" s="82">
        <f>SUM(G170:N170)</f>
        <v>7933557544.5842438</v>
      </c>
      <c r="G170" s="41">
        <f t="shared" si="24"/>
        <v>96969671</v>
      </c>
      <c r="H170" s="41">
        <f t="shared" si="24"/>
        <v>276822280.38947374</v>
      </c>
      <c r="I170" s="41">
        <f t="shared" si="24"/>
        <v>70318119.05381988</v>
      </c>
      <c r="J170" s="41">
        <f t="shared" si="24"/>
        <v>2187557610.0766702</v>
      </c>
      <c r="K170" s="41">
        <f t="shared" si="24"/>
        <v>2533771483.7609086</v>
      </c>
      <c r="L170" s="41">
        <f t="shared" si="24"/>
        <v>55742080</v>
      </c>
      <c r="M170" s="41">
        <f t="shared" si="24"/>
        <v>2292733357.303371</v>
      </c>
      <c r="N170" s="41">
        <f t="shared" si="24"/>
        <v>419642943</v>
      </c>
    </row>
    <row r="176" spans="2:14">
      <c r="B176" s="3" t="s">
        <v>51</v>
      </c>
    </row>
    <row r="179" spans="2:14">
      <c r="B179" s="3" t="s">
        <v>227</v>
      </c>
    </row>
    <row r="180" spans="2:14">
      <c r="B180" t="s">
        <v>213</v>
      </c>
      <c r="D180" t="s">
        <v>164</v>
      </c>
      <c r="F180" s="82">
        <f>SUM(G180:N180)</f>
        <v>16936.664586462699</v>
      </c>
      <c r="G180" s="41">
        <f>G90</f>
        <v>305</v>
      </c>
      <c r="H180" s="41">
        <f t="shared" ref="H180:N180" si="25">H90</f>
        <v>352.41666666666669</v>
      </c>
      <c r="I180" s="41">
        <f t="shared" si="25"/>
        <v>0</v>
      </c>
      <c r="J180" s="41">
        <f t="shared" si="25"/>
        <v>3129.8296969696976</v>
      </c>
      <c r="K180" s="41">
        <f t="shared" si="25"/>
        <v>5828.2165561596657</v>
      </c>
      <c r="L180" s="41">
        <f t="shared" si="25"/>
        <v>122.1</v>
      </c>
      <c r="M180" s="41">
        <f t="shared" si="25"/>
        <v>7132.4544444444437</v>
      </c>
      <c r="N180" s="41">
        <f t="shared" si="25"/>
        <v>66.647222222222226</v>
      </c>
    </row>
    <row r="181" spans="2:14">
      <c r="B181" t="s">
        <v>223</v>
      </c>
      <c r="D181" t="s">
        <v>164</v>
      </c>
      <c r="F181" s="82">
        <f>SUM(G181:N181)</f>
        <v>963106.01171775942</v>
      </c>
      <c r="G181" s="41">
        <f t="shared" ref="G181:N183" si="26">G91</f>
        <v>23504</v>
      </c>
      <c r="H181" s="41">
        <f t="shared" si="26"/>
        <v>17433</v>
      </c>
      <c r="I181" s="41">
        <f t="shared" si="26"/>
        <v>0</v>
      </c>
      <c r="J181" s="41">
        <f t="shared" si="26"/>
        <v>101691.90927873777</v>
      </c>
      <c r="K181" s="41">
        <f t="shared" si="26"/>
        <v>211016.96094178432</v>
      </c>
      <c r="L181" s="41">
        <f t="shared" si="26"/>
        <v>7633</v>
      </c>
      <c r="M181" s="41">
        <f t="shared" si="26"/>
        <v>597518.45720720722</v>
      </c>
      <c r="N181" s="41">
        <f t="shared" si="26"/>
        <v>4308.6842900302127</v>
      </c>
    </row>
    <row r="182" spans="2:14">
      <c r="B182" t="s">
        <v>228</v>
      </c>
      <c r="D182" t="s">
        <v>164</v>
      </c>
      <c r="F182" s="82">
        <f>SUM(G182:N182)</f>
        <v>621881936.41200149</v>
      </c>
      <c r="G182" s="41">
        <f t="shared" si="26"/>
        <v>14822263</v>
      </c>
      <c r="H182" s="41">
        <f t="shared" si="26"/>
        <v>8303103.0138157895</v>
      </c>
      <c r="I182" s="41">
        <f t="shared" si="26"/>
        <v>0</v>
      </c>
      <c r="J182" s="41">
        <f t="shared" si="26"/>
        <v>66532794.177064769</v>
      </c>
      <c r="K182" s="41">
        <f t="shared" si="26"/>
        <v>158785264.15167654</v>
      </c>
      <c r="L182" s="41">
        <f t="shared" si="26"/>
        <v>5947722</v>
      </c>
      <c r="M182" s="41">
        <f t="shared" si="26"/>
        <v>363883700.625</v>
      </c>
      <c r="N182" s="41">
        <f t="shared" si="26"/>
        <v>3607089.444444445</v>
      </c>
    </row>
    <row r="183" spans="2:14">
      <c r="B183" t="s">
        <v>224</v>
      </c>
      <c r="D183" t="s">
        <v>164</v>
      </c>
      <c r="F183" s="82">
        <f>SUM(G183:N183)</f>
        <v>987281577.52621591</v>
      </c>
      <c r="G183" s="41">
        <f t="shared" si="26"/>
        <v>29058707</v>
      </c>
      <c r="H183" s="41">
        <f t="shared" si="26"/>
        <v>11040413.394078949</v>
      </c>
      <c r="I183" s="41">
        <f t="shared" si="26"/>
        <v>0</v>
      </c>
      <c r="J183" s="41">
        <f t="shared" si="26"/>
        <v>101213575.45764814</v>
      </c>
      <c r="K183" s="41">
        <f t="shared" si="26"/>
        <v>242915658.71953067</v>
      </c>
      <c r="L183" s="41">
        <f t="shared" si="26"/>
        <v>11855582</v>
      </c>
      <c r="M183" s="41">
        <f t="shared" si="26"/>
        <v>586466125.3125</v>
      </c>
      <c r="N183" s="41">
        <f t="shared" si="26"/>
        <v>4731515.6424580999</v>
      </c>
    </row>
    <row r="185" spans="2:14">
      <c r="B185" s="3" t="s">
        <v>229</v>
      </c>
    </row>
    <row r="186" spans="2:14">
      <c r="B186" t="s">
        <v>230</v>
      </c>
      <c r="D186" t="s">
        <v>164</v>
      </c>
      <c r="F186" s="82">
        <f>SUM(G186:N186)</f>
        <v>2598297.5850294596</v>
      </c>
      <c r="G186" s="41">
        <f>G98</f>
        <v>22611</v>
      </c>
      <c r="H186" s="41">
        <f t="shared" ref="H186:N186" si="27">H98</f>
        <v>84946</v>
      </c>
      <c r="I186" s="41">
        <f t="shared" si="27"/>
        <v>43451.231434195404</v>
      </c>
      <c r="J186" s="41">
        <f t="shared" si="27"/>
        <v>1062646.7104377104</v>
      </c>
      <c r="K186" s="41">
        <f t="shared" si="27"/>
        <v>772155.86702324392</v>
      </c>
      <c r="L186" s="41">
        <f t="shared" si="27"/>
        <v>18103</v>
      </c>
      <c r="M186" s="41">
        <f t="shared" si="27"/>
        <v>569974.49999999988</v>
      </c>
      <c r="N186" s="41">
        <f t="shared" si="27"/>
        <v>24409.276134309901</v>
      </c>
    </row>
    <row r="187" spans="2:14">
      <c r="B187" t="s">
        <v>231</v>
      </c>
      <c r="D187" t="s">
        <v>164</v>
      </c>
      <c r="F187" s="82">
        <f>SUM(G187:N187)</f>
        <v>7721143.8795174826</v>
      </c>
      <c r="G187" s="41">
        <f>G99</f>
        <v>51953</v>
      </c>
      <c r="H187" s="41">
        <f t="shared" ref="H187:N187" si="28">H99</f>
        <v>202530.66666666666</v>
      </c>
      <c r="I187" s="41">
        <f t="shared" si="28"/>
        <v>102534.11035590449</v>
      </c>
      <c r="J187" s="41">
        <f t="shared" si="28"/>
        <v>2529420.9846499716</v>
      </c>
      <c r="K187" s="41">
        <f t="shared" si="28"/>
        <v>2821905.2306559691</v>
      </c>
      <c r="L187" s="41">
        <f t="shared" si="28"/>
        <v>30881.599999999999</v>
      </c>
      <c r="M187" s="41">
        <f t="shared" si="28"/>
        <v>1930165.1816666664</v>
      </c>
      <c r="N187" s="41">
        <f t="shared" si="28"/>
        <v>51753.105522305159</v>
      </c>
    </row>
    <row r="189" spans="2:14">
      <c r="B189" s="3" t="s">
        <v>232</v>
      </c>
    </row>
    <row r="190" spans="2:14">
      <c r="B190" t="s">
        <v>233</v>
      </c>
      <c r="D190" t="s">
        <v>164</v>
      </c>
      <c r="F190" s="82">
        <f t="shared" ref="F190:F195" si="29">SUM(G190:N190)</f>
        <v>43179.747164681146</v>
      </c>
      <c r="G190" s="41">
        <f>G103</f>
        <v>246</v>
      </c>
      <c r="H190" s="41">
        <f t="shared" ref="H190:N190" si="30">H103</f>
        <v>1128.9999999999998</v>
      </c>
      <c r="I190" s="41">
        <f t="shared" si="30"/>
        <v>108.83069295116243</v>
      </c>
      <c r="J190" s="41">
        <f t="shared" si="30"/>
        <v>16901.304398226257</v>
      </c>
      <c r="K190" s="41">
        <f t="shared" si="30"/>
        <v>16536.84176890368</v>
      </c>
      <c r="L190" s="41">
        <f t="shared" si="30"/>
        <v>173.8</v>
      </c>
      <c r="M190" s="41">
        <f t="shared" si="30"/>
        <v>7452.5278250993751</v>
      </c>
      <c r="N190" s="41">
        <f t="shared" si="30"/>
        <v>631.44247950067324</v>
      </c>
    </row>
    <row r="191" spans="2:14">
      <c r="B191" t="s">
        <v>234</v>
      </c>
      <c r="D191" t="s">
        <v>164</v>
      </c>
      <c r="F191" s="82">
        <f t="shared" si="29"/>
        <v>58850.061128907313</v>
      </c>
      <c r="G191" s="41">
        <f t="shared" ref="G191:N195" si="31">G104</f>
        <v>258</v>
      </c>
      <c r="H191" s="41">
        <f t="shared" si="31"/>
        <v>1257.6666666666665</v>
      </c>
      <c r="I191" s="41">
        <f t="shared" si="31"/>
        <v>1286.2485496013931</v>
      </c>
      <c r="J191" s="41">
        <f t="shared" si="31"/>
        <v>22093.589436005735</v>
      </c>
      <c r="K191" s="41">
        <f t="shared" si="31"/>
        <v>20109.56740247667</v>
      </c>
      <c r="L191" s="41">
        <f t="shared" si="31"/>
        <v>216.2</v>
      </c>
      <c r="M191" s="41">
        <f t="shared" si="31"/>
        <v>12952.737649063032</v>
      </c>
      <c r="N191" s="41">
        <f t="shared" si="31"/>
        <v>676.0514250938229</v>
      </c>
    </row>
    <row r="192" spans="2:14">
      <c r="B192" t="s">
        <v>235</v>
      </c>
      <c r="D192" t="s">
        <v>164</v>
      </c>
      <c r="F192" s="82">
        <f t="shared" si="29"/>
        <v>61635.347479707285</v>
      </c>
      <c r="G192" s="41">
        <f t="shared" si="31"/>
        <v>281</v>
      </c>
      <c r="H192" s="41">
        <f t="shared" si="31"/>
        <v>1840.9166666666667</v>
      </c>
      <c r="I192" s="41">
        <f t="shared" si="31"/>
        <v>688.40660765698749</v>
      </c>
      <c r="J192" s="41">
        <f t="shared" si="31"/>
        <v>23665.998056456989</v>
      </c>
      <c r="K192" s="41">
        <f t="shared" si="31"/>
        <v>22788.700382743133</v>
      </c>
      <c r="L192" s="41">
        <f t="shared" si="31"/>
        <v>281</v>
      </c>
      <c r="M192" s="41">
        <f t="shared" si="31"/>
        <v>11234.94747302669</v>
      </c>
      <c r="N192" s="41">
        <f t="shared" si="31"/>
        <v>854.37829315682006</v>
      </c>
    </row>
    <row r="193" spans="2:14">
      <c r="B193" t="s">
        <v>236</v>
      </c>
      <c r="D193" t="s">
        <v>164</v>
      </c>
      <c r="F193" s="82">
        <f t="shared" si="29"/>
        <v>153566.41817389405</v>
      </c>
      <c r="G193" s="41">
        <f t="shared" si="31"/>
        <v>866</v>
      </c>
      <c r="H193" s="41">
        <f t="shared" si="31"/>
        <v>3853.0833333333335</v>
      </c>
      <c r="I193" s="41">
        <f t="shared" si="31"/>
        <v>1300.9004197552304</v>
      </c>
      <c r="J193" s="41">
        <f t="shared" si="31"/>
        <v>60155.910118161803</v>
      </c>
      <c r="K193" s="41">
        <f t="shared" si="31"/>
        <v>52149.792704230269</v>
      </c>
      <c r="L193" s="41">
        <f t="shared" si="31"/>
        <v>541.79999999999995</v>
      </c>
      <c r="M193" s="41">
        <f t="shared" si="31"/>
        <v>33259.423977853497</v>
      </c>
      <c r="N193" s="41">
        <f t="shared" si="31"/>
        <v>1439.5076205598832</v>
      </c>
    </row>
    <row r="194" spans="2:14">
      <c r="B194" t="s">
        <v>237</v>
      </c>
      <c r="D194" t="s">
        <v>164</v>
      </c>
      <c r="F194" s="82">
        <f t="shared" si="29"/>
        <v>7394960.3985486198</v>
      </c>
      <c r="G194" s="41">
        <f t="shared" si="31"/>
        <v>50302</v>
      </c>
      <c r="H194" s="41">
        <f t="shared" si="31"/>
        <v>194439.58333333334</v>
      </c>
      <c r="I194" s="41">
        <f t="shared" si="31"/>
        <v>99149.724085939713</v>
      </c>
      <c r="J194" s="41">
        <f t="shared" si="31"/>
        <v>2407033.4954415876</v>
      </c>
      <c r="K194" s="41">
        <f t="shared" si="31"/>
        <v>2710319.8882688307</v>
      </c>
      <c r="L194" s="41">
        <f t="shared" si="31"/>
        <v>29668.799999999999</v>
      </c>
      <c r="M194" s="41">
        <f t="shared" si="31"/>
        <v>1855895.1817149343</v>
      </c>
      <c r="N194" s="41">
        <f t="shared" si="31"/>
        <v>48151.725703993958</v>
      </c>
    </row>
    <row r="195" spans="2:14">
      <c r="B195" t="s">
        <v>238</v>
      </c>
      <c r="D195" t="s">
        <v>164</v>
      </c>
      <c r="F195" s="82">
        <f t="shared" si="29"/>
        <v>2598296.7511811792</v>
      </c>
      <c r="G195" s="41">
        <f t="shared" si="31"/>
        <v>22611</v>
      </c>
      <c r="H195" s="41">
        <f t="shared" si="31"/>
        <v>84946</v>
      </c>
      <c r="I195" s="41">
        <f t="shared" si="31"/>
        <v>43451.231434195404</v>
      </c>
      <c r="J195" s="41">
        <f t="shared" si="31"/>
        <v>1062646.0497157113</v>
      </c>
      <c r="K195" s="41">
        <f t="shared" si="31"/>
        <v>772155.68367549754</v>
      </c>
      <c r="L195" s="41">
        <f t="shared" si="31"/>
        <v>18103</v>
      </c>
      <c r="M195" s="41">
        <f t="shared" si="31"/>
        <v>569974.51022146514</v>
      </c>
      <c r="N195" s="41">
        <f t="shared" si="31"/>
        <v>24409.276134309901</v>
      </c>
    </row>
    <row r="197" spans="2:14">
      <c r="B197" t="s">
        <v>52</v>
      </c>
    </row>
    <row r="203" spans="2:14">
      <c r="B203" s="3" t="s">
        <v>53</v>
      </c>
    </row>
    <row r="206" spans="2:14">
      <c r="B206" t="s">
        <v>239</v>
      </c>
      <c r="D206" t="s">
        <v>164</v>
      </c>
      <c r="F206" s="82">
        <f>SUM(G206:N206)</f>
        <v>493430679.59673655</v>
      </c>
      <c r="G206" s="29">
        <f>G17+G26+G35+G44+G53+G62+G70+G78+G86</f>
        <v>2596092</v>
      </c>
      <c r="H206" s="29">
        <f t="shared" ref="H206:N206" si="32">H17+H26+H35+H44+H53+H62+H70+H78+H86</f>
        <v>0</v>
      </c>
      <c r="I206" s="29">
        <f t="shared" si="32"/>
        <v>5511515.384615384</v>
      </c>
      <c r="J206" s="29">
        <f t="shared" si="32"/>
        <v>374036189.54545456</v>
      </c>
      <c r="K206" s="29">
        <f t="shared" si="32"/>
        <v>0</v>
      </c>
      <c r="L206" s="29">
        <f t="shared" si="32"/>
        <v>1930971</v>
      </c>
      <c r="M206" s="29">
        <f t="shared" si="32"/>
        <v>109355911.66666664</v>
      </c>
      <c r="N206" s="29">
        <f t="shared" si="32"/>
        <v>0</v>
      </c>
    </row>
    <row r="207" spans="2:14">
      <c r="B207" t="s">
        <v>240</v>
      </c>
      <c r="D207" t="s">
        <v>164</v>
      </c>
      <c r="F207" s="82">
        <f>SUM(G207:N207)</f>
        <v>10168502.666666666</v>
      </c>
      <c r="G207" s="41">
        <f>G94</f>
        <v>632422</v>
      </c>
      <c r="H207" s="41">
        <f t="shared" ref="H207:N207" si="33">H94</f>
        <v>0</v>
      </c>
      <c r="I207" s="41">
        <f t="shared" si="33"/>
        <v>0</v>
      </c>
      <c r="J207" s="41">
        <f t="shared" si="33"/>
        <v>1481.6666666666667</v>
      </c>
      <c r="K207" s="41">
        <f t="shared" si="33"/>
        <v>0</v>
      </c>
      <c r="L207" s="41">
        <f t="shared" si="33"/>
        <v>370744</v>
      </c>
      <c r="M207" s="41">
        <f t="shared" si="33"/>
        <v>9163855</v>
      </c>
      <c r="N207" s="41">
        <f t="shared" si="33"/>
        <v>0</v>
      </c>
    </row>
    <row r="211" spans="2:14" s="2" customFormat="1">
      <c r="B211" s="2" t="s">
        <v>68</v>
      </c>
      <c r="F211" s="48"/>
    </row>
    <row r="213" spans="2:14">
      <c r="B213" s="3"/>
    </row>
    <row r="214" spans="2:14">
      <c r="B214" s="85" t="s">
        <v>212</v>
      </c>
    </row>
    <row r="215" spans="2:14">
      <c r="B215" s="86" t="s">
        <v>213</v>
      </c>
      <c r="D215" t="s">
        <v>164</v>
      </c>
      <c r="F215" s="82">
        <f>SUM(G215:N215)</f>
        <v>11.000059028606181</v>
      </c>
      <c r="G215" s="41">
        <f>'PRD Volumes TD (2009-2012)'!G118</f>
        <v>0</v>
      </c>
      <c r="H215" s="41">
        <f>'PRD Volumes TD (2009-2012)'!H118</f>
        <v>0</v>
      </c>
      <c r="I215" s="41">
        <f>'PRD Volumes TD (2009-2012)'!I118</f>
        <v>0</v>
      </c>
      <c r="J215" s="41">
        <f>'PRD Volumes TD (2009-2012)'!J118</f>
        <v>0</v>
      </c>
      <c r="K215" s="41">
        <f>'PRD Volumes TD (2009-2012)'!K118</f>
        <v>8.0000590286061808</v>
      </c>
      <c r="L215" s="41">
        <f>'PRD Volumes TD (2009-2012)'!L118</f>
        <v>0</v>
      </c>
      <c r="M215" s="41">
        <f>'PRD Volumes TD (2009-2012)'!M118</f>
        <v>3</v>
      </c>
      <c r="N215" s="41">
        <f>'PRD Volumes TD (2009-2012)'!N118</f>
        <v>0</v>
      </c>
    </row>
    <row r="216" spans="2:14">
      <c r="B216" s="86" t="s">
        <v>43</v>
      </c>
      <c r="F216" s="7"/>
      <c r="G216" s="7"/>
      <c r="H216" s="7"/>
      <c r="I216" s="7"/>
      <c r="J216" s="7"/>
      <c r="K216" s="7"/>
      <c r="L216" s="7"/>
      <c r="M216" s="7"/>
      <c r="N216" s="7"/>
    </row>
    <row r="217" spans="2:14">
      <c r="B217" s="86" t="s">
        <v>214</v>
      </c>
      <c r="D217" t="s">
        <v>164</v>
      </c>
      <c r="F217" s="82">
        <f>SUM(G217:N217)</f>
        <v>283914.96613987093</v>
      </c>
      <c r="G217" s="41">
        <f>'PRD Volumes TD (2009-2012)'!G120</f>
        <v>0</v>
      </c>
      <c r="H217" s="41">
        <f>'PRD Volumes TD (2009-2012)'!H120</f>
        <v>0</v>
      </c>
      <c r="I217" s="41">
        <f>'PRD Volumes TD (2009-2012)'!I120</f>
        <v>0</v>
      </c>
      <c r="J217" s="41">
        <f>'PRD Volumes TD (2009-2012)'!J120</f>
        <v>0</v>
      </c>
      <c r="K217" s="41">
        <f>'PRD Volumes TD (2009-2012)'!K120</f>
        <v>13019.966139870912</v>
      </c>
      <c r="L217" s="41">
        <f>'PRD Volumes TD (2009-2012)'!L120</f>
        <v>0</v>
      </c>
      <c r="M217" s="41">
        <f>'PRD Volumes TD (2009-2012)'!M120</f>
        <v>270895</v>
      </c>
      <c r="N217" s="41">
        <f>'PRD Volumes TD (2009-2012)'!N120</f>
        <v>0</v>
      </c>
    </row>
    <row r="218" spans="2:14">
      <c r="B218" s="86" t="s">
        <v>215</v>
      </c>
      <c r="D218" t="s">
        <v>164</v>
      </c>
      <c r="F218" s="82">
        <f>SUM(G218:N218)</f>
        <v>2617388.7976798792</v>
      </c>
      <c r="G218" s="41">
        <f>'PRD Volumes TD (2009-2012)'!G121</f>
        <v>0</v>
      </c>
      <c r="H218" s="41">
        <f>'PRD Volumes TD (2009-2012)'!H121</f>
        <v>0</v>
      </c>
      <c r="I218" s="41">
        <f>'PRD Volumes TD (2009-2012)'!I121</f>
        <v>0</v>
      </c>
      <c r="J218" s="41">
        <f>'PRD Volumes TD (2009-2012)'!J121</f>
        <v>0</v>
      </c>
      <c r="K218" s="41">
        <f>'PRD Volumes TD (2009-2012)'!K121</f>
        <v>80813.527091643744</v>
      </c>
      <c r="L218" s="41">
        <f>'PRD Volumes TD (2009-2012)'!L121</f>
        <v>0</v>
      </c>
      <c r="M218" s="41">
        <f>'PRD Volumes TD (2009-2012)'!M121</f>
        <v>2536575.2705882355</v>
      </c>
      <c r="N218" s="41">
        <f>'PRD Volumes TD (2009-2012)'!N121</f>
        <v>0</v>
      </c>
    </row>
    <row r="219" spans="2:14">
      <c r="B219" s="86" t="s">
        <v>224</v>
      </c>
      <c r="F219" s="7"/>
      <c r="G219" s="7"/>
      <c r="H219" s="7"/>
      <c r="I219" s="7"/>
      <c r="J219" s="7"/>
      <c r="K219" s="7"/>
      <c r="L219" s="7"/>
      <c r="M219" s="7"/>
      <c r="N219" s="7"/>
    </row>
    <row r="220" spans="2:14">
      <c r="B220" s="86" t="s">
        <v>44</v>
      </c>
      <c r="D220" t="s">
        <v>164</v>
      </c>
      <c r="F220" s="82">
        <f>SUM(G220:N220)</f>
        <v>0</v>
      </c>
      <c r="G220" s="41">
        <f>'PRD Volumes TD (2009-2012)'!G123</f>
        <v>0</v>
      </c>
      <c r="H220" s="41">
        <f>'PRD Volumes TD (2009-2012)'!H123</f>
        <v>0</v>
      </c>
      <c r="I220" s="41">
        <f>'PRD Volumes TD (2009-2012)'!I123</f>
        <v>0</v>
      </c>
      <c r="J220" s="41">
        <f>'PRD Volumes TD (2009-2012)'!J123</f>
        <v>0</v>
      </c>
      <c r="K220" s="41">
        <f>'PRD Volumes TD (2009-2012)'!K123</f>
        <v>0</v>
      </c>
      <c r="L220" s="41">
        <f>'PRD Volumes TD (2009-2012)'!L123</f>
        <v>0</v>
      </c>
      <c r="M220" s="41">
        <f>'PRD Volumes TD (2009-2012)'!M123</f>
        <v>0</v>
      </c>
      <c r="N220" s="41">
        <f>'PRD Volumes TD (2009-2012)'!N123</f>
        <v>0</v>
      </c>
    </row>
    <row r="221" spans="2:14">
      <c r="B221" s="87"/>
    </row>
    <row r="222" spans="2:14">
      <c r="B222" s="86"/>
    </row>
    <row r="223" spans="2:14">
      <c r="B223" s="85" t="s">
        <v>216</v>
      </c>
    </row>
    <row r="224" spans="2:14">
      <c r="B224" s="86" t="s">
        <v>213</v>
      </c>
      <c r="D224" t="s">
        <v>164</v>
      </c>
      <c r="F224" s="82">
        <f>SUM(G224:N224)</f>
        <v>6</v>
      </c>
      <c r="G224" s="41">
        <f>'PRD Volumes TD (2009-2012)'!G127</f>
        <v>0</v>
      </c>
      <c r="H224" s="41">
        <f>'PRD Volumes TD (2009-2012)'!H127</f>
        <v>0</v>
      </c>
      <c r="I224" s="41">
        <f>'PRD Volumes TD (2009-2012)'!I127</f>
        <v>0</v>
      </c>
      <c r="J224" s="41">
        <f>'PRD Volumes TD (2009-2012)'!J127</f>
        <v>0</v>
      </c>
      <c r="K224" s="41">
        <f>'PRD Volumes TD (2009-2012)'!K127</f>
        <v>0</v>
      </c>
      <c r="L224" s="41">
        <f>'PRD Volumes TD (2009-2012)'!L127</f>
        <v>0</v>
      </c>
      <c r="M224" s="41">
        <f>'PRD Volumes TD (2009-2012)'!M127</f>
        <v>6</v>
      </c>
      <c r="N224" s="41">
        <f>'PRD Volumes TD (2009-2012)'!N127</f>
        <v>0</v>
      </c>
    </row>
    <row r="225" spans="2:14">
      <c r="B225" s="86" t="s">
        <v>43</v>
      </c>
      <c r="F225" s="7"/>
      <c r="G225" s="7"/>
      <c r="H225" s="7"/>
      <c r="I225" s="7"/>
      <c r="J225" s="7"/>
      <c r="K225" s="7"/>
      <c r="L225" s="7"/>
      <c r="M225" s="7"/>
      <c r="N225" s="7"/>
    </row>
    <row r="226" spans="2:14">
      <c r="B226" s="86" t="s">
        <v>214</v>
      </c>
      <c r="D226" t="s">
        <v>164</v>
      </c>
      <c r="F226" s="82">
        <f>SUM(G226:N226)</f>
        <v>25330.000000000004</v>
      </c>
      <c r="G226" s="41">
        <f>'PRD Volumes TD (2009-2012)'!G129</f>
        <v>0</v>
      </c>
      <c r="H226" s="41">
        <f>'PRD Volumes TD (2009-2012)'!H129</f>
        <v>0</v>
      </c>
      <c r="I226" s="41">
        <f>'PRD Volumes TD (2009-2012)'!I129</f>
        <v>0</v>
      </c>
      <c r="J226" s="41">
        <f>'PRD Volumes TD (2009-2012)'!J129</f>
        <v>0</v>
      </c>
      <c r="K226" s="41">
        <f>'PRD Volumes TD (2009-2012)'!K129</f>
        <v>0</v>
      </c>
      <c r="L226" s="41">
        <f>'PRD Volumes TD (2009-2012)'!L129</f>
        <v>0</v>
      </c>
      <c r="M226" s="41">
        <f>'PRD Volumes TD (2009-2012)'!M129</f>
        <v>25330.000000000004</v>
      </c>
      <c r="N226" s="41">
        <f>'PRD Volumes TD (2009-2012)'!N129</f>
        <v>0</v>
      </c>
    </row>
    <row r="227" spans="2:14">
      <c r="B227" s="86" t="s">
        <v>217</v>
      </c>
      <c r="D227" t="s">
        <v>164</v>
      </c>
      <c r="F227" s="82">
        <f>SUM(G227:N227)</f>
        <v>203784.00000000003</v>
      </c>
      <c r="G227" s="41">
        <f>'PRD Volumes TD (2009-2012)'!G130</f>
        <v>0</v>
      </c>
      <c r="H227" s="41">
        <f>'PRD Volumes TD (2009-2012)'!H130</f>
        <v>0</v>
      </c>
      <c r="I227" s="41">
        <f>'PRD Volumes TD (2009-2012)'!I130</f>
        <v>0</v>
      </c>
      <c r="J227" s="41">
        <f>'PRD Volumes TD (2009-2012)'!J130</f>
        <v>0</v>
      </c>
      <c r="K227" s="41">
        <f>'PRD Volumes TD (2009-2012)'!K130</f>
        <v>0</v>
      </c>
      <c r="L227" s="41">
        <f>'PRD Volumes TD (2009-2012)'!L130</f>
        <v>0</v>
      </c>
      <c r="M227" s="41">
        <f>'PRD Volumes TD (2009-2012)'!M130</f>
        <v>203784.00000000003</v>
      </c>
      <c r="N227" s="41">
        <f>'PRD Volumes TD (2009-2012)'!N130</f>
        <v>0</v>
      </c>
    </row>
    <row r="228" spans="2:14">
      <c r="B228" s="86" t="s">
        <v>224</v>
      </c>
      <c r="F228" s="7"/>
      <c r="G228" s="7"/>
      <c r="H228" s="7"/>
      <c r="I228" s="7"/>
      <c r="J228" s="7"/>
      <c r="K228" s="7"/>
      <c r="L228" s="7"/>
      <c r="M228" s="7"/>
      <c r="N228" s="7"/>
    </row>
    <row r="229" spans="2:14">
      <c r="B229" s="86" t="s">
        <v>44</v>
      </c>
      <c r="D229" t="s">
        <v>164</v>
      </c>
      <c r="F229" s="82">
        <f>SUM(G229:N229)</f>
        <v>0</v>
      </c>
      <c r="G229" s="41">
        <f>'PRD Volumes TD (2009-2012)'!G132</f>
        <v>0</v>
      </c>
      <c r="H229" s="41">
        <f>'PRD Volumes TD (2009-2012)'!H132</f>
        <v>0</v>
      </c>
      <c r="I229" s="41">
        <f>'PRD Volumes TD (2009-2012)'!I132</f>
        <v>0</v>
      </c>
      <c r="J229" s="41">
        <f>'PRD Volumes TD (2009-2012)'!J132</f>
        <v>0</v>
      </c>
      <c r="K229" s="41">
        <f>'PRD Volumes TD (2009-2012)'!K132</f>
        <v>0</v>
      </c>
      <c r="L229" s="41">
        <f>'PRD Volumes TD (2009-2012)'!L132</f>
        <v>0</v>
      </c>
      <c r="M229" s="41">
        <f>'PRD Volumes TD (2009-2012)'!M132</f>
        <v>0</v>
      </c>
      <c r="N229" s="41">
        <f>'PRD Volumes TD (2009-2012)'!N132</f>
        <v>0</v>
      </c>
    </row>
    <row r="230" spans="2:14">
      <c r="B230" s="87"/>
    </row>
    <row r="231" spans="2:14">
      <c r="B231" s="86"/>
    </row>
    <row r="232" spans="2:14">
      <c r="B232" s="85" t="s">
        <v>218</v>
      </c>
    </row>
    <row r="233" spans="2:14">
      <c r="B233" s="86" t="s">
        <v>213</v>
      </c>
      <c r="D233" t="s">
        <v>164</v>
      </c>
      <c r="F233" s="82">
        <f>SUM(G233:N233)</f>
        <v>85.845445076101981</v>
      </c>
      <c r="G233" s="41">
        <f>'PRD Volumes TD (2009-2012)'!G136</f>
        <v>0</v>
      </c>
      <c r="H233" s="41">
        <f>'PRD Volumes TD (2009-2012)'!H136</f>
        <v>1</v>
      </c>
      <c r="I233" s="41">
        <f>'PRD Volumes TD (2009-2012)'!I136</f>
        <v>0</v>
      </c>
      <c r="J233" s="41">
        <f>'PRD Volumes TD (2009-2012)'!J136</f>
        <v>3</v>
      </c>
      <c r="K233" s="41">
        <f>'PRD Volumes TD (2009-2012)'!K136</f>
        <v>18.02726391668169</v>
      </c>
      <c r="L233" s="41">
        <f>'PRD Volumes TD (2009-2012)'!L136</f>
        <v>0</v>
      </c>
      <c r="M233" s="41">
        <f>'PRD Volumes TD (2009-2012)'!M136</f>
        <v>63.818181159420284</v>
      </c>
      <c r="N233" s="41">
        <f>'PRD Volumes TD (2009-2012)'!N136</f>
        <v>0</v>
      </c>
    </row>
    <row r="234" spans="2:14">
      <c r="B234" s="86" t="s">
        <v>43</v>
      </c>
      <c r="F234" s="7"/>
      <c r="G234" s="7"/>
      <c r="H234" s="7"/>
      <c r="I234" s="7"/>
      <c r="J234" s="7"/>
      <c r="K234" s="7"/>
      <c r="L234" s="7"/>
      <c r="M234" s="7"/>
      <c r="N234" s="7"/>
    </row>
    <row r="235" spans="2:14">
      <c r="B235" s="86" t="s">
        <v>214</v>
      </c>
      <c r="D235" t="s">
        <v>164</v>
      </c>
      <c r="F235" s="82">
        <f>SUM(G235:N235)</f>
        <v>866397.6100190205</v>
      </c>
      <c r="G235" s="41">
        <f>'PRD Volumes TD (2009-2012)'!G138</f>
        <v>0</v>
      </c>
      <c r="H235" s="41">
        <f>'PRD Volumes TD (2009-2012)'!H138</f>
        <v>21999.999999999996</v>
      </c>
      <c r="I235" s="41">
        <f>'PRD Volumes TD (2009-2012)'!I138</f>
        <v>0</v>
      </c>
      <c r="J235" s="41">
        <f>'PRD Volumes TD (2009-2012)'!J138</f>
        <v>54508.520325203244</v>
      </c>
      <c r="K235" s="41">
        <f>'PRD Volumes TD (2009-2012)'!K138</f>
        <v>114986.90749042746</v>
      </c>
      <c r="L235" s="41">
        <f>'PRD Volumes TD (2009-2012)'!L138</f>
        <v>0</v>
      </c>
      <c r="M235" s="41">
        <f>'PRD Volumes TD (2009-2012)'!M138</f>
        <v>674902.18220338982</v>
      </c>
      <c r="N235" s="41">
        <f>'PRD Volumes TD (2009-2012)'!N138</f>
        <v>0</v>
      </c>
    </row>
    <row r="236" spans="2:14">
      <c r="B236" s="86" t="s">
        <v>215</v>
      </c>
      <c r="D236" t="s">
        <v>164</v>
      </c>
      <c r="F236" s="82">
        <f>SUM(G236:N236)</f>
        <v>7785204.2393383412</v>
      </c>
      <c r="G236" s="41">
        <f>'PRD Volumes TD (2009-2012)'!G139</f>
        <v>0</v>
      </c>
      <c r="H236" s="41">
        <f>'PRD Volumes TD (2009-2012)'!H139</f>
        <v>223070.66666666666</v>
      </c>
      <c r="I236" s="41">
        <f>'PRD Volumes TD (2009-2012)'!I139</f>
        <v>0</v>
      </c>
      <c r="J236" s="41">
        <f>'PRD Volumes TD (2009-2012)'!J139</f>
        <v>467414.20579420577</v>
      </c>
      <c r="K236" s="41">
        <f>'PRD Volumes TD (2009-2012)'!K139</f>
        <v>1145546.6390293695</v>
      </c>
      <c r="L236" s="41">
        <f>'PRD Volumes TD (2009-2012)'!L139</f>
        <v>0</v>
      </c>
      <c r="M236" s="41">
        <f>'PRD Volumes TD (2009-2012)'!M139</f>
        <v>5949172.7278480995</v>
      </c>
      <c r="N236" s="41">
        <f>'PRD Volumes TD (2009-2012)'!N139</f>
        <v>0</v>
      </c>
    </row>
    <row r="237" spans="2:14">
      <c r="B237" s="86" t="s">
        <v>224</v>
      </c>
      <c r="F237" s="7"/>
      <c r="G237" s="7"/>
      <c r="H237" s="7"/>
      <c r="I237" s="7"/>
      <c r="J237" s="7"/>
      <c r="K237" s="7"/>
      <c r="L237" s="7"/>
      <c r="M237" s="7"/>
      <c r="N237" s="7"/>
    </row>
    <row r="238" spans="2:14">
      <c r="B238" s="86" t="s">
        <v>44</v>
      </c>
      <c r="D238" t="s">
        <v>164</v>
      </c>
      <c r="F238" s="82">
        <f>SUM(G238:N238)</f>
        <v>26957525.909090906</v>
      </c>
      <c r="G238" s="41">
        <f>'PRD Volumes TD (2009-2012)'!G141</f>
        <v>0</v>
      </c>
      <c r="H238" s="41">
        <f>'PRD Volumes TD (2009-2012)'!H141</f>
        <v>0</v>
      </c>
      <c r="I238" s="41">
        <f>'PRD Volumes TD (2009-2012)'!I141</f>
        <v>0</v>
      </c>
      <c r="J238" s="41">
        <f>'PRD Volumes TD (2009-2012)'!J141</f>
        <v>5598010.9090909082</v>
      </c>
      <c r="K238" s="41">
        <f>'PRD Volumes TD (2009-2012)'!K141</f>
        <v>0</v>
      </c>
      <c r="L238" s="41">
        <f>'PRD Volumes TD (2009-2012)'!L141</f>
        <v>0</v>
      </c>
      <c r="M238" s="41">
        <f>'PRD Volumes TD (2009-2012)'!M141</f>
        <v>21359515</v>
      </c>
      <c r="N238" s="41">
        <f>'PRD Volumes TD (2009-2012)'!N141</f>
        <v>0</v>
      </c>
    </row>
    <row r="239" spans="2:14">
      <c r="B239" s="87"/>
    </row>
    <row r="240" spans="2:14">
      <c r="B240" s="86"/>
    </row>
    <row r="241" spans="2:14">
      <c r="B241" s="85" t="s">
        <v>219</v>
      </c>
    </row>
    <row r="242" spans="2:14">
      <c r="B242" s="86" t="s">
        <v>213</v>
      </c>
      <c r="D242" t="s">
        <v>164</v>
      </c>
      <c r="F242" s="82">
        <f>SUM(G242:N242)</f>
        <v>24.090909420289854</v>
      </c>
      <c r="G242" s="41">
        <f>'PRD Volumes TD (2009-2012)'!G145</f>
        <v>0</v>
      </c>
      <c r="H242" s="41">
        <f>'PRD Volumes TD (2009-2012)'!H145</f>
        <v>0</v>
      </c>
      <c r="I242" s="41">
        <f>'PRD Volumes TD (2009-2012)'!I145</f>
        <v>0</v>
      </c>
      <c r="J242" s="41">
        <f>'PRD Volumes TD (2009-2012)'!J145</f>
        <v>1</v>
      </c>
      <c r="K242" s="41">
        <f>'PRD Volumes TD (2009-2012)'!K145</f>
        <v>12</v>
      </c>
      <c r="L242" s="41">
        <f>'PRD Volumes TD (2009-2012)'!L145</f>
        <v>0</v>
      </c>
      <c r="M242" s="41">
        <f>'PRD Volumes TD (2009-2012)'!M145</f>
        <v>11.090909420289854</v>
      </c>
      <c r="N242" s="41">
        <f>'PRD Volumes TD (2009-2012)'!N145</f>
        <v>0</v>
      </c>
    </row>
    <row r="243" spans="2:14">
      <c r="B243" s="86" t="s">
        <v>43</v>
      </c>
      <c r="F243" s="7"/>
      <c r="G243" s="7"/>
      <c r="H243" s="7"/>
      <c r="I243" s="7"/>
      <c r="J243" s="7"/>
      <c r="K243" s="7"/>
      <c r="L243" s="7"/>
      <c r="M243" s="7"/>
      <c r="N243" s="7"/>
    </row>
    <row r="244" spans="2:14">
      <c r="B244" s="86" t="s">
        <v>214</v>
      </c>
      <c r="D244" t="s">
        <v>164</v>
      </c>
      <c r="F244" s="82">
        <f>SUM(G244:N244)</f>
        <v>303510.48385562596</v>
      </c>
      <c r="G244" s="41">
        <f>'PRD Volumes TD (2009-2012)'!G147</f>
        <v>0</v>
      </c>
      <c r="H244" s="41">
        <f>'PRD Volumes TD (2009-2012)'!H147</f>
        <v>0</v>
      </c>
      <c r="I244" s="41">
        <f>'PRD Volumes TD (2009-2012)'!I147</f>
        <v>0</v>
      </c>
      <c r="J244" s="41">
        <f>'PRD Volumes TD (2009-2012)'!J147</f>
        <v>5071.9927797833943</v>
      </c>
      <c r="K244" s="41">
        <f>'PRD Volumes TD (2009-2012)'!K147</f>
        <v>70734.67327923236</v>
      </c>
      <c r="L244" s="41">
        <f>'PRD Volumes TD (2009-2012)'!L147</f>
        <v>0</v>
      </c>
      <c r="M244" s="41">
        <f>'PRD Volumes TD (2009-2012)'!M147</f>
        <v>227703.81779661018</v>
      </c>
      <c r="N244" s="41">
        <f>'PRD Volumes TD (2009-2012)'!N147</f>
        <v>0</v>
      </c>
    </row>
    <row r="245" spans="2:14">
      <c r="B245" s="86" t="s">
        <v>217</v>
      </c>
      <c r="D245" t="s">
        <v>164</v>
      </c>
      <c r="F245" s="82">
        <f>SUM(G245:N245)</f>
        <v>4623985.0819142452</v>
      </c>
      <c r="G245" s="41">
        <f>'PRD Volumes TD (2009-2012)'!G148</f>
        <v>0</v>
      </c>
      <c r="H245" s="41">
        <f>'PRD Volumes TD (2009-2012)'!H148</f>
        <v>0</v>
      </c>
      <c r="I245" s="41">
        <f>'PRD Volumes TD (2009-2012)'!I148</f>
        <v>0</v>
      </c>
      <c r="J245" s="41">
        <f>'PRD Volumes TD (2009-2012)'!J148</f>
        <v>4904.727272727273</v>
      </c>
      <c r="K245" s="41">
        <f>'PRD Volumes TD (2009-2012)'!K148</f>
        <v>1115025.8091869729</v>
      </c>
      <c r="L245" s="41">
        <f>'PRD Volumes TD (2009-2012)'!L148</f>
        <v>0</v>
      </c>
      <c r="M245" s="41">
        <f>'PRD Volumes TD (2009-2012)'!M148</f>
        <v>3504054.5454545449</v>
      </c>
      <c r="N245" s="41">
        <f>'PRD Volumes TD (2009-2012)'!N148</f>
        <v>0</v>
      </c>
    </row>
    <row r="246" spans="2:14">
      <c r="B246" s="86" t="s">
        <v>224</v>
      </c>
      <c r="F246" s="7"/>
      <c r="G246" s="7"/>
      <c r="H246" s="7"/>
      <c r="I246" s="7"/>
      <c r="J246" s="7"/>
      <c r="K246" s="7"/>
      <c r="L246" s="7"/>
      <c r="M246" s="7"/>
      <c r="N246" s="7"/>
    </row>
    <row r="247" spans="2:14">
      <c r="B247" s="86" t="s">
        <v>44</v>
      </c>
      <c r="D247" t="s">
        <v>164</v>
      </c>
      <c r="F247" s="82">
        <f>SUM(G247:N247)</f>
        <v>6619937.1212121211</v>
      </c>
      <c r="G247" s="41">
        <f>'PRD Volumes TD (2009-2012)'!G150</f>
        <v>0</v>
      </c>
      <c r="H247" s="41">
        <f>'PRD Volumes TD (2009-2012)'!H150</f>
        <v>0</v>
      </c>
      <c r="I247" s="41">
        <f>'PRD Volumes TD (2009-2012)'!I150</f>
        <v>0</v>
      </c>
      <c r="J247" s="41">
        <f>'PRD Volumes TD (2009-2012)'!J150</f>
        <v>2685745.4545454546</v>
      </c>
      <c r="K247" s="41">
        <f>'PRD Volumes TD (2009-2012)'!K150</f>
        <v>0</v>
      </c>
      <c r="L247" s="41">
        <f>'PRD Volumes TD (2009-2012)'!L150</f>
        <v>0</v>
      </c>
      <c r="M247" s="41">
        <f>'PRD Volumes TD (2009-2012)'!M150</f>
        <v>3934191.666666667</v>
      </c>
      <c r="N247" s="41">
        <f>'PRD Volumes TD (2009-2012)'!N150</f>
        <v>0</v>
      </c>
    </row>
    <row r="248" spans="2:14">
      <c r="B248" s="87"/>
    </row>
    <row r="249" spans="2:14">
      <c r="B249" s="86"/>
    </row>
    <row r="250" spans="2:14">
      <c r="B250" s="85" t="s">
        <v>220</v>
      </c>
    </row>
    <row r="251" spans="2:14">
      <c r="B251" s="86" t="s">
        <v>213</v>
      </c>
      <c r="D251" t="s">
        <v>164</v>
      </c>
      <c r="F251" s="82">
        <f>SUM(G251:N251)</f>
        <v>663.13728459214269</v>
      </c>
      <c r="G251" s="41">
        <f>'PRD Volumes TD (2009-2012)'!G154</f>
        <v>0</v>
      </c>
      <c r="H251" s="41">
        <f>'PRD Volumes TD (2009-2012)'!H154</f>
        <v>43.916666666666664</v>
      </c>
      <c r="I251" s="41">
        <f>'PRD Volumes TD (2009-2012)'!I154</f>
        <v>1</v>
      </c>
      <c r="J251" s="41">
        <f>'PRD Volumes TD (2009-2012)'!J154</f>
        <v>178.96114492753622</v>
      </c>
      <c r="K251" s="41">
        <f>'PRD Volumes TD (2009-2012)'!K154</f>
        <v>312.71402009938907</v>
      </c>
      <c r="L251" s="41">
        <f>'PRD Volumes TD (2009-2012)'!L154</f>
        <v>0</v>
      </c>
      <c r="M251" s="41">
        <f>'PRD Volumes TD (2009-2012)'!M154</f>
        <v>121.54545289855074</v>
      </c>
      <c r="N251" s="41">
        <f>'PRD Volumes TD (2009-2012)'!N154</f>
        <v>5</v>
      </c>
    </row>
    <row r="252" spans="2:14">
      <c r="B252" s="86" t="s">
        <v>43</v>
      </c>
      <c r="F252" s="7"/>
      <c r="G252" s="7"/>
      <c r="H252" s="7"/>
      <c r="I252" s="7"/>
      <c r="J252" s="7"/>
      <c r="K252" s="7"/>
      <c r="L252" s="7"/>
      <c r="M252" s="7"/>
      <c r="N252" s="7"/>
    </row>
    <row r="253" spans="2:14">
      <c r="B253" s="86" t="s">
        <v>214</v>
      </c>
      <c r="D253" t="s">
        <v>164</v>
      </c>
      <c r="F253" s="82">
        <f>SUM(G253:N253)</f>
        <v>2957475.123701151</v>
      </c>
      <c r="G253" s="41">
        <f>'PRD Volumes TD (2009-2012)'!G156</f>
        <v>0</v>
      </c>
      <c r="H253" s="41">
        <f>'PRD Volumes TD (2009-2012)'!H156</f>
        <v>79549.000000000015</v>
      </c>
      <c r="I253" s="41">
        <f>'PRD Volumes TD (2009-2012)'!I156</f>
        <v>14838.976238073894</v>
      </c>
      <c r="J253" s="41">
        <f>'PRD Volumes TD (2009-2012)'!J156</f>
        <v>1323269.3118989614</v>
      </c>
      <c r="K253" s="41">
        <f>'PRD Volumes TD (2009-2012)'!K156</f>
        <v>1071299.8483126056</v>
      </c>
      <c r="L253" s="41">
        <f>'PRD Volumes TD (2009-2012)'!L156</f>
        <v>0</v>
      </c>
      <c r="M253" s="41">
        <f>'PRD Volumes TD (2009-2012)'!M156</f>
        <v>435695.90942028986</v>
      </c>
      <c r="N253" s="41">
        <f>'PRD Volumes TD (2009-2012)'!N156</f>
        <v>32822.07783121994</v>
      </c>
    </row>
    <row r="254" spans="2:14">
      <c r="B254" s="86" t="s">
        <v>215</v>
      </c>
      <c r="D254" t="s">
        <v>164</v>
      </c>
      <c r="F254" s="82">
        <f>SUM(G254:N254)</f>
        <v>28031771.881716587</v>
      </c>
      <c r="G254" s="41">
        <f>'PRD Volumes TD (2009-2012)'!G157</f>
        <v>0</v>
      </c>
      <c r="H254" s="41">
        <f>'PRD Volumes TD (2009-2012)'!H157</f>
        <v>620968.28571428568</v>
      </c>
      <c r="I254" s="41">
        <f>'PRD Volumes TD (2009-2012)'!I157</f>
        <v>165433.09983515041</v>
      </c>
      <c r="J254" s="41">
        <f>'PRD Volumes TD (2009-2012)'!J157</f>
        <v>13213710.763636366</v>
      </c>
      <c r="K254" s="41">
        <f>'PRD Volumes TD (2009-2012)'!K157</f>
        <v>9817084.002645731</v>
      </c>
      <c r="L254" s="41">
        <f>'PRD Volumes TD (2009-2012)'!L157</f>
        <v>0</v>
      </c>
      <c r="M254" s="41">
        <f>'PRD Volumes TD (2009-2012)'!M157</f>
        <v>3907532.7298850571</v>
      </c>
      <c r="N254" s="41">
        <f>'PRD Volumes TD (2009-2012)'!N157</f>
        <v>307043</v>
      </c>
    </row>
    <row r="255" spans="2:14">
      <c r="B255" s="86" t="s">
        <v>224</v>
      </c>
      <c r="F255" s="7"/>
      <c r="G255" s="7"/>
      <c r="H255" s="7"/>
      <c r="I255" s="7"/>
      <c r="J255" s="7"/>
      <c r="K255" s="7"/>
      <c r="L255" s="7"/>
      <c r="M255" s="7"/>
      <c r="N255" s="7"/>
    </row>
    <row r="256" spans="2:14">
      <c r="B256" s="86" t="s">
        <v>44</v>
      </c>
      <c r="D256" t="s">
        <v>164</v>
      </c>
      <c r="F256" s="82">
        <f>SUM(G256:N256)</f>
        <v>49515300.151515149</v>
      </c>
      <c r="G256" s="41">
        <f>'PRD Volumes TD (2009-2012)'!G159</f>
        <v>0</v>
      </c>
      <c r="H256" s="41">
        <f>'PRD Volumes TD (2009-2012)'!H159</f>
        <v>0</v>
      </c>
      <c r="I256" s="41">
        <f>'PRD Volumes TD (2009-2012)'!I159</f>
        <v>0</v>
      </c>
      <c r="J256" s="41">
        <f>'PRD Volumes TD (2009-2012)'!J159</f>
        <v>37195150.151515149</v>
      </c>
      <c r="K256" s="41">
        <f>'PRD Volumes TD (2009-2012)'!K159</f>
        <v>0</v>
      </c>
      <c r="L256" s="41">
        <f>'PRD Volumes TD (2009-2012)'!L159</f>
        <v>0</v>
      </c>
      <c r="M256" s="41">
        <f>'PRD Volumes TD (2009-2012)'!M159</f>
        <v>12320149.999999998</v>
      </c>
      <c r="N256" s="41">
        <f>'PRD Volumes TD (2009-2012)'!N159</f>
        <v>0</v>
      </c>
    </row>
    <row r="257" spans="2:14">
      <c r="B257" s="87"/>
    </row>
    <row r="258" spans="2:14">
      <c r="B258" s="86"/>
    </row>
    <row r="259" spans="2:14">
      <c r="B259" s="85" t="s">
        <v>221</v>
      </c>
    </row>
    <row r="260" spans="2:14">
      <c r="B260" s="86" t="s">
        <v>213</v>
      </c>
      <c r="D260" t="s">
        <v>164</v>
      </c>
      <c r="F260" s="82">
        <f>SUM(G260:N260)</f>
        <v>32.302616271409747</v>
      </c>
      <c r="G260" s="41">
        <f>'PRD Volumes TD (2009-2012)'!G163</f>
        <v>0</v>
      </c>
      <c r="H260" s="41">
        <f>'PRD Volumes TD (2009-2012)'!H163</f>
        <v>1</v>
      </c>
      <c r="I260" s="41">
        <f>'PRD Volumes TD (2009-2012)'!I163</f>
        <v>0</v>
      </c>
      <c r="J260" s="41">
        <f>'PRD Volumes TD (2009-2012)'!J163</f>
        <v>11.393525691699603</v>
      </c>
      <c r="K260" s="41">
        <f>'PRD Volumes TD (2009-2012)'!K163</f>
        <v>16</v>
      </c>
      <c r="L260" s="41">
        <f>'PRD Volumes TD (2009-2012)'!L163</f>
        <v>0</v>
      </c>
      <c r="M260" s="41">
        <f>'PRD Volumes TD (2009-2012)'!M163</f>
        <v>3.9090905797101452</v>
      </c>
      <c r="N260" s="41">
        <f>'PRD Volumes TD (2009-2012)'!N163</f>
        <v>0</v>
      </c>
    </row>
    <row r="261" spans="2:14">
      <c r="B261" s="86" t="s">
        <v>43</v>
      </c>
      <c r="F261" s="7"/>
      <c r="G261" s="7"/>
      <c r="H261" s="7"/>
      <c r="I261" s="7"/>
      <c r="J261" s="7"/>
      <c r="K261" s="7"/>
      <c r="L261" s="7"/>
      <c r="M261" s="7"/>
      <c r="N261" s="7"/>
    </row>
    <row r="262" spans="2:14">
      <c r="B262" s="86" t="s">
        <v>214</v>
      </c>
      <c r="D262" t="s">
        <v>164</v>
      </c>
      <c r="F262" s="82">
        <f>SUM(G262:N262)</f>
        <v>153590.9556268329</v>
      </c>
      <c r="G262" s="41">
        <f>'PRD Volumes TD (2009-2012)'!G165</f>
        <v>0</v>
      </c>
      <c r="H262" s="41">
        <f>'PRD Volumes TD (2009-2012)'!H165</f>
        <v>9116</v>
      </c>
      <c r="I262" s="41">
        <f>'PRD Volumes TD (2009-2012)'!I165</f>
        <v>0</v>
      </c>
      <c r="J262" s="41">
        <f>'PRD Volumes TD (2009-2012)'!J165</f>
        <v>86182.425952045145</v>
      </c>
      <c r="K262" s="41">
        <f>'PRD Volumes TD (2009-2012)'!K165</f>
        <v>40197.98378106796</v>
      </c>
      <c r="L262" s="41">
        <f>'PRD Volumes TD (2009-2012)'!L165</f>
        <v>0</v>
      </c>
      <c r="M262" s="41">
        <f>'PRD Volumes TD (2009-2012)'!M165</f>
        <v>18094.545893719809</v>
      </c>
      <c r="N262" s="41">
        <f>'PRD Volumes TD (2009-2012)'!N165</f>
        <v>0</v>
      </c>
    </row>
    <row r="263" spans="2:14">
      <c r="B263" s="86" t="s">
        <v>217</v>
      </c>
      <c r="D263" t="s">
        <v>164</v>
      </c>
      <c r="F263" s="82">
        <f>SUM(G263:N263)</f>
        <v>2498426.5883423444</v>
      </c>
      <c r="G263" s="41">
        <f>'PRD Volumes TD (2009-2012)'!G166</f>
        <v>0</v>
      </c>
      <c r="H263" s="41">
        <f>'PRD Volumes TD (2009-2012)'!H166</f>
        <v>167603.42857142858</v>
      </c>
      <c r="I263" s="41">
        <f>'PRD Volumes TD (2009-2012)'!I166</f>
        <v>0</v>
      </c>
      <c r="J263" s="41">
        <f>'PRD Volumes TD (2009-2012)'!J166</f>
        <v>1450547.2727272729</v>
      </c>
      <c r="K263" s="41">
        <f>'PRD Volumes TD (2009-2012)'!K166</f>
        <v>632955.88704364293</v>
      </c>
      <c r="L263" s="41">
        <f>'PRD Volumes TD (2009-2012)'!L166</f>
        <v>0</v>
      </c>
      <c r="M263" s="41">
        <f>'PRD Volumes TD (2009-2012)'!M166</f>
        <v>247320</v>
      </c>
      <c r="N263" s="41">
        <f>'PRD Volumes TD (2009-2012)'!N166</f>
        <v>0</v>
      </c>
    </row>
    <row r="264" spans="2:14">
      <c r="B264" s="86" t="s">
        <v>224</v>
      </c>
      <c r="F264" s="7"/>
      <c r="G264" s="7"/>
      <c r="H264" s="7"/>
      <c r="I264" s="7"/>
      <c r="J264" s="7"/>
      <c r="K264" s="7"/>
      <c r="L264" s="7"/>
      <c r="M264" s="7"/>
      <c r="N264" s="7"/>
    </row>
    <row r="265" spans="2:14">
      <c r="B265" s="86" t="s">
        <v>44</v>
      </c>
      <c r="D265" t="s">
        <v>164</v>
      </c>
      <c r="F265" s="82">
        <f>SUM(G265:N265)</f>
        <v>3911629.0909090913</v>
      </c>
      <c r="G265" s="41">
        <f>'PRD Volumes TD (2009-2012)'!G168</f>
        <v>0</v>
      </c>
      <c r="H265" s="41">
        <f>'PRD Volumes TD (2009-2012)'!H168</f>
        <v>0</v>
      </c>
      <c r="I265" s="41">
        <f>'PRD Volumes TD (2009-2012)'!I168</f>
        <v>0</v>
      </c>
      <c r="J265" s="41">
        <f>'PRD Volumes TD (2009-2012)'!J168</f>
        <v>3911629.0909090913</v>
      </c>
      <c r="K265" s="41">
        <f>'PRD Volumes TD (2009-2012)'!K168</f>
        <v>0</v>
      </c>
      <c r="L265" s="41">
        <f>'PRD Volumes TD (2009-2012)'!L168</f>
        <v>0</v>
      </c>
      <c r="M265" s="41">
        <f>'PRD Volumes TD (2009-2012)'!M168</f>
        <v>0</v>
      </c>
      <c r="N265" s="41">
        <f>'PRD Volumes TD (2009-2012)'!N168</f>
        <v>0</v>
      </c>
    </row>
    <row r="266" spans="2:14">
      <c r="B266" s="87"/>
    </row>
    <row r="267" spans="2:14">
      <c r="B267" s="86"/>
    </row>
    <row r="268" spans="2:14">
      <c r="B268" s="85" t="s">
        <v>210</v>
      </c>
    </row>
    <row r="269" spans="2:14">
      <c r="B269" s="86" t="s">
        <v>213</v>
      </c>
      <c r="D269" t="s">
        <v>164</v>
      </c>
      <c r="F269" s="82">
        <f>SUM(G269:N269)</f>
        <v>260.83677798392091</v>
      </c>
      <c r="G269" s="41">
        <f>'PRD Volumes TD (2009-2012)'!G172</f>
        <v>0</v>
      </c>
      <c r="H269" s="41">
        <f>'PRD Volumes TD (2009-2012)'!H172</f>
        <v>0</v>
      </c>
      <c r="I269" s="41">
        <f>'PRD Volumes TD (2009-2012)'!I172</f>
        <v>4</v>
      </c>
      <c r="J269" s="41">
        <f>'PRD Volumes TD (2009-2012)'!J172</f>
        <v>255.08677798392088</v>
      </c>
      <c r="K269" s="41">
        <f>'PRD Volumes TD (2009-2012)'!K172</f>
        <v>0</v>
      </c>
      <c r="L269" s="41">
        <f>'PRD Volumes TD (2009-2012)'!L172</f>
        <v>1.75</v>
      </c>
      <c r="M269" s="41">
        <f>'PRD Volumes TD (2009-2012)'!M172</f>
        <v>0</v>
      </c>
      <c r="N269" s="41">
        <f>'PRD Volumes TD (2009-2012)'!N172</f>
        <v>0</v>
      </c>
    </row>
    <row r="270" spans="2:14">
      <c r="B270" s="86" t="s">
        <v>223</v>
      </c>
      <c r="D270" t="s">
        <v>164</v>
      </c>
      <c r="F270" s="82">
        <f>SUM(G270:N270)</f>
        <v>748288.32210083865</v>
      </c>
      <c r="G270" s="41">
        <f>'PRD Volumes TD (2009-2012)'!G173</f>
        <v>0</v>
      </c>
      <c r="H270" s="41">
        <f>'PRD Volumes TD (2009-2012)'!H173</f>
        <v>0</v>
      </c>
      <c r="I270" s="41">
        <f>'PRD Volumes TD (2009-2012)'!I173</f>
        <v>22995.140282656881</v>
      </c>
      <c r="J270" s="41">
        <f>'PRD Volumes TD (2009-2012)'!J173</f>
        <v>714839.18181818177</v>
      </c>
      <c r="K270" s="41">
        <f>'PRD Volumes TD (2009-2012)'!K173</f>
        <v>0</v>
      </c>
      <c r="L270" s="41">
        <f>'PRD Volumes TD (2009-2012)'!L173</f>
        <v>10454</v>
      </c>
      <c r="M270" s="41">
        <f>'PRD Volumes TD (2009-2012)'!M173</f>
        <v>0</v>
      </c>
      <c r="N270" s="41">
        <f>'PRD Volumes TD (2009-2012)'!N173</f>
        <v>0</v>
      </c>
    </row>
    <row r="271" spans="2:14">
      <c r="B271" s="86" t="s">
        <v>215</v>
      </c>
      <c r="D271" t="s">
        <v>164</v>
      </c>
      <c r="F271" s="82">
        <f>SUM(G271:N271)</f>
        <v>7191340.0185046168</v>
      </c>
      <c r="G271" s="41">
        <f>'PRD Volumes TD (2009-2012)'!G174</f>
        <v>0</v>
      </c>
      <c r="H271" s="41">
        <f>'PRD Volumes TD (2009-2012)'!H174</f>
        <v>0</v>
      </c>
      <c r="I271" s="41">
        <f>'PRD Volumes TD (2009-2012)'!I174</f>
        <v>244972.46770247605</v>
      </c>
      <c r="J271" s="41">
        <f>'PRD Volumes TD (2009-2012)'!J174</f>
        <v>6846609.5508021405</v>
      </c>
      <c r="K271" s="41">
        <f>'PRD Volumes TD (2009-2012)'!K174</f>
        <v>0</v>
      </c>
      <c r="L271" s="41">
        <f>'PRD Volumes TD (2009-2012)'!L174</f>
        <v>99758</v>
      </c>
      <c r="M271" s="41">
        <f>'PRD Volumes TD (2009-2012)'!M174</f>
        <v>0</v>
      </c>
      <c r="N271" s="41">
        <f>'PRD Volumes TD (2009-2012)'!N174</f>
        <v>0</v>
      </c>
    </row>
    <row r="272" spans="2:14">
      <c r="B272" s="86" t="s">
        <v>224</v>
      </c>
      <c r="D272" t="s">
        <v>164</v>
      </c>
      <c r="F272" s="82">
        <f>SUM(G272:N272)</f>
        <v>2856258670.9735126</v>
      </c>
      <c r="G272" s="41">
        <f>'PRD Volumes TD (2009-2012)'!G175</f>
        <v>0</v>
      </c>
      <c r="H272" s="41">
        <f>'PRD Volumes TD (2009-2012)'!H175</f>
        <v>0</v>
      </c>
      <c r="I272" s="41">
        <f>'PRD Volumes TD (2009-2012)'!I175</f>
        <v>94534702.064421207</v>
      </c>
      <c r="J272" s="41">
        <f>'PRD Volumes TD (2009-2012)'!J175</f>
        <v>2744185240.9090915</v>
      </c>
      <c r="K272" s="41">
        <f>'PRD Volumes TD (2009-2012)'!K175</f>
        <v>0</v>
      </c>
      <c r="L272" s="41">
        <f>'PRD Volumes TD (2009-2012)'!L175</f>
        <v>17538728</v>
      </c>
      <c r="M272" s="41">
        <f>'PRD Volumes TD (2009-2012)'!M175</f>
        <v>0</v>
      </c>
      <c r="N272" s="41">
        <f>'PRD Volumes TD (2009-2012)'!N175</f>
        <v>0</v>
      </c>
    </row>
    <row r="273" spans="2:14">
      <c r="B273" s="86" t="s">
        <v>44</v>
      </c>
      <c r="D273" t="s">
        <v>164</v>
      </c>
      <c r="F273" s="82">
        <f>SUM(G273:N273)</f>
        <v>54394743.63636364</v>
      </c>
      <c r="G273" s="41">
        <f>'PRD Volumes TD (2009-2012)'!G176</f>
        <v>0</v>
      </c>
      <c r="H273" s="41">
        <f>'PRD Volumes TD (2009-2012)'!H176</f>
        <v>0</v>
      </c>
      <c r="I273" s="41">
        <f>'PRD Volumes TD (2009-2012)'!I176</f>
        <v>0</v>
      </c>
      <c r="J273" s="41">
        <f>'PRD Volumes TD (2009-2012)'!J176</f>
        <v>54394743.63636364</v>
      </c>
      <c r="K273" s="41">
        <f>'PRD Volumes TD (2009-2012)'!K176</f>
        <v>0</v>
      </c>
      <c r="L273" s="41">
        <f>'PRD Volumes TD (2009-2012)'!L176</f>
        <v>0</v>
      </c>
      <c r="M273" s="41">
        <f>'PRD Volumes TD (2009-2012)'!M176</f>
        <v>0</v>
      </c>
      <c r="N273" s="41">
        <f>'PRD Volumes TD (2009-2012)'!N176</f>
        <v>0</v>
      </c>
    </row>
    <row r="274" spans="2:14">
      <c r="B274" s="87"/>
    </row>
    <row r="275" spans="2:14">
      <c r="B275" s="87"/>
    </row>
    <row r="276" spans="2:14">
      <c r="B276" s="85" t="s">
        <v>211</v>
      </c>
    </row>
    <row r="277" spans="2:14">
      <c r="B277" s="86" t="s">
        <v>213</v>
      </c>
      <c r="D277" t="s">
        <v>164</v>
      </c>
      <c r="F277" s="82">
        <f>SUM(G277:N277)</f>
        <v>23420.542906130344</v>
      </c>
      <c r="G277" s="41">
        <f>'PRD Volumes TD (2009-2012)'!G180</f>
        <v>29</v>
      </c>
      <c r="H277" s="41">
        <f>'PRD Volumes TD (2009-2012)'!H180</f>
        <v>463.16666666666669</v>
      </c>
      <c r="I277" s="41">
        <f>'PRD Volumes TD (2009-2012)'!I180</f>
        <v>586</v>
      </c>
      <c r="J277" s="41">
        <f>'PRD Volumes TD (2009-2012)'!J180</f>
        <v>9383.6665058750768</v>
      </c>
      <c r="K277" s="41">
        <f>'PRD Volumes TD (2009-2012)'!K180</f>
        <v>9246.0766496883716</v>
      </c>
      <c r="L277" s="41">
        <f>'PRD Volumes TD (2009-2012)'!L180</f>
        <v>16.579999999999998</v>
      </c>
      <c r="M277" s="41">
        <f>'PRD Volumes TD (2009-2012)'!M180</f>
        <v>3150.563038548753</v>
      </c>
      <c r="N277" s="41">
        <f>'PRD Volumes TD (2009-2012)'!N180</f>
        <v>545.49004535147401</v>
      </c>
    </row>
    <row r="278" spans="2:14">
      <c r="B278" s="86" t="s">
        <v>223</v>
      </c>
      <c r="D278" t="s">
        <v>164</v>
      </c>
      <c r="F278" s="82">
        <f>SUM(G278:N278)</f>
        <v>8643922.2347078137</v>
      </c>
      <c r="G278" s="41">
        <f>'PRD Volumes TD (2009-2012)'!G181</f>
        <v>36771</v>
      </c>
      <c r="H278" s="41">
        <f>'PRD Volumes TD (2009-2012)'!H181</f>
        <v>187186.66666666669</v>
      </c>
      <c r="I278" s="41">
        <f>'PRD Volumes TD (2009-2012)'!I181</f>
        <v>146607.70048262065</v>
      </c>
      <c r="J278" s="41">
        <f>'PRD Volumes TD (2009-2012)'!J181</f>
        <v>2955061.6419169074</v>
      </c>
      <c r="K278" s="41">
        <f>'PRD Volumes TD (2009-2012)'!K181</f>
        <v>3202935.2575059184</v>
      </c>
      <c r="L278" s="41">
        <f>'PRD Volumes TD (2009-2012)'!L181</f>
        <v>17799</v>
      </c>
      <c r="M278" s="41">
        <f>'PRD Volumes TD (2009-2012)'!M181</f>
        <v>1878207.72690763</v>
      </c>
      <c r="N278" s="41">
        <f>'PRD Volumes TD (2009-2012)'!N181</f>
        <v>219353.2412280702</v>
      </c>
    </row>
    <row r="279" spans="2:14">
      <c r="B279" s="86" t="s">
        <v>215</v>
      </c>
      <c r="D279" t="s">
        <v>164</v>
      </c>
      <c r="F279" s="82">
        <f>SUM(G279:N279)</f>
        <v>72457267.953841314</v>
      </c>
      <c r="G279" s="41">
        <f>'PRD Volumes TD (2009-2012)'!G182</f>
        <v>351064</v>
      </c>
      <c r="H279" s="41">
        <f>'PRD Volumes TD (2009-2012)'!H182</f>
        <v>1542758.7</v>
      </c>
      <c r="I279" s="41">
        <f>'PRD Volumes TD (2009-2012)'!I182</f>
        <v>1152349.0909908765</v>
      </c>
      <c r="J279" s="41">
        <f>'PRD Volumes TD (2009-2012)'!J182</f>
        <v>26177647.352016408</v>
      </c>
      <c r="K279" s="41">
        <f>'PRD Volumes TD (2009-2012)'!K182</f>
        <v>27030480.825497672</v>
      </c>
      <c r="L279" s="41">
        <f>'PRD Volumes TD (2009-2012)'!L182</f>
        <v>176453</v>
      </c>
      <c r="M279" s="41">
        <f>'PRD Volumes TD (2009-2012)'!M182</f>
        <v>14285626.903703701</v>
      </c>
      <c r="N279" s="41">
        <f>'PRD Volumes TD (2009-2012)'!N182</f>
        <v>1740888.0816326528</v>
      </c>
    </row>
    <row r="280" spans="2:14">
      <c r="B280" s="86" t="s">
        <v>224</v>
      </c>
      <c r="D280" t="s">
        <v>164</v>
      </c>
      <c r="F280" s="82">
        <f>SUM(G280:N280)</f>
        <v>23142382014.103214</v>
      </c>
      <c r="G280" s="41">
        <f>'PRD Volumes TD (2009-2012)'!G183</f>
        <v>121563657</v>
      </c>
      <c r="H280" s="41">
        <f>'PRD Volumes TD (2009-2012)'!H183</f>
        <v>481796050.12905985</v>
      </c>
      <c r="I280" s="41">
        <f>'PRD Volumes TD (2009-2012)'!I183</f>
        <v>391072191.00489169</v>
      </c>
      <c r="J280" s="41">
        <f>'PRD Volumes TD (2009-2012)'!J183</f>
        <v>8060094449.7048407</v>
      </c>
      <c r="K280" s="41">
        <f>'PRD Volumes TD (2009-2012)'!K183</f>
        <v>8831037093.4279327</v>
      </c>
      <c r="L280" s="41">
        <f>'PRD Volumes TD (2009-2012)'!L183</f>
        <v>61679728</v>
      </c>
      <c r="M280" s="41">
        <f>'PRD Volumes TD (2009-2012)'!M183</f>
        <v>4753893366.2650595</v>
      </c>
      <c r="N280" s="41">
        <f>'PRD Volumes TD (2009-2012)'!N183</f>
        <v>441245478.5714286</v>
      </c>
    </row>
    <row r="281" spans="2:14">
      <c r="B281" s="86" t="s">
        <v>44</v>
      </c>
      <c r="D281" t="s">
        <v>164</v>
      </c>
      <c r="F281" s="82">
        <f>SUM(G281:N281)</f>
        <v>295750732.75214994</v>
      </c>
      <c r="G281" s="41">
        <f>'PRD Volumes TD (2009-2012)'!G184</f>
        <v>1657774</v>
      </c>
      <c r="H281" s="41">
        <f>'PRD Volumes TD (2009-2012)'!H184</f>
        <v>0</v>
      </c>
      <c r="I281" s="41">
        <f>'PRD Volumes TD (2009-2012)'!I184</f>
        <v>5251618.024877267</v>
      </c>
      <c r="J281" s="41">
        <f>'PRD Volumes TD (2009-2012)'!J184</f>
        <v>246946302.72727269</v>
      </c>
      <c r="K281" s="41">
        <f>'PRD Volumes TD (2009-2012)'!K184</f>
        <v>0</v>
      </c>
      <c r="L281" s="41">
        <f>'PRD Volumes TD (2009-2012)'!L184</f>
        <v>1172048</v>
      </c>
      <c r="M281" s="41">
        <f>'PRD Volumes TD (2009-2012)'!M184</f>
        <v>40722990</v>
      </c>
      <c r="N281" s="41">
        <f>'PRD Volumes TD (2009-2012)'!N184</f>
        <v>0</v>
      </c>
    </row>
    <row r="282" spans="2:14">
      <c r="B282" s="87"/>
    </row>
    <row r="283" spans="2:14">
      <c r="B283" s="86"/>
    </row>
    <row r="284" spans="2:14">
      <c r="B284" s="85" t="s">
        <v>226</v>
      </c>
    </row>
    <row r="285" spans="2:14">
      <c r="B285" s="86" t="s">
        <v>213</v>
      </c>
      <c r="D285" t="s">
        <v>164</v>
      </c>
      <c r="F285" s="82">
        <f>SUM(G285:N285)</f>
        <v>41021.75382344723</v>
      </c>
      <c r="G285" s="41">
        <f>'PRD Volumes TD (2009-2012)'!G188</f>
        <v>212</v>
      </c>
      <c r="H285" s="41">
        <f>'PRD Volumes TD (2009-2012)'!H188</f>
        <v>1493.4166666666667</v>
      </c>
      <c r="I285" s="41">
        <f>'PRD Volumes TD (2009-2012)'!I188</f>
        <v>688</v>
      </c>
      <c r="J285" s="41">
        <f>'PRD Volumes TD (2009-2012)'!J188</f>
        <v>14509.805658627089</v>
      </c>
      <c r="K285" s="41">
        <f>'PRD Volumes TD (2009-2012)'!K188</f>
        <v>13770.621339423315</v>
      </c>
      <c r="L285" s="41">
        <f>'PRD Volumes TD (2009-2012)'!L188</f>
        <v>132.88</v>
      </c>
      <c r="M285" s="41">
        <f>'PRD Volumes TD (2009-2012)'!M188</f>
        <v>9195.7272562358285</v>
      </c>
      <c r="N285" s="41">
        <f>'PRD Volumes TD (2009-2012)'!N188</f>
        <v>1019.302902494331</v>
      </c>
    </row>
    <row r="286" spans="2:14">
      <c r="B286" s="86" t="s">
        <v>223</v>
      </c>
      <c r="D286" t="s">
        <v>164</v>
      </c>
      <c r="F286" s="82">
        <f>SUM(G286:N286)</f>
        <v>3892278.7414982626</v>
      </c>
      <c r="G286" s="41">
        <f>'PRD Volumes TD (2009-2012)'!G189</f>
        <v>37447</v>
      </c>
      <c r="H286" s="41">
        <f>'PRD Volumes TD (2009-2012)'!H189</f>
        <v>140982.33333333331</v>
      </c>
      <c r="I286" s="41">
        <f>'PRD Volumes TD (2009-2012)'!I189</f>
        <v>41878.518230915404</v>
      </c>
      <c r="J286" s="41">
        <f>'PRD Volumes TD (2009-2012)'!J189</f>
        <v>1057582.0210621064</v>
      </c>
      <c r="K286" s="41">
        <f>'PRD Volumes TD (2009-2012)'!K189</f>
        <v>1224431.7700699416</v>
      </c>
      <c r="L286" s="41">
        <f>'PRD Volumes TD (2009-2012)'!L189</f>
        <v>22961</v>
      </c>
      <c r="M286" s="41">
        <f>'PRD Volumes TD (2009-2012)'!M189</f>
        <v>1163329.1820987654</v>
      </c>
      <c r="N286" s="41">
        <f>'PRD Volumes TD (2009-2012)'!N189</f>
        <v>203666.91670320038</v>
      </c>
    </row>
    <row r="287" spans="2:14">
      <c r="B287" s="86" t="s">
        <v>215</v>
      </c>
      <c r="D287" t="s">
        <v>164</v>
      </c>
      <c r="F287" s="82">
        <f>SUM(G287:N287)</f>
        <v>29114862.588481303</v>
      </c>
      <c r="G287" s="41">
        <f>'PRD Volumes TD (2009-2012)'!G190</f>
        <v>332415</v>
      </c>
      <c r="H287" s="41">
        <f>'PRD Volumes TD (2009-2012)'!H190</f>
        <v>1072879.28</v>
      </c>
      <c r="I287" s="41">
        <f>'PRD Volumes TD (2009-2012)'!I190</f>
        <v>275406.13262218493</v>
      </c>
      <c r="J287" s="41">
        <f>'PRD Volumes TD (2009-2012)'!J190</f>
        <v>8347435.2248803843</v>
      </c>
      <c r="K287" s="41">
        <f>'PRD Volumes TD (2009-2012)'!K190</f>
        <v>9324703.1568744257</v>
      </c>
      <c r="L287" s="41">
        <f>'PRD Volumes TD (2009-2012)'!L190</f>
        <v>215826</v>
      </c>
      <c r="M287" s="41">
        <f>'PRD Volumes TD (2009-2012)'!M190</f>
        <v>7998991.6444444433</v>
      </c>
      <c r="N287" s="41">
        <f>'PRD Volumes TD (2009-2012)'!N190</f>
        <v>1547206.1496598639</v>
      </c>
    </row>
    <row r="288" spans="2:14">
      <c r="B288" s="86" t="s">
        <v>224</v>
      </c>
      <c r="D288" t="s">
        <v>164</v>
      </c>
      <c r="F288" s="82">
        <f>SUM(G288:N288)</f>
        <v>7958663334.1040459</v>
      </c>
      <c r="G288" s="41">
        <f>'PRD Volumes TD (2009-2012)'!G191</f>
        <v>88078743</v>
      </c>
      <c r="H288" s="41">
        <f>'PRD Volumes TD (2009-2012)'!H191</f>
        <v>278932159.62222224</v>
      </c>
      <c r="I288" s="41">
        <f>'PRD Volumes TD (2009-2012)'!I191</f>
        <v>70341353.619569302</v>
      </c>
      <c r="J288" s="41">
        <f>'PRD Volumes TD (2009-2012)'!J191</f>
        <v>2198882893.1523018</v>
      </c>
      <c r="K288" s="41">
        <f>'PRD Volumes TD (2009-2012)'!K191</f>
        <v>2560022902.9160008</v>
      </c>
      <c r="L288" s="41">
        <f>'PRD Volumes TD (2009-2012)'!L191</f>
        <v>57433018</v>
      </c>
      <c r="M288" s="41">
        <f>'PRD Volumes TD (2009-2012)'!M191</f>
        <v>2284875730.120482</v>
      </c>
      <c r="N288" s="41">
        <f>'PRD Volumes TD (2009-2012)'!N191</f>
        <v>420096533.67346942</v>
      </c>
    </row>
    <row r="289" spans="2:14">
      <c r="B289" s="86" t="s">
        <v>44</v>
      </c>
      <c r="D289" t="s">
        <v>164</v>
      </c>
      <c r="F289" s="82">
        <f>SUM(G289:N289)</f>
        <v>18211020.61441892</v>
      </c>
      <c r="G289" s="41">
        <f>'PRD Volumes TD (2009-2012)'!G192</f>
        <v>950056</v>
      </c>
      <c r="H289" s="41">
        <f>'PRD Volumes TD (2009-2012)'!H192</f>
        <v>0</v>
      </c>
      <c r="I289" s="41">
        <f>'PRD Volumes TD (2009-2012)'!I192</f>
        <v>295975.52350982977</v>
      </c>
      <c r="J289" s="41">
        <f>'PRD Volumes TD (2009-2012)'!J192</f>
        <v>13202159.09090909</v>
      </c>
      <c r="K289" s="41">
        <f>'PRD Volumes TD (2009-2012)'!K192</f>
        <v>0</v>
      </c>
      <c r="L289" s="41">
        <f>'PRD Volumes TD (2009-2012)'!L192</f>
        <v>820055</v>
      </c>
      <c r="M289" s="41">
        <f>'PRD Volumes TD (2009-2012)'!M192</f>
        <v>2942775</v>
      </c>
      <c r="N289" s="41">
        <f>'PRD Volumes TD (2009-2012)'!N192</f>
        <v>0</v>
      </c>
    </row>
    <row r="290" spans="2:14">
      <c r="B290" s="87"/>
    </row>
    <row r="291" spans="2:14">
      <c r="B291" s="86"/>
    </row>
    <row r="292" spans="2:14">
      <c r="B292" s="85" t="s">
        <v>227</v>
      </c>
    </row>
    <row r="293" spans="2:14">
      <c r="B293" s="86" t="s">
        <v>213</v>
      </c>
      <c r="D293" t="s">
        <v>164</v>
      </c>
      <c r="F293" s="82">
        <f>SUM(G293:N293)</f>
        <v>17357.639292842436</v>
      </c>
      <c r="G293" s="41">
        <f>'PRD Volumes TD (2009-2012)'!G196</f>
        <v>307</v>
      </c>
      <c r="H293" s="41">
        <f>'PRD Volumes TD (2009-2012)'!H196</f>
        <v>366.16666666666669</v>
      </c>
      <c r="I293" s="41">
        <f>'PRD Volumes TD (2009-2012)'!I196</f>
        <v>0</v>
      </c>
      <c r="J293" s="41">
        <f>'PRD Volumes TD (2009-2012)'!J196</f>
        <v>3309.2765151515155</v>
      </c>
      <c r="K293" s="41">
        <f>'PRD Volumes TD (2009-2012)'!K196</f>
        <v>5907.9455554687029</v>
      </c>
      <c r="L293" s="41">
        <f>'PRD Volumes TD (2009-2012)'!L196</f>
        <v>128.72</v>
      </c>
      <c r="M293" s="41">
        <f>'PRD Volumes TD (2009-2012)'!M196</f>
        <v>7105.8183333333327</v>
      </c>
      <c r="N293" s="41">
        <f>'PRD Volumes TD (2009-2012)'!N196</f>
        <v>232.71222222222218</v>
      </c>
    </row>
    <row r="294" spans="2:14">
      <c r="B294" s="86" t="s">
        <v>223</v>
      </c>
      <c r="D294" t="s">
        <v>164</v>
      </c>
      <c r="F294" s="82">
        <f>SUM(G294:N294)</f>
        <v>962732.20251234667</v>
      </c>
      <c r="G294" s="41">
        <f>'PRD Volumes TD (2009-2012)'!G197</f>
        <v>24311</v>
      </c>
      <c r="H294" s="41">
        <f>'PRD Volumes TD (2009-2012)'!H197</f>
        <v>18083.25</v>
      </c>
      <c r="I294" s="41">
        <f>'PRD Volumes TD (2009-2012)'!I197</f>
        <v>0</v>
      </c>
      <c r="J294" s="41">
        <f>'PRD Volumes TD (2009-2012)'!J197</f>
        <v>106721.42209232011</v>
      </c>
      <c r="K294" s="41">
        <f>'PRD Volumes TD (2009-2012)'!K197</f>
        <v>218310.94820043078</v>
      </c>
      <c r="L294" s="41">
        <f>'PRD Volumes TD (2009-2012)'!L197</f>
        <v>8076</v>
      </c>
      <c r="M294" s="41">
        <f>'PRD Volumes TD (2009-2012)'!M197</f>
        <v>580697.36274509807</v>
      </c>
      <c r="N294" s="41">
        <f>'PRD Volumes TD (2009-2012)'!N197</f>
        <v>6532.2194744976814</v>
      </c>
    </row>
    <row r="295" spans="2:14">
      <c r="B295" s="86" t="s">
        <v>228</v>
      </c>
      <c r="D295" t="s">
        <v>164</v>
      </c>
      <c r="F295" s="82">
        <f>SUM(G295:N295)</f>
        <v>622087516.16733503</v>
      </c>
      <c r="G295" s="41">
        <f>'PRD Volumes TD (2009-2012)'!G198</f>
        <v>14763494</v>
      </c>
      <c r="H295" s="41">
        <f>'PRD Volumes TD (2009-2012)'!H198</f>
        <v>8244879.9547968898</v>
      </c>
      <c r="I295" s="41">
        <f>'PRD Volumes TD (2009-2012)'!I198</f>
        <v>0</v>
      </c>
      <c r="J295" s="41">
        <f>'PRD Volumes TD (2009-2012)'!J198</f>
        <v>67101626.191989817</v>
      </c>
      <c r="K295" s="41">
        <f>'PRD Volumes TD (2009-2012)'!K198</f>
        <v>158657286.07357863</v>
      </c>
      <c r="L295" s="41">
        <f>'PRD Volumes TD (2009-2012)'!L198</f>
        <v>6278161</v>
      </c>
      <c r="M295" s="41">
        <f>'PRD Volumes TD (2009-2012)'!M198</f>
        <v>360906251.33333331</v>
      </c>
      <c r="N295" s="41">
        <f>'PRD Volumes TD (2009-2012)'!N198</f>
        <v>6135817.6136363642</v>
      </c>
    </row>
    <row r="296" spans="2:14">
      <c r="B296" s="86" t="s">
        <v>224</v>
      </c>
      <c r="D296" t="s">
        <v>164</v>
      </c>
      <c r="F296" s="82">
        <f>SUM(G296:N296)</f>
        <v>971420029.09875</v>
      </c>
      <c r="G296" s="41">
        <f>'PRD Volumes TD (2009-2012)'!G199</f>
        <v>28727031</v>
      </c>
      <c r="H296" s="41">
        <f>'PRD Volumes TD (2009-2012)'!H199</f>
        <v>10620099.156375071</v>
      </c>
      <c r="I296" s="41">
        <f>'PRD Volumes TD (2009-2012)'!I199</f>
        <v>0</v>
      </c>
      <c r="J296" s="41">
        <f>'PRD Volumes TD (2009-2012)'!J199</f>
        <v>102314917.48251748</v>
      </c>
      <c r="K296" s="41">
        <f>'PRD Volumes TD (2009-2012)'!K199</f>
        <v>240230654.74557167</v>
      </c>
      <c r="L296" s="41">
        <f>'PRD Volumes TD (2009-2012)'!L199</f>
        <v>12136072</v>
      </c>
      <c r="M296" s="41">
        <f>'PRD Volumes TD (2009-2012)'!M199</f>
        <v>570058513</v>
      </c>
      <c r="N296" s="41">
        <f>'PRD Volumes TD (2009-2012)'!N199</f>
        <v>7332741.7142857146</v>
      </c>
    </row>
    <row r="297" spans="2:14">
      <c r="B297" s="86" t="s">
        <v>44</v>
      </c>
      <c r="D297" t="s">
        <v>164</v>
      </c>
      <c r="F297" s="82">
        <f>SUM(G297:N297)</f>
        <v>3228382</v>
      </c>
      <c r="G297" s="41">
        <f>'PRD Volumes TD (2009-2012)'!G200</f>
        <v>735975</v>
      </c>
      <c r="H297" s="41">
        <f>'PRD Volumes TD (2009-2012)'!H200</f>
        <v>0</v>
      </c>
      <c r="I297" s="41">
        <f>'PRD Volumes TD (2009-2012)'!I200</f>
        <v>0</v>
      </c>
      <c r="J297" s="41">
        <f>'PRD Volumes TD (2009-2012)'!J200</f>
        <v>9335</v>
      </c>
      <c r="K297" s="41">
        <f>'PRD Volumes TD (2009-2012)'!K200</f>
        <v>0</v>
      </c>
      <c r="L297" s="41">
        <f>'PRD Volumes TD (2009-2012)'!L200</f>
        <v>526432</v>
      </c>
      <c r="M297" s="41">
        <f>'PRD Volumes TD (2009-2012)'!M200</f>
        <v>1956640</v>
      </c>
      <c r="N297" s="41">
        <f>'PRD Volumes TD (2009-2012)'!N200</f>
        <v>0</v>
      </c>
    </row>
    <row r="298" spans="2:14">
      <c r="B298" s="87"/>
    </row>
    <row r="299" spans="2:14">
      <c r="B299" s="86"/>
    </row>
    <row r="300" spans="2:14">
      <c r="B300" s="85" t="s">
        <v>229</v>
      </c>
    </row>
    <row r="301" spans="2:14">
      <c r="B301" s="86" t="s">
        <v>230</v>
      </c>
      <c r="D301" t="s">
        <v>164</v>
      </c>
      <c r="F301" s="82">
        <f>SUM(G301:N301)</f>
        <v>2586906.8379901522</v>
      </c>
      <c r="G301" s="41">
        <f>'PRD Volumes TD (2009-2012)'!G204</f>
        <v>22807</v>
      </c>
      <c r="H301" s="41">
        <f>'PRD Volumes TD (2009-2012)'!H204</f>
        <v>84946</v>
      </c>
      <c r="I301" s="41">
        <f>'PRD Volumes TD (2009-2012)'!I204</f>
        <v>44092</v>
      </c>
      <c r="J301" s="41">
        <f>'PRD Volumes TD (2009-2012)'!J204</f>
        <v>1066456.8786648924</v>
      </c>
      <c r="K301" s="41">
        <f>'PRD Volumes TD (2009-2012)'!K204</f>
        <v>746470.63524900982</v>
      </c>
      <c r="L301" s="41">
        <f>'PRD Volumes TD (2009-2012)'!L204</f>
        <v>18401</v>
      </c>
      <c r="M301" s="41">
        <f>'PRD Volumes TD (2009-2012)'!M204</f>
        <v>579156.58844406588</v>
      </c>
      <c r="N301" s="41">
        <f>'PRD Volumes TD (2009-2012)'!N204</f>
        <v>24576.735632183911</v>
      </c>
    </row>
    <row r="302" spans="2:14">
      <c r="B302" s="86" t="s">
        <v>231</v>
      </c>
      <c r="D302" t="s">
        <v>164</v>
      </c>
      <c r="F302" s="82">
        <f>SUM(G302:N302)</f>
        <v>7789563.8104284992</v>
      </c>
      <c r="G302" s="41">
        <f>'PRD Volumes TD (2009-2012)'!G205</f>
        <v>52081</v>
      </c>
      <c r="H302" s="41">
        <f>'PRD Volumes TD (2009-2012)'!H205</f>
        <v>203766.91666666672</v>
      </c>
      <c r="I302" s="41">
        <f>'PRD Volumes TD (2009-2012)'!I205</f>
        <v>103323</v>
      </c>
      <c r="J302" s="41">
        <f>'PRD Volumes TD (2009-2012)'!J205</f>
        <v>2540261.2262701881</v>
      </c>
      <c r="K302" s="41">
        <f>'PRD Volumes TD (2009-2012)'!K205</f>
        <v>2851517.4026091956</v>
      </c>
      <c r="L302" s="41">
        <f>'PRD Volumes TD (2009-2012)'!L205</f>
        <v>31135</v>
      </c>
      <c r="M302" s="41">
        <f>'PRD Volumes TD (2009-2012)'!M205</f>
        <v>1955105.75</v>
      </c>
      <c r="N302" s="41">
        <f>'PRD Volumes TD (2009-2012)'!N205</f>
        <v>52373.514882448668</v>
      </c>
    </row>
    <row r="303" spans="2:14">
      <c r="B303" s="87"/>
    </row>
    <row r="304" spans="2:14">
      <c r="B304" s="86"/>
    </row>
    <row r="305" spans="2:14">
      <c r="B305" s="85" t="s">
        <v>45</v>
      </c>
    </row>
    <row r="306" spans="2:14">
      <c r="B306" s="86" t="s">
        <v>233</v>
      </c>
      <c r="D306" t="s">
        <v>164</v>
      </c>
      <c r="F306" s="82">
        <f t="shared" ref="F306:F311" si="34">SUM(G306:N306)</f>
        <v>44867.065477970558</v>
      </c>
      <c r="G306" s="41">
        <f>'PRD Volumes TD (2009-2012)'!G209</f>
        <v>244</v>
      </c>
      <c r="H306" s="41">
        <f>'PRD Volumes TD (2009-2012)'!H209</f>
        <v>1120.25</v>
      </c>
      <c r="I306" s="41">
        <f>'PRD Volumes TD (2009-2012)'!I209</f>
        <v>106</v>
      </c>
      <c r="J306" s="41">
        <f>'PRD Volumes TD (2009-2012)'!J209</f>
        <v>17601.069971136687</v>
      </c>
      <c r="K306" s="41">
        <f>'PRD Volumes TD (2009-2012)'!K209</f>
        <v>17142.831015702381</v>
      </c>
      <c r="L306" s="41">
        <f>'PRD Volumes TD (2009-2012)'!L209</f>
        <v>173.6</v>
      </c>
      <c r="M306" s="41">
        <f>'PRD Volumes TD (2009-2012)'!M209</f>
        <v>7893.8614916286133</v>
      </c>
      <c r="N306" s="41">
        <f>'PRD Volumes TD (2009-2012)'!N209</f>
        <v>585.45299950287847</v>
      </c>
    </row>
    <row r="307" spans="2:14">
      <c r="B307" s="86" t="s">
        <v>234</v>
      </c>
      <c r="D307" t="s">
        <v>164</v>
      </c>
      <c r="F307" s="82">
        <f t="shared" si="34"/>
        <v>61259.997718667968</v>
      </c>
      <c r="G307" s="41">
        <f>'PRD Volumes TD (2009-2012)'!G210</f>
        <v>255</v>
      </c>
      <c r="H307" s="41">
        <f>'PRD Volumes TD (2009-2012)'!H210</f>
        <v>1225.6666666666667</v>
      </c>
      <c r="I307" s="41">
        <f>'PRD Volumes TD (2009-2012)'!I210</f>
        <v>1266</v>
      </c>
      <c r="J307" s="41">
        <f>'PRD Volumes TD (2009-2012)'!J210</f>
        <v>22453.710784741728</v>
      </c>
      <c r="K307" s="41">
        <f>'PRD Volumes TD (2009-2012)'!K210</f>
        <v>20383.843033105066</v>
      </c>
      <c r="L307" s="41">
        <f>'PRD Volumes TD (2009-2012)'!L210</f>
        <v>224.2</v>
      </c>
      <c r="M307" s="41">
        <f>'PRD Volumes TD (2009-2012)'!M210</f>
        <v>14834.000000000002</v>
      </c>
      <c r="N307" s="41">
        <f>'PRD Volumes TD (2009-2012)'!N210</f>
        <v>617.57723415450687</v>
      </c>
    </row>
    <row r="308" spans="2:14">
      <c r="B308" s="86" t="s">
        <v>235</v>
      </c>
      <c r="D308" t="s">
        <v>164</v>
      </c>
      <c r="F308" s="82">
        <f t="shared" si="34"/>
        <v>64095.668963131</v>
      </c>
      <c r="G308" s="41">
        <f>'PRD Volumes TD (2009-2012)'!G211</f>
        <v>278</v>
      </c>
      <c r="H308" s="41">
        <f>'PRD Volumes TD (2009-2012)'!H211</f>
        <v>1776.5</v>
      </c>
      <c r="I308" s="41">
        <f>'PRD Volumes TD (2009-2012)'!I211</f>
        <v>705</v>
      </c>
      <c r="J308" s="41">
        <f>'PRD Volumes TD (2009-2012)'!J211</f>
        <v>24027.277477398311</v>
      </c>
      <c r="K308" s="41">
        <f>'PRD Volumes TD (2009-2012)'!K211</f>
        <v>23258.835365614381</v>
      </c>
      <c r="L308" s="41">
        <f>'PRD Volumes TD (2009-2012)'!L211</f>
        <v>285.8</v>
      </c>
      <c r="M308" s="41">
        <f>'PRD Volumes TD (2009-2012)'!M211</f>
        <v>13011</v>
      </c>
      <c r="N308" s="41">
        <f>'PRD Volumes TD (2009-2012)'!N211</f>
        <v>753.25612011830867</v>
      </c>
    </row>
    <row r="309" spans="2:14">
      <c r="B309" s="86" t="s">
        <v>236</v>
      </c>
      <c r="D309" t="s">
        <v>164</v>
      </c>
      <c r="F309" s="82">
        <f t="shared" si="34"/>
        <v>158965.24511090296</v>
      </c>
      <c r="G309" s="41">
        <f>'PRD Volumes TD (2009-2012)'!G212</f>
        <v>852</v>
      </c>
      <c r="H309" s="41">
        <f>'PRD Volumes TD (2009-2012)'!H212</f>
        <v>3605.4166666666665</v>
      </c>
      <c r="I309" s="41">
        <f>'PRD Volumes TD (2009-2012)'!I212</f>
        <v>1317</v>
      </c>
      <c r="J309" s="41">
        <f>'PRD Volumes TD (2009-2012)'!J212</f>
        <v>60471.029476441625</v>
      </c>
      <c r="K309" s="41">
        <f>'PRD Volumes TD (2009-2012)'!K212</f>
        <v>51766.429490476177</v>
      </c>
      <c r="L309" s="41">
        <f>'PRD Volumes TD (2009-2012)'!L212</f>
        <v>524.79999999999995</v>
      </c>
      <c r="M309" s="41">
        <f>'PRD Volumes TD (2009-2012)'!M212</f>
        <v>39087.000000000007</v>
      </c>
      <c r="N309" s="41">
        <f>'PRD Volumes TD (2009-2012)'!N212</f>
        <v>1341.5694773184978</v>
      </c>
    </row>
    <row r="310" spans="2:14">
      <c r="B310" s="86" t="s">
        <v>46</v>
      </c>
      <c r="D310" t="s">
        <v>164</v>
      </c>
      <c r="F310" s="82">
        <f t="shared" si="34"/>
        <v>7459523.4691627966</v>
      </c>
      <c r="G310" s="41">
        <f>'PRD Volumes TD (2009-2012)'!G213</f>
        <v>50452</v>
      </c>
      <c r="H310" s="41">
        <f>'PRD Volumes TD (2009-2012)'!H213</f>
        <v>196039.08333333337</v>
      </c>
      <c r="I310" s="41">
        <f>'PRD Volumes TD (2009-2012)'!I213</f>
        <v>99929</v>
      </c>
      <c r="J310" s="41">
        <f>'PRD Volumes TD (2009-2012)'!J213</f>
        <v>2415692.9130738117</v>
      </c>
      <c r="K310" s="41">
        <f>'PRD Volumes TD (2009-2012)'!K213</f>
        <v>2738965.4637042978</v>
      </c>
      <c r="L310" s="41">
        <f>'PRD Volumes TD (2009-2012)'!L213</f>
        <v>29926.6</v>
      </c>
      <c r="M310" s="41">
        <f>'PRD Volumes TD (2009-2012)'!M213</f>
        <v>1879442.7500000002</v>
      </c>
      <c r="N310" s="41">
        <f>'PRD Volumes TD (2009-2012)'!N213</f>
        <v>49075.65905135448</v>
      </c>
    </row>
    <row r="311" spans="2:14">
      <c r="B311" s="86" t="s">
        <v>238</v>
      </c>
      <c r="D311" t="s">
        <v>164</v>
      </c>
      <c r="F311" s="82">
        <f t="shared" si="34"/>
        <v>2586906.8379901522</v>
      </c>
      <c r="G311" s="41">
        <f>'PRD Volumes TD (2009-2012)'!G214</f>
        <v>22807</v>
      </c>
      <c r="H311" s="41">
        <f>'PRD Volumes TD (2009-2012)'!H214</f>
        <v>84946</v>
      </c>
      <c r="I311" s="41">
        <f>'PRD Volumes TD (2009-2012)'!I214</f>
        <v>44092</v>
      </c>
      <c r="J311" s="41">
        <f>'PRD Volumes TD (2009-2012)'!J214</f>
        <v>1066456.8786648926</v>
      </c>
      <c r="K311" s="41">
        <f>'PRD Volumes TD (2009-2012)'!K214</f>
        <v>746470.63524900982</v>
      </c>
      <c r="L311" s="41">
        <f>'PRD Volumes TD (2009-2012)'!L214</f>
        <v>18401</v>
      </c>
      <c r="M311" s="41">
        <f>'PRD Volumes TD (2009-2012)'!M214</f>
        <v>579156.58844406588</v>
      </c>
      <c r="N311" s="41">
        <f>'PRD Volumes TD (2009-2012)'!N214</f>
        <v>24576.735632183911</v>
      </c>
    </row>
    <row r="312" spans="2:14">
      <c r="B312" s="87"/>
    </row>
    <row r="314" spans="2:14" s="2" customFormat="1">
      <c r="B314" s="2" t="s">
        <v>532</v>
      </c>
      <c r="F314" s="48"/>
    </row>
    <row r="316" spans="2:14">
      <c r="B316" s="3"/>
    </row>
    <row r="317" spans="2:14">
      <c r="B317" s="3" t="s">
        <v>49</v>
      </c>
      <c r="G317" s="27"/>
    </row>
    <row r="318" spans="2:14">
      <c r="B318" s="3"/>
    </row>
    <row r="319" spans="2:14">
      <c r="B319" s="3"/>
    </row>
    <row r="320" spans="2:14">
      <c r="B320" s="85" t="s">
        <v>212</v>
      </c>
    </row>
    <row r="321" spans="2:14">
      <c r="B321" t="s">
        <v>213</v>
      </c>
      <c r="D321" t="s">
        <v>164</v>
      </c>
      <c r="F321" s="82">
        <f>SUM(G321:N321)</f>
        <v>11.000059028606181</v>
      </c>
      <c r="G321" s="134">
        <f>G215</f>
        <v>0</v>
      </c>
      <c r="H321" s="134">
        <f t="shared" ref="H321:N321" si="35">H215</f>
        <v>0</v>
      </c>
      <c r="I321" s="134">
        <f t="shared" si="35"/>
        <v>0</v>
      </c>
      <c r="J321" s="134">
        <f t="shared" si="35"/>
        <v>0</v>
      </c>
      <c r="K321" s="134">
        <f t="shared" si="35"/>
        <v>8.0000590286061808</v>
      </c>
      <c r="L321" s="134">
        <f t="shared" si="35"/>
        <v>0</v>
      </c>
      <c r="M321" s="134">
        <f t="shared" si="35"/>
        <v>3</v>
      </c>
      <c r="N321" s="134">
        <f t="shared" si="35"/>
        <v>0</v>
      </c>
    </row>
    <row r="322" spans="2:14">
      <c r="B322" t="s">
        <v>214</v>
      </c>
      <c r="D322" t="s">
        <v>164</v>
      </c>
      <c r="F322" s="82">
        <f>SUM(G322:N322)</f>
        <v>283914.96613987093</v>
      </c>
      <c r="G322" s="41">
        <f>G217</f>
        <v>0</v>
      </c>
      <c r="H322" s="41">
        <f t="shared" ref="H322:N322" si="36">H217</f>
        <v>0</v>
      </c>
      <c r="I322" s="41">
        <f t="shared" si="36"/>
        <v>0</v>
      </c>
      <c r="J322" s="41">
        <f t="shared" si="36"/>
        <v>0</v>
      </c>
      <c r="K322" s="41">
        <f t="shared" si="36"/>
        <v>13019.966139870912</v>
      </c>
      <c r="L322" s="41">
        <f t="shared" si="36"/>
        <v>0</v>
      </c>
      <c r="M322" s="41">
        <f t="shared" si="36"/>
        <v>270895</v>
      </c>
      <c r="N322" s="41">
        <f t="shared" si="36"/>
        <v>0</v>
      </c>
    </row>
    <row r="323" spans="2:14">
      <c r="B323" t="s">
        <v>215</v>
      </c>
      <c r="D323" t="s">
        <v>164</v>
      </c>
      <c r="F323" s="82">
        <f>SUM(G323:N323)</f>
        <v>2617388.7976798792</v>
      </c>
      <c r="G323" s="41">
        <f>G218</f>
        <v>0</v>
      </c>
      <c r="H323" s="41">
        <f t="shared" ref="H323:N323" si="37">H218</f>
        <v>0</v>
      </c>
      <c r="I323" s="41">
        <f t="shared" si="37"/>
        <v>0</v>
      </c>
      <c r="J323" s="41">
        <f t="shared" si="37"/>
        <v>0</v>
      </c>
      <c r="K323" s="41">
        <f t="shared" si="37"/>
        <v>80813.527091643744</v>
      </c>
      <c r="L323" s="41">
        <f t="shared" si="37"/>
        <v>0</v>
      </c>
      <c r="M323" s="41">
        <f t="shared" si="37"/>
        <v>2536575.2705882355</v>
      </c>
      <c r="N323" s="41">
        <f t="shared" si="37"/>
        <v>0</v>
      </c>
    </row>
    <row r="325" spans="2:14">
      <c r="B325" s="3" t="s">
        <v>216</v>
      </c>
    </row>
    <row r="326" spans="2:14">
      <c r="B326" t="s">
        <v>213</v>
      </c>
      <c r="D326" t="s">
        <v>164</v>
      </c>
      <c r="F326" s="82">
        <f>SUM(G326:N326)</f>
        <v>6</v>
      </c>
      <c r="G326" s="41">
        <f>G224</f>
        <v>0</v>
      </c>
      <c r="H326" s="41">
        <f t="shared" ref="H326:N326" si="38">H224</f>
        <v>0</v>
      </c>
      <c r="I326" s="41">
        <f t="shared" si="38"/>
        <v>0</v>
      </c>
      <c r="J326" s="41">
        <f t="shared" si="38"/>
        <v>0</v>
      </c>
      <c r="K326" s="41">
        <f t="shared" si="38"/>
        <v>0</v>
      </c>
      <c r="L326" s="41">
        <f t="shared" si="38"/>
        <v>0</v>
      </c>
      <c r="M326" s="41">
        <f t="shared" si="38"/>
        <v>6</v>
      </c>
      <c r="N326" s="41">
        <f t="shared" si="38"/>
        <v>0</v>
      </c>
    </row>
    <row r="327" spans="2:14">
      <c r="B327" t="s">
        <v>214</v>
      </c>
      <c r="D327" t="s">
        <v>164</v>
      </c>
      <c r="F327" s="82">
        <f>SUM(G327:N327)</f>
        <v>25330.000000000004</v>
      </c>
      <c r="G327" s="41">
        <f>G226</f>
        <v>0</v>
      </c>
      <c r="H327" s="41">
        <f t="shared" ref="H327:N327" si="39">H226</f>
        <v>0</v>
      </c>
      <c r="I327" s="41">
        <f t="shared" si="39"/>
        <v>0</v>
      </c>
      <c r="J327" s="41">
        <f t="shared" si="39"/>
        <v>0</v>
      </c>
      <c r="K327" s="41">
        <f t="shared" si="39"/>
        <v>0</v>
      </c>
      <c r="L327" s="41">
        <f t="shared" si="39"/>
        <v>0</v>
      </c>
      <c r="M327" s="41">
        <f t="shared" si="39"/>
        <v>25330.000000000004</v>
      </c>
      <c r="N327" s="41">
        <f t="shared" si="39"/>
        <v>0</v>
      </c>
    </row>
    <row r="328" spans="2:14">
      <c r="B328" t="s">
        <v>217</v>
      </c>
      <c r="D328" t="s">
        <v>164</v>
      </c>
      <c r="F328" s="82">
        <f>SUM(G328:N328)</f>
        <v>203784.00000000003</v>
      </c>
      <c r="G328" s="41">
        <f>G227</f>
        <v>0</v>
      </c>
      <c r="H328" s="41">
        <f t="shared" ref="H328:N328" si="40">H227</f>
        <v>0</v>
      </c>
      <c r="I328" s="41">
        <f t="shared" si="40"/>
        <v>0</v>
      </c>
      <c r="J328" s="41">
        <f t="shared" si="40"/>
        <v>0</v>
      </c>
      <c r="K328" s="41">
        <f t="shared" si="40"/>
        <v>0</v>
      </c>
      <c r="L328" s="41">
        <f t="shared" si="40"/>
        <v>0</v>
      </c>
      <c r="M328" s="41">
        <f t="shared" si="40"/>
        <v>203784.00000000003</v>
      </c>
      <c r="N328" s="41">
        <f t="shared" si="40"/>
        <v>0</v>
      </c>
    </row>
    <row r="330" spans="2:14">
      <c r="B330" s="3" t="s">
        <v>218</v>
      </c>
    </row>
    <row r="331" spans="2:14">
      <c r="B331" t="s">
        <v>213</v>
      </c>
      <c r="D331" t="s">
        <v>164</v>
      </c>
      <c r="F331" s="82">
        <f>SUM(G331:N331)</f>
        <v>85.845445076101981</v>
      </c>
      <c r="G331" s="41">
        <f>G233</f>
        <v>0</v>
      </c>
      <c r="H331" s="41">
        <f t="shared" ref="H331:N331" si="41">H233</f>
        <v>1</v>
      </c>
      <c r="I331" s="41">
        <f t="shared" si="41"/>
        <v>0</v>
      </c>
      <c r="J331" s="41">
        <f t="shared" si="41"/>
        <v>3</v>
      </c>
      <c r="K331" s="41">
        <f t="shared" si="41"/>
        <v>18.02726391668169</v>
      </c>
      <c r="L331" s="41">
        <f t="shared" si="41"/>
        <v>0</v>
      </c>
      <c r="M331" s="41">
        <f t="shared" si="41"/>
        <v>63.818181159420284</v>
      </c>
      <c r="N331" s="41">
        <f t="shared" si="41"/>
        <v>0</v>
      </c>
    </row>
    <row r="332" spans="2:14">
      <c r="B332" t="s">
        <v>214</v>
      </c>
      <c r="D332" t="s">
        <v>164</v>
      </c>
      <c r="F332" s="82">
        <f>SUM(G332:N332)</f>
        <v>866397.6100190205</v>
      </c>
      <c r="G332" s="41">
        <f>G235</f>
        <v>0</v>
      </c>
      <c r="H332" s="41">
        <f t="shared" ref="H332:N332" si="42">H235</f>
        <v>21999.999999999996</v>
      </c>
      <c r="I332" s="41">
        <f t="shared" si="42"/>
        <v>0</v>
      </c>
      <c r="J332" s="41">
        <f t="shared" si="42"/>
        <v>54508.520325203244</v>
      </c>
      <c r="K332" s="41">
        <f t="shared" si="42"/>
        <v>114986.90749042746</v>
      </c>
      <c r="L332" s="41">
        <f t="shared" si="42"/>
        <v>0</v>
      </c>
      <c r="M332" s="41">
        <f t="shared" si="42"/>
        <v>674902.18220338982</v>
      </c>
      <c r="N332" s="41">
        <f t="shared" si="42"/>
        <v>0</v>
      </c>
    </row>
    <row r="333" spans="2:14">
      <c r="B333" t="s">
        <v>215</v>
      </c>
      <c r="D333" t="s">
        <v>164</v>
      </c>
      <c r="F333" s="82">
        <f>SUM(G333:N333)</f>
        <v>7785204.2393383412</v>
      </c>
      <c r="G333" s="41">
        <f>G236</f>
        <v>0</v>
      </c>
      <c r="H333" s="41">
        <f t="shared" ref="H333:N333" si="43">H236</f>
        <v>223070.66666666666</v>
      </c>
      <c r="I333" s="41">
        <f t="shared" si="43"/>
        <v>0</v>
      </c>
      <c r="J333" s="41">
        <f t="shared" si="43"/>
        <v>467414.20579420577</v>
      </c>
      <c r="K333" s="41">
        <f t="shared" si="43"/>
        <v>1145546.6390293695</v>
      </c>
      <c r="L333" s="41">
        <f t="shared" si="43"/>
        <v>0</v>
      </c>
      <c r="M333" s="41">
        <f t="shared" si="43"/>
        <v>5949172.7278480995</v>
      </c>
      <c r="N333" s="41">
        <f t="shared" si="43"/>
        <v>0</v>
      </c>
    </row>
    <row r="335" spans="2:14">
      <c r="B335" s="3" t="s">
        <v>219</v>
      </c>
    </row>
    <row r="336" spans="2:14">
      <c r="B336" t="s">
        <v>213</v>
      </c>
      <c r="D336" t="s">
        <v>164</v>
      </c>
      <c r="F336" s="82">
        <f>SUM(G336:N336)</f>
        <v>24.090909420289854</v>
      </c>
      <c r="G336" s="41">
        <f>G242</f>
        <v>0</v>
      </c>
      <c r="H336" s="41">
        <f t="shared" ref="H336:N336" si="44">H242</f>
        <v>0</v>
      </c>
      <c r="I336" s="41">
        <f t="shared" si="44"/>
        <v>0</v>
      </c>
      <c r="J336" s="41">
        <f t="shared" si="44"/>
        <v>1</v>
      </c>
      <c r="K336" s="41">
        <f t="shared" si="44"/>
        <v>12</v>
      </c>
      <c r="L336" s="41">
        <f t="shared" si="44"/>
        <v>0</v>
      </c>
      <c r="M336" s="41">
        <f t="shared" si="44"/>
        <v>11.090909420289854</v>
      </c>
      <c r="N336" s="41">
        <f t="shared" si="44"/>
        <v>0</v>
      </c>
    </row>
    <row r="337" spans="2:14">
      <c r="B337" t="s">
        <v>214</v>
      </c>
      <c r="D337" t="s">
        <v>164</v>
      </c>
      <c r="F337" s="82">
        <f>SUM(G337:N337)</f>
        <v>303510.48385562596</v>
      </c>
      <c r="G337" s="41">
        <f>G244</f>
        <v>0</v>
      </c>
      <c r="H337" s="41">
        <f t="shared" ref="H337:N337" si="45">H244</f>
        <v>0</v>
      </c>
      <c r="I337" s="41">
        <f t="shared" si="45"/>
        <v>0</v>
      </c>
      <c r="J337" s="41">
        <f t="shared" si="45"/>
        <v>5071.9927797833943</v>
      </c>
      <c r="K337" s="41">
        <f t="shared" si="45"/>
        <v>70734.67327923236</v>
      </c>
      <c r="L337" s="41">
        <f t="shared" si="45"/>
        <v>0</v>
      </c>
      <c r="M337" s="41">
        <f t="shared" si="45"/>
        <v>227703.81779661018</v>
      </c>
      <c r="N337" s="41">
        <f t="shared" si="45"/>
        <v>0</v>
      </c>
    </row>
    <row r="338" spans="2:14">
      <c r="B338" t="s">
        <v>217</v>
      </c>
      <c r="D338" t="s">
        <v>164</v>
      </c>
      <c r="F338" s="82">
        <f>SUM(G338:N338)</f>
        <v>4623985.0819142452</v>
      </c>
      <c r="G338" s="41">
        <f>G245</f>
        <v>0</v>
      </c>
      <c r="H338" s="41">
        <f t="shared" ref="H338:N338" si="46">H245</f>
        <v>0</v>
      </c>
      <c r="I338" s="41">
        <f t="shared" si="46"/>
        <v>0</v>
      </c>
      <c r="J338" s="41">
        <f t="shared" si="46"/>
        <v>4904.727272727273</v>
      </c>
      <c r="K338" s="41">
        <f t="shared" si="46"/>
        <v>1115025.8091869729</v>
      </c>
      <c r="L338" s="41">
        <f t="shared" si="46"/>
        <v>0</v>
      </c>
      <c r="M338" s="41">
        <f t="shared" si="46"/>
        <v>3504054.5454545449</v>
      </c>
      <c r="N338" s="41">
        <f t="shared" si="46"/>
        <v>0</v>
      </c>
    </row>
    <row r="340" spans="2:14">
      <c r="B340" s="3" t="s">
        <v>220</v>
      </c>
    </row>
    <row r="341" spans="2:14">
      <c r="B341" t="s">
        <v>213</v>
      </c>
      <c r="D341" t="s">
        <v>164</v>
      </c>
      <c r="F341" s="82">
        <f>SUM(G341:N341)</f>
        <v>663.13728459214269</v>
      </c>
      <c r="G341" s="41">
        <f>G251</f>
        <v>0</v>
      </c>
      <c r="H341" s="41">
        <f t="shared" ref="H341:N341" si="47">H251</f>
        <v>43.916666666666664</v>
      </c>
      <c r="I341" s="41">
        <f t="shared" si="47"/>
        <v>1</v>
      </c>
      <c r="J341" s="41">
        <f t="shared" si="47"/>
        <v>178.96114492753622</v>
      </c>
      <c r="K341" s="41">
        <f t="shared" si="47"/>
        <v>312.71402009938907</v>
      </c>
      <c r="L341" s="41">
        <f t="shared" si="47"/>
        <v>0</v>
      </c>
      <c r="M341" s="41">
        <f t="shared" si="47"/>
        <v>121.54545289855074</v>
      </c>
      <c r="N341" s="41">
        <f t="shared" si="47"/>
        <v>5</v>
      </c>
    </row>
    <row r="342" spans="2:14">
      <c r="B342" t="s">
        <v>214</v>
      </c>
      <c r="D342" t="s">
        <v>164</v>
      </c>
      <c r="F342" s="82">
        <f>SUM(G342:N342)</f>
        <v>2957475.123701151</v>
      </c>
      <c r="G342" s="41">
        <f>G253</f>
        <v>0</v>
      </c>
      <c r="H342" s="41">
        <f t="shared" ref="H342:N342" si="48">H253</f>
        <v>79549.000000000015</v>
      </c>
      <c r="I342" s="41">
        <f t="shared" si="48"/>
        <v>14838.976238073894</v>
      </c>
      <c r="J342" s="41">
        <f t="shared" si="48"/>
        <v>1323269.3118989614</v>
      </c>
      <c r="K342" s="41">
        <f t="shared" si="48"/>
        <v>1071299.8483126056</v>
      </c>
      <c r="L342" s="41">
        <f t="shared" si="48"/>
        <v>0</v>
      </c>
      <c r="M342" s="41">
        <f t="shared" si="48"/>
        <v>435695.90942028986</v>
      </c>
      <c r="N342" s="41">
        <f t="shared" si="48"/>
        <v>32822.07783121994</v>
      </c>
    </row>
    <row r="343" spans="2:14">
      <c r="B343" t="s">
        <v>215</v>
      </c>
      <c r="D343" t="s">
        <v>164</v>
      </c>
      <c r="F343" s="82">
        <f>SUM(G343:N343)</f>
        <v>28031771.881716587</v>
      </c>
      <c r="G343" s="41">
        <f>G254</f>
        <v>0</v>
      </c>
      <c r="H343" s="41">
        <f t="shared" ref="H343:N343" si="49">H254</f>
        <v>620968.28571428568</v>
      </c>
      <c r="I343" s="41">
        <f t="shared" si="49"/>
        <v>165433.09983515041</v>
      </c>
      <c r="J343" s="41">
        <f t="shared" si="49"/>
        <v>13213710.763636366</v>
      </c>
      <c r="K343" s="41">
        <f t="shared" si="49"/>
        <v>9817084.002645731</v>
      </c>
      <c r="L343" s="41">
        <f t="shared" si="49"/>
        <v>0</v>
      </c>
      <c r="M343" s="41">
        <f t="shared" si="49"/>
        <v>3907532.7298850571</v>
      </c>
      <c r="N343" s="41">
        <f t="shared" si="49"/>
        <v>307043</v>
      </c>
    </row>
    <row r="345" spans="2:14">
      <c r="B345" s="3" t="s">
        <v>221</v>
      </c>
    </row>
    <row r="346" spans="2:14">
      <c r="B346" t="s">
        <v>213</v>
      </c>
      <c r="D346" t="s">
        <v>164</v>
      </c>
      <c r="F346" s="82">
        <f>SUM(G346:N346)</f>
        <v>32.302616271409747</v>
      </c>
      <c r="G346" s="41">
        <f>G260</f>
        <v>0</v>
      </c>
      <c r="H346" s="41">
        <f t="shared" ref="H346:N346" si="50">H260</f>
        <v>1</v>
      </c>
      <c r="I346" s="41">
        <f t="shared" si="50"/>
        <v>0</v>
      </c>
      <c r="J346" s="41">
        <f t="shared" si="50"/>
        <v>11.393525691699603</v>
      </c>
      <c r="K346" s="41">
        <f t="shared" si="50"/>
        <v>16</v>
      </c>
      <c r="L346" s="41">
        <f t="shared" si="50"/>
        <v>0</v>
      </c>
      <c r="M346" s="41">
        <f t="shared" si="50"/>
        <v>3.9090905797101452</v>
      </c>
      <c r="N346" s="41">
        <f t="shared" si="50"/>
        <v>0</v>
      </c>
    </row>
    <row r="347" spans="2:14">
      <c r="B347" t="s">
        <v>214</v>
      </c>
      <c r="D347" t="s">
        <v>164</v>
      </c>
      <c r="F347" s="82">
        <f>SUM(G347:N347)</f>
        <v>153590.9556268329</v>
      </c>
      <c r="G347" s="41">
        <f>G262</f>
        <v>0</v>
      </c>
      <c r="H347" s="41">
        <f t="shared" ref="H347:N347" si="51">H262</f>
        <v>9116</v>
      </c>
      <c r="I347" s="41">
        <f t="shared" si="51"/>
        <v>0</v>
      </c>
      <c r="J347" s="41">
        <f t="shared" si="51"/>
        <v>86182.425952045145</v>
      </c>
      <c r="K347" s="41">
        <f t="shared" si="51"/>
        <v>40197.98378106796</v>
      </c>
      <c r="L347" s="41">
        <f t="shared" si="51"/>
        <v>0</v>
      </c>
      <c r="M347" s="41">
        <f t="shared" si="51"/>
        <v>18094.545893719809</v>
      </c>
      <c r="N347" s="41">
        <f t="shared" si="51"/>
        <v>0</v>
      </c>
    </row>
    <row r="348" spans="2:14">
      <c r="B348" t="s">
        <v>217</v>
      </c>
      <c r="D348" t="s">
        <v>164</v>
      </c>
      <c r="F348" s="82">
        <f>SUM(G348:N348)</f>
        <v>2498426.5883423444</v>
      </c>
      <c r="G348" s="41">
        <f>G263</f>
        <v>0</v>
      </c>
      <c r="H348" s="41">
        <f t="shared" ref="H348:N348" si="52">H263</f>
        <v>167603.42857142858</v>
      </c>
      <c r="I348" s="41">
        <f t="shared" si="52"/>
        <v>0</v>
      </c>
      <c r="J348" s="41">
        <f t="shared" si="52"/>
        <v>1450547.2727272729</v>
      </c>
      <c r="K348" s="41">
        <f t="shared" si="52"/>
        <v>632955.88704364293</v>
      </c>
      <c r="L348" s="41">
        <f t="shared" si="52"/>
        <v>0</v>
      </c>
      <c r="M348" s="41">
        <f t="shared" si="52"/>
        <v>247320</v>
      </c>
      <c r="N348" s="41">
        <f t="shared" si="52"/>
        <v>0</v>
      </c>
    </row>
    <row r="354" spans="2:14">
      <c r="B354" s="3" t="s">
        <v>50</v>
      </c>
    </row>
    <row r="357" spans="2:14">
      <c r="B357" s="3" t="s">
        <v>222</v>
      </c>
    </row>
    <row r="358" spans="2:14">
      <c r="B358" t="s">
        <v>213</v>
      </c>
      <c r="D358" t="s">
        <v>164</v>
      </c>
      <c r="F358" s="82">
        <f>SUM(G358:N358)</f>
        <v>260.83677798392091</v>
      </c>
      <c r="G358" s="41">
        <f>G269</f>
        <v>0</v>
      </c>
      <c r="H358" s="41">
        <f t="shared" ref="H358:N358" si="53">H269</f>
        <v>0</v>
      </c>
      <c r="I358" s="41">
        <f t="shared" si="53"/>
        <v>4</v>
      </c>
      <c r="J358" s="41">
        <f t="shared" si="53"/>
        <v>255.08677798392088</v>
      </c>
      <c r="K358" s="41">
        <f t="shared" si="53"/>
        <v>0</v>
      </c>
      <c r="L358" s="41">
        <f t="shared" si="53"/>
        <v>1.75</v>
      </c>
      <c r="M358" s="41">
        <f t="shared" si="53"/>
        <v>0</v>
      </c>
      <c r="N358" s="41">
        <f t="shared" si="53"/>
        <v>0</v>
      </c>
    </row>
    <row r="359" spans="2:14">
      <c r="B359" t="s">
        <v>223</v>
      </c>
      <c r="D359" t="s">
        <v>164</v>
      </c>
      <c r="F359" s="82">
        <f>SUM(G359:N359)</f>
        <v>748288.32210083865</v>
      </c>
      <c r="G359" s="41">
        <f>G270</f>
        <v>0</v>
      </c>
      <c r="H359" s="41">
        <f t="shared" ref="H359:N359" si="54">H270</f>
        <v>0</v>
      </c>
      <c r="I359" s="41">
        <f t="shared" si="54"/>
        <v>22995.140282656881</v>
      </c>
      <c r="J359" s="41">
        <f t="shared" si="54"/>
        <v>714839.18181818177</v>
      </c>
      <c r="K359" s="41">
        <f t="shared" si="54"/>
        <v>0</v>
      </c>
      <c r="L359" s="41">
        <f t="shared" si="54"/>
        <v>10454</v>
      </c>
      <c r="M359" s="41">
        <f t="shared" si="54"/>
        <v>0</v>
      </c>
      <c r="N359" s="41">
        <f t="shared" si="54"/>
        <v>0</v>
      </c>
    </row>
    <row r="360" spans="2:14">
      <c r="B360" t="s">
        <v>215</v>
      </c>
      <c r="D360" t="s">
        <v>164</v>
      </c>
      <c r="F360" s="82">
        <f>SUM(G360:N360)</f>
        <v>7191340.0185046168</v>
      </c>
      <c r="G360" s="41">
        <f>G271</f>
        <v>0</v>
      </c>
      <c r="H360" s="41">
        <f t="shared" ref="H360:N360" si="55">H271</f>
        <v>0</v>
      </c>
      <c r="I360" s="41">
        <f t="shared" si="55"/>
        <v>244972.46770247605</v>
      </c>
      <c r="J360" s="41">
        <f t="shared" si="55"/>
        <v>6846609.5508021405</v>
      </c>
      <c r="K360" s="41">
        <f t="shared" si="55"/>
        <v>0</v>
      </c>
      <c r="L360" s="41">
        <f t="shared" si="55"/>
        <v>99758</v>
      </c>
      <c r="M360" s="41">
        <f t="shared" si="55"/>
        <v>0</v>
      </c>
      <c r="N360" s="41">
        <f t="shared" si="55"/>
        <v>0</v>
      </c>
    </row>
    <row r="361" spans="2:14">
      <c r="B361" t="s">
        <v>224</v>
      </c>
      <c r="D361" t="s">
        <v>164</v>
      </c>
      <c r="F361" s="82">
        <f>SUM(G361:N361)</f>
        <v>2856258670.9735126</v>
      </c>
      <c r="G361" s="41">
        <f>G272</f>
        <v>0</v>
      </c>
      <c r="H361" s="41">
        <f t="shared" ref="H361:N361" si="56">H272</f>
        <v>0</v>
      </c>
      <c r="I361" s="41">
        <f t="shared" si="56"/>
        <v>94534702.064421207</v>
      </c>
      <c r="J361" s="41">
        <f t="shared" si="56"/>
        <v>2744185240.9090915</v>
      </c>
      <c r="K361" s="41">
        <f t="shared" si="56"/>
        <v>0</v>
      </c>
      <c r="L361" s="41">
        <f t="shared" si="56"/>
        <v>17538728</v>
      </c>
      <c r="M361" s="41">
        <f t="shared" si="56"/>
        <v>0</v>
      </c>
      <c r="N361" s="41">
        <f t="shared" si="56"/>
        <v>0</v>
      </c>
    </row>
    <row r="363" spans="2:14">
      <c r="B363" s="3" t="s">
        <v>225</v>
      </c>
    </row>
    <row r="364" spans="2:14">
      <c r="B364" t="s">
        <v>213</v>
      </c>
      <c r="D364" t="s">
        <v>164</v>
      </c>
      <c r="F364" s="82">
        <f>SUM(G364:N364)</f>
        <v>23420.542906130344</v>
      </c>
      <c r="G364" s="41">
        <f>G277</f>
        <v>29</v>
      </c>
      <c r="H364" s="41">
        <f t="shared" ref="H364:N364" si="57">H277</f>
        <v>463.16666666666669</v>
      </c>
      <c r="I364" s="41">
        <f t="shared" si="57"/>
        <v>586</v>
      </c>
      <c r="J364" s="41">
        <f t="shared" si="57"/>
        <v>9383.6665058750768</v>
      </c>
      <c r="K364" s="41">
        <f t="shared" si="57"/>
        <v>9246.0766496883716</v>
      </c>
      <c r="L364" s="41">
        <f t="shared" si="57"/>
        <v>16.579999999999998</v>
      </c>
      <c r="M364" s="41">
        <f t="shared" si="57"/>
        <v>3150.563038548753</v>
      </c>
      <c r="N364" s="41">
        <f t="shared" si="57"/>
        <v>545.49004535147401</v>
      </c>
    </row>
    <row r="365" spans="2:14">
      <c r="B365" t="s">
        <v>223</v>
      </c>
      <c r="D365" t="s">
        <v>164</v>
      </c>
      <c r="F365" s="82">
        <f>SUM(G365:N365)</f>
        <v>8643922.2347078137</v>
      </c>
      <c r="G365" s="41">
        <f>G278</f>
        <v>36771</v>
      </c>
      <c r="H365" s="41">
        <f t="shared" ref="H365:N365" si="58">H278</f>
        <v>187186.66666666669</v>
      </c>
      <c r="I365" s="41">
        <f t="shared" si="58"/>
        <v>146607.70048262065</v>
      </c>
      <c r="J365" s="41">
        <f t="shared" si="58"/>
        <v>2955061.6419169074</v>
      </c>
      <c r="K365" s="41">
        <f t="shared" si="58"/>
        <v>3202935.2575059184</v>
      </c>
      <c r="L365" s="41">
        <f t="shared" si="58"/>
        <v>17799</v>
      </c>
      <c r="M365" s="41">
        <f t="shared" si="58"/>
        <v>1878207.72690763</v>
      </c>
      <c r="N365" s="41">
        <f t="shared" si="58"/>
        <v>219353.2412280702</v>
      </c>
    </row>
    <row r="366" spans="2:14">
      <c r="B366" t="s">
        <v>215</v>
      </c>
      <c r="D366" t="s">
        <v>164</v>
      </c>
      <c r="F366" s="82">
        <f>SUM(G366:N366)</f>
        <v>72457267.953841314</v>
      </c>
      <c r="G366" s="41">
        <f>G279</f>
        <v>351064</v>
      </c>
      <c r="H366" s="41">
        <f t="shared" ref="H366:N366" si="59">H279</f>
        <v>1542758.7</v>
      </c>
      <c r="I366" s="41">
        <f t="shared" si="59"/>
        <v>1152349.0909908765</v>
      </c>
      <c r="J366" s="41">
        <f t="shared" si="59"/>
        <v>26177647.352016408</v>
      </c>
      <c r="K366" s="41">
        <f t="shared" si="59"/>
        <v>27030480.825497672</v>
      </c>
      <c r="L366" s="41">
        <f t="shared" si="59"/>
        <v>176453</v>
      </c>
      <c r="M366" s="41">
        <f t="shared" si="59"/>
        <v>14285626.903703701</v>
      </c>
      <c r="N366" s="41">
        <f t="shared" si="59"/>
        <v>1740888.0816326528</v>
      </c>
    </row>
    <row r="367" spans="2:14">
      <c r="B367" t="s">
        <v>224</v>
      </c>
      <c r="D367" t="s">
        <v>164</v>
      </c>
      <c r="F367" s="82">
        <f>SUM(G367:N367)</f>
        <v>23142382014.103214</v>
      </c>
      <c r="G367" s="41">
        <f>G280</f>
        <v>121563657</v>
      </c>
      <c r="H367" s="41">
        <f t="shared" ref="H367:N367" si="60">H280</f>
        <v>481796050.12905985</v>
      </c>
      <c r="I367" s="41">
        <f t="shared" si="60"/>
        <v>391072191.00489169</v>
      </c>
      <c r="J367" s="41">
        <f t="shared" si="60"/>
        <v>8060094449.7048407</v>
      </c>
      <c r="K367" s="41">
        <f t="shared" si="60"/>
        <v>8831037093.4279327</v>
      </c>
      <c r="L367" s="41">
        <f t="shared" si="60"/>
        <v>61679728</v>
      </c>
      <c r="M367" s="41">
        <f t="shared" si="60"/>
        <v>4753893366.2650595</v>
      </c>
      <c r="N367" s="41">
        <f t="shared" si="60"/>
        <v>441245478.5714286</v>
      </c>
    </row>
    <row r="369" spans="2:14">
      <c r="B369" s="3" t="s">
        <v>226</v>
      </c>
    </row>
    <row r="370" spans="2:14">
      <c r="B370" t="s">
        <v>213</v>
      </c>
      <c r="D370" t="s">
        <v>164</v>
      </c>
      <c r="F370" s="82">
        <f>SUM(G370:N370)</f>
        <v>41021.75382344723</v>
      </c>
      <c r="G370" s="41">
        <f>G285</f>
        <v>212</v>
      </c>
      <c r="H370" s="41">
        <f t="shared" ref="H370:N370" si="61">H285</f>
        <v>1493.4166666666667</v>
      </c>
      <c r="I370" s="41">
        <f t="shared" si="61"/>
        <v>688</v>
      </c>
      <c r="J370" s="41">
        <f t="shared" si="61"/>
        <v>14509.805658627089</v>
      </c>
      <c r="K370" s="41">
        <f t="shared" si="61"/>
        <v>13770.621339423315</v>
      </c>
      <c r="L370" s="41">
        <f t="shared" si="61"/>
        <v>132.88</v>
      </c>
      <c r="M370" s="41">
        <f t="shared" si="61"/>
        <v>9195.7272562358285</v>
      </c>
      <c r="N370" s="41">
        <f t="shared" si="61"/>
        <v>1019.302902494331</v>
      </c>
    </row>
    <row r="371" spans="2:14">
      <c r="B371" t="s">
        <v>223</v>
      </c>
      <c r="D371" t="s">
        <v>164</v>
      </c>
      <c r="F371" s="82">
        <f>SUM(G371:N371)</f>
        <v>3892278.7414982626</v>
      </c>
      <c r="G371" s="41">
        <f>G286</f>
        <v>37447</v>
      </c>
      <c r="H371" s="41">
        <f t="shared" ref="H371:N371" si="62">H286</f>
        <v>140982.33333333331</v>
      </c>
      <c r="I371" s="41">
        <f t="shared" si="62"/>
        <v>41878.518230915404</v>
      </c>
      <c r="J371" s="41">
        <f t="shared" si="62"/>
        <v>1057582.0210621064</v>
      </c>
      <c r="K371" s="41">
        <f t="shared" si="62"/>
        <v>1224431.7700699416</v>
      </c>
      <c r="L371" s="41">
        <f t="shared" si="62"/>
        <v>22961</v>
      </c>
      <c r="M371" s="41">
        <f t="shared" si="62"/>
        <v>1163329.1820987654</v>
      </c>
      <c r="N371" s="41">
        <f t="shared" si="62"/>
        <v>203666.91670320038</v>
      </c>
    </row>
    <row r="372" spans="2:14">
      <c r="B372" t="s">
        <v>215</v>
      </c>
      <c r="D372" t="s">
        <v>164</v>
      </c>
      <c r="F372" s="82">
        <f>SUM(G372:N372)</f>
        <v>29114862.588481303</v>
      </c>
      <c r="G372" s="41">
        <f>G287</f>
        <v>332415</v>
      </c>
      <c r="H372" s="41">
        <f t="shared" ref="H372:N372" si="63">H287</f>
        <v>1072879.28</v>
      </c>
      <c r="I372" s="41">
        <f t="shared" si="63"/>
        <v>275406.13262218493</v>
      </c>
      <c r="J372" s="41">
        <f t="shared" si="63"/>
        <v>8347435.2248803843</v>
      </c>
      <c r="K372" s="41">
        <f t="shared" si="63"/>
        <v>9324703.1568744257</v>
      </c>
      <c r="L372" s="41">
        <f t="shared" si="63"/>
        <v>215826</v>
      </c>
      <c r="M372" s="41">
        <f t="shared" si="63"/>
        <v>7998991.6444444433</v>
      </c>
      <c r="N372" s="41">
        <f t="shared" si="63"/>
        <v>1547206.1496598639</v>
      </c>
    </row>
    <row r="373" spans="2:14">
      <c r="B373" t="s">
        <v>224</v>
      </c>
      <c r="D373" t="s">
        <v>164</v>
      </c>
      <c r="F373" s="82">
        <f>SUM(G373:N373)</f>
        <v>7958663334.1040459</v>
      </c>
      <c r="G373" s="41">
        <f>G288</f>
        <v>88078743</v>
      </c>
      <c r="H373" s="41">
        <f t="shared" ref="H373:N373" si="64">H288</f>
        <v>278932159.62222224</v>
      </c>
      <c r="I373" s="41">
        <f t="shared" si="64"/>
        <v>70341353.619569302</v>
      </c>
      <c r="J373" s="41">
        <f t="shared" si="64"/>
        <v>2198882893.1523018</v>
      </c>
      <c r="K373" s="41">
        <f t="shared" si="64"/>
        <v>2560022902.9160008</v>
      </c>
      <c r="L373" s="41">
        <f t="shared" si="64"/>
        <v>57433018</v>
      </c>
      <c r="M373" s="41">
        <f t="shared" si="64"/>
        <v>2284875730.120482</v>
      </c>
      <c r="N373" s="41">
        <f t="shared" si="64"/>
        <v>420096533.67346942</v>
      </c>
    </row>
    <row r="379" spans="2:14">
      <c r="B379" s="3" t="s">
        <v>51</v>
      </c>
    </row>
    <row r="382" spans="2:14">
      <c r="B382" s="3" t="s">
        <v>227</v>
      </c>
    </row>
    <row r="383" spans="2:14">
      <c r="B383" t="s">
        <v>213</v>
      </c>
      <c r="D383" t="s">
        <v>164</v>
      </c>
      <c r="F383" s="82">
        <f>SUM(G383:N383)</f>
        <v>17357.639292842436</v>
      </c>
      <c r="G383" s="41">
        <f>G293</f>
        <v>307</v>
      </c>
      <c r="H383" s="41">
        <f t="shared" ref="H383:N383" si="65">H293</f>
        <v>366.16666666666669</v>
      </c>
      <c r="I383" s="41">
        <f t="shared" si="65"/>
        <v>0</v>
      </c>
      <c r="J383" s="41">
        <f t="shared" si="65"/>
        <v>3309.2765151515155</v>
      </c>
      <c r="K383" s="41">
        <f t="shared" si="65"/>
        <v>5907.9455554687029</v>
      </c>
      <c r="L383" s="41">
        <f t="shared" si="65"/>
        <v>128.72</v>
      </c>
      <c r="M383" s="41">
        <f t="shared" si="65"/>
        <v>7105.8183333333327</v>
      </c>
      <c r="N383" s="41">
        <f t="shared" si="65"/>
        <v>232.71222222222218</v>
      </c>
    </row>
    <row r="384" spans="2:14">
      <c r="B384" t="s">
        <v>223</v>
      </c>
      <c r="D384" t="s">
        <v>164</v>
      </c>
      <c r="F384" s="82">
        <f>SUM(G384:N384)</f>
        <v>962732.20251234667</v>
      </c>
      <c r="G384" s="41">
        <f t="shared" ref="G384:N384" si="66">G294</f>
        <v>24311</v>
      </c>
      <c r="H384" s="41">
        <f t="shared" si="66"/>
        <v>18083.25</v>
      </c>
      <c r="I384" s="41">
        <f t="shared" si="66"/>
        <v>0</v>
      </c>
      <c r="J384" s="41">
        <f t="shared" si="66"/>
        <v>106721.42209232011</v>
      </c>
      <c r="K384" s="41">
        <f t="shared" si="66"/>
        <v>218310.94820043078</v>
      </c>
      <c r="L384" s="41">
        <f t="shared" si="66"/>
        <v>8076</v>
      </c>
      <c r="M384" s="41">
        <f t="shared" si="66"/>
        <v>580697.36274509807</v>
      </c>
      <c r="N384" s="41">
        <f t="shared" si="66"/>
        <v>6532.2194744976814</v>
      </c>
    </row>
    <row r="385" spans="2:14">
      <c r="B385" t="s">
        <v>228</v>
      </c>
      <c r="D385" t="s">
        <v>164</v>
      </c>
      <c r="F385" s="82">
        <f>SUM(G385:N385)</f>
        <v>622087516.16733503</v>
      </c>
      <c r="G385" s="41">
        <f t="shared" ref="G385:N385" si="67">G295</f>
        <v>14763494</v>
      </c>
      <c r="H385" s="41">
        <f t="shared" si="67"/>
        <v>8244879.9547968898</v>
      </c>
      <c r="I385" s="41">
        <f t="shared" si="67"/>
        <v>0</v>
      </c>
      <c r="J385" s="41">
        <f t="shared" si="67"/>
        <v>67101626.191989817</v>
      </c>
      <c r="K385" s="41">
        <f t="shared" si="67"/>
        <v>158657286.07357863</v>
      </c>
      <c r="L385" s="41">
        <f t="shared" si="67"/>
        <v>6278161</v>
      </c>
      <c r="M385" s="41">
        <f t="shared" si="67"/>
        <v>360906251.33333331</v>
      </c>
      <c r="N385" s="41">
        <f t="shared" si="67"/>
        <v>6135817.6136363642</v>
      </c>
    </row>
    <row r="386" spans="2:14">
      <c r="B386" t="s">
        <v>224</v>
      </c>
      <c r="D386" t="s">
        <v>164</v>
      </c>
      <c r="F386" s="82">
        <f>SUM(G386:N386)</f>
        <v>971420029.09875</v>
      </c>
      <c r="G386" s="41">
        <f t="shared" ref="G386:N386" si="68">G296</f>
        <v>28727031</v>
      </c>
      <c r="H386" s="41">
        <f t="shared" si="68"/>
        <v>10620099.156375071</v>
      </c>
      <c r="I386" s="41">
        <f t="shared" si="68"/>
        <v>0</v>
      </c>
      <c r="J386" s="41">
        <f t="shared" si="68"/>
        <v>102314917.48251748</v>
      </c>
      <c r="K386" s="41">
        <f t="shared" si="68"/>
        <v>240230654.74557167</v>
      </c>
      <c r="L386" s="41">
        <f t="shared" si="68"/>
        <v>12136072</v>
      </c>
      <c r="M386" s="41">
        <f t="shared" si="68"/>
        <v>570058513</v>
      </c>
      <c r="N386" s="41">
        <f t="shared" si="68"/>
        <v>7332741.7142857146</v>
      </c>
    </row>
    <row r="388" spans="2:14">
      <c r="B388" s="3" t="s">
        <v>229</v>
      </c>
    </row>
    <row r="389" spans="2:14">
      <c r="B389" t="s">
        <v>230</v>
      </c>
      <c r="D389" t="s">
        <v>164</v>
      </c>
      <c r="F389" s="82">
        <f>SUM(G389:N389)</f>
        <v>2586906.8379901522</v>
      </c>
      <c r="G389" s="41">
        <f>G301</f>
        <v>22807</v>
      </c>
      <c r="H389" s="41">
        <f t="shared" ref="H389:N389" si="69">H301</f>
        <v>84946</v>
      </c>
      <c r="I389" s="41">
        <f t="shared" si="69"/>
        <v>44092</v>
      </c>
      <c r="J389" s="41">
        <f t="shared" si="69"/>
        <v>1066456.8786648924</v>
      </c>
      <c r="K389" s="41">
        <f t="shared" si="69"/>
        <v>746470.63524900982</v>
      </c>
      <c r="L389" s="41">
        <f t="shared" si="69"/>
        <v>18401</v>
      </c>
      <c r="M389" s="41">
        <f t="shared" si="69"/>
        <v>579156.58844406588</v>
      </c>
      <c r="N389" s="41">
        <f t="shared" si="69"/>
        <v>24576.735632183911</v>
      </c>
    </row>
    <row r="390" spans="2:14">
      <c r="B390" t="s">
        <v>231</v>
      </c>
      <c r="D390" t="s">
        <v>164</v>
      </c>
      <c r="F390" s="82">
        <f>SUM(G390:N390)</f>
        <v>7789563.8104284992</v>
      </c>
      <c r="G390" s="41">
        <f>G302</f>
        <v>52081</v>
      </c>
      <c r="H390" s="41">
        <f t="shared" ref="H390:N390" si="70">H302</f>
        <v>203766.91666666672</v>
      </c>
      <c r="I390" s="41">
        <f t="shared" si="70"/>
        <v>103323</v>
      </c>
      <c r="J390" s="41">
        <f t="shared" si="70"/>
        <v>2540261.2262701881</v>
      </c>
      <c r="K390" s="41">
        <f t="shared" si="70"/>
        <v>2851517.4026091956</v>
      </c>
      <c r="L390" s="41">
        <f t="shared" si="70"/>
        <v>31135</v>
      </c>
      <c r="M390" s="41">
        <f t="shared" si="70"/>
        <v>1955105.75</v>
      </c>
      <c r="N390" s="41">
        <f t="shared" si="70"/>
        <v>52373.514882448668</v>
      </c>
    </row>
    <row r="392" spans="2:14">
      <c r="B392" s="3" t="s">
        <v>232</v>
      </c>
    </row>
    <row r="393" spans="2:14">
      <c r="B393" t="s">
        <v>233</v>
      </c>
      <c r="D393" t="s">
        <v>164</v>
      </c>
      <c r="F393" s="82">
        <f t="shared" ref="F393:F398" si="71">SUM(G393:N393)</f>
        <v>44867.065477970558</v>
      </c>
      <c r="G393" s="41">
        <f>G306</f>
        <v>244</v>
      </c>
      <c r="H393" s="41">
        <f t="shared" ref="H393:N393" si="72">H306</f>
        <v>1120.25</v>
      </c>
      <c r="I393" s="41">
        <f t="shared" si="72"/>
        <v>106</v>
      </c>
      <c r="J393" s="41">
        <f t="shared" si="72"/>
        <v>17601.069971136687</v>
      </c>
      <c r="K393" s="41">
        <f t="shared" si="72"/>
        <v>17142.831015702381</v>
      </c>
      <c r="L393" s="41">
        <f t="shared" si="72"/>
        <v>173.6</v>
      </c>
      <c r="M393" s="41">
        <f t="shared" si="72"/>
        <v>7893.8614916286133</v>
      </c>
      <c r="N393" s="41">
        <f t="shared" si="72"/>
        <v>585.45299950287847</v>
      </c>
    </row>
    <row r="394" spans="2:14">
      <c r="B394" t="s">
        <v>234</v>
      </c>
      <c r="D394" t="s">
        <v>164</v>
      </c>
      <c r="F394" s="82">
        <f t="shared" si="71"/>
        <v>61259.997718667968</v>
      </c>
      <c r="G394" s="41">
        <f t="shared" ref="G394:N394" si="73">G307</f>
        <v>255</v>
      </c>
      <c r="H394" s="41">
        <f t="shared" si="73"/>
        <v>1225.6666666666667</v>
      </c>
      <c r="I394" s="41">
        <f t="shared" si="73"/>
        <v>1266</v>
      </c>
      <c r="J394" s="41">
        <f t="shared" si="73"/>
        <v>22453.710784741728</v>
      </c>
      <c r="K394" s="41">
        <f t="shared" si="73"/>
        <v>20383.843033105066</v>
      </c>
      <c r="L394" s="41">
        <f t="shared" si="73"/>
        <v>224.2</v>
      </c>
      <c r="M394" s="41">
        <f t="shared" si="73"/>
        <v>14834.000000000002</v>
      </c>
      <c r="N394" s="41">
        <f t="shared" si="73"/>
        <v>617.57723415450687</v>
      </c>
    </row>
    <row r="395" spans="2:14">
      <c r="B395" t="s">
        <v>235</v>
      </c>
      <c r="D395" t="s">
        <v>164</v>
      </c>
      <c r="F395" s="82">
        <f t="shared" si="71"/>
        <v>64095.668963131</v>
      </c>
      <c r="G395" s="41">
        <f t="shared" ref="G395:N395" si="74">G308</f>
        <v>278</v>
      </c>
      <c r="H395" s="41">
        <f t="shared" si="74"/>
        <v>1776.5</v>
      </c>
      <c r="I395" s="41">
        <f t="shared" si="74"/>
        <v>705</v>
      </c>
      <c r="J395" s="41">
        <f t="shared" si="74"/>
        <v>24027.277477398311</v>
      </c>
      <c r="K395" s="41">
        <f t="shared" si="74"/>
        <v>23258.835365614381</v>
      </c>
      <c r="L395" s="41">
        <f t="shared" si="74"/>
        <v>285.8</v>
      </c>
      <c r="M395" s="41">
        <f t="shared" si="74"/>
        <v>13011</v>
      </c>
      <c r="N395" s="41">
        <f t="shared" si="74"/>
        <v>753.25612011830867</v>
      </c>
    </row>
    <row r="396" spans="2:14">
      <c r="B396" t="s">
        <v>236</v>
      </c>
      <c r="D396" t="s">
        <v>164</v>
      </c>
      <c r="F396" s="82">
        <f t="shared" si="71"/>
        <v>158965.24511090296</v>
      </c>
      <c r="G396" s="41">
        <f t="shared" ref="G396:N396" si="75">G309</f>
        <v>852</v>
      </c>
      <c r="H396" s="41">
        <f t="shared" si="75"/>
        <v>3605.4166666666665</v>
      </c>
      <c r="I396" s="41">
        <f t="shared" si="75"/>
        <v>1317</v>
      </c>
      <c r="J396" s="41">
        <f t="shared" si="75"/>
        <v>60471.029476441625</v>
      </c>
      <c r="K396" s="41">
        <f t="shared" si="75"/>
        <v>51766.429490476177</v>
      </c>
      <c r="L396" s="41">
        <f t="shared" si="75"/>
        <v>524.79999999999995</v>
      </c>
      <c r="M396" s="41">
        <f t="shared" si="75"/>
        <v>39087.000000000007</v>
      </c>
      <c r="N396" s="41">
        <f t="shared" si="75"/>
        <v>1341.5694773184978</v>
      </c>
    </row>
    <row r="397" spans="2:14">
      <c r="B397" t="s">
        <v>237</v>
      </c>
      <c r="D397" t="s">
        <v>164</v>
      </c>
      <c r="F397" s="82">
        <f t="shared" si="71"/>
        <v>7459523.4691627966</v>
      </c>
      <c r="G397" s="41">
        <f t="shared" ref="G397:N397" si="76">G310</f>
        <v>50452</v>
      </c>
      <c r="H397" s="41">
        <f t="shared" si="76"/>
        <v>196039.08333333337</v>
      </c>
      <c r="I397" s="41">
        <f t="shared" si="76"/>
        <v>99929</v>
      </c>
      <c r="J397" s="41">
        <f t="shared" si="76"/>
        <v>2415692.9130738117</v>
      </c>
      <c r="K397" s="41">
        <f t="shared" si="76"/>
        <v>2738965.4637042978</v>
      </c>
      <c r="L397" s="41">
        <f t="shared" si="76"/>
        <v>29926.6</v>
      </c>
      <c r="M397" s="41">
        <f t="shared" si="76"/>
        <v>1879442.7500000002</v>
      </c>
      <c r="N397" s="41">
        <f t="shared" si="76"/>
        <v>49075.65905135448</v>
      </c>
    </row>
    <row r="398" spans="2:14">
      <c r="B398" t="s">
        <v>238</v>
      </c>
      <c r="D398" t="s">
        <v>164</v>
      </c>
      <c r="F398" s="82">
        <f t="shared" si="71"/>
        <v>2586906.8379901522</v>
      </c>
      <c r="G398" s="41">
        <f t="shared" ref="G398:N398" si="77">G311</f>
        <v>22807</v>
      </c>
      <c r="H398" s="41">
        <f t="shared" si="77"/>
        <v>84946</v>
      </c>
      <c r="I398" s="41">
        <f t="shared" si="77"/>
        <v>44092</v>
      </c>
      <c r="J398" s="41">
        <f t="shared" si="77"/>
        <v>1066456.8786648926</v>
      </c>
      <c r="K398" s="41">
        <f t="shared" si="77"/>
        <v>746470.63524900982</v>
      </c>
      <c r="L398" s="41">
        <f t="shared" si="77"/>
        <v>18401</v>
      </c>
      <c r="M398" s="41">
        <f t="shared" si="77"/>
        <v>579156.58844406588</v>
      </c>
      <c r="N398" s="41">
        <f t="shared" si="77"/>
        <v>24576.735632183911</v>
      </c>
    </row>
    <row r="400" spans="2:14">
      <c r="B400" t="s">
        <v>52</v>
      </c>
    </row>
    <row r="406" spans="2:14">
      <c r="B406" s="3" t="s">
        <v>53</v>
      </c>
    </row>
    <row r="409" spans="2:14">
      <c r="B409" t="s">
        <v>239</v>
      </c>
      <c r="D409" t="s">
        <v>164</v>
      </c>
      <c r="F409" s="82">
        <f>SUM(G409:N409)</f>
        <v>455360889.2756598</v>
      </c>
      <c r="G409" s="29">
        <f>G220+G229+G238+G247+G256+G265+G273+G281+G289</f>
        <v>2607830</v>
      </c>
      <c r="H409" s="29">
        <f t="shared" ref="H409:N409" si="78">H220+H229+H238+H247+H256+H265+H273+H281+H289</f>
        <v>0</v>
      </c>
      <c r="I409" s="29">
        <f t="shared" si="78"/>
        <v>5547593.5483870972</v>
      </c>
      <c r="J409" s="29">
        <f t="shared" si="78"/>
        <v>363933741.060606</v>
      </c>
      <c r="K409" s="29">
        <f t="shared" si="78"/>
        <v>0</v>
      </c>
      <c r="L409" s="29">
        <f t="shared" si="78"/>
        <v>1992103</v>
      </c>
      <c r="M409" s="29">
        <f t="shared" si="78"/>
        <v>81279621.666666657</v>
      </c>
      <c r="N409" s="29">
        <f t="shared" si="78"/>
        <v>0</v>
      </c>
    </row>
    <row r="410" spans="2:14">
      <c r="B410" t="s">
        <v>240</v>
      </c>
      <c r="D410" t="s">
        <v>164</v>
      </c>
      <c r="F410" s="82">
        <f>SUM(G410:N410)</f>
        <v>3228382</v>
      </c>
      <c r="G410" s="41">
        <f>G297</f>
        <v>735975</v>
      </c>
      <c r="H410" s="41">
        <f t="shared" ref="H410:N410" si="79">H297</f>
        <v>0</v>
      </c>
      <c r="I410" s="41">
        <f t="shared" si="79"/>
        <v>0</v>
      </c>
      <c r="J410" s="41">
        <f t="shared" si="79"/>
        <v>9335</v>
      </c>
      <c r="K410" s="41">
        <f t="shared" si="79"/>
        <v>0</v>
      </c>
      <c r="L410" s="41">
        <f t="shared" si="79"/>
        <v>526432</v>
      </c>
      <c r="M410" s="41">
        <f t="shared" si="79"/>
        <v>1956640</v>
      </c>
      <c r="N410" s="41">
        <f t="shared" si="79"/>
        <v>0</v>
      </c>
    </row>
    <row r="414" spans="2:14" s="2" customFormat="1">
      <c r="B414" s="2" t="s">
        <v>533</v>
      </c>
      <c r="F414" s="48"/>
    </row>
    <row r="416" spans="2:14">
      <c r="B416" s="3"/>
    </row>
    <row r="417" spans="2:14">
      <c r="B417" s="3" t="s">
        <v>49</v>
      </c>
      <c r="G417" s="27"/>
    </row>
    <row r="418" spans="2:14">
      <c r="B418" s="3"/>
    </row>
    <row r="419" spans="2:14">
      <c r="B419" s="3"/>
    </row>
    <row r="420" spans="2:14">
      <c r="B420" s="85" t="s">
        <v>212</v>
      </c>
    </row>
    <row r="421" spans="2:14">
      <c r="B421" t="s">
        <v>213</v>
      </c>
      <c r="D421" t="s">
        <v>164</v>
      </c>
      <c r="F421" s="82">
        <f>SUM(G421:N421)</f>
        <v>11.090909420289854</v>
      </c>
      <c r="G421" s="41">
        <f>'PRD Volumes TD (2009-2012)'!G225</f>
        <v>0</v>
      </c>
      <c r="H421" s="41">
        <f>'PRD Volumes TD (2009-2012)'!H225</f>
        <v>0</v>
      </c>
      <c r="I421" s="41">
        <f>'PRD Volumes TD (2009-2012)'!I225</f>
        <v>0</v>
      </c>
      <c r="J421" s="41">
        <f>'PRD Volumes TD (2009-2012)'!J225</f>
        <v>0</v>
      </c>
      <c r="K421" s="41">
        <f>'PRD Volumes TD (2009-2012)'!K225</f>
        <v>8</v>
      </c>
      <c r="L421" s="41">
        <f>'PRD Volumes TD (2009-2012)'!L225</f>
        <v>0</v>
      </c>
      <c r="M421" s="41">
        <f>'PRD Volumes TD (2009-2012)'!M225</f>
        <v>3.0909094202898548</v>
      </c>
      <c r="N421" s="41">
        <f>'PRD Volumes TD (2009-2012)'!N225</f>
        <v>0</v>
      </c>
    </row>
    <row r="422" spans="2:14">
      <c r="B422" t="s">
        <v>214</v>
      </c>
      <c r="D422" t="s">
        <v>164</v>
      </c>
      <c r="F422" s="82">
        <f>SUM(G422:N422)</f>
        <v>1011953.0319162193</v>
      </c>
      <c r="G422" s="41">
        <f>'PRD Volumes TD (2009-2012)'!G226</f>
        <v>0</v>
      </c>
      <c r="H422" s="41">
        <f>'PRD Volumes TD (2009-2012)'!H226</f>
        <v>0</v>
      </c>
      <c r="I422" s="41">
        <f>'PRD Volumes TD (2009-2012)'!I226</f>
        <v>0</v>
      </c>
      <c r="J422" s="41">
        <f>'PRD Volumes TD (2009-2012)'!J226</f>
        <v>0</v>
      </c>
      <c r="K422" s="41">
        <f>'PRD Volumes TD (2009-2012)'!K226</f>
        <v>744718.48646167375</v>
      </c>
      <c r="L422" s="41">
        <f>'PRD Volumes TD (2009-2012)'!L226</f>
        <v>0</v>
      </c>
      <c r="M422" s="41">
        <f>'PRD Volumes TD (2009-2012)'!M226</f>
        <v>267234.54545454547</v>
      </c>
      <c r="N422" s="41">
        <f>'PRD Volumes TD (2009-2012)'!N226</f>
        <v>0</v>
      </c>
    </row>
    <row r="423" spans="2:14">
      <c r="B423" t="s">
        <v>215</v>
      </c>
      <c r="D423" t="s">
        <v>164</v>
      </c>
      <c r="F423" s="82">
        <f>SUM(G423:N423)</f>
        <v>10607342.14789575</v>
      </c>
      <c r="G423" s="41">
        <f>'PRD Volumes TD (2009-2012)'!G227</f>
        <v>0</v>
      </c>
      <c r="H423" s="41">
        <f>'PRD Volumes TD (2009-2012)'!H227</f>
        <v>0</v>
      </c>
      <c r="I423" s="41">
        <f>'PRD Volumes TD (2009-2012)'!I227</f>
        <v>0</v>
      </c>
      <c r="J423" s="41">
        <f>'PRD Volumes TD (2009-2012)'!J227</f>
        <v>0</v>
      </c>
      <c r="K423" s="41">
        <f>'PRD Volumes TD (2009-2012)'!K227</f>
        <v>7637637.7861936223</v>
      </c>
      <c r="L423" s="41">
        <f>'PRD Volumes TD (2009-2012)'!L227</f>
        <v>0</v>
      </c>
      <c r="M423" s="41">
        <f>'PRD Volumes TD (2009-2012)'!M227</f>
        <v>2969704.3617021278</v>
      </c>
      <c r="N423" s="41">
        <f>'PRD Volumes TD (2009-2012)'!N227</f>
        <v>0</v>
      </c>
    </row>
    <row r="425" spans="2:14">
      <c r="B425" s="3" t="s">
        <v>216</v>
      </c>
    </row>
    <row r="426" spans="2:14">
      <c r="B426" t="s">
        <v>213</v>
      </c>
      <c r="D426" t="s">
        <v>164</v>
      </c>
      <c r="F426" s="82">
        <f>SUM(G426:N426)</f>
        <v>6</v>
      </c>
      <c r="G426" s="41">
        <f>'PRD Volumes TD (2009-2012)'!G230</f>
        <v>0</v>
      </c>
      <c r="H426" s="41">
        <f>'PRD Volumes TD (2009-2012)'!H230</f>
        <v>0</v>
      </c>
      <c r="I426" s="41">
        <f>'PRD Volumes TD (2009-2012)'!I230</f>
        <v>0</v>
      </c>
      <c r="J426" s="41">
        <f>'PRD Volumes TD (2009-2012)'!J230</f>
        <v>0</v>
      </c>
      <c r="K426" s="41">
        <f>'PRD Volumes TD (2009-2012)'!K230</f>
        <v>0</v>
      </c>
      <c r="L426" s="41">
        <f>'PRD Volumes TD (2009-2012)'!L230</f>
        <v>0</v>
      </c>
      <c r="M426" s="41">
        <f>'PRD Volumes TD (2009-2012)'!M230</f>
        <v>6</v>
      </c>
      <c r="N426" s="41">
        <f>'PRD Volumes TD (2009-2012)'!N230</f>
        <v>0</v>
      </c>
    </row>
    <row r="427" spans="2:14">
      <c r="B427" t="s">
        <v>214</v>
      </c>
      <c r="D427" t="s">
        <v>164</v>
      </c>
      <c r="F427" s="82">
        <f>SUM(G427:N427)</f>
        <v>31554</v>
      </c>
      <c r="G427" s="41">
        <f>'PRD Volumes TD (2009-2012)'!G231</f>
        <v>0</v>
      </c>
      <c r="H427" s="41">
        <f>'PRD Volumes TD (2009-2012)'!H231</f>
        <v>0</v>
      </c>
      <c r="I427" s="41">
        <f>'PRD Volumes TD (2009-2012)'!I231</f>
        <v>0</v>
      </c>
      <c r="J427" s="41">
        <f>'PRD Volumes TD (2009-2012)'!J231</f>
        <v>0</v>
      </c>
      <c r="K427" s="41">
        <f>'PRD Volumes TD (2009-2012)'!K231</f>
        <v>0</v>
      </c>
      <c r="L427" s="41">
        <f>'PRD Volumes TD (2009-2012)'!L231</f>
        <v>0</v>
      </c>
      <c r="M427" s="41">
        <f>'PRD Volumes TD (2009-2012)'!M231</f>
        <v>31554</v>
      </c>
      <c r="N427" s="41">
        <f>'PRD Volumes TD (2009-2012)'!N231</f>
        <v>0</v>
      </c>
    </row>
    <row r="428" spans="2:14">
      <c r="B428" t="s">
        <v>217</v>
      </c>
      <c r="D428" t="s">
        <v>164</v>
      </c>
      <c r="F428" s="82">
        <f>SUM(G428:N428)</f>
        <v>259498.90624999997</v>
      </c>
      <c r="G428" s="41">
        <f>'PRD Volumes TD (2009-2012)'!G232</f>
        <v>0</v>
      </c>
      <c r="H428" s="41">
        <f>'PRD Volumes TD (2009-2012)'!H232</f>
        <v>0</v>
      </c>
      <c r="I428" s="41">
        <f>'PRD Volumes TD (2009-2012)'!I232</f>
        <v>0</v>
      </c>
      <c r="J428" s="41">
        <f>'PRD Volumes TD (2009-2012)'!J232</f>
        <v>0</v>
      </c>
      <c r="K428" s="41">
        <f>'PRD Volumes TD (2009-2012)'!K232</f>
        <v>0</v>
      </c>
      <c r="L428" s="41">
        <f>'PRD Volumes TD (2009-2012)'!L232</f>
        <v>0</v>
      </c>
      <c r="M428" s="41">
        <f>'PRD Volumes TD (2009-2012)'!M232</f>
        <v>259498.90624999997</v>
      </c>
      <c r="N428" s="41">
        <f>'PRD Volumes TD (2009-2012)'!N232</f>
        <v>0</v>
      </c>
    </row>
    <row r="430" spans="2:14">
      <c r="B430" s="3" t="s">
        <v>218</v>
      </c>
    </row>
    <row r="431" spans="2:14">
      <c r="B431" t="s">
        <v>213</v>
      </c>
      <c r="D431" t="s">
        <v>164</v>
      </c>
      <c r="F431" s="82">
        <f>SUM(G431:N431)</f>
        <v>87.167023776497516</v>
      </c>
      <c r="G431" s="41">
        <f>'PRD Volumes TD (2009-2012)'!G235</f>
        <v>0</v>
      </c>
      <c r="H431" s="41">
        <f>'PRD Volumes TD (2009-2012)'!H235</f>
        <v>2</v>
      </c>
      <c r="I431" s="41">
        <f>'PRD Volumes TD (2009-2012)'!I235</f>
        <v>0</v>
      </c>
      <c r="J431" s="41">
        <f>'PRD Volumes TD (2009-2012)'!J235</f>
        <v>3.6363636363636358</v>
      </c>
      <c r="K431" s="41">
        <f>'PRD Volumes TD (2009-2012)'!K235</f>
        <v>18.076113038684603</v>
      </c>
      <c r="L431" s="41">
        <f>'PRD Volumes TD (2009-2012)'!L235</f>
        <v>0</v>
      </c>
      <c r="M431" s="41">
        <f>'PRD Volumes TD (2009-2012)'!M235</f>
        <v>63.454547101449272</v>
      </c>
      <c r="N431" s="41">
        <f>'PRD Volumes TD (2009-2012)'!N235</f>
        <v>0</v>
      </c>
    </row>
    <row r="432" spans="2:14">
      <c r="B432" t="s">
        <v>214</v>
      </c>
      <c r="D432" t="s">
        <v>164</v>
      </c>
      <c r="F432" s="82">
        <f>SUM(G432:N432)</f>
        <v>818179.73028685024</v>
      </c>
      <c r="G432" s="41">
        <f>'PRD Volumes TD (2009-2012)'!G236</f>
        <v>0</v>
      </c>
      <c r="H432" s="41">
        <f>'PRD Volumes TD (2009-2012)'!H236</f>
        <v>20498</v>
      </c>
      <c r="I432" s="41">
        <f>'PRD Volumes TD (2009-2012)'!I236</f>
        <v>0</v>
      </c>
      <c r="J432" s="41">
        <f>'PRD Volumes TD (2009-2012)'!J236</f>
        <v>68901.00250626565</v>
      </c>
      <c r="K432" s="41">
        <f>'PRD Volumes TD (2009-2012)'!K236</f>
        <v>119658.90959876636</v>
      </c>
      <c r="L432" s="41">
        <f>'PRD Volumes TD (2009-2012)'!L236</f>
        <v>0</v>
      </c>
      <c r="M432" s="41">
        <f>'PRD Volumes TD (2009-2012)'!M236</f>
        <v>609121.81818181823</v>
      </c>
      <c r="N432" s="41">
        <f>'PRD Volumes TD (2009-2012)'!N236</f>
        <v>0</v>
      </c>
    </row>
    <row r="433" spans="2:14">
      <c r="B433" t="s">
        <v>215</v>
      </c>
      <c r="D433" t="s">
        <v>164</v>
      </c>
      <c r="F433" s="82">
        <f>SUM(G433:N433)</f>
        <v>7464340.5401946148</v>
      </c>
      <c r="G433" s="41">
        <f>'PRD Volumes TD (2009-2012)'!G237</f>
        <v>0</v>
      </c>
      <c r="H433" s="41">
        <f>'PRD Volumes TD (2009-2012)'!H237</f>
        <v>214943.66666666666</v>
      </c>
      <c r="I433" s="41">
        <f>'PRD Volumes TD (2009-2012)'!I237</f>
        <v>0</v>
      </c>
      <c r="J433" s="41">
        <f>'PRD Volumes TD (2009-2012)'!J237</f>
        <v>625195.63636363635</v>
      </c>
      <c r="K433" s="41">
        <f>'PRD Volumes TD (2009-2012)'!K237</f>
        <v>1176538.3280734029</v>
      </c>
      <c r="L433" s="41">
        <f>'PRD Volumes TD (2009-2012)'!L237</f>
        <v>0</v>
      </c>
      <c r="M433" s="41">
        <f>'PRD Volumes TD (2009-2012)'!M237</f>
        <v>5447662.9090909092</v>
      </c>
      <c r="N433" s="41">
        <f>'PRD Volumes TD (2009-2012)'!N237</f>
        <v>0</v>
      </c>
    </row>
    <row r="435" spans="2:14">
      <c r="B435" s="3" t="s">
        <v>219</v>
      </c>
    </row>
    <row r="436" spans="2:14">
      <c r="B436" t="s">
        <v>213</v>
      </c>
      <c r="D436" t="s">
        <v>164</v>
      </c>
      <c r="F436" s="82">
        <f>SUM(G436:N436)</f>
        <v>25.916239465426145</v>
      </c>
      <c r="G436" s="41">
        <f>'PRD Volumes TD (2009-2012)'!G240</f>
        <v>0</v>
      </c>
      <c r="H436" s="41">
        <f>'PRD Volumes TD (2009-2012)'!H240</f>
        <v>0</v>
      </c>
      <c r="I436" s="41">
        <f>'PRD Volumes TD (2009-2012)'!I240</f>
        <v>0</v>
      </c>
      <c r="J436" s="41">
        <f>'PRD Volumes TD (2009-2012)'!J240</f>
        <v>1.9090909090909089</v>
      </c>
      <c r="K436" s="41">
        <f>'PRD Volumes TD (2009-2012)'!K240</f>
        <v>12.007148556335238</v>
      </c>
      <c r="L436" s="41">
        <f>'PRD Volumes TD (2009-2012)'!L240</f>
        <v>0</v>
      </c>
      <c r="M436" s="41">
        <f>'PRD Volumes TD (2009-2012)'!M240</f>
        <v>12</v>
      </c>
      <c r="N436" s="41">
        <f>'PRD Volumes TD (2009-2012)'!N240</f>
        <v>0</v>
      </c>
    </row>
    <row r="437" spans="2:14">
      <c r="B437" t="s">
        <v>214</v>
      </c>
      <c r="D437" t="s">
        <v>164</v>
      </c>
      <c r="F437" s="82">
        <f>SUM(G437:N437)</f>
        <v>403342.45758976741</v>
      </c>
      <c r="G437" s="41">
        <f>'PRD Volumes TD (2009-2012)'!G241</f>
        <v>0</v>
      </c>
      <c r="H437" s="41">
        <f>'PRD Volumes TD (2009-2012)'!H241</f>
        <v>0</v>
      </c>
      <c r="I437" s="41">
        <f>'PRD Volumes TD (2009-2012)'!I241</f>
        <v>0</v>
      </c>
      <c r="J437" s="41">
        <f>'PRD Volumes TD (2009-2012)'!J241</f>
        <v>10300.006677796327</v>
      </c>
      <c r="K437" s="41">
        <f>'PRD Volumes TD (2009-2012)'!K241</f>
        <v>78692.450911971071</v>
      </c>
      <c r="L437" s="41">
        <f>'PRD Volumes TD (2009-2012)'!L241</f>
        <v>0</v>
      </c>
      <c r="M437" s="41">
        <f>'PRD Volumes TD (2009-2012)'!M241</f>
        <v>314350</v>
      </c>
      <c r="N437" s="41">
        <f>'PRD Volumes TD (2009-2012)'!N241</f>
        <v>0</v>
      </c>
    </row>
    <row r="438" spans="2:14">
      <c r="B438" t="s">
        <v>217</v>
      </c>
      <c r="D438" t="s">
        <v>164</v>
      </c>
      <c r="F438" s="82">
        <f>SUM(G438:N438)</f>
        <v>4732624.7998237154</v>
      </c>
      <c r="G438" s="41">
        <f>'PRD Volumes TD (2009-2012)'!G242</f>
        <v>0</v>
      </c>
      <c r="H438" s="41">
        <f>'PRD Volumes TD (2009-2012)'!H242</f>
        <v>0</v>
      </c>
      <c r="I438" s="41">
        <f>'PRD Volumes TD (2009-2012)'!I242</f>
        <v>0</v>
      </c>
      <c r="J438" s="41">
        <f>'PRD Volumes TD (2009-2012)'!J242</f>
        <v>120558.54545454546</v>
      </c>
      <c r="K438" s="41">
        <f>'PRD Volumes TD (2009-2012)'!K242</f>
        <v>1132502.6150249082</v>
      </c>
      <c r="L438" s="41">
        <f>'PRD Volumes TD (2009-2012)'!L242</f>
        <v>0</v>
      </c>
      <c r="M438" s="41">
        <f>'PRD Volumes TD (2009-2012)'!M242</f>
        <v>3479563.639344262</v>
      </c>
      <c r="N438" s="41">
        <f>'PRD Volumes TD (2009-2012)'!N242</f>
        <v>0</v>
      </c>
    </row>
    <row r="440" spans="2:14">
      <c r="B440" s="3" t="s">
        <v>220</v>
      </c>
    </row>
    <row r="441" spans="2:14">
      <c r="B441" t="s">
        <v>213</v>
      </c>
      <c r="D441" t="s">
        <v>164</v>
      </c>
      <c r="F441" s="82">
        <f>SUM(G441:N441)</f>
        <v>686.16425553611532</v>
      </c>
      <c r="G441" s="41">
        <f>'PRD Volumes TD (2009-2012)'!G245</f>
        <v>0</v>
      </c>
      <c r="H441" s="41">
        <f>'PRD Volumes TD (2009-2012)'!H245</f>
        <v>43.999999999999993</v>
      </c>
      <c r="I441" s="41">
        <f>'PRD Volumes TD (2009-2012)'!I245</f>
        <v>1</v>
      </c>
      <c r="J441" s="41">
        <f>'PRD Volumes TD (2009-2012)'!J245</f>
        <v>183.30124604002722</v>
      </c>
      <c r="K441" s="41">
        <f>'PRD Volumes TD (2009-2012)'!K245</f>
        <v>323.87058558304454</v>
      </c>
      <c r="L441" s="41">
        <f>'PRD Volumes TD (2009-2012)'!L245</f>
        <v>0</v>
      </c>
      <c r="M441" s="41">
        <f>'PRD Volumes TD (2009-2012)'!M245</f>
        <v>128.90909057971015</v>
      </c>
      <c r="N441" s="41">
        <f>'PRD Volumes TD (2009-2012)'!N245</f>
        <v>5.0833333333333339</v>
      </c>
    </row>
    <row r="442" spans="2:14">
      <c r="B442" t="s">
        <v>214</v>
      </c>
      <c r="D442" t="s">
        <v>164</v>
      </c>
      <c r="F442" s="82">
        <f>SUM(G442:N442)</f>
        <v>3080110.0448810863</v>
      </c>
      <c r="G442" s="41">
        <f>'PRD Volumes TD (2009-2012)'!G246</f>
        <v>0</v>
      </c>
      <c r="H442" s="41">
        <f>'PRD Volumes TD (2009-2012)'!H246</f>
        <v>89601.083333333358</v>
      </c>
      <c r="I442" s="41">
        <f>'PRD Volumes TD (2009-2012)'!I246</f>
        <v>14897.400267154388</v>
      </c>
      <c r="J442" s="41">
        <f>'PRD Volumes TD (2009-2012)'!J246</f>
        <v>1375060.4546640576</v>
      </c>
      <c r="K442" s="41">
        <f>'PRD Volumes TD (2009-2012)'!K246</f>
        <v>1108044.0692327665</v>
      </c>
      <c r="L442" s="41">
        <f>'PRD Volumes TD (2009-2012)'!L246</f>
        <v>0</v>
      </c>
      <c r="M442" s="41">
        <f>'PRD Volumes TD (2009-2012)'!M246</f>
        <v>459991.27267789247</v>
      </c>
      <c r="N442" s="41">
        <f>'PRD Volumes TD (2009-2012)'!N246</f>
        <v>32515.764705882357</v>
      </c>
    </row>
    <row r="443" spans="2:14">
      <c r="B443" t="s">
        <v>215</v>
      </c>
      <c r="D443" t="s">
        <v>164</v>
      </c>
      <c r="F443" s="82">
        <f>SUM(G443:N443)</f>
        <v>28905602.567898098</v>
      </c>
      <c r="G443" s="41">
        <f>'PRD Volumes TD (2009-2012)'!G247</f>
        <v>0</v>
      </c>
      <c r="H443" s="41">
        <f>'PRD Volumes TD (2009-2012)'!H247</f>
        <v>705633.28571428568</v>
      </c>
      <c r="I443" s="41">
        <f>'PRD Volumes TD (2009-2012)'!I247</f>
        <v>170238.52397146766</v>
      </c>
      <c r="J443" s="41">
        <f>'PRD Volumes TD (2009-2012)'!J247</f>
        <v>13544316.401565323</v>
      </c>
      <c r="K443" s="41">
        <f>'PRD Volumes TD (2009-2012)'!K247</f>
        <v>10083430.521133589</v>
      </c>
      <c r="L443" s="41">
        <f>'PRD Volumes TD (2009-2012)'!L247</f>
        <v>0</v>
      </c>
      <c r="M443" s="41">
        <f>'PRD Volumes TD (2009-2012)'!M247</f>
        <v>4119364.3659793818</v>
      </c>
      <c r="N443" s="41">
        <f>'PRD Volumes TD (2009-2012)'!N247</f>
        <v>282619.46953405021</v>
      </c>
    </row>
    <row r="445" spans="2:14">
      <c r="B445" s="3" t="s">
        <v>221</v>
      </c>
    </row>
    <row r="446" spans="2:14">
      <c r="B446" t="s">
        <v>213</v>
      </c>
      <c r="D446" t="s">
        <v>164</v>
      </c>
      <c r="F446" s="82">
        <f>SUM(G446:N446)</f>
        <v>28.531897021095205</v>
      </c>
      <c r="G446" s="41">
        <f>'PRD Volumes TD (2009-2012)'!G250</f>
        <v>0</v>
      </c>
      <c r="H446" s="41">
        <f>'PRD Volumes TD (2009-2012)'!H250</f>
        <v>1</v>
      </c>
      <c r="I446" s="41">
        <f>'PRD Volumes TD (2009-2012)'!I250</f>
        <v>0</v>
      </c>
      <c r="J446" s="41">
        <f>'PRD Volumes TD (2009-2012)'!J250</f>
        <v>9.2727279314888005</v>
      </c>
      <c r="K446" s="41">
        <f>'PRD Volumes TD (2009-2012)'!K250</f>
        <v>14.259169089606406</v>
      </c>
      <c r="L446" s="41">
        <f>'PRD Volumes TD (2009-2012)'!L250</f>
        <v>0</v>
      </c>
      <c r="M446" s="41">
        <f>'PRD Volumes TD (2009-2012)'!M250</f>
        <v>4</v>
      </c>
      <c r="N446" s="41">
        <f>'PRD Volumes TD (2009-2012)'!N250</f>
        <v>0</v>
      </c>
    </row>
    <row r="447" spans="2:14">
      <c r="B447" t="s">
        <v>214</v>
      </c>
      <c r="D447" t="s">
        <v>164</v>
      </c>
      <c r="F447" s="82">
        <f>SUM(G447:N447)</f>
        <v>115055.98323568137</v>
      </c>
      <c r="G447" s="41">
        <f>'PRD Volumes TD (2009-2012)'!G251</f>
        <v>0</v>
      </c>
      <c r="H447" s="41">
        <f>'PRD Volumes TD (2009-2012)'!H251</f>
        <v>9116</v>
      </c>
      <c r="I447" s="41">
        <f>'PRD Volumes TD (2009-2012)'!I251</f>
        <v>0</v>
      </c>
      <c r="J447" s="41">
        <f>'PRD Volumes TD (2009-2012)'!J251</f>
        <v>53657.726205997409</v>
      </c>
      <c r="K447" s="41">
        <f>'PRD Volumes TD (2009-2012)'!K251</f>
        <v>35938.257029683955</v>
      </c>
      <c r="L447" s="41">
        <f>'PRD Volumes TD (2009-2012)'!L251</f>
        <v>0</v>
      </c>
      <c r="M447" s="41">
        <f>'PRD Volumes TD (2009-2012)'!M251</f>
        <v>16344.000000000002</v>
      </c>
      <c r="N447" s="41">
        <f>'PRD Volumes TD (2009-2012)'!N251</f>
        <v>0</v>
      </c>
    </row>
    <row r="448" spans="2:14">
      <c r="B448" t="s">
        <v>217</v>
      </c>
      <c r="D448" t="s">
        <v>164</v>
      </c>
      <c r="F448" s="82">
        <f>SUM(G448:N448)</f>
        <v>1697643.7131043249</v>
      </c>
      <c r="G448" s="41">
        <f>'PRD Volumes TD (2009-2012)'!G252</f>
        <v>0</v>
      </c>
      <c r="H448" s="41">
        <f>'PRD Volumes TD (2009-2012)'!H252</f>
        <v>167603.42857142858</v>
      </c>
      <c r="I448" s="41">
        <f>'PRD Volumes TD (2009-2012)'!I252</f>
        <v>0</v>
      </c>
      <c r="J448" s="41">
        <f>'PRD Volumes TD (2009-2012)'!J252</f>
        <v>824116.70104895101</v>
      </c>
      <c r="K448" s="41">
        <f>'PRD Volumes TD (2009-2012)'!K252</f>
        <v>540011.58348394535</v>
      </c>
      <c r="L448" s="41">
        <f>'PRD Volumes TD (2009-2012)'!L252</f>
        <v>0</v>
      </c>
      <c r="M448" s="41">
        <f>'PRD Volumes TD (2009-2012)'!M252</f>
        <v>165911.99999999997</v>
      </c>
      <c r="N448" s="41">
        <f>'PRD Volumes TD (2009-2012)'!N252</f>
        <v>0</v>
      </c>
    </row>
    <row r="454" spans="2:14">
      <c r="B454" s="3" t="s">
        <v>50</v>
      </c>
    </row>
    <row r="457" spans="2:14">
      <c r="B457" s="3" t="s">
        <v>222</v>
      </c>
    </row>
    <row r="458" spans="2:14">
      <c r="B458" t="s">
        <v>213</v>
      </c>
      <c r="D458" t="s">
        <v>164</v>
      </c>
      <c r="F458" s="82">
        <f>SUM(G458:N458)</f>
        <v>267.825704735925</v>
      </c>
      <c r="G458" s="41">
        <f>'PRD Volumes TD (2009-2012)'!G262</f>
        <v>0</v>
      </c>
      <c r="H458" s="41">
        <f>'PRD Volumes TD (2009-2012)'!H262</f>
        <v>0</v>
      </c>
      <c r="I458" s="41">
        <f>'PRD Volumes TD (2009-2012)'!I262</f>
        <v>4</v>
      </c>
      <c r="J458" s="41">
        <f>'PRD Volumes TD (2009-2012)'!J262</f>
        <v>261.825704735925</v>
      </c>
      <c r="K458" s="41">
        <f>'PRD Volumes TD (2009-2012)'!K262</f>
        <v>0</v>
      </c>
      <c r="L458" s="41">
        <f>'PRD Volumes TD (2009-2012)'!L262</f>
        <v>2</v>
      </c>
      <c r="M458" s="41">
        <f>'PRD Volumes TD (2009-2012)'!M262</f>
        <v>0</v>
      </c>
      <c r="N458" s="41">
        <f>'PRD Volumes TD (2009-2012)'!N262</f>
        <v>0</v>
      </c>
    </row>
    <row r="459" spans="2:14">
      <c r="B459" t="s">
        <v>223</v>
      </c>
      <c r="D459" t="s">
        <v>164</v>
      </c>
      <c r="F459" s="82">
        <f>SUM(G459:N459)</f>
        <v>773456.28531000658</v>
      </c>
      <c r="G459" s="41">
        <f>'PRD Volumes TD (2009-2012)'!G263</f>
        <v>0</v>
      </c>
      <c r="H459" s="41">
        <f>'PRD Volumes TD (2009-2012)'!H263</f>
        <v>0</v>
      </c>
      <c r="I459" s="41">
        <f>'PRD Volumes TD (2009-2012)'!I263</f>
        <v>23180.461056931079</v>
      </c>
      <c r="J459" s="41">
        <f>'PRD Volumes TD (2009-2012)'!J263</f>
        <v>738368.82425307552</v>
      </c>
      <c r="K459" s="41">
        <f>'PRD Volumes TD (2009-2012)'!K263</f>
        <v>0</v>
      </c>
      <c r="L459" s="41">
        <f>'PRD Volumes TD (2009-2012)'!L263</f>
        <v>11907</v>
      </c>
      <c r="M459" s="41">
        <f>'PRD Volumes TD (2009-2012)'!M263</f>
        <v>0</v>
      </c>
      <c r="N459" s="41">
        <f>'PRD Volumes TD (2009-2012)'!N263</f>
        <v>0</v>
      </c>
    </row>
    <row r="460" spans="2:14">
      <c r="B460" t="s">
        <v>215</v>
      </c>
      <c r="D460" t="s">
        <v>164</v>
      </c>
      <c r="F460" s="82">
        <f>SUM(G460:N460)</f>
        <v>7510228.046011705</v>
      </c>
      <c r="G460" s="41">
        <f>'PRD Volumes TD (2009-2012)'!G264</f>
        <v>0</v>
      </c>
      <c r="H460" s="41">
        <f>'PRD Volumes TD (2009-2012)'!H264</f>
        <v>0</v>
      </c>
      <c r="I460" s="41">
        <f>'PRD Volumes TD (2009-2012)'!I264</f>
        <v>247777.08237534217</v>
      </c>
      <c r="J460" s="41">
        <f>'PRD Volumes TD (2009-2012)'!J264</f>
        <v>7153066.9636363629</v>
      </c>
      <c r="K460" s="41">
        <f>'PRD Volumes TD (2009-2012)'!K264</f>
        <v>0</v>
      </c>
      <c r="L460" s="41">
        <f>'PRD Volumes TD (2009-2012)'!L264</f>
        <v>109384</v>
      </c>
      <c r="M460" s="41">
        <f>'PRD Volumes TD (2009-2012)'!M264</f>
        <v>0</v>
      </c>
      <c r="N460" s="41">
        <f>'PRD Volumes TD (2009-2012)'!N264</f>
        <v>0</v>
      </c>
    </row>
    <row r="461" spans="2:14">
      <c r="B461" t="s">
        <v>224</v>
      </c>
      <c r="D461" t="s">
        <v>164</v>
      </c>
      <c r="F461" s="82">
        <f>SUM(G461:N461)</f>
        <v>3014263800.1359649</v>
      </c>
      <c r="G461" s="41">
        <f>'PRD Volumes TD (2009-2012)'!G265</f>
        <v>0</v>
      </c>
      <c r="H461" s="41">
        <f>'PRD Volumes TD (2009-2012)'!H265</f>
        <v>0</v>
      </c>
      <c r="I461" s="41">
        <f>'PRD Volumes TD (2009-2012)'!I265</f>
        <v>87448208.042942688</v>
      </c>
      <c r="J461" s="41">
        <f>'PRD Volumes TD (2009-2012)'!J265</f>
        <v>2901284972.0930223</v>
      </c>
      <c r="K461" s="41">
        <f>'PRD Volumes TD (2009-2012)'!K265</f>
        <v>0</v>
      </c>
      <c r="L461" s="41">
        <f>'PRD Volumes TD (2009-2012)'!L265</f>
        <v>25530620</v>
      </c>
      <c r="M461" s="41">
        <f>'PRD Volumes TD (2009-2012)'!M265</f>
        <v>0</v>
      </c>
      <c r="N461" s="41">
        <f>'PRD Volumes TD (2009-2012)'!N265</f>
        <v>0</v>
      </c>
    </row>
    <row r="463" spans="2:14">
      <c r="B463" s="3" t="s">
        <v>225</v>
      </c>
    </row>
    <row r="464" spans="2:14">
      <c r="B464" t="s">
        <v>213</v>
      </c>
      <c r="D464" t="s">
        <v>164</v>
      </c>
      <c r="F464" s="82">
        <f>SUM(G464:N464)</f>
        <v>23672.145143405174</v>
      </c>
      <c r="G464" s="41">
        <f>'PRD Volumes TD (2009-2012)'!G268</f>
        <v>29.76923076923077</v>
      </c>
      <c r="H464" s="41">
        <f>'PRD Volumes TD (2009-2012)'!H268</f>
        <v>410.91666666666669</v>
      </c>
      <c r="I464" s="41">
        <f>'PRD Volumes TD (2009-2012)'!I268</f>
        <v>581</v>
      </c>
      <c r="J464" s="41">
        <f>'PRD Volumes TD (2009-2012)'!J268</f>
        <v>9635.73644395677</v>
      </c>
      <c r="K464" s="41">
        <f>'PRD Volumes TD (2009-2012)'!K268</f>
        <v>9238.7411013322362</v>
      </c>
      <c r="L464" s="41">
        <f>'PRD Volumes TD (2009-2012)'!L268</f>
        <v>16</v>
      </c>
      <c r="M464" s="41">
        <f>'PRD Volumes TD (2009-2012)'!M268</f>
        <v>3209.8357823129254</v>
      </c>
      <c r="N464" s="41">
        <f>'PRD Volumes TD (2009-2012)'!N268</f>
        <v>550.14591836734689</v>
      </c>
    </row>
    <row r="465" spans="2:14">
      <c r="B465" t="s">
        <v>223</v>
      </c>
      <c r="D465" t="s">
        <v>164</v>
      </c>
      <c r="F465" s="82">
        <f>SUM(G465:N465)</f>
        <v>8590924.8155018911</v>
      </c>
      <c r="G465" s="41">
        <f>'PRD Volumes TD (2009-2012)'!G269</f>
        <v>33032.166666666664</v>
      </c>
      <c r="H465" s="41">
        <f>'PRD Volumes TD (2009-2012)'!H269</f>
        <v>190248.41666666669</v>
      </c>
      <c r="I465" s="41">
        <f>'PRD Volumes TD (2009-2012)'!I269</f>
        <v>145733.58603969391</v>
      </c>
      <c r="J465" s="41">
        <f>'PRD Volumes TD (2009-2012)'!J269</f>
        <v>2968704.6185495118</v>
      </c>
      <c r="K465" s="41">
        <f>'PRD Volumes TD (2009-2012)'!K269</f>
        <v>3166676.2195545714</v>
      </c>
      <c r="L465" s="41">
        <f>'PRD Volumes TD (2009-2012)'!L269</f>
        <v>17544</v>
      </c>
      <c r="M465" s="41">
        <f>'PRD Volumes TD (2009-2012)'!M269</f>
        <v>1843753.0909090911</v>
      </c>
      <c r="N465" s="41">
        <f>'PRD Volumes TD (2009-2012)'!N269</f>
        <v>225232.71711568942</v>
      </c>
    </row>
    <row r="466" spans="2:14">
      <c r="B466" t="s">
        <v>215</v>
      </c>
      <c r="D466" t="s">
        <v>164</v>
      </c>
      <c r="F466" s="82">
        <f>SUM(G466:N466)</f>
        <v>71848856.337783307</v>
      </c>
      <c r="G466" s="41">
        <f>'PRD Volumes TD (2009-2012)'!G270</f>
        <v>301142</v>
      </c>
      <c r="H466" s="41">
        <f>'PRD Volumes TD (2009-2012)'!H270</f>
        <v>1565788.6333333333</v>
      </c>
      <c r="I466" s="41">
        <f>'PRD Volumes TD (2009-2012)'!I270</f>
        <v>1165949.7724456401</v>
      </c>
      <c r="J466" s="41">
        <f>'PRD Volumes TD (2009-2012)'!J270</f>
        <v>26120870.840277776</v>
      </c>
      <c r="K466" s="41">
        <f>'PRD Volumes TD (2009-2012)'!K270</f>
        <v>26736631.092467286</v>
      </c>
      <c r="L466" s="41">
        <f>'PRD Volumes TD (2009-2012)'!L270</f>
        <v>180513</v>
      </c>
      <c r="M466" s="41">
        <f>'PRD Volumes TD (2009-2012)'!M270</f>
        <v>14002270.906666666</v>
      </c>
      <c r="N466" s="41">
        <f>'PRD Volumes TD (2009-2012)'!N270</f>
        <v>1775690.0925925926</v>
      </c>
    </row>
    <row r="467" spans="2:14">
      <c r="B467" t="s">
        <v>224</v>
      </c>
      <c r="D467" t="s">
        <v>164</v>
      </c>
      <c r="F467" s="82">
        <f>SUM(G467:N467)</f>
        <v>22965963962.026897</v>
      </c>
      <c r="G467" s="41">
        <f>'PRD Volumes TD (2009-2012)'!G271</f>
        <v>102726194</v>
      </c>
      <c r="H467" s="41">
        <f>'PRD Volumes TD (2009-2012)'!H271</f>
        <v>475681141</v>
      </c>
      <c r="I467" s="41">
        <f>'PRD Volumes TD (2009-2012)'!I271</f>
        <v>391313365.35639971</v>
      </c>
      <c r="J467" s="41">
        <f>'PRD Volumes TD (2009-2012)'!J271</f>
        <v>8034914251.8072309</v>
      </c>
      <c r="K467" s="41">
        <f>'PRD Volumes TD (2009-2012)'!K271</f>
        <v>8784384899.7595577</v>
      </c>
      <c r="L467" s="41">
        <f>'PRD Volumes TD (2009-2012)'!L271</f>
        <v>57994865</v>
      </c>
      <c r="M467" s="41">
        <f>'PRD Volumes TD (2009-2012)'!M271</f>
        <v>4689607559.782609</v>
      </c>
      <c r="N467" s="41">
        <f>'PRD Volumes TD (2009-2012)'!N271</f>
        <v>429341685.32110095</v>
      </c>
    </row>
    <row r="469" spans="2:14">
      <c r="B469" s="3" t="s">
        <v>226</v>
      </c>
    </row>
    <row r="470" spans="2:14">
      <c r="B470" t="s">
        <v>213</v>
      </c>
      <c r="D470" t="s">
        <v>164</v>
      </c>
      <c r="F470" s="82">
        <f>SUM(G470:N470)</f>
        <v>41500.448996718835</v>
      </c>
      <c r="G470" s="41">
        <f>'PRD Volumes TD (2009-2012)'!G274</f>
        <v>216.84615384615384</v>
      </c>
      <c r="H470" s="41">
        <f>'PRD Volumes TD (2009-2012)'!H274</f>
        <v>1532.7500000000002</v>
      </c>
      <c r="I470" s="41">
        <f>'PRD Volumes TD (2009-2012)'!I274</f>
        <v>711</v>
      </c>
      <c r="J470" s="41">
        <f>'PRD Volumes TD (2009-2012)'!J274</f>
        <v>14610.884029094706</v>
      </c>
      <c r="K470" s="41">
        <f>'PRD Volumes TD (2009-2012)'!K274</f>
        <v>13883.135004254167</v>
      </c>
      <c r="L470" s="41">
        <f>'PRD Volumes TD (2009-2012)'!L274</f>
        <v>132.72999999999999</v>
      </c>
      <c r="M470" s="41">
        <f>'PRD Volumes TD (2009-2012)'!M274</f>
        <v>9410.0909070294783</v>
      </c>
      <c r="N470" s="41">
        <f>'PRD Volumes TD (2009-2012)'!N274</f>
        <v>1003.0129024943309</v>
      </c>
    </row>
    <row r="471" spans="2:14">
      <c r="B471" t="s">
        <v>223</v>
      </c>
      <c r="D471" t="s">
        <v>164</v>
      </c>
      <c r="F471" s="82">
        <f>SUM(G471:N471)</f>
        <v>3877370.982837941</v>
      </c>
      <c r="G471" s="41">
        <f>'PRD Volumes TD (2009-2012)'!G275</f>
        <v>44163.75</v>
      </c>
      <c r="H471" s="41">
        <f>'PRD Volumes TD (2009-2012)'!H275</f>
        <v>145437.08333333334</v>
      </c>
      <c r="I471" s="41">
        <f>'PRD Volumes TD (2009-2012)'!I275</f>
        <v>43376.898920909698</v>
      </c>
      <c r="J471" s="41">
        <f>'PRD Volumes TD (2009-2012)'!J275</f>
        <v>1060946.371794872</v>
      </c>
      <c r="K471" s="41">
        <f>'PRD Volumes TD (2009-2012)'!K275</f>
        <v>1217002.5667774372</v>
      </c>
      <c r="L471" s="41">
        <f>'PRD Volumes TD (2009-2012)'!L275</f>
        <v>23029</v>
      </c>
      <c r="M471" s="41">
        <f>'PRD Volumes TD (2009-2012)'!M275</f>
        <v>1145447.6361111111</v>
      </c>
      <c r="N471" s="41">
        <f>'PRD Volumes TD (2009-2012)'!N275</f>
        <v>197967.67590027701</v>
      </c>
    </row>
    <row r="472" spans="2:14">
      <c r="B472" t="s">
        <v>215</v>
      </c>
      <c r="D472" t="s">
        <v>164</v>
      </c>
      <c r="F472" s="82">
        <f>SUM(G472:N472)</f>
        <v>28910605.109327849</v>
      </c>
      <c r="G472" s="41">
        <f>'PRD Volumes TD (2009-2012)'!G276</f>
        <v>392812</v>
      </c>
      <c r="H472" s="41">
        <f>'PRD Volumes TD (2009-2012)'!H276</f>
        <v>1126543.78</v>
      </c>
      <c r="I472" s="41">
        <f>'PRD Volumes TD (2009-2012)'!I276</f>
        <v>287033.25052994461</v>
      </c>
      <c r="J472" s="41">
        <f>'PRD Volumes TD (2009-2012)'!J276</f>
        <v>8306849.5625000065</v>
      </c>
      <c r="K472" s="41">
        <f>'PRD Volumes TD (2009-2012)'!K276</f>
        <v>9163142.1167917233</v>
      </c>
      <c r="L472" s="41">
        <f>'PRD Volumes TD (2009-2012)'!L276</f>
        <v>211539</v>
      </c>
      <c r="M472" s="41">
        <f>'PRD Volumes TD (2009-2012)'!M276</f>
        <v>7911848.7266666666</v>
      </c>
      <c r="N472" s="41">
        <f>'PRD Volumes TD (2009-2012)'!N276</f>
        <v>1510836.6728395061</v>
      </c>
    </row>
    <row r="473" spans="2:14">
      <c r="B473" t="s">
        <v>224</v>
      </c>
      <c r="D473" t="s">
        <v>164</v>
      </c>
      <c r="F473" s="82">
        <f>SUM(G473:N473)</f>
        <v>7906241413.2165871</v>
      </c>
      <c r="G473" s="41">
        <f>'PRD Volumes TD (2009-2012)'!G277</f>
        <v>112608973</v>
      </c>
      <c r="H473" s="41">
        <f>'PRD Volumes TD (2009-2012)'!H277</f>
        <v>286907561.89999998</v>
      </c>
      <c r="I473" s="41">
        <f>'PRD Volumes TD (2009-2012)'!I277</f>
        <v>72067455.575066105</v>
      </c>
      <c r="J473" s="41">
        <f>'PRD Volumes TD (2009-2012)'!J277</f>
        <v>2169919219.2771077</v>
      </c>
      <c r="K473" s="41">
        <f>'PRD Volumes TD (2009-2012)'!K277</f>
        <v>2548203713.4552383</v>
      </c>
      <c r="L473" s="41">
        <f>'PRD Volumes TD (2009-2012)'!L277</f>
        <v>56484029</v>
      </c>
      <c r="M473" s="41">
        <f>'PRD Volumes TD (2009-2012)'!M277</f>
        <v>2251031050.0000005</v>
      </c>
      <c r="N473" s="41">
        <f>'PRD Volumes TD (2009-2012)'!N277</f>
        <v>409019411.00917429</v>
      </c>
    </row>
    <row r="479" spans="2:14">
      <c r="B479" s="3" t="s">
        <v>51</v>
      </c>
    </row>
    <row r="482" spans="2:14">
      <c r="B482" s="3" t="s">
        <v>227</v>
      </c>
    </row>
    <row r="483" spans="2:14">
      <c r="B483" t="s">
        <v>213</v>
      </c>
      <c r="D483" t="s">
        <v>164</v>
      </c>
      <c r="F483" s="82">
        <f>SUM(G483:N483)</f>
        <v>17639.77304589191</v>
      </c>
      <c r="G483" s="41">
        <f>'PRD Volumes TD (2009-2012)'!G287</f>
        <v>307.23076923076923</v>
      </c>
      <c r="H483" s="41">
        <f>'PRD Volumes TD (2009-2012)'!H287</f>
        <v>355.58333333333326</v>
      </c>
      <c r="I483" s="41">
        <f>'PRD Volumes TD (2009-2012)'!I287</f>
        <v>0</v>
      </c>
      <c r="J483" s="41">
        <f>'PRD Volumes TD (2009-2012)'!J287</f>
        <v>3470.3899134598587</v>
      </c>
      <c r="K483" s="41">
        <f>'PRD Volumes TD (2009-2012)'!K287</f>
        <v>6037.1279187568398</v>
      </c>
      <c r="L483" s="41">
        <f>'PRD Volumes TD (2009-2012)'!L287</f>
        <v>133.4</v>
      </c>
      <c r="M483" s="41">
        <f>'PRD Volumes TD (2009-2012)'!M287</f>
        <v>7127</v>
      </c>
      <c r="N483" s="41">
        <f>'PRD Volumes TD (2009-2012)'!N287</f>
        <v>209.04111111111112</v>
      </c>
    </row>
    <row r="484" spans="2:14">
      <c r="B484" t="s">
        <v>223</v>
      </c>
      <c r="D484" t="s">
        <v>164</v>
      </c>
      <c r="F484" s="82">
        <f>SUM(G484:N484)</f>
        <v>951792.80217230343</v>
      </c>
      <c r="G484" s="41">
        <f>'PRD Volumes TD (2009-2012)'!G288</f>
        <v>24037.583333333332</v>
      </c>
      <c r="H484" s="41">
        <f>'PRD Volumes TD (2009-2012)'!H288</f>
        <v>17533.166666666668</v>
      </c>
      <c r="I484" s="41">
        <f>'PRD Volumes TD (2009-2012)'!I288</f>
        <v>0</v>
      </c>
      <c r="J484" s="41">
        <f>'PRD Volumes TD (2009-2012)'!J288</f>
        <v>112217.14906832295</v>
      </c>
      <c r="K484" s="41">
        <f>'PRD Volumes TD (2009-2012)'!K288</f>
        <v>218785.6836691105</v>
      </c>
      <c r="L484" s="41">
        <f>'PRD Volumes TD (2009-2012)'!L288</f>
        <v>8440</v>
      </c>
      <c r="M484" s="41">
        <f>'PRD Volumes TD (2009-2012)'!M288</f>
        <v>564686.45374449342</v>
      </c>
      <c r="N484" s="41">
        <f>'PRD Volumes TD (2009-2012)'!N288</f>
        <v>6092.7656903765701</v>
      </c>
    </row>
    <row r="485" spans="2:14">
      <c r="B485" t="s">
        <v>228</v>
      </c>
      <c r="D485" t="s">
        <v>164</v>
      </c>
      <c r="F485" s="82">
        <f>SUM(G485:N485)</f>
        <v>598625679.45398259</v>
      </c>
      <c r="G485" s="41">
        <f>'PRD Volumes TD (2009-2012)'!G289</f>
        <v>14475602</v>
      </c>
      <c r="H485" s="41">
        <f>'PRD Volumes TD (2009-2012)'!H289</f>
        <v>7430354.6000000006</v>
      </c>
      <c r="I485" s="41">
        <f>'PRD Volumes TD (2009-2012)'!I289</f>
        <v>0</v>
      </c>
      <c r="J485" s="41">
        <f>'PRD Volumes TD (2009-2012)'!J289</f>
        <v>67325263.398692802</v>
      </c>
      <c r="K485" s="41">
        <f>'PRD Volumes TD (2009-2012)'!K289</f>
        <v>156348248.64210299</v>
      </c>
      <c r="L485" s="41">
        <f>'PRD Volumes TD (2009-2012)'!L289</f>
        <v>6225934</v>
      </c>
      <c r="M485" s="41">
        <f>'PRD Volumes TD (2009-2012)'!M289</f>
        <v>341809288.09523809</v>
      </c>
      <c r="N485" s="41">
        <f>'PRD Volumes TD (2009-2012)'!N289</f>
        <v>5010988.717948718</v>
      </c>
    </row>
    <row r="486" spans="2:14">
      <c r="B486" t="s">
        <v>224</v>
      </c>
      <c r="D486" t="s">
        <v>164</v>
      </c>
      <c r="F486" s="82">
        <f>SUM(G486:N486)</f>
        <v>956174395.35006928</v>
      </c>
      <c r="G486" s="41">
        <f>'PRD Volumes TD (2009-2012)'!G290</f>
        <v>28608869</v>
      </c>
      <c r="H486" s="41">
        <f>'PRD Volumes TD (2009-2012)'!H290</f>
        <v>9886124.1999999993</v>
      </c>
      <c r="I486" s="41">
        <f>'PRD Volumes TD (2009-2012)'!I290</f>
        <v>0</v>
      </c>
      <c r="J486" s="41">
        <f>'PRD Volumes TD (2009-2012)'!J290</f>
        <v>106383651.87713313</v>
      </c>
      <c r="K486" s="41">
        <f>'PRD Volumes TD (2009-2012)'!K290</f>
        <v>239360333.84485564</v>
      </c>
      <c r="L486" s="41">
        <f>'PRD Volumes TD (2009-2012)'!L290</f>
        <v>12064497</v>
      </c>
      <c r="M486" s="41">
        <f>'PRD Volumes TD (2009-2012)'!M290</f>
        <v>553498173.80952382</v>
      </c>
      <c r="N486" s="41">
        <f>'PRD Volumes TD (2009-2012)'!N290</f>
        <v>6372745.6185567016</v>
      </c>
    </row>
    <row r="488" spans="2:14">
      <c r="B488" s="3" t="s">
        <v>229</v>
      </c>
    </row>
    <row r="489" spans="2:14">
      <c r="B489" t="s">
        <v>230</v>
      </c>
      <c r="D489" t="s">
        <v>164</v>
      </c>
      <c r="F489" s="82">
        <f>SUM(G489:N489)</f>
        <v>2643338.9269077359</v>
      </c>
      <c r="G489" s="41">
        <f>'PRD Volumes TD (2009-2012)'!G293</f>
        <v>22945</v>
      </c>
      <c r="H489" s="41">
        <f>'PRD Volumes TD (2009-2012)'!H293</f>
        <v>87552.999999999985</v>
      </c>
      <c r="I489" s="41">
        <f>'PRD Volumes TD (2009-2012)'!I293</f>
        <v>44951</v>
      </c>
      <c r="J489" s="41">
        <f>'PRD Volumes TD (2009-2012)'!J293</f>
        <v>1112352</v>
      </c>
      <c r="K489" s="41">
        <f>'PRD Volumes TD (2009-2012)'!K293</f>
        <v>744308.33943279029</v>
      </c>
      <c r="L489" s="41">
        <f>'PRD Volumes TD (2009-2012)'!L293</f>
        <v>18696</v>
      </c>
      <c r="M489" s="41">
        <f>'PRD Volumes TD (2009-2012)'!M293</f>
        <v>588338.66666666663</v>
      </c>
      <c r="N489" s="41">
        <f>'PRD Volumes TD (2009-2012)'!N293</f>
        <v>24194.920808279134</v>
      </c>
    </row>
    <row r="490" spans="2:14">
      <c r="B490" t="s">
        <v>231</v>
      </c>
      <c r="D490" t="s">
        <v>164</v>
      </c>
      <c r="F490" s="82">
        <f>SUM(G490:N490)</f>
        <v>7868257.2295667902</v>
      </c>
      <c r="G490" s="41">
        <f>'PRD Volumes TD (2009-2012)'!G294</f>
        <v>52153</v>
      </c>
      <c r="H490" s="41">
        <f>'PRD Volumes TD (2009-2012)'!H294</f>
        <v>204782.41666666669</v>
      </c>
      <c r="I490" s="41">
        <f>'PRD Volumes TD (2009-2012)'!I294</f>
        <v>104640</v>
      </c>
      <c r="J490" s="41">
        <f>'PRD Volumes TD (2009-2012)'!J294</f>
        <v>2567760.14816585</v>
      </c>
      <c r="K490" s="41">
        <f>'PRD Volumes TD (2009-2012)'!K294</f>
        <v>2884681.2897443259</v>
      </c>
      <c r="L490" s="41">
        <f>'PRD Volumes TD (2009-2012)'!L294</f>
        <v>31392.799999999999</v>
      </c>
      <c r="M490" s="41">
        <f>'PRD Volumes TD (2009-2012)'!M294</f>
        <v>1969462.5</v>
      </c>
      <c r="N490" s="41">
        <f>'PRD Volumes TD (2009-2012)'!N294</f>
        <v>53385.074989947352</v>
      </c>
    </row>
    <row r="492" spans="2:14">
      <c r="B492" s="3" t="s">
        <v>232</v>
      </c>
    </row>
    <row r="493" spans="2:14">
      <c r="B493" t="s">
        <v>233</v>
      </c>
      <c r="D493" t="s">
        <v>164</v>
      </c>
      <c r="F493" s="82">
        <f t="shared" ref="F493:F498" si="80">SUM(G493:N493)</f>
        <v>46914.298181114566</v>
      </c>
      <c r="G493" s="41">
        <f>'PRD Volumes TD (2009-2012)'!G297</f>
        <v>260.53846153846155</v>
      </c>
      <c r="H493" s="41">
        <f>'PRD Volumes TD (2009-2012)'!H297</f>
        <v>1151.5000000000002</v>
      </c>
      <c r="I493" s="41">
        <f>'PRD Volumes TD (2009-2012)'!I297</f>
        <v>113</v>
      </c>
      <c r="J493" s="41">
        <f>'PRD Volumes TD (2009-2012)'!J297</f>
        <v>17940.134877272896</v>
      </c>
      <c r="K493" s="41">
        <f>'PRD Volumes TD (2009-2012)'!K297</f>
        <v>17842.490496483832</v>
      </c>
      <c r="L493" s="41">
        <f>'PRD Volumes TD (2009-2012)'!L297</f>
        <v>176.4</v>
      </c>
      <c r="M493" s="41">
        <f>'PRD Volumes TD (2009-2012)'!M297</f>
        <v>8821.25</v>
      </c>
      <c r="N493" s="41">
        <f>'PRD Volumes TD (2009-2012)'!N297</f>
        <v>608.9843458193784</v>
      </c>
    </row>
    <row r="494" spans="2:14">
      <c r="B494" t="s">
        <v>234</v>
      </c>
      <c r="D494" t="s">
        <v>164</v>
      </c>
      <c r="F494" s="82">
        <f t="shared" si="80"/>
        <v>61558.389536056486</v>
      </c>
      <c r="G494" s="41">
        <f>'PRD Volumes TD (2009-2012)'!G298</f>
        <v>261.38461538461536</v>
      </c>
      <c r="H494" s="41">
        <f>'PRD Volumes TD (2009-2012)'!H298</f>
        <v>1246</v>
      </c>
      <c r="I494" s="41">
        <f>'PRD Volumes TD (2009-2012)'!I298</f>
        <v>1267</v>
      </c>
      <c r="J494" s="41">
        <f>'PRD Volumes TD (2009-2012)'!J298</f>
        <v>22319.153568729493</v>
      </c>
      <c r="K494" s="41">
        <f>'PRD Volumes TD (2009-2012)'!K298</f>
        <v>20733.970073200355</v>
      </c>
      <c r="L494" s="41">
        <f>'PRD Volumes TD (2009-2012)'!L298</f>
        <v>226.4</v>
      </c>
      <c r="M494" s="41">
        <f>'PRD Volumes TD (2009-2012)'!M298</f>
        <v>14865.083336177477</v>
      </c>
      <c r="N494" s="41">
        <f>'PRD Volumes TD (2009-2012)'!N298</f>
        <v>639.39794256454752</v>
      </c>
    </row>
    <row r="495" spans="2:14">
      <c r="B495" t="s">
        <v>235</v>
      </c>
      <c r="D495" t="s">
        <v>164</v>
      </c>
      <c r="F495" s="82">
        <f t="shared" si="80"/>
        <v>64814.060554748001</v>
      </c>
      <c r="G495" s="41">
        <f>'PRD Volumes TD (2009-2012)'!G299</f>
        <v>288.92307692307691</v>
      </c>
      <c r="H495" s="41">
        <f>'PRD Volumes TD (2009-2012)'!H299</f>
        <v>1808.5833333333335</v>
      </c>
      <c r="I495" s="41">
        <f>'PRD Volumes TD (2009-2012)'!I299</f>
        <v>722</v>
      </c>
      <c r="J495" s="41">
        <f>'PRD Volumes TD (2009-2012)'!J299</f>
        <v>24029.284200407408</v>
      </c>
      <c r="K495" s="41">
        <f>'PRD Volumes TD (2009-2012)'!K299</f>
        <v>23771.452702810333</v>
      </c>
      <c r="L495" s="41">
        <f>'PRD Volumes TD (2009-2012)'!L299</f>
        <v>289</v>
      </c>
      <c r="M495" s="41">
        <f>'PRD Volumes TD (2009-2012)'!M299</f>
        <v>13121.416666666666</v>
      </c>
      <c r="N495" s="41">
        <f>'PRD Volumes TD (2009-2012)'!N299</f>
        <v>783.40057460718515</v>
      </c>
    </row>
    <row r="496" spans="2:14">
      <c r="B496" t="s">
        <v>236</v>
      </c>
      <c r="D496" t="s">
        <v>164</v>
      </c>
      <c r="F496" s="82">
        <f t="shared" si="80"/>
        <v>160973.36505435265</v>
      </c>
      <c r="G496" s="41">
        <f>'PRD Volumes TD (2009-2012)'!G300</f>
        <v>856.92307692307691</v>
      </c>
      <c r="H496" s="41">
        <f>'PRD Volumes TD (2009-2012)'!H300</f>
        <v>3655.0833333333339</v>
      </c>
      <c r="I496" s="41">
        <f>'PRD Volumes TD (2009-2012)'!I300</f>
        <v>1339</v>
      </c>
      <c r="J496" s="41">
        <f>'PRD Volumes TD (2009-2012)'!J300</f>
        <v>60396.920347843581</v>
      </c>
      <c r="K496" s="41">
        <f>'PRD Volumes TD (2009-2012)'!K300</f>
        <v>52752.603668552671</v>
      </c>
      <c r="L496" s="41">
        <f>'PRD Volumes TD (2009-2012)'!L300</f>
        <v>533.4</v>
      </c>
      <c r="M496" s="41">
        <f>'PRD Volumes TD (2009-2012)'!M300</f>
        <v>40034.833191126279</v>
      </c>
      <c r="N496" s="41">
        <f>'PRD Volumes TD (2009-2012)'!N300</f>
        <v>1404.6014365736989</v>
      </c>
    </row>
    <row r="497" spans="2:14">
      <c r="B497" t="s">
        <v>237</v>
      </c>
      <c r="D497" t="s">
        <v>164</v>
      </c>
      <c r="F497" s="82">
        <f t="shared" si="80"/>
        <v>7540895.1304925084</v>
      </c>
      <c r="G497" s="41">
        <f>'PRD Volumes TD (2009-2012)'!G301</f>
        <v>50485.230769230766</v>
      </c>
      <c r="H497" s="41">
        <f>'PRD Volumes TD (2009-2012)'!H301</f>
        <v>196921.25000000003</v>
      </c>
      <c r="I497" s="41">
        <f>'PRD Volumes TD (2009-2012)'!I301</f>
        <v>101199</v>
      </c>
      <c r="J497" s="41">
        <f>'PRD Volumes TD (2009-2012)'!J301</f>
        <v>2443074.6551715964</v>
      </c>
      <c r="K497" s="41">
        <f>'PRD Volumes TD (2009-2012)'!K301</f>
        <v>2769580.7728032786</v>
      </c>
      <c r="L497" s="41">
        <f>'PRD Volumes TD (2009-2012)'!L301</f>
        <v>30167.599999999999</v>
      </c>
      <c r="M497" s="41">
        <f>'PRD Volumes TD (2009-2012)'!M301</f>
        <v>1899517.9310580206</v>
      </c>
      <c r="N497" s="41">
        <f>'PRD Volumes TD (2009-2012)'!N301</f>
        <v>49948.690690382544</v>
      </c>
    </row>
    <row r="498" spans="2:14">
      <c r="B498" t="s">
        <v>238</v>
      </c>
      <c r="D498" t="s">
        <v>164</v>
      </c>
      <c r="F498" s="82">
        <f t="shared" si="80"/>
        <v>2643338.9269077359</v>
      </c>
      <c r="G498" s="41">
        <f>'PRD Volumes TD (2009-2012)'!G302</f>
        <v>22945</v>
      </c>
      <c r="H498" s="41">
        <f>'PRD Volumes TD (2009-2012)'!H302</f>
        <v>87552.999999999985</v>
      </c>
      <c r="I498" s="41">
        <f>'PRD Volumes TD (2009-2012)'!I302</f>
        <v>44951</v>
      </c>
      <c r="J498" s="41">
        <f>'PRD Volumes TD (2009-2012)'!J302</f>
        <v>1112352</v>
      </c>
      <c r="K498" s="41">
        <f>'PRD Volumes TD (2009-2012)'!K302</f>
        <v>744308.33943279029</v>
      </c>
      <c r="L498" s="41">
        <f>'PRD Volumes TD (2009-2012)'!L302</f>
        <v>18696</v>
      </c>
      <c r="M498" s="41">
        <f>'PRD Volumes TD (2009-2012)'!M302</f>
        <v>588338.66666666663</v>
      </c>
      <c r="N498" s="41">
        <f>'PRD Volumes TD (2009-2012)'!N302</f>
        <v>24194.920808279134</v>
      </c>
    </row>
    <row r="500" spans="2:14">
      <c r="B500" t="s">
        <v>52</v>
      </c>
    </row>
    <row r="506" spans="2:14">
      <c r="B506" s="3" t="s">
        <v>53</v>
      </c>
    </row>
    <row r="509" spans="2:14">
      <c r="B509" t="s">
        <v>239</v>
      </c>
      <c r="D509" t="s">
        <v>164</v>
      </c>
      <c r="F509" s="82">
        <f>SUM(G509:N509)</f>
        <v>604446175.53613055</v>
      </c>
      <c r="G509" s="41">
        <f>'PRD Volumes TD (2009-2012)'!G313</f>
        <v>4557716</v>
      </c>
      <c r="H509" s="41">
        <f>'PRD Volumes TD (2009-2012)'!H313</f>
        <v>0</v>
      </c>
      <c r="I509" s="41">
        <f>'PRD Volumes TD (2009-2012)'!I313</f>
        <v>3457089.3846153887</v>
      </c>
      <c r="J509" s="41">
        <f>'PRD Volumes TD (2009-2012)'!J313</f>
        <v>334568796.66666669</v>
      </c>
      <c r="K509" s="41">
        <f>'PRD Volumes TD (2009-2012)'!K313</f>
        <v>0</v>
      </c>
      <c r="L509" s="41">
        <f>'PRD Volumes TD (2009-2012)'!L313</f>
        <v>2334625</v>
      </c>
      <c r="M509" s="41">
        <f>'PRD Volumes TD (2009-2012)'!M313</f>
        <v>259527948.4848485</v>
      </c>
      <c r="N509" s="41">
        <f>'PRD Volumes TD (2009-2012)'!N313</f>
        <v>0</v>
      </c>
    </row>
    <row r="510" spans="2:14">
      <c r="B510" t="s">
        <v>240</v>
      </c>
      <c r="D510" t="s">
        <v>164</v>
      </c>
      <c r="F510" s="82">
        <f>SUM(G510:N510)</f>
        <v>41614491.484848484</v>
      </c>
      <c r="G510" s="41">
        <f>'PRD Volumes TD (2009-2012)'!G314</f>
        <v>827267</v>
      </c>
      <c r="H510" s="41">
        <f>'PRD Volumes TD (2009-2012)'!H314</f>
        <v>0</v>
      </c>
      <c r="I510" s="41">
        <f>'PRD Volumes TD (2009-2012)'!I314</f>
        <v>0</v>
      </c>
      <c r="J510" s="41">
        <f>'PRD Volumes TD (2009-2012)'!J314</f>
        <v>14957661.666666664</v>
      </c>
      <c r="K510" s="41">
        <f>'PRD Volumes TD (2009-2012)'!K314</f>
        <v>0</v>
      </c>
      <c r="L510" s="41">
        <f>'PRD Volumes TD (2009-2012)'!L314</f>
        <v>712131</v>
      </c>
      <c r="M510" s="41">
        <f>'PRD Volumes TD (2009-2012)'!M314</f>
        <v>25117431.81818182</v>
      </c>
      <c r="N510" s="41">
        <f>'PRD Volumes TD (2009-2012)'!N314</f>
        <v>0</v>
      </c>
    </row>
    <row r="514" spans="2:14" s="2" customFormat="1">
      <c r="B514" s="2" t="s">
        <v>534</v>
      </c>
      <c r="F514" s="48"/>
    </row>
    <row r="516" spans="2:14">
      <c r="B516" s="3"/>
    </row>
    <row r="517" spans="2:14">
      <c r="B517" s="3" t="s">
        <v>49</v>
      </c>
      <c r="G517" s="27"/>
    </row>
    <row r="518" spans="2:14">
      <c r="B518" s="3"/>
    </row>
    <row r="519" spans="2:14">
      <c r="B519" s="3"/>
    </row>
    <row r="520" spans="2:14">
      <c r="B520" s="85" t="s">
        <v>212</v>
      </c>
    </row>
    <row r="521" spans="2:14">
      <c r="B521" t="s">
        <v>213</v>
      </c>
      <c r="D521" t="s">
        <v>164</v>
      </c>
      <c r="F521" s="82">
        <f>SUM(G521:N521)</f>
        <v>15</v>
      </c>
      <c r="G521" s="41">
        <f>'PRD Volumes TD (2009-2012)'!G325</f>
        <v>0</v>
      </c>
      <c r="H521" s="41">
        <f>'PRD Volumes TD (2009-2012)'!H325</f>
        <v>0</v>
      </c>
      <c r="I521" s="41">
        <f>'PRD Volumes TD (2009-2012)'!I325</f>
        <v>0</v>
      </c>
      <c r="J521" s="41">
        <f>'PRD Volumes TD (2009-2012)'!J325</f>
        <v>0</v>
      </c>
      <c r="K521" s="41">
        <f>'PRD Volumes TD (2009-2012)'!K325</f>
        <v>11</v>
      </c>
      <c r="L521" s="41">
        <f>'PRD Volumes TD (2009-2012)'!L325</f>
        <v>0</v>
      </c>
      <c r="M521" s="41">
        <f>'PRD Volumes TD (2009-2012)'!M325</f>
        <v>4</v>
      </c>
      <c r="N521" s="41">
        <f>'PRD Volumes TD (2009-2012)'!N325</f>
        <v>0</v>
      </c>
    </row>
    <row r="522" spans="2:14">
      <c r="B522" t="s">
        <v>214</v>
      </c>
      <c r="D522" t="s">
        <v>164</v>
      </c>
      <c r="F522" s="82">
        <f>SUM(G522:N522)</f>
        <v>929064.76712328766</v>
      </c>
      <c r="G522" s="41">
        <f>'PRD Volumes TD (2009-2012)'!G326</f>
        <v>0</v>
      </c>
      <c r="H522" s="41">
        <f>'PRD Volumes TD (2009-2012)'!H326</f>
        <v>0</v>
      </c>
      <c r="I522" s="41">
        <f>'PRD Volumes TD (2009-2012)'!I326</f>
        <v>0</v>
      </c>
      <c r="J522" s="41">
        <f>'PRD Volumes TD (2009-2012)'!J326</f>
        <v>0</v>
      </c>
      <c r="K522" s="41">
        <f>'PRD Volumes TD (2009-2012)'!K326</f>
        <v>655728.76712328766</v>
      </c>
      <c r="L522" s="41">
        <f>'PRD Volumes TD (2009-2012)'!L326</f>
        <v>0</v>
      </c>
      <c r="M522" s="41">
        <f>'PRD Volumes TD (2009-2012)'!M326</f>
        <v>273336</v>
      </c>
      <c r="N522" s="41">
        <f>'PRD Volumes TD (2009-2012)'!N326</f>
        <v>0</v>
      </c>
    </row>
    <row r="523" spans="2:14">
      <c r="B523" t="s">
        <v>215</v>
      </c>
      <c r="D523" t="s">
        <v>164</v>
      </c>
      <c r="F523" s="82">
        <f>SUM(G523:N523)</f>
        <v>9438031.5959595963</v>
      </c>
      <c r="G523" s="41">
        <f>'PRD Volumes TD (2009-2012)'!G327</f>
        <v>0</v>
      </c>
      <c r="H523" s="41">
        <f>'PRD Volumes TD (2009-2012)'!H327</f>
        <v>0</v>
      </c>
      <c r="I523" s="41">
        <f>'PRD Volumes TD (2009-2012)'!I327</f>
        <v>0</v>
      </c>
      <c r="J523" s="41">
        <f>'PRD Volumes TD (2009-2012)'!J327</f>
        <v>0</v>
      </c>
      <c r="K523" s="41">
        <f>'PRD Volumes TD (2009-2012)'!K327</f>
        <v>6627033.777777778</v>
      </c>
      <c r="L523" s="41">
        <f>'PRD Volumes TD (2009-2012)'!L327</f>
        <v>0</v>
      </c>
      <c r="M523" s="41">
        <f>'PRD Volumes TD (2009-2012)'!M327</f>
        <v>2810997.8181818179</v>
      </c>
      <c r="N523" s="41">
        <f>'PRD Volumes TD (2009-2012)'!N327</f>
        <v>0</v>
      </c>
    </row>
    <row r="525" spans="2:14">
      <c r="B525" s="3" t="s">
        <v>216</v>
      </c>
    </row>
    <row r="526" spans="2:14">
      <c r="B526" t="s">
        <v>213</v>
      </c>
      <c r="D526" t="s">
        <v>164</v>
      </c>
      <c r="F526" s="82">
        <f>SUM(G526:N526)</f>
        <v>6</v>
      </c>
      <c r="G526" s="41">
        <f>'PRD Volumes TD (2009-2012)'!G330</f>
        <v>0</v>
      </c>
      <c r="H526" s="41">
        <f>'PRD Volumes TD (2009-2012)'!H330</f>
        <v>0</v>
      </c>
      <c r="I526" s="41">
        <f>'PRD Volumes TD (2009-2012)'!I330</f>
        <v>0</v>
      </c>
      <c r="J526" s="41">
        <f>'PRD Volumes TD (2009-2012)'!J330</f>
        <v>0</v>
      </c>
      <c r="K526" s="41">
        <f>'PRD Volumes TD (2009-2012)'!K330</f>
        <v>0</v>
      </c>
      <c r="L526" s="41">
        <f>'PRD Volumes TD (2009-2012)'!L330</f>
        <v>0</v>
      </c>
      <c r="M526" s="41">
        <f>'PRD Volumes TD (2009-2012)'!M330</f>
        <v>6</v>
      </c>
      <c r="N526" s="41">
        <f>'PRD Volumes TD (2009-2012)'!N330</f>
        <v>0</v>
      </c>
    </row>
    <row r="527" spans="2:14">
      <c r="B527" t="s">
        <v>214</v>
      </c>
      <c r="D527" t="s">
        <v>164</v>
      </c>
      <c r="F527" s="82">
        <f>SUM(G527:N527)</f>
        <v>30729.81818181818</v>
      </c>
      <c r="G527" s="41">
        <f>'PRD Volumes TD (2009-2012)'!G331</f>
        <v>0</v>
      </c>
      <c r="H527" s="41">
        <f>'PRD Volumes TD (2009-2012)'!H331</f>
        <v>0</v>
      </c>
      <c r="I527" s="41">
        <f>'PRD Volumes TD (2009-2012)'!I331</f>
        <v>0</v>
      </c>
      <c r="J527" s="41">
        <f>'PRD Volumes TD (2009-2012)'!J331</f>
        <v>0</v>
      </c>
      <c r="K527" s="41">
        <f>'PRD Volumes TD (2009-2012)'!K331</f>
        <v>0</v>
      </c>
      <c r="L527" s="41">
        <f>'PRD Volumes TD (2009-2012)'!L331</f>
        <v>0</v>
      </c>
      <c r="M527" s="41">
        <f>'PRD Volumes TD (2009-2012)'!M331</f>
        <v>30729.81818181818</v>
      </c>
      <c r="N527" s="41">
        <f>'PRD Volumes TD (2009-2012)'!N331</f>
        <v>0</v>
      </c>
    </row>
    <row r="528" spans="2:14">
      <c r="B528" t="s">
        <v>217</v>
      </c>
      <c r="D528" t="s">
        <v>164</v>
      </c>
      <c r="F528" s="82">
        <f>SUM(G528:N528)</f>
        <v>212822.18181818179</v>
      </c>
      <c r="G528" s="41">
        <f>'PRD Volumes TD (2009-2012)'!G332</f>
        <v>0</v>
      </c>
      <c r="H528" s="41">
        <f>'PRD Volumes TD (2009-2012)'!H332</f>
        <v>0</v>
      </c>
      <c r="I528" s="41">
        <f>'PRD Volumes TD (2009-2012)'!I332</f>
        <v>0</v>
      </c>
      <c r="J528" s="41">
        <f>'PRD Volumes TD (2009-2012)'!J332</f>
        <v>0</v>
      </c>
      <c r="K528" s="41">
        <f>'PRD Volumes TD (2009-2012)'!K332</f>
        <v>0</v>
      </c>
      <c r="L528" s="41">
        <f>'PRD Volumes TD (2009-2012)'!L332</f>
        <v>0</v>
      </c>
      <c r="M528" s="41">
        <f>'PRD Volumes TD (2009-2012)'!M332</f>
        <v>212822.18181818179</v>
      </c>
      <c r="N528" s="41">
        <f>'PRD Volumes TD (2009-2012)'!N332</f>
        <v>0</v>
      </c>
    </row>
    <row r="530" spans="2:14">
      <c r="B530" s="3" t="s">
        <v>218</v>
      </c>
    </row>
    <row r="531" spans="2:14">
      <c r="B531" t="s">
        <v>213</v>
      </c>
      <c r="D531" t="s">
        <v>164</v>
      </c>
      <c r="F531" s="82">
        <f>SUM(G531:N531)</f>
        <v>92.687841325775508</v>
      </c>
      <c r="G531" s="41">
        <f>'PRD Volumes TD (2009-2012)'!G335</f>
        <v>0</v>
      </c>
      <c r="H531" s="41">
        <f>'PRD Volumes TD (2009-2012)'!H335</f>
        <v>2.7222210144927534</v>
      </c>
      <c r="I531" s="41">
        <f>'PRD Volumes TD (2009-2012)'!I335</f>
        <v>0</v>
      </c>
      <c r="J531" s="41">
        <f>'PRD Volumes TD (2009-2012)'!J335</f>
        <v>4.0001574981136496</v>
      </c>
      <c r="K531" s="41">
        <f>'PRD Volumes TD (2009-2012)'!K335</f>
        <v>19.329099176805464</v>
      </c>
      <c r="L531" s="41">
        <f>'PRD Volumes TD (2009-2012)'!L335</f>
        <v>0</v>
      </c>
      <c r="M531" s="41">
        <f>'PRD Volumes TD (2009-2012)'!M335</f>
        <v>66.63636363636364</v>
      </c>
      <c r="N531" s="41">
        <f>'PRD Volumes TD (2009-2012)'!N335</f>
        <v>0</v>
      </c>
    </row>
    <row r="532" spans="2:14">
      <c r="B532" t="s">
        <v>214</v>
      </c>
      <c r="D532" t="s">
        <v>164</v>
      </c>
      <c r="F532" s="82">
        <f>SUM(G532:N532)</f>
        <v>912339.0408390559</v>
      </c>
      <c r="G532" s="41">
        <f>'PRD Volumes TD (2009-2012)'!G336</f>
        <v>0</v>
      </c>
      <c r="H532" s="41">
        <f>'PRD Volumes TD (2009-2012)'!H336</f>
        <v>34213.861111111109</v>
      </c>
      <c r="I532" s="41">
        <f>'PRD Volumes TD (2009-2012)'!I336</f>
        <v>0</v>
      </c>
      <c r="J532" s="41">
        <f>'PRD Volumes TD (2009-2012)'!J336</f>
        <v>72330.004889975549</v>
      </c>
      <c r="K532" s="41">
        <f>'PRD Volumes TD (2009-2012)'!K336</f>
        <v>135584.44756524207</v>
      </c>
      <c r="L532" s="41">
        <f>'PRD Volumes TD (2009-2012)'!L336</f>
        <v>0</v>
      </c>
      <c r="M532" s="41">
        <f>'PRD Volumes TD (2009-2012)'!M336</f>
        <v>670210.72727272718</v>
      </c>
      <c r="N532" s="41">
        <f>'PRD Volumes TD (2009-2012)'!N336</f>
        <v>0</v>
      </c>
    </row>
    <row r="533" spans="2:14">
      <c r="B533" t="s">
        <v>215</v>
      </c>
      <c r="D533" t="s">
        <v>164</v>
      </c>
      <c r="F533" s="82">
        <f>SUM(G533:N533)</f>
        <v>8293904.5407517543</v>
      </c>
      <c r="G533" s="41">
        <f>'PRD Volumes TD (2009-2012)'!G337</f>
        <v>0</v>
      </c>
      <c r="H533" s="41">
        <f>'PRD Volumes TD (2009-2012)'!H337</f>
        <v>383447.6617647059</v>
      </c>
      <c r="I533" s="41">
        <f>'PRD Volumes TD (2009-2012)'!I337</f>
        <v>0</v>
      </c>
      <c r="J533" s="41">
        <f>'PRD Volumes TD (2009-2012)'!J337</f>
        <v>770270.18</v>
      </c>
      <c r="K533" s="41">
        <f>'PRD Volumes TD (2009-2012)'!K337</f>
        <v>1286716.5171688669</v>
      </c>
      <c r="L533" s="41">
        <f>'PRD Volumes TD (2009-2012)'!L337</f>
        <v>0</v>
      </c>
      <c r="M533" s="41">
        <f>'PRD Volumes TD (2009-2012)'!M337</f>
        <v>5853470.1818181816</v>
      </c>
      <c r="N533" s="41">
        <f>'PRD Volumes TD (2009-2012)'!N337</f>
        <v>0</v>
      </c>
    </row>
    <row r="535" spans="2:14">
      <c r="B535" s="3" t="s">
        <v>219</v>
      </c>
    </row>
    <row r="536" spans="2:14">
      <c r="B536" t="s">
        <v>213</v>
      </c>
      <c r="D536" t="s">
        <v>164</v>
      </c>
      <c r="F536" s="82">
        <f>SUM(G536:N536)</f>
        <v>25.000078749056826</v>
      </c>
      <c r="G536" s="41">
        <f>'PRD Volumes TD (2009-2012)'!G340</f>
        <v>0</v>
      </c>
      <c r="H536" s="41">
        <f>'PRD Volumes TD (2009-2012)'!H340</f>
        <v>0</v>
      </c>
      <c r="I536" s="41">
        <f>'PRD Volumes TD (2009-2012)'!I340</f>
        <v>0</v>
      </c>
      <c r="J536" s="41">
        <f>'PRD Volumes TD (2009-2012)'!J340</f>
        <v>2.0000787490568248</v>
      </c>
      <c r="K536" s="41">
        <f>'PRD Volumes TD (2009-2012)'!K340</f>
        <v>12</v>
      </c>
      <c r="L536" s="41">
        <f>'PRD Volumes TD (2009-2012)'!L340</f>
        <v>0</v>
      </c>
      <c r="M536" s="41">
        <f>'PRD Volumes TD (2009-2012)'!M340</f>
        <v>11</v>
      </c>
      <c r="N536" s="41">
        <f>'PRD Volumes TD (2009-2012)'!N340</f>
        <v>0</v>
      </c>
    </row>
    <row r="537" spans="2:14">
      <c r="B537" t="s">
        <v>214</v>
      </c>
      <c r="D537" t="s">
        <v>164</v>
      </c>
      <c r="F537" s="82">
        <f>SUM(G537:N537)</f>
        <v>346858.46520580392</v>
      </c>
      <c r="G537" s="41">
        <f>'PRD Volumes TD (2009-2012)'!G341</f>
        <v>0</v>
      </c>
      <c r="H537" s="41">
        <f>'PRD Volumes TD (2009-2012)'!H341</f>
        <v>0</v>
      </c>
      <c r="I537" s="41">
        <f>'PRD Volumes TD (2009-2012)'!I341</f>
        <v>0</v>
      </c>
      <c r="J537" s="41">
        <f>'PRD Volumes TD (2009-2012)'!J341</f>
        <v>13043.28338762215</v>
      </c>
      <c r="K537" s="41">
        <f>'PRD Volumes TD (2009-2012)'!K341</f>
        <v>68597</v>
      </c>
      <c r="L537" s="41">
        <f>'PRD Volumes TD (2009-2012)'!L341</f>
        <v>0</v>
      </c>
      <c r="M537" s="41">
        <f>'PRD Volumes TD (2009-2012)'!M341</f>
        <v>265218.18181818177</v>
      </c>
      <c r="N537" s="41">
        <f>'PRD Volumes TD (2009-2012)'!N341</f>
        <v>0</v>
      </c>
    </row>
    <row r="538" spans="2:14">
      <c r="B538" t="s">
        <v>217</v>
      </c>
      <c r="D538" t="s">
        <v>164</v>
      </c>
      <c r="F538" s="82">
        <f>SUM(G538:N538)</f>
        <v>4787902.6311688311</v>
      </c>
      <c r="G538" s="41">
        <f>'PRD Volumes TD (2009-2012)'!G342</f>
        <v>0</v>
      </c>
      <c r="H538" s="41">
        <f>'PRD Volumes TD (2009-2012)'!H342</f>
        <v>0</v>
      </c>
      <c r="I538" s="41">
        <f>'PRD Volumes TD (2009-2012)'!I342</f>
        <v>0</v>
      </c>
      <c r="J538" s="41">
        <f>'PRD Volumes TD (2009-2012)'!J342</f>
        <v>123901.08571428573</v>
      </c>
      <c r="K538" s="41">
        <f>'PRD Volumes TD (2009-2012)'!K342</f>
        <v>1116279.0000000002</v>
      </c>
      <c r="L538" s="41">
        <f>'PRD Volumes TD (2009-2012)'!L342</f>
        <v>0</v>
      </c>
      <c r="M538" s="41">
        <f>'PRD Volumes TD (2009-2012)'!M342</f>
        <v>3547722.5454545454</v>
      </c>
      <c r="N538" s="41">
        <f>'PRD Volumes TD (2009-2012)'!N342</f>
        <v>0</v>
      </c>
    </row>
    <row r="540" spans="2:14">
      <c r="B540" s="3" t="s">
        <v>220</v>
      </c>
    </row>
    <row r="541" spans="2:14">
      <c r="B541" t="s">
        <v>213</v>
      </c>
      <c r="D541" t="s">
        <v>164</v>
      </c>
      <c r="F541" s="82">
        <f>SUM(G541:N541)</f>
        <v>702.27602665030281</v>
      </c>
      <c r="G541" s="41">
        <f>'PRD Volumes TD (2009-2012)'!G345</f>
        <v>0</v>
      </c>
      <c r="H541" s="41">
        <f>'PRD Volumes TD (2009-2012)'!H345</f>
        <v>44.833333333333329</v>
      </c>
      <c r="I541" s="41">
        <f>'PRD Volumes TD (2009-2012)'!I345</f>
        <v>1</v>
      </c>
      <c r="J541" s="41">
        <f>'PRD Volumes TD (2009-2012)'!J345</f>
        <v>186.54607214714432</v>
      </c>
      <c r="K541" s="41">
        <f>'PRD Volumes TD (2009-2012)'!K345</f>
        <v>328.80571207891603</v>
      </c>
      <c r="L541" s="41">
        <f>'PRD Volumes TD (2009-2012)'!L345</f>
        <v>0</v>
      </c>
      <c r="M541" s="41">
        <f>'PRD Volumes TD (2009-2012)'!M345</f>
        <v>136.09090909090909</v>
      </c>
      <c r="N541" s="41">
        <f>'PRD Volumes TD (2009-2012)'!N345</f>
        <v>5</v>
      </c>
    </row>
    <row r="542" spans="2:14">
      <c r="B542" t="s">
        <v>214</v>
      </c>
      <c r="D542" t="s">
        <v>164</v>
      </c>
      <c r="F542" s="82">
        <f>SUM(G542:N542)</f>
        <v>3050214.6764847375</v>
      </c>
      <c r="G542" s="41">
        <f>'PRD Volumes TD (2009-2012)'!G346</f>
        <v>0</v>
      </c>
      <c r="H542" s="41">
        <f>'PRD Volumes TD (2009-2012)'!H346</f>
        <v>92758.583333333328</v>
      </c>
      <c r="I542" s="41">
        <f>'PRD Volumes TD (2009-2012)'!I346</f>
        <v>14856.427966301664</v>
      </c>
      <c r="J542" s="41">
        <f>'PRD Volumes TD (2009-2012)'!J346</f>
        <v>1368431.8165605098</v>
      </c>
      <c r="K542" s="41">
        <f>'PRD Volumes TD (2009-2012)'!K346</f>
        <v>1079154.666806411</v>
      </c>
      <c r="L542" s="41">
        <f>'PRD Volumes TD (2009-2012)'!L346</f>
        <v>0</v>
      </c>
      <c r="M542" s="41">
        <f>'PRD Volumes TD (2009-2012)'!M346</f>
        <v>465033.18181818182</v>
      </c>
      <c r="N542" s="41">
        <f>'PRD Volumes TD (2009-2012)'!N346</f>
        <v>29980</v>
      </c>
    </row>
    <row r="543" spans="2:14">
      <c r="B543" t="s">
        <v>215</v>
      </c>
      <c r="D543" t="s">
        <v>164</v>
      </c>
      <c r="F543" s="82">
        <f>SUM(G543:N543)</f>
        <v>29068464.693731695</v>
      </c>
      <c r="G543" s="41">
        <f>'PRD Volumes TD (2009-2012)'!G347</f>
        <v>0</v>
      </c>
      <c r="H543" s="41">
        <f>'PRD Volumes TD (2009-2012)'!H347</f>
        <v>743772</v>
      </c>
      <c r="I543" s="41">
        <f>'PRD Volumes TD (2009-2012)'!I347</f>
        <v>164823.77296883665</v>
      </c>
      <c r="J543" s="41">
        <f>'PRD Volumes TD (2009-2012)'!J347</f>
        <v>13544779.638709679</v>
      </c>
      <c r="K543" s="41">
        <f>'PRD Volumes TD (2009-2012)'!K347</f>
        <v>10057355.100234997</v>
      </c>
      <c r="L543" s="41">
        <f>'PRD Volumes TD (2009-2012)'!L347</f>
        <v>0</v>
      </c>
      <c r="M543" s="41">
        <f>'PRD Volumes TD (2009-2012)'!M347</f>
        <v>4268414.1818181816</v>
      </c>
      <c r="N543" s="41">
        <f>'PRD Volumes TD (2009-2012)'!N347</f>
        <v>289320</v>
      </c>
    </row>
    <row r="545" spans="2:14">
      <c r="B545" s="3" t="s">
        <v>221</v>
      </c>
    </row>
    <row r="546" spans="2:14">
      <c r="B546" t="s">
        <v>213</v>
      </c>
      <c r="D546" t="s">
        <v>164</v>
      </c>
      <c r="F546" s="82">
        <f>SUM(G546:N546)</f>
        <v>29.539721444319937</v>
      </c>
      <c r="G546" s="41">
        <f>'PRD Volumes TD (2009-2012)'!G350</f>
        <v>0</v>
      </c>
      <c r="H546" s="41">
        <f>'PRD Volumes TD (2009-2012)'!H350</f>
        <v>1</v>
      </c>
      <c r="I546" s="41">
        <f>'PRD Volumes TD (2009-2012)'!I350</f>
        <v>0</v>
      </c>
      <c r="J546" s="41">
        <f>'PRD Volumes TD (2009-2012)'!J350</f>
        <v>9.6230547776532713</v>
      </c>
      <c r="K546" s="41">
        <f>'PRD Volumes TD (2009-2012)'!K350</f>
        <v>15.916666666666666</v>
      </c>
      <c r="L546" s="41">
        <f>'PRD Volumes TD (2009-2012)'!L350</f>
        <v>0</v>
      </c>
      <c r="M546" s="41">
        <f>'PRD Volumes TD (2009-2012)'!M350</f>
        <v>3</v>
      </c>
      <c r="N546" s="41">
        <f>'PRD Volumes TD (2009-2012)'!N350</f>
        <v>0</v>
      </c>
    </row>
    <row r="547" spans="2:14">
      <c r="B547" t="s">
        <v>214</v>
      </c>
      <c r="D547" t="s">
        <v>164</v>
      </c>
      <c r="F547" s="82">
        <f>SUM(G547:N547)</f>
        <v>119964.68176027795</v>
      </c>
      <c r="G547" s="41">
        <f>'PRD Volumes TD (2009-2012)'!G351</f>
        <v>0</v>
      </c>
      <c r="H547" s="41">
        <f>'PRD Volumes TD (2009-2012)'!H351</f>
        <v>9116</v>
      </c>
      <c r="I547" s="41">
        <f>'PRD Volumes TD (2009-2012)'!I351</f>
        <v>0</v>
      </c>
      <c r="J547" s="41">
        <f>'PRD Volumes TD (2009-2012)'!J351</f>
        <v>51030.136305732485</v>
      </c>
      <c r="K547" s="41">
        <f>'PRD Volumes TD (2009-2012)'!K351</f>
        <v>48252.000000000007</v>
      </c>
      <c r="L547" s="41">
        <f>'PRD Volumes TD (2009-2012)'!L351</f>
        <v>0</v>
      </c>
      <c r="M547" s="41">
        <f>'PRD Volumes TD (2009-2012)'!M351</f>
        <v>11566.545454545454</v>
      </c>
      <c r="N547" s="41">
        <f>'PRD Volumes TD (2009-2012)'!N351</f>
        <v>0</v>
      </c>
    </row>
    <row r="548" spans="2:14">
      <c r="B548" t="s">
        <v>217</v>
      </c>
      <c r="D548" t="s">
        <v>164</v>
      </c>
      <c r="F548" s="82">
        <f>SUM(G548:N548)</f>
        <v>1768940.9810004809</v>
      </c>
      <c r="G548" s="41">
        <f>'PRD Volumes TD (2009-2012)'!G352</f>
        <v>0</v>
      </c>
      <c r="H548" s="41">
        <f>'PRD Volumes TD (2009-2012)'!H352</f>
        <v>163910.28571428571</v>
      </c>
      <c r="I548" s="41">
        <f>'PRD Volumes TD (2009-2012)'!I352</f>
        <v>0</v>
      </c>
      <c r="J548" s="41">
        <f>'PRD Volumes TD (2009-2012)'!J352</f>
        <v>740910.24074074079</v>
      </c>
      <c r="K548" s="41">
        <f>'PRD Volumes TD (2009-2012)'!K352</f>
        <v>705558.99999999988</v>
      </c>
      <c r="L548" s="41">
        <f>'PRD Volumes TD (2009-2012)'!L352</f>
        <v>0</v>
      </c>
      <c r="M548" s="41">
        <f>'PRD Volumes TD (2009-2012)'!M352</f>
        <v>158561.45454545453</v>
      </c>
      <c r="N548" s="41">
        <f>'PRD Volumes TD (2009-2012)'!N352</f>
        <v>0</v>
      </c>
    </row>
    <row r="554" spans="2:14">
      <c r="B554" s="3" t="s">
        <v>50</v>
      </c>
    </row>
    <row r="557" spans="2:14">
      <c r="B557" s="3" t="s">
        <v>222</v>
      </c>
    </row>
    <row r="558" spans="2:14">
      <c r="B558" t="s">
        <v>213</v>
      </c>
      <c r="D558" t="s">
        <v>164</v>
      </c>
      <c r="F558" s="82">
        <f>SUM(G558:N558)</f>
        <v>277.08317799025463</v>
      </c>
      <c r="G558" s="41">
        <f>'PRD Volumes TD (2009-2012)'!G362</f>
        <v>0</v>
      </c>
      <c r="H558" s="41">
        <f>'PRD Volumes TD (2009-2012)'!H362</f>
        <v>0</v>
      </c>
      <c r="I558" s="41">
        <f>'PRD Volumes TD (2009-2012)'!I362</f>
        <v>4</v>
      </c>
      <c r="J558" s="41">
        <f>'PRD Volumes TD (2009-2012)'!J362</f>
        <v>271.08317799025463</v>
      </c>
      <c r="K558" s="41">
        <f>'PRD Volumes TD (2009-2012)'!K362</f>
        <v>0</v>
      </c>
      <c r="L558" s="41">
        <f>'PRD Volumes TD (2009-2012)'!L362</f>
        <v>2</v>
      </c>
      <c r="M558" s="41">
        <f>'PRD Volumes TD (2009-2012)'!M362</f>
        <v>0</v>
      </c>
      <c r="N558" s="41">
        <f>'PRD Volumes TD (2009-2012)'!N362</f>
        <v>0</v>
      </c>
    </row>
    <row r="559" spans="2:14">
      <c r="B559" t="s">
        <v>223</v>
      </c>
      <c r="D559" t="s">
        <v>164</v>
      </c>
      <c r="F559" s="82">
        <f>SUM(G559:N559)</f>
        <v>796538.40365426894</v>
      </c>
      <c r="G559" s="41">
        <f>'PRD Volumes TD (2009-2012)'!G363</f>
        <v>0</v>
      </c>
      <c r="H559" s="41">
        <f>'PRD Volumes TD (2009-2012)'!H363</f>
        <v>0</v>
      </c>
      <c r="I559" s="41">
        <f>'PRD Volumes TD (2009-2012)'!I363</f>
        <v>23110.427626871733</v>
      </c>
      <c r="J559" s="41">
        <f>'PRD Volumes TD (2009-2012)'!J363</f>
        <v>760992.97602739721</v>
      </c>
      <c r="K559" s="41">
        <f>'PRD Volumes TD (2009-2012)'!K363</f>
        <v>0</v>
      </c>
      <c r="L559" s="41">
        <f>'PRD Volumes TD (2009-2012)'!L363</f>
        <v>12435</v>
      </c>
      <c r="M559" s="41">
        <f>'PRD Volumes TD (2009-2012)'!M363</f>
        <v>0</v>
      </c>
      <c r="N559" s="41">
        <f>'PRD Volumes TD (2009-2012)'!N363</f>
        <v>0</v>
      </c>
    </row>
    <row r="560" spans="2:14">
      <c r="B560" t="s">
        <v>215</v>
      </c>
      <c r="D560" t="s">
        <v>164</v>
      </c>
      <c r="F560" s="82">
        <f>SUM(G560:N560)</f>
        <v>7653787.6499531614</v>
      </c>
      <c r="G560" s="41">
        <f>'PRD Volumes TD (2009-2012)'!G364</f>
        <v>0</v>
      </c>
      <c r="H560" s="41">
        <f>'PRD Volumes TD (2009-2012)'!H364</f>
        <v>0</v>
      </c>
      <c r="I560" s="41">
        <f>'PRD Volumes TD (2009-2012)'!I364</f>
        <v>249857.22517439915</v>
      </c>
      <c r="J560" s="41">
        <f>'PRD Volumes TD (2009-2012)'!J364</f>
        <v>7287711.4247787623</v>
      </c>
      <c r="K560" s="41">
        <f>'PRD Volumes TD (2009-2012)'!K364</f>
        <v>0</v>
      </c>
      <c r="L560" s="41">
        <f>'PRD Volumes TD (2009-2012)'!L364</f>
        <v>116219</v>
      </c>
      <c r="M560" s="41">
        <f>'PRD Volumes TD (2009-2012)'!M364</f>
        <v>0</v>
      </c>
      <c r="N560" s="41">
        <f>'PRD Volumes TD (2009-2012)'!N364</f>
        <v>0</v>
      </c>
    </row>
    <row r="561" spans="2:14">
      <c r="B561" t="s">
        <v>224</v>
      </c>
      <c r="D561" t="s">
        <v>164</v>
      </c>
      <c r="F561" s="82">
        <f>SUM(G561:N561)</f>
        <v>3060297023.6484346</v>
      </c>
      <c r="G561" s="41">
        <f>'PRD Volumes TD (2009-2012)'!G365</f>
        <v>0</v>
      </c>
      <c r="H561" s="41">
        <f>'PRD Volumes TD (2009-2012)'!H365</f>
        <v>0</v>
      </c>
      <c r="I561" s="41">
        <f>'PRD Volumes TD (2009-2012)'!I365</f>
        <v>90468727.466617242</v>
      </c>
      <c r="J561" s="41">
        <f>'PRD Volumes TD (2009-2012)'!J365</f>
        <v>2945803143.1818175</v>
      </c>
      <c r="K561" s="41">
        <f>'PRD Volumes TD (2009-2012)'!K365</f>
        <v>0</v>
      </c>
      <c r="L561" s="41">
        <f>'PRD Volumes TD (2009-2012)'!L365</f>
        <v>24025153</v>
      </c>
      <c r="M561" s="41">
        <f>'PRD Volumes TD (2009-2012)'!M365</f>
        <v>0</v>
      </c>
      <c r="N561" s="41">
        <f>'PRD Volumes TD (2009-2012)'!N365</f>
        <v>0</v>
      </c>
    </row>
    <row r="563" spans="2:14">
      <c r="B563" s="3" t="s">
        <v>225</v>
      </c>
    </row>
    <row r="564" spans="2:14">
      <c r="B564" t="s">
        <v>213</v>
      </c>
      <c r="D564" t="s">
        <v>164</v>
      </c>
      <c r="F564" s="82">
        <f>SUM(G564:N564)</f>
        <v>24087.497376304775</v>
      </c>
      <c r="G564" s="41">
        <f>'PRD Volumes TD (2009-2012)'!G368</f>
        <v>29.615384615384617</v>
      </c>
      <c r="H564" s="41">
        <f>'PRD Volumes TD (2009-2012)'!H368</f>
        <v>411.74999999999994</v>
      </c>
      <c r="I564" s="41">
        <f>'PRD Volumes TD (2009-2012)'!I368</f>
        <v>546</v>
      </c>
      <c r="J564" s="41">
        <f>'PRD Volumes TD (2009-2012)'!J368</f>
        <v>10045.439854558193</v>
      </c>
      <c r="K564" s="41">
        <f>'PRD Volumes TD (2009-2012)'!K368</f>
        <v>9224.6927638061097</v>
      </c>
      <c r="L564" s="41">
        <f>'PRD Volumes TD (2009-2012)'!L368</f>
        <v>15.59</v>
      </c>
      <c r="M564" s="41">
        <f>'PRD Volumes TD (2009-2012)'!M368</f>
        <v>3265.363636363636</v>
      </c>
      <c r="N564" s="41">
        <f>'PRD Volumes TD (2009-2012)'!N368</f>
        <v>549.04573696145121</v>
      </c>
    </row>
    <row r="565" spans="2:14">
      <c r="B565" t="s">
        <v>223</v>
      </c>
      <c r="D565" t="s">
        <v>164</v>
      </c>
      <c r="F565" s="82">
        <f>SUM(G565:N565)</f>
        <v>8536172.8538765255</v>
      </c>
      <c r="G565" s="41">
        <f>'PRD Volumes TD (2009-2012)'!G369</f>
        <v>34360.583333333336</v>
      </c>
      <c r="H565" s="41">
        <f>'PRD Volumes TD (2009-2012)'!H369</f>
        <v>191867.83333333334</v>
      </c>
      <c r="I565" s="41">
        <f>'PRD Volumes TD (2009-2012)'!I369</f>
        <v>143272.27681885005</v>
      </c>
      <c r="J565" s="41">
        <f>'PRD Volumes TD (2009-2012)'!J369</f>
        <v>2976800.2758152173</v>
      </c>
      <c r="K565" s="41">
        <f>'PRD Volumes TD (2009-2012)'!K369</f>
        <v>3143366.7009127089</v>
      </c>
      <c r="L565" s="41">
        <f>'PRD Volumes TD (2009-2012)'!L369</f>
        <v>17732</v>
      </c>
      <c r="M565" s="41">
        <f>'PRD Volumes TD (2009-2012)'!M369</f>
        <v>1799382.5454545452</v>
      </c>
      <c r="N565" s="41">
        <f>'PRD Volumes TD (2009-2012)'!N369</f>
        <v>229390.63820853748</v>
      </c>
    </row>
    <row r="566" spans="2:14">
      <c r="B566" t="s">
        <v>215</v>
      </c>
      <c r="D566" t="s">
        <v>164</v>
      </c>
      <c r="F566" s="82">
        <f>SUM(G566:N566)</f>
        <v>71684214.935348928</v>
      </c>
      <c r="G566" s="41">
        <f>'PRD Volumes TD (2009-2012)'!G370</f>
        <v>310600</v>
      </c>
      <c r="H566" s="41">
        <f>'PRD Volumes TD (2009-2012)'!H370</f>
        <v>1594433</v>
      </c>
      <c r="I566" s="41">
        <f>'PRD Volumes TD (2009-2012)'!I370</f>
        <v>1126420.8806018378</v>
      </c>
      <c r="J566" s="41">
        <f>'PRD Volumes TD (2009-2012)'!J370</f>
        <v>26022300.885135137</v>
      </c>
      <c r="K566" s="41">
        <f>'PRD Volumes TD (2009-2012)'!K370</f>
        <v>26736190.758777365</v>
      </c>
      <c r="L566" s="41">
        <f>'PRD Volumes TD (2009-2012)'!L370</f>
        <v>183903.77</v>
      </c>
      <c r="M566" s="41">
        <f>'PRD Volumes TD (2009-2012)'!M370</f>
        <v>13865482.181818182</v>
      </c>
      <c r="N566" s="41">
        <f>'PRD Volumes TD (2009-2012)'!N370</f>
        <v>1844883.4590163934</v>
      </c>
    </row>
    <row r="567" spans="2:14">
      <c r="B567" t="s">
        <v>224</v>
      </c>
      <c r="D567" t="s">
        <v>164</v>
      </c>
      <c r="F567" s="82">
        <f>SUM(G567:N567)</f>
        <v>22877129136.697689</v>
      </c>
      <c r="G567" s="41">
        <f>'PRD Volumes TD (2009-2012)'!G371</f>
        <v>106830282</v>
      </c>
      <c r="H567" s="41">
        <f>'PRD Volumes TD (2009-2012)'!H371</f>
        <v>478326123</v>
      </c>
      <c r="I567" s="41">
        <f>'PRD Volumes TD (2009-2012)'!I371</f>
        <v>382898261.00987029</v>
      </c>
      <c r="J567" s="41">
        <f>'PRD Volumes TD (2009-2012)'!J371</f>
        <v>8009296961.1764708</v>
      </c>
      <c r="K567" s="41">
        <f>'PRD Volumes TD (2009-2012)'!K371</f>
        <v>8717012091.2767448</v>
      </c>
      <c r="L567" s="41">
        <f>'PRD Volumes TD (2009-2012)'!L371</f>
        <v>68468104</v>
      </c>
      <c r="M567" s="41">
        <f>'PRD Volumes TD (2009-2012)'!M371</f>
        <v>4620856805.363636</v>
      </c>
      <c r="N567" s="41">
        <f>'PRD Volumes TD (2009-2012)'!N371</f>
        <v>493440508.87096775</v>
      </c>
    </row>
    <row r="569" spans="2:14">
      <c r="B569" s="3" t="s">
        <v>226</v>
      </c>
    </row>
    <row r="570" spans="2:14">
      <c r="B570" t="s">
        <v>213</v>
      </c>
      <c r="D570" t="s">
        <v>164</v>
      </c>
      <c r="F570" s="82">
        <f>SUM(G570:N570)</f>
        <v>42089.260612129729</v>
      </c>
      <c r="G570" s="41">
        <f>'PRD Volumes TD (2009-2012)'!G374</f>
        <v>224.23076923076923</v>
      </c>
      <c r="H570" s="41">
        <f>'PRD Volumes TD (2009-2012)'!H374</f>
        <v>1572.0833333333333</v>
      </c>
      <c r="I570" s="41">
        <f>'PRD Volumes TD (2009-2012)'!I374</f>
        <v>677</v>
      </c>
      <c r="J570" s="41">
        <f>'PRD Volumes TD (2009-2012)'!J374</f>
        <v>14718.426456875208</v>
      </c>
      <c r="K570" s="41">
        <f>'PRD Volumes TD (2009-2012)'!K374</f>
        <v>14103.714890868117</v>
      </c>
      <c r="L570" s="41">
        <f>'PRD Volumes TD (2009-2012)'!L374</f>
        <v>131.59</v>
      </c>
      <c r="M570" s="41">
        <f>'PRD Volumes TD (2009-2012)'!M374</f>
        <v>9673.6363636363621</v>
      </c>
      <c r="N570" s="41">
        <f>'PRD Volumes TD (2009-2012)'!N374</f>
        <v>988.57879818594097</v>
      </c>
    </row>
    <row r="571" spans="2:14">
      <c r="B571" t="s">
        <v>223</v>
      </c>
      <c r="D571" t="s">
        <v>164</v>
      </c>
      <c r="F571" s="82">
        <f>SUM(G571:N571)</f>
        <v>3877569.188094805</v>
      </c>
      <c r="G571" s="41">
        <f>'PRD Volumes TD (2009-2012)'!G375</f>
        <v>44866.333333333336</v>
      </c>
      <c r="H571" s="41">
        <f>'PRD Volumes TD (2009-2012)'!H375</f>
        <v>150101.58333333334</v>
      </c>
      <c r="I571" s="41">
        <f>'PRD Volumes TD (2009-2012)'!I375</f>
        <v>44188.744573009186</v>
      </c>
      <c r="J571" s="41">
        <f>'PRD Volumes TD (2009-2012)'!J375</f>
        <v>1062564.8999110321</v>
      </c>
      <c r="K571" s="41">
        <f>'PRD Volumes TD (2009-2012)'!K375</f>
        <v>1221571.2538675398</v>
      </c>
      <c r="L571" s="41">
        <f>'PRD Volumes TD (2009-2012)'!L375</f>
        <v>23515.1</v>
      </c>
      <c r="M571" s="41">
        <f>'PRD Volumes TD (2009-2012)'!M375</f>
        <v>1139841.2727272727</v>
      </c>
      <c r="N571" s="41">
        <f>'PRD Volumes TD (2009-2012)'!N375</f>
        <v>190920.00034928398</v>
      </c>
    </row>
    <row r="572" spans="2:14">
      <c r="B572" t="s">
        <v>215</v>
      </c>
      <c r="D572" t="s">
        <v>164</v>
      </c>
      <c r="F572" s="82">
        <f>SUM(G572:N572)</f>
        <v>29027267.150915515</v>
      </c>
      <c r="G572" s="41">
        <f>'PRD Volumes TD (2009-2012)'!G376</f>
        <v>393749</v>
      </c>
      <c r="H572" s="41">
        <f>'PRD Volumes TD (2009-2012)'!H376</f>
        <v>1141189.2</v>
      </c>
      <c r="I572" s="41">
        <f>'PRD Volumes TD (2009-2012)'!I376</f>
        <v>284553.61422736972</v>
      </c>
      <c r="J572" s="41">
        <f>'PRD Volumes TD (2009-2012)'!J376</f>
        <v>8251215.6621621633</v>
      </c>
      <c r="K572" s="41">
        <f>'PRD Volumes TD (2009-2012)'!K376</f>
        <v>9276159.6517192274</v>
      </c>
      <c r="L572" s="41">
        <f>'PRD Volumes TD (2009-2012)'!L376</f>
        <v>211821.07</v>
      </c>
      <c r="M572" s="41">
        <f>'PRD Volumes TD (2009-2012)'!M376</f>
        <v>7951210.9090909082</v>
      </c>
      <c r="N572" s="41">
        <f>'PRD Volumes TD (2009-2012)'!N376</f>
        <v>1517368.043715847</v>
      </c>
    </row>
    <row r="573" spans="2:14">
      <c r="B573" t="s">
        <v>224</v>
      </c>
      <c r="D573" t="s">
        <v>164</v>
      </c>
      <c r="F573" s="82">
        <f>SUM(G573:N573)</f>
        <v>7924255171.4546385</v>
      </c>
      <c r="G573" s="41">
        <f>'PRD Volumes TD (2009-2012)'!G377</f>
        <v>111159059</v>
      </c>
      <c r="H573" s="41">
        <f>'PRD Volumes TD (2009-2012)'!H377</f>
        <v>289363166</v>
      </c>
      <c r="I573" s="41">
        <f>'PRD Volumes TD (2009-2012)'!I377</f>
        <v>72878947.21911864</v>
      </c>
      <c r="J573" s="41">
        <f>'PRD Volumes TD (2009-2012)'!J377</f>
        <v>2152041224.7058825</v>
      </c>
      <c r="K573" s="41">
        <f>'PRD Volumes TD (2009-2012)'!K377</f>
        <v>2572407255.2745051</v>
      </c>
      <c r="L573" s="41">
        <f>'PRD Volumes TD (2009-2012)'!L377</f>
        <v>56506229</v>
      </c>
      <c r="M573" s="41">
        <f>'PRD Volumes TD (2009-2012)'!M377</f>
        <v>2253134526.5454545</v>
      </c>
      <c r="N573" s="41">
        <f>'PRD Volumes TD (2009-2012)'!N377</f>
        <v>416764763.70967746</v>
      </c>
    </row>
    <row r="579" spans="2:14">
      <c r="B579" s="3" t="s">
        <v>51</v>
      </c>
    </row>
    <row r="582" spans="2:14">
      <c r="B582" s="3" t="s">
        <v>227</v>
      </c>
    </row>
    <row r="583" spans="2:14">
      <c r="B583" t="s">
        <v>213</v>
      </c>
      <c r="D583" t="s">
        <v>164</v>
      </c>
      <c r="F583" s="82">
        <f>SUM(G583:N583)</f>
        <v>17775.752164377926</v>
      </c>
      <c r="G583" s="41">
        <f>'PRD Volumes TD (2009-2012)'!G387</f>
        <v>312.76923076923077</v>
      </c>
      <c r="H583" s="41">
        <f>'PRD Volumes TD (2009-2012)'!H387</f>
        <v>352.41666666666674</v>
      </c>
      <c r="I583" s="41">
        <f>'PRD Volumes TD (2009-2012)'!I387</f>
        <v>0</v>
      </c>
      <c r="J583" s="41">
        <f>'PRD Volumes TD (2009-2012)'!J387</f>
        <v>3427.8865323378536</v>
      </c>
      <c r="K583" s="41">
        <f>'PRD Volumes TD (2009-2012)'!K387</f>
        <v>6250.5608457152885</v>
      </c>
      <c r="L583" s="41">
        <f>'PRD Volumes TD (2009-2012)'!L387</f>
        <v>141.13</v>
      </c>
      <c r="M583" s="41">
        <f>'PRD Volumes TD (2009-2012)'!M387</f>
        <v>7087</v>
      </c>
      <c r="N583" s="41">
        <f>'PRD Volumes TD (2009-2012)'!N387</f>
        <v>203.98888888888885</v>
      </c>
    </row>
    <row r="584" spans="2:14">
      <c r="B584" t="s">
        <v>223</v>
      </c>
      <c r="D584" t="s">
        <v>164</v>
      </c>
      <c r="F584" s="82">
        <f>SUM(G584:N584)</f>
        <v>942630.31788453739</v>
      </c>
      <c r="G584" s="41">
        <f>'PRD Volumes TD (2009-2012)'!G388</f>
        <v>24321.583333333332</v>
      </c>
      <c r="H584" s="41">
        <f>'PRD Volumes TD (2009-2012)'!H388</f>
        <v>17337.916666666664</v>
      </c>
      <c r="I584" s="41">
        <f>'PRD Volumes TD (2009-2012)'!I388</f>
        <v>0</v>
      </c>
      <c r="J584" s="41">
        <f>'PRD Volumes TD (2009-2012)'!J388</f>
        <v>119273.8868686869</v>
      </c>
      <c r="K584" s="41">
        <f>'PRD Volumes TD (2009-2012)'!K388</f>
        <v>222377.81369504097</v>
      </c>
      <c r="L584" s="41">
        <f>'PRD Volumes TD (2009-2012)'!L388</f>
        <v>8808.4</v>
      </c>
      <c r="M584" s="41">
        <f>'PRD Volumes TD (2009-2012)'!M388</f>
        <v>544297.81818181812</v>
      </c>
      <c r="N584" s="41">
        <f>'PRD Volumes TD (2009-2012)'!N388</f>
        <v>6212.8991389913899</v>
      </c>
    </row>
    <row r="585" spans="2:14">
      <c r="B585" t="s">
        <v>228</v>
      </c>
      <c r="D585" t="s">
        <v>164</v>
      </c>
      <c r="F585" s="82">
        <f>SUM(G585:N585)</f>
        <v>594495657.02115047</v>
      </c>
      <c r="G585" s="41">
        <f>'PRD Volumes TD (2009-2012)'!G389</f>
        <v>14286440</v>
      </c>
      <c r="H585" s="41">
        <f>'PRD Volumes TD (2009-2012)'!H389</f>
        <v>7476768.8000000007</v>
      </c>
      <c r="I585" s="41">
        <f>'PRD Volumes TD (2009-2012)'!I389</f>
        <v>0</v>
      </c>
      <c r="J585" s="41">
        <f>'PRD Volumes TD (2009-2012)'!J389</f>
        <v>70617543.949044585</v>
      </c>
      <c r="K585" s="41">
        <f>'PRD Volumes TD (2009-2012)'!K389</f>
        <v>157369403.5555284</v>
      </c>
      <c r="L585" s="41">
        <f>'PRD Volumes TD (2009-2012)'!L389</f>
        <v>6653658</v>
      </c>
      <c r="M585" s="41">
        <f>'PRD Volumes TD (2009-2012)'!M389</f>
        <v>332816260.36363631</v>
      </c>
      <c r="N585" s="41">
        <f>'PRD Volumes TD (2009-2012)'!N389</f>
        <v>5275582.3529411769</v>
      </c>
    </row>
    <row r="586" spans="2:14">
      <c r="B586" t="s">
        <v>224</v>
      </c>
      <c r="D586" t="s">
        <v>164</v>
      </c>
      <c r="F586" s="82">
        <f>SUM(G586:N586)</f>
        <v>940308050.59516108</v>
      </c>
      <c r="G586" s="41">
        <f>'PRD Volumes TD (2009-2012)'!G390</f>
        <v>27936589</v>
      </c>
      <c r="H586" s="41">
        <f>'PRD Volumes TD (2009-2012)'!H390</f>
        <v>9810541</v>
      </c>
      <c r="I586" s="41">
        <f>'PRD Volumes TD (2009-2012)'!I390</f>
        <v>0</v>
      </c>
      <c r="J586" s="41">
        <f>'PRD Volumes TD (2009-2012)'!J390</f>
        <v>112014458.99999999</v>
      </c>
      <c r="K586" s="41">
        <f>'PRD Volumes TD (2009-2012)'!K390</f>
        <v>236041264.54970652</v>
      </c>
      <c r="L586" s="41">
        <f>'PRD Volumes TD (2009-2012)'!L390</f>
        <v>12289299</v>
      </c>
      <c r="M586" s="41">
        <f>'PRD Volumes TD (2009-2012)'!M390</f>
        <v>535512968.72727269</v>
      </c>
      <c r="N586" s="41">
        <f>'PRD Volumes TD (2009-2012)'!N390</f>
        <v>6702929.3181818193</v>
      </c>
    </row>
    <row r="588" spans="2:14">
      <c r="B588" s="3" t="s">
        <v>229</v>
      </c>
    </row>
    <row r="589" spans="2:14">
      <c r="B589" t="s">
        <v>230</v>
      </c>
      <c r="D589" t="s">
        <v>164</v>
      </c>
      <c r="F589" s="82">
        <f>SUM(G589:N589)</f>
        <v>2683326.9299812303</v>
      </c>
      <c r="G589" s="41">
        <f>'PRD Volumes TD (2009-2012)'!G393</f>
        <v>24005</v>
      </c>
      <c r="H589" s="41">
        <f>'PRD Volumes TD (2009-2012)'!H393</f>
        <v>87171.333333333358</v>
      </c>
      <c r="I589" s="41">
        <f>'PRD Volumes TD (2009-2012)'!I393</f>
        <v>44951</v>
      </c>
      <c r="J589" s="41">
        <f>'PRD Volumes TD (2009-2012)'!J393</f>
        <v>1111666.2800048515</v>
      </c>
      <c r="K589" s="41">
        <f>'PRD Volumes TD (2009-2012)'!K393</f>
        <v>783087.23571790964</v>
      </c>
      <c r="L589" s="41">
        <f>'PRD Volumes TD (2009-2012)'!L393</f>
        <v>18957.5</v>
      </c>
      <c r="M589" s="41">
        <f>'PRD Volumes TD (2009-2012)'!M393</f>
        <v>588773.54166666663</v>
      </c>
      <c r="N589" s="41">
        <f>'PRD Volumes TD (2009-2012)'!N393</f>
        <v>24715.039258468842</v>
      </c>
    </row>
    <row r="590" spans="2:14">
      <c r="B590" t="s">
        <v>231</v>
      </c>
      <c r="D590" t="s">
        <v>164</v>
      </c>
      <c r="F590" s="82">
        <f>SUM(G590:N590)</f>
        <v>7923156.0867775856</v>
      </c>
      <c r="G590" s="41">
        <f>'PRD Volumes TD (2009-2012)'!G394</f>
        <v>52116.846153846156</v>
      </c>
      <c r="H590" s="41">
        <f>'PRD Volumes TD (2009-2012)'!H394</f>
        <v>206200.33333333331</v>
      </c>
      <c r="I590" s="41">
        <f>'PRD Volumes TD (2009-2012)'!I394</f>
        <v>105565</v>
      </c>
      <c r="J590" s="41">
        <f>'PRD Volumes TD (2009-2012)'!J394</f>
        <v>2584367.260172789</v>
      </c>
      <c r="K590" s="41">
        <f>'PRD Volumes TD (2009-2012)'!K394</f>
        <v>2905918.7551506846</v>
      </c>
      <c r="L590" s="41">
        <f>'PRD Volumes TD (2009-2012)'!L394</f>
        <v>31532.400000000001</v>
      </c>
      <c r="M590" s="41">
        <f>'PRD Volumes TD (2009-2012)'!M394</f>
        <v>1982944.4818878789</v>
      </c>
      <c r="N590" s="41">
        <f>'PRD Volumes TD (2009-2012)'!N394</f>
        <v>54511.010079053129</v>
      </c>
    </row>
    <row r="592" spans="2:14">
      <c r="B592" s="3" t="s">
        <v>232</v>
      </c>
    </row>
    <row r="593" spans="2:14">
      <c r="B593" t="s">
        <v>233</v>
      </c>
      <c r="D593" t="s">
        <v>164</v>
      </c>
      <c r="F593" s="82">
        <f t="shared" ref="F593:F598" si="81">SUM(G593:N593)</f>
        <v>48204.694915139837</v>
      </c>
      <c r="G593" s="41">
        <f>'PRD Volumes TD (2009-2012)'!G397</f>
        <v>276.53846153846155</v>
      </c>
      <c r="H593" s="41">
        <f>'PRD Volumes TD (2009-2012)'!H397</f>
        <v>1181.8333333333333</v>
      </c>
      <c r="I593" s="41">
        <f>'PRD Volumes TD (2009-2012)'!I397</f>
        <v>211</v>
      </c>
      <c r="J593" s="41">
        <f>'PRD Volumes TD (2009-2012)'!J397</f>
        <v>18778.697426311759</v>
      </c>
      <c r="K593" s="41">
        <f>'PRD Volumes TD (2009-2012)'!K397</f>
        <v>18278.674396575534</v>
      </c>
      <c r="L593" s="41">
        <f>'PRD Volumes TD (2009-2012)'!L397</f>
        <v>177</v>
      </c>
      <c r="M593" s="41">
        <f>'PRD Volumes TD (2009-2012)'!M397</f>
        <v>8686.9166666666661</v>
      </c>
      <c r="N593" s="41">
        <f>'PRD Volumes TD (2009-2012)'!N397</f>
        <v>614.03463071408794</v>
      </c>
    </row>
    <row r="594" spans="2:14">
      <c r="B594" t="s">
        <v>234</v>
      </c>
      <c r="D594" t="s">
        <v>164</v>
      </c>
      <c r="F594" s="82">
        <f t="shared" si="81"/>
        <v>62273.483872350371</v>
      </c>
      <c r="G594" s="41">
        <f>'PRD Volumes TD (2009-2012)'!G398</f>
        <v>280.38461538461536</v>
      </c>
      <c r="H594" s="41">
        <f>'PRD Volumes TD (2009-2012)'!H398</f>
        <v>1254.4166666666667</v>
      </c>
      <c r="I594" s="41">
        <f>'PRD Volumes TD (2009-2012)'!I398</f>
        <v>1259</v>
      </c>
      <c r="J594" s="41">
        <f>'PRD Volumes TD (2009-2012)'!J398</f>
        <v>22805.038707138843</v>
      </c>
      <c r="K594" s="41">
        <f>'PRD Volumes TD (2009-2012)'!K398</f>
        <v>20956.951062529817</v>
      </c>
      <c r="L594" s="41">
        <f>'PRD Volumes TD (2009-2012)'!L398</f>
        <v>223.6</v>
      </c>
      <c r="M594" s="41">
        <f>'PRD Volumes TD (2009-2012)'!M398</f>
        <v>14861.083333333334</v>
      </c>
      <c r="N594" s="41">
        <f>'PRD Volumes TD (2009-2012)'!N398</f>
        <v>633.00948729709251</v>
      </c>
    </row>
    <row r="595" spans="2:14">
      <c r="B595" t="s">
        <v>235</v>
      </c>
      <c r="D595" t="s">
        <v>164</v>
      </c>
      <c r="F595" s="82">
        <f t="shared" si="81"/>
        <v>65814.287471548509</v>
      </c>
      <c r="G595" s="41">
        <f>'PRD Volumes TD (2009-2012)'!G399</f>
        <v>309.15384615384613</v>
      </c>
      <c r="H595" s="41">
        <f>'PRD Volumes TD (2009-2012)'!H399</f>
        <v>1824.8333333333333</v>
      </c>
      <c r="I595" s="41">
        <f>'PRD Volumes TD (2009-2012)'!I399</f>
        <v>736</v>
      </c>
      <c r="J595" s="41">
        <f>'PRD Volumes TD (2009-2012)'!J399</f>
        <v>24408.37184198121</v>
      </c>
      <c r="K595" s="41">
        <f>'PRD Volumes TD (2009-2012)'!K399</f>
        <v>24129.036142487843</v>
      </c>
      <c r="L595" s="41">
        <f>'PRD Volumes TD (2009-2012)'!L399</f>
        <v>291.8</v>
      </c>
      <c r="M595" s="41">
        <f>'PRD Volumes TD (2009-2012)'!M399</f>
        <v>13313</v>
      </c>
      <c r="N595" s="41">
        <f>'PRD Volumes TD (2009-2012)'!N399</f>
        <v>802.0923075922783</v>
      </c>
    </row>
    <row r="596" spans="2:14">
      <c r="B596" t="s">
        <v>236</v>
      </c>
      <c r="D596" t="s">
        <v>164</v>
      </c>
      <c r="F596" s="82">
        <f t="shared" si="81"/>
        <v>163106.71147358941</v>
      </c>
      <c r="G596" s="41">
        <f>'PRD Volumes TD (2009-2012)'!G400</f>
        <v>886.84615384615381</v>
      </c>
      <c r="H596" s="41">
        <f>'PRD Volumes TD (2009-2012)'!H400</f>
        <v>3742.416666666667</v>
      </c>
      <c r="I596" s="41">
        <f>'PRD Volumes TD (2009-2012)'!I400</f>
        <v>1347</v>
      </c>
      <c r="J596" s="41">
        <f>'PRD Volumes TD (2009-2012)'!J400</f>
        <v>61411.456493295322</v>
      </c>
      <c r="K596" s="41">
        <f>'PRD Volumes TD (2009-2012)'!K400</f>
        <v>53582.207204094659</v>
      </c>
      <c r="L596" s="41">
        <f>'PRD Volumes TD (2009-2012)'!L400</f>
        <v>535.4</v>
      </c>
      <c r="M596" s="41">
        <f>'PRD Volumes TD (2009-2012)'!M400</f>
        <v>40168.674242424247</v>
      </c>
      <c r="N596" s="41">
        <f>'PRD Volumes TD (2009-2012)'!N400</f>
        <v>1432.7107132623923</v>
      </c>
    </row>
    <row r="597" spans="2:14">
      <c r="B597" t="s">
        <v>237</v>
      </c>
      <c r="D597" t="s">
        <v>164</v>
      </c>
      <c r="F597" s="82">
        <f t="shared" si="81"/>
        <v>7581419.3248222545</v>
      </c>
      <c r="G597" s="41">
        <f>'PRD Volumes TD (2009-2012)'!G401</f>
        <v>50363.923076923078</v>
      </c>
      <c r="H597" s="41">
        <f>'PRD Volumes TD (2009-2012)'!H401</f>
        <v>198196.83333333331</v>
      </c>
      <c r="I597" s="41">
        <f>'PRD Volumes TD (2009-2012)'!I401</f>
        <v>102012</v>
      </c>
      <c r="J597" s="41">
        <f>'PRD Volumes TD (2009-2012)'!J401</f>
        <v>2455983.2203220581</v>
      </c>
      <c r="K597" s="41">
        <f>'PRD Volumes TD (2009-2012)'!K401</f>
        <v>2787614.7775042979</v>
      </c>
      <c r="L597" s="41">
        <f>'PRD Volumes TD (2009-2012)'!L401</f>
        <v>30304.6</v>
      </c>
      <c r="M597" s="41">
        <f>'PRD Volumes TD (2009-2012)'!M401</f>
        <v>1905914.8076454545</v>
      </c>
      <c r="N597" s="41">
        <f>'PRD Volumes TD (2009-2012)'!N401</f>
        <v>51029.162940187278</v>
      </c>
    </row>
    <row r="598" spans="2:14">
      <c r="B598" t="s">
        <v>238</v>
      </c>
      <c r="D598" t="s">
        <v>164</v>
      </c>
      <c r="F598" s="82">
        <f t="shared" si="81"/>
        <v>2683316.2813800853</v>
      </c>
      <c r="G598" s="41">
        <f>'PRD Volumes TD (2009-2012)'!G402</f>
        <v>24005</v>
      </c>
      <c r="H598" s="41">
        <f>'PRD Volumes TD (2009-2012)'!H402</f>
        <v>87171.333333333358</v>
      </c>
      <c r="I598" s="41">
        <f>'PRD Volumes TD (2009-2012)'!I402</f>
        <v>44951</v>
      </c>
      <c r="J598" s="41">
        <f>'PRD Volumes TD (2009-2012)'!J402</f>
        <v>1111666.2800048515</v>
      </c>
      <c r="K598" s="41">
        <f>'PRD Volumes TD (2009-2012)'!K402</f>
        <v>783076.58711676463</v>
      </c>
      <c r="L598" s="41">
        <f>'PRD Volumes TD (2009-2012)'!L402</f>
        <v>18957.5</v>
      </c>
      <c r="M598" s="41">
        <f>'PRD Volumes TD (2009-2012)'!M402</f>
        <v>588773.54166666663</v>
      </c>
      <c r="N598" s="41">
        <f>'PRD Volumes TD (2009-2012)'!N402</f>
        <v>24715.039258468842</v>
      </c>
    </row>
    <row r="600" spans="2:14">
      <c r="B600" t="s">
        <v>52</v>
      </c>
    </row>
    <row r="606" spans="2:14">
      <c r="B606" s="3" t="s">
        <v>53</v>
      </c>
    </row>
    <row r="609" spans="2:14">
      <c r="B609" t="s">
        <v>239</v>
      </c>
      <c r="D609" t="s">
        <v>164</v>
      </c>
      <c r="F609" s="82">
        <f>SUM(G609:N609)</f>
        <v>885386586.45323193</v>
      </c>
      <c r="G609" s="41">
        <f>'PRD Volumes TD (2009-2012)'!G413</f>
        <v>4204079</v>
      </c>
      <c r="H609" s="41">
        <f>'PRD Volumes TD (2009-2012)'!H413</f>
        <v>0</v>
      </c>
      <c r="I609" s="41">
        <f>'PRD Volumes TD (2009-2012)'!I413</f>
        <v>3229426.7605633778</v>
      </c>
      <c r="J609" s="41">
        <f>'PRD Volumes TD (2009-2012)'!J413</f>
        <v>326848866.12903225</v>
      </c>
      <c r="K609" s="41">
        <f>'PRD Volumes TD (2009-2012)'!K413</f>
        <v>259417004.19999999</v>
      </c>
      <c r="L609" s="41">
        <f>'PRD Volumes TD (2009-2012)'!L413</f>
        <v>1654946</v>
      </c>
      <c r="M609" s="41">
        <f>'PRD Volumes TD (2009-2012)'!M413</f>
        <v>290032264.36363637</v>
      </c>
      <c r="N609" s="41">
        <f>'PRD Volumes TD (2009-2012)'!N413</f>
        <v>0</v>
      </c>
    </row>
    <row r="610" spans="2:14">
      <c r="B610" t="s">
        <v>240</v>
      </c>
      <c r="D610" t="s">
        <v>164</v>
      </c>
      <c r="F610" s="82">
        <f>SUM(G610:N610)</f>
        <v>52614855.509090908</v>
      </c>
      <c r="G610" s="41">
        <f>'PRD Volumes TD (2009-2012)'!G414</f>
        <v>794319</v>
      </c>
      <c r="H610" s="41">
        <f>'PRD Volumes TD (2009-2012)'!H414</f>
        <v>0</v>
      </c>
      <c r="I610" s="41">
        <f>'PRD Volumes TD (2009-2012)'!I414</f>
        <v>0</v>
      </c>
      <c r="J610" s="41">
        <f>'PRD Volumes TD (2009-2012)'!J414</f>
        <v>12980550.000000004</v>
      </c>
      <c r="K610" s="41">
        <f>'PRD Volumes TD (2009-2012)'!K414</f>
        <v>15135725.6</v>
      </c>
      <c r="L610" s="41">
        <f>'PRD Volumes TD (2009-2012)'!L414</f>
        <v>183758</v>
      </c>
      <c r="M610" s="41">
        <f>'PRD Volumes TD (2009-2012)'!M414</f>
        <v>23520502.909090906</v>
      </c>
      <c r="N610" s="41">
        <f>'PRD Volumes TD (2009-2012)'!N414</f>
        <v>0</v>
      </c>
    </row>
  </sheetData>
  <phoneticPr fontId="3" type="noConversion"/>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enableFormatConditionsCalculation="0">
    <tabColor rgb="FFFFCC99"/>
  </sheetPr>
  <dimension ref="B1:P156"/>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51.5703125" customWidth="1"/>
    <col min="3" max="3" width="2.5703125" customWidth="1"/>
    <col min="4" max="4" width="14.5703125" customWidth="1"/>
    <col min="5" max="5" width="2.5703125" customWidth="1"/>
    <col min="6" max="6" width="21.42578125" customWidth="1"/>
    <col min="7" max="14" width="14.85546875" customWidth="1"/>
    <col min="15" max="15" width="9" customWidth="1"/>
    <col min="16" max="16" width="21.85546875" customWidth="1"/>
  </cols>
  <sheetData>
    <row r="1" spans="2:16" ht="12" customHeight="1"/>
    <row r="2" spans="2:16" s="1" customFormat="1" ht="18">
      <c r="B2" s="1" t="s">
        <v>99</v>
      </c>
      <c r="F2" s="5" t="s">
        <v>177</v>
      </c>
      <c r="G2" s="5" t="s">
        <v>168</v>
      </c>
      <c r="H2" s="5" t="s">
        <v>169</v>
      </c>
      <c r="I2" s="5" t="s">
        <v>170</v>
      </c>
      <c r="J2" s="5" t="s">
        <v>171</v>
      </c>
      <c r="K2" s="5" t="s">
        <v>172</v>
      </c>
      <c r="L2" s="5" t="s">
        <v>173</v>
      </c>
      <c r="M2" s="5" t="s">
        <v>174</v>
      </c>
      <c r="N2" s="5" t="s">
        <v>175</v>
      </c>
      <c r="P2" s="5" t="s">
        <v>438</v>
      </c>
    </row>
    <row r="4" spans="2:16">
      <c r="B4" s="50" t="s">
        <v>98</v>
      </c>
      <c r="F4" s="46"/>
    </row>
    <row r="5" spans="2:16">
      <c r="B5" s="27"/>
      <c r="F5" s="46"/>
    </row>
    <row r="7" spans="2:16" s="2" customFormat="1">
      <c r="B7" s="2" t="s">
        <v>100</v>
      </c>
    </row>
    <row r="9" spans="2:16">
      <c r="B9" s="60" t="s">
        <v>101</v>
      </c>
      <c r="C9" s="13"/>
      <c r="D9" s="13"/>
      <c r="E9" s="13"/>
      <c r="F9" s="13"/>
      <c r="G9" s="96"/>
      <c r="H9" s="96"/>
      <c r="I9" s="96"/>
      <c r="J9" s="96"/>
      <c r="K9" s="96"/>
      <c r="L9" s="96"/>
      <c r="M9" s="96"/>
      <c r="N9" s="96"/>
      <c r="O9" s="13"/>
    </row>
    <row r="10" spans="2:16">
      <c r="B10" s="60"/>
      <c r="C10" s="13"/>
      <c r="D10" s="13"/>
      <c r="E10" s="13"/>
      <c r="F10" s="13"/>
      <c r="G10" s="96"/>
      <c r="H10" s="96"/>
      <c r="I10" s="96"/>
      <c r="J10" s="96"/>
      <c r="K10" s="96"/>
      <c r="L10" s="96"/>
      <c r="M10" s="96"/>
      <c r="N10" s="96"/>
      <c r="O10" s="13"/>
    </row>
    <row r="11" spans="2:16">
      <c r="B11" s="60" t="s">
        <v>425</v>
      </c>
      <c r="C11" s="13"/>
      <c r="D11" s="13"/>
      <c r="E11" s="13"/>
      <c r="F11" s="13"/>
      <c r="G11" s="96"/>
      <c r="H11" s="96"/>
      <c r="I11" s="96"/>
      <c r="J11" s="96"/>
      <c r="K11" s="96"/>
      <c r="L11" s="96"/>
      <c r="M11" s="96"/>
      <c r="N11" s="96"/>
      <c r="O11" s="13"/>
    </row>
    <row r="12" spans="2:16">
      <c r="B12" s="59" t="s">
        <v>251</v>
      </c>
      <c r="C12" s="13"/>
      <c r="D12" s="13" t="s">
        <v>241</v>
      </c>
      <c r="E12" s="13"/>
      <c r="G12" s="108">
        <f>'Gestandaardiseerde PAV en EAV'!G50</f>
        <v>541.60681758540704</v>
      </c>
      <c r="H12" s="108">
        <f>'Gestandaardiseerde PAV en EAV'!H50</f>
        <v>1360</v>
      </c>
      <c r="I12" s="108">
        <f>'Gestandaardiseerde PAV en EAV'!I50</f>
        <v>22</v>
      </c>
      <c r="J12" s="108">
        <f>'Gestandaardiseerde PAV en EAV'!J50</f>
        <v>29519.469354838711</v>
      </c>
      <c r="K12" s="108">
        <f>'Gestandaardiseerde PAV en EAV'!K50</f>
        <v>10610</v>
      </c>
      <c r="L12" s="108">
        <f>'Gestandaardiseerde PAV en EAV'!L50</f>
        <v>309</v>
      </c>
      <c r="M12" s="108">
        <f>'Gestandaardiseerde PAV en EAV'!M50</f>
        <v>16420.881275265918</v>
      </c>
      <c r="N12" s="108">
        <f>'Gestandaardiseerde PAV en EAV'!N50</f>
        <v>456</v>
      </c>
      <c r="O12" s="13"/>
    </row>
    <row r="13" spans="2:16">
      <c r="B13" s="59" t="s">
        <v>252</v>
      </c>
      <c r="C13" s="13"/>
      <c r="D13" s="13" t="s">
        <v>241</v>
      </c>
      <c r="E13" s="13"/>
      <c r="G13" s="108">
        <f>'Gestandaardiseerde PAV en EAV'!G51</f>
        <v>658.00028046380021</v>
      </c>
      <c r="H13" s="108">
        <f>'Gestandaardiseerde PAV en EAV'!H51</f>
        <v>1868</v>
      </c>
      <c r="I13" s="108">
        <f>'Gestandaardiseerde PAV en EAV'!I51</f>
        <v>1781</v>
      </c>
      <c r="J13" s="108">
        <f>'Gestandaardiseerde PAV en EAV'!J51</f>
        <v>30436.479815126051</v>
      </c>
      <c r="K13" s="108">
        <f>'Gestandaardiseerde PAV en EAV'!K51</f>
        <v>36285</v>
      </c>
      <c r="L13" s="108">
        <f>'Gestandaardiseerde PAV en EAV'!L51</f>
        <v>315</v>
      </c>
      <c r="M13" s="108">
        <f>'Gestandaardiseerde PAV en EAV'!M51</f>
        <v>32022.209984711284</v>
      </c>
      <c r="N13" s="108">
        <f>'Gestandaardiseerde PAV en EAV'!N51</f>
        <v>930</v>
      </c>
      <c r="O13" s="13"/>
    </row>
    <row r="14" spans="2:16">
      <c r="B14" s="59" t="s">
        <v>253</v>
      </c>
      <c r="C14" s="13"/>
      <c r="D14" s="13" t="s">
        <v>241</v>
      </c>
      <c r="E14" s="13"/>
      <c r="G14" s="108">
        <f>'Gestandaardiseerde PAV en EAV'!G52</f>
        <v>48.679241016142406</v>
      </c>
      <c r="H14" s="108">
        <f>'Gestandaardiseerde PAV en EAV'!H52</f>
        <v>204</v>
      </c>
      <c r="I14" s="108">
        <f>'Gestandaardiseerde PAV en EAV'!I52</f>
        <v>217</v>
      </c>
      <c r="J14" s="108">
        <f>'Gestandaardiseerde PAV en EAV'!J52</f>
        <v>3256.7349041259718</v>
      </c>
      <c r="K14" s="108">
        <f>'Gestandaardiseerde PAV en EAV'!K52</f>
        <v>3507</v>
      </c>
      <c r="L14" s="108">
        <f>'Gestandaardiseerde PAV en EAV'!L52</f>
        <v>51</v>
      </c>
      <c r="M14" s="108">
        <f>'Gestandaardiseerde PAV en EAV'!M52</f>
        <v>2806.3766300029688</v>
      </c>
      <c r="N14" s="108">
        <f>'Gestandaardiseerde PAV en EAV'!N52</f>
        <v>108</v>
      </c>
      <c r="O14" s="13"/>
    </row>
    <row r="15" spans="2:16">
      <c r="B15" s="59" t="s">
        <v>255</v>
      </c>
      <c r="C15" s="13"/>
      <c r="D15" s="13" t="s">
        <v>241</v>
      </c>
      <c r="E15" s="13"/>
      <c r="G15" s="108">
        <f>'Gestandaardiseerde PAV en EAV'!G53</f>
        <v>16.998934134863916</v>
      </c>
      <c r="H15" s="108">
        <f>'Gestandaardiseerde PAV en EAV'!H53</f>
        <v>49</v>
      </c>
      <c r="I15" s="108">
        <f>'Gestandaardiseerde PAV en EAV'!I53</f>
        <v>55</v>
      </c>
      <c r="J15" s="108">
        <f>'Gestandaardiseerde PAV en EAV'!J53</f>
        <v>1273.0186849884831</v>
      </c>
      <c r="K15" s="108">
        <f>'Gestandaardiseerde PAV en EAV'!K53</f>
        <v>628</v>
      </c>
      <c r="L15" s="108">
        <f>'Gestandaardiseerde PAV en EAV'!L53</f>
        <v>9</v>
      </c>
      <c r="M15" s="108">
        <f>'Gestandaardiseerde PAV en EAV'!M53</f>
        <v>870.66318204558354</v>
      </c>
      <c r="N15" s="108">
        <f>'Gestandaardiseerde PAV en EAV'!N53</f>
        <v>40</v>
      </c>
      <c r="O15" s="13"/>
    </row>
    <row r="16" spans="2:16">
      <c r="B16" s="59" t="s">
        <v>254</v>
      </c>
      <c r="C16" s="13"/>
      <c r="D16" s="13" t="s">
        <v>241</v>
      </c>
      <c r="E16" s="13"/>
      <c r="G16" s="108">
        <f>'Gestandaardiseerde PAV en EAV'!G54</f>
        <v>0</v>
      </c>
      <c r="H16" s="108">
        <f>'Gestandaardiseerde PAV en EAV'!H54</f>
        <v>11</v>
      </c>
      <c r="I16" s="108">
        <f>'Gestandaardiseerde PAV en EAV'!I54</f>
        <v>1</v>
      </c>
      <c r="J16" s="108">
        <f>'Gestandaardiseerde PAV en EAV'!J54</f>
        <v>217.89759846545434</v>
      </c>
      <c r="K16" s="108">
        <f>'Gestandaardiseerde PAV en EAV'!K54</f>
        <v>85</v>
      </c>
      <c r="L16" s="108">
        <f>'Gestandaardiseerde PAV en EAV'!L54</f>
        <v>0</v>
      </c>
      <c r="M16" s="108">
        <f>'Gestandaardiseerde PAV en EAV'!M54</f>
        <v>116.7812788181449</v>
      </c>
      <c r="N16" s="108">
        <f>'Gestandaardiseerde PAV en EAV'!N54</f>
        <v>23</v>
      </c>
      <c r="O16" s="13"/>
    </row>
    <row r="17" spans="2:15">
      <c r="B17" s="59" t="s">
        <v>260</v>
      </c>
      <c r="C17" s="13"/>
      <c r="D17" s="13"/>
      <c r="E17" s="13"/>
      <c r="G17" s="96"/>
      <c r="H17" s="96"/>
      <c r="I17" s="96"/>
      <c r="J17" s="96"/>
      <c r="K17" s="96"/>
      <c r="L17" s="96"/>
      <c r="M17" s="96"/>
      <c r="N17" s="96"/>
      <c r="O17" s="13"/>
    </row>
    <row r="18" spans="2:15">
      <c r="B18" s="60" t="s">
        <v>329</v>
      </c>
      <c r="C18" s="13"/>
      <c r="D18" s="13"/>
      <c r="E18" s="13"/>
      <c r="G18" s="96"/>
      <c r="H18" s="96"/>
      <c r="I18" s="96"/>
      <c r="J18" s="96"/>
      <c r="K18" s="96"/>
      <c r="L18" s="96"/>
      <c r="M18" s="96"/>
      <c r="N18" s="96"/>
      <c r="O18" s="13"/>
    </row>
    <row r="19" spans="2:15">
      <c r="B19" s="59" t="s">
        <v>251</v>
      </c>
      <c r="C19" s="13"/>
      <c r="D19" s="13" t="s">
        <v>241</v>
      </c>
      <c r="E19" s="13"/>
      <c r="G19" s="108">
        <f>'Gestandaardiseerde PAV en EAV'!G57</f>
        <v>704.66971219735046</v>
      </c>
      <c r="H19" s="108">
        <f>'Gestandaardiseerde PAV en EAV'!H57</f>
        <v>680</v>
      </c>
      <c r="I19" s="108">
        <f>'Gestandaardiseerde PAV en EAV'!I57</f>
        <v>0</v>
      </c>
      <c r="J19" s="108">
        <f>'Gestandaardiseerde PAV en EAV'!J57</f>
        <v>44844.573333333334</v>
      </c>
      <c r="K19" s="108">
        <f>'Gestandaardiseerde PAV en EAV'!K57</f>
        <v>17007</v>
      </c>
      <c r="L19" s="108">
        <f>'Gestandaardiseerde PAV en EAV'!L57</f>
        <v>261</v>
      </c>
      <c r="M19" s="108">
        <f>'Gestandaardiseerde PAV en EAV'!M57</f>
        <v>8882.7921036397274</v>
      </c>
      <c r="N19" s="108">
        <f>'Gestandaardiseerde PAV en EAV'!N57</f>
        <v>992</v>
      </c>
      <c r="O19" s="13"/>
    </row>
    <row r="20" spans="2:15">
      <c r="B20" s="59" t="s">
        <v>252</v>
      </c>
      <c r="C20" s="13"/>
      <c r="D20" s="13" t="s">
        <v>241</v>
      </c>
      <c r="E20" s="13"/>
      <c r="G20" s="108">
        <f>'Gestandaardiseerde PAV en EAV'!G58</f>
        <v>256.83500195815151</v>
      </c>
      <c r="H20" s="108">
        <f>'Gestandaardiseerde PAV en EAV'!H58</f>
        <v>7147</v>
      </c>
      <c r="I20" s="108">
        <f>'Gestandaardiseerde PAV en EAV'!I58</f>
        <v>600</v>
      </c>
      <c r="J20" s="108">
        <f>'Gestandaardiseerde PAV en EAV'!J58</f>
        <v>90185.23529411765</v>
      </c>
      <c r="K20" s="108">
        <f>'Gestandaardiseerde PAV en EAV'!K58</f>
        <v>34778</v>
      </c>
      <c r="L20" s="108">
        <f>'Gestandaardiseerde PAV en EAV'!L58</f>
        <v>583</v>
      </c>
      <c r="M20" s="108">
        <f>'Gestandaardiseerde PAV en EAV'!M58</f>
        <v>31081.591700133868</v>
      </c>
      <c r="N20" s="108">
        <f>'Gestandaardiseerde PAV en EAV'!N58</f>
        <v>318</v>
      </c>
      <c r="O20" s="13"/>
    </row>
    <row r="21" spans="2:15">
      <c r="B21" s="59" t="s">
        <v>253</v>
      </c>
      <c r="C21" s="13"/>
      <c r="D21" s="13" t="s">
        <v>241</v>
      </c>
      <c r="E21" s="13"/>
      <c r="G21" s="108">
        <f>'Gestandaardiseerde PAV en EAV'!G59</f>
        <v>1218.6744561070743</v>
      </c>
      <c r="H21" s="108">
        <f>'Gestandaardiseerde PAV en EAV'!H59</f>
        <v>3465</v>
      </c>
      <c r="I21" s="108">
        <f>'Gestandaardiseerde PAV en EAV'!I59</f>
        <v>1666.5796637309847</v>
      </c>
      <c r="J21" s="108">
        <f>'Gestandaardiseerde PAV en EAV'!J59</f>
        <v>39048.409090909088</v>
      </c>
      <c r="K21" s="108">
        <f>'Gestandaardiseerde PAV en EAV'!K59</f>
        <v>37476</v>
      </c>
      <c r="L21" s="108">
        <f>'Gestandaardiseerde PAV en EAV'!L59</f>
        <v>81</v>
      </c>
      <c r="M21" s="108">
        <f>'Gestandaardiseerde PAV en EAV'!M59</f>
        <v>23615.545512300941</v>
      </c>
      <c r="N21" s="108">
        <f>'Gestandaardiseerde PAV en EAV'!N59</f>
        <v>2911.5</v>
      </c>
      <c r="O21" s="13"/>
    </row>
    <row r="22" spans="2:15">
      <c r="B22" s="59" t="s">
        <v>255</v>
      </c>
      <c r="C22" s="13"/>
      <c r="D22" s="13" t="s">
        <v>241</v>
      </c>
      <c r="E22" s="13"/>
      <c r="G22" s="108">
        <f>'Gestandaardiseerde PAV en EAV'!G60</f>
        <v>3371.4763527398404</v>
      </c>
      <c r="H22" s="108">
        <f>'Gestandaardiseerde PAV en EAV'!H60</f>
        <v>7613</v>
      </c>
      <c r="I22" s="108">
        <f>'Gestandaardiseerde PAV en EAV'!I60</f>
        <v>5171</v>
      </c>
      <c r="J22" s="108">
        <f>'Gestandaardiseerde PAV en EAV'!J60</f>
        <v>165211.04761904763</v>
      </c>
      <c r="K22" s="108">
        <f>'Gestandaardiseerde PAV en EAV'!K60</f>
        <v>85730</v>
      </c>
      <c r="L22" s="108">
        <f>'Gestandaardiseerde PAV en EAV'!L60</f>
        <v>1386</v>
      </c>
      <c r="M22" s="108">
        <f>'Gestandaardiseerde PAV en EAV'!M60</f>
        <v>79992.047373761423</v>
      </c>
      <c r="N22" s="108">
        <f>'Gestandaardiseerde PAV en EAV'!N60</f>
        <v>2582</v>
      </c>
      <c r="O22" s="13"/>
    </row>
    <row r="23" spans="2:15">
      <c r="B23" s="59" t="s">
        <v>254</v>
      </c>
      <c r="C23" s="13"/>
      <c r="D23" s="13" t="s">
        <v>241</v>
      </c>
      <c r="E23" s="13"/>
      <c r="G23" s="108">
        <f>'Gestandaardiseerde PAV en EAV'!G61</f>
        <v>0</v>
      </c>
      <c r="H23" s="108">
        <f>'Gestandaardiseerde PAV en EAV'!H61</f>
        <v>16655</v>
      </c>
      <c r="I23" s="108">
        <f>'Gestandaardiseerde PAV en EAV'!I61</f>
        <v>0</v>
      </c>
      <c r="J23" s="108">
        <f>'Gestandaardiseerde PAV en EAV'!J61</f>
        <v>41527.829169542209</v>
      </c>
      <c r="K23" s="108">
        <f>'Gestandaardiseerde PAV en EAV'!K61</f>
        <v>24073.666666666668</v>
      </c>
      <c r="L23" s="108">
        <f>'Gestandaardiseerde PAV en EAV'!L61</f>
        <v>0</v>
      </c>
      <c r="M23" s="108">
        <f>'Gestandaardiseerde PAV en EAV'!M61</f>
        <v>17756.215564930204</v>
      </c>
      <c r="N23" s="108">
        <f>'Gestandaardiseerde PAV en EAV'!N61</f>
        <v>855.27741134476605</v>
      </c>
      <c r="O23" s="13"/>
    </row>
    <row r="24" spans="2:15">
      <c r="B24" s="95"/>
      <c r="C24" s="13"/>
      <c r="D24" s="13"/>
      <c r="E24" s="13"/>
      <c r="G24" s="11"/>
      <c r="H24" s="11"/>
      <c r="I24" s="11"/>
      <c r="J24" s="11"/>
      <c r="K24" s="11"/>
      <c r="L24" s="11"/>
      <c r="M24" s="11"/>
      <c r="N24" s="11"/>
      <c r="O24" s="13"/>
    </row>
    <row r="26" spans="2:15">
      <c r="B26" s="104" t="s">
        <v>102</v>
      </c>
    </row>
    <row r="27" spans="2:15">
      <c r="B27" s="60"/>
      <c r="C27" s="60"/>
      <c r="D27" s="59"/>
    </row>
    <row r="28" spans="2:15">
      <c r="B28" s="60" t="s">
        <v>425</v>
      </c>
      <c r="C28" s="59"/>
      <c r="D28" s="59"/>
    </row>
    <row r="29" spans="2:15">
      <c r="B29" s="59" t="s">
        <v>251</v>
      </c>
      <c r="C29" s="59"/>
      <c r="D29" s="59" t="s">
        <v>334</v>
      </c>
      <c r="G29" s="100">
        <f>'Gestandaardiseerde PAV en EAV'!G22</f>
        <v>424.02</v>
      </c>
      <c r="H29" s="100">
        <f>'Gestandaardiseerde PAV en EAV'!H22</f>
        <v>299.97000000000003</v>
      </c>
      <c r="I29" s="100">
        <f>'Gestandaardiseerde PAV en EAV'!I22</f>
        <v>361.28090909090906</v>
      </c>
      <c r="J29" s="100">
        <f>'Gestandaardiseerde PAV en EAV'!J22</f>
        <v>310</v>
      </c>
      <c r="K29" s="100">
        <f>'Gestandaardiseerde PAV en EAV'!K22</f>
        <v>341</v>
      </c>
      <c r="L29" s="100">
        <f>'Gestandaardiseerde PAV en EAV'!L22</f>
        <v>366.84</v>
      </c>
      <c r="M29" s="100">
        <f>'Gestandaardiseerde PAV en EAV'!M22</f>
        <v>348.79</v>
      </c>
      <c r="N29" s="100">
        <f>'Gestandaardiseerde PAV en EAV'!N22</f>
        <v>356.17</v>
      </c>
    </row>
    <row r="30" spans="2:15">
      <c r="B30" s="59" t="s">
        <v>252</v>
      </c>
      <c r="C30" s="59"/>
      <c r="D30" s="59" t="s">
        <v>334</v>
      </c>
      <c r="G30" s="100">
        <f>'Gestandaardiseerde PAV en EAV'!G23</f>
        <v>604.57000000000005</v>
      </c>
      <c r="H30" s="100">
        <f>'Gestandaardiseerde PAV en EAV'!H23</f>
        <v>569.5</v>
      </c>
      <c r="I30" s="100">
        <f>'Gestandaardiseerde PAV en EAV'!I23</f>
        <v>466.80005614823136</v>
      </c>
      <c r="J30" s="100">
        <f>'Gestandaardiseerde PAV en EAV'!J23</f>
        <v>595</v>
      </c>
      <c r="K30" s="100">
        <f>'Gestandaardiseerde PAV en EAV'!K23</f>
        <v>565.95000000000005</v>
      </c>
      <c r="L30" s="100">
        <f>'Gestandaardiseerde PAV en EAV'!L23</f>
        <v>620.97</v>
      </c>
      <c r="M30" s="100">
        <f>'Gestandaardiseerde PAV en EAV'!M23</f>
        <v>510.18</v>
      </c>
      <c r="N30" s="100">
        <f>'Gestandaardiseerde PAV en EAV'!N23</f>
        <v>677.97</v>
      </c>
    </row>
    <row r="31" spans="2:15">
      <c r="B31" s="59" t="s">
        <v>253</v>
      </c>
      <c r="C31" s="59"/>
      <c r="D31" s="59" t="s">
        <v>334</v>
      </c>
      <c r="G31" s="100">
        <f>'Gestandaardiseerde PAV en EAV'!G24</f>
        <v>969.47</v>
      </c>
      <c r="H31" s="100">
        <f>'Gestandaardiseerde PAV en EAV'!H24</f>
        <v>911.6001960784314</v>
      </c>
      <c r="I31" s="100">
        <f>'Gestandaardiseerde PAV en EAV'!I24</f>
        <v>804.53493087557615</v>
      </c>
      <c r="J31" s="100">
        <f>'Gestandaardiseerde PAV en EAV'!J24</f>
        <v>783.56694822382531</v>
      </c>
      <c r="K31" s="100">
        <f>'Gestandaardiseerde PAV en EAV'!K24</f>
        <v>949.27416595380669</v>
      </c>
      <c r="L31" s="100">
        <f>'Gestandaardiseerde PAV en EAV'!L24</f>
        <v>955.22235294117638</v>
      </c>
      <c r="M31" s="100">
        <f>'Gestandaardiseerde PAV en EAV'!M24</f>
        <v>851.57578083076874</v>
      </c>
      <c r="N31" s="100">
        <f>'Gestandaardiseerde PAV en EAV'!N24</f>
        <v>916.15351851851858</v>
      </c>
    </row>
    <row r="32" spans="2:15">
      <c r="B32" s="59" t="s">
        <v>255</v>
      </c>
      <c r="C32" s="59"/>
      <c r="D32" s="59" t="s">
        <v>334</v>
      </c>
      <c r="G32" s="100">
        <f>'Gestandaardiseerde PAV en EAV'!G25</f>
        <v>7620.7501583473295</v>
      </c>
      <c r="H32" s="100">
        <f>'Gestandaardiseerde PAV en EAV'!H25</f>
        <v>5767.557959183674</v>
      </c>
      <c r="I32" s="100">
        <f>'Gestandaardiseerde PAV en EAV'!I25</f>
        <v>6024.8714545454541</v>
      </c>
      <c r="J32" s="100">
        <f>'Gestandaardiseerde PAV en EAV'!J25</f>
        <v>5070.9755136535186</v>
      </c>
      <c r="K32" s="100">
        <f>'Gestandaardiseerde PAV en EAV'!K25</f>
        <v>7673.0541401273886</v>
      </c>
      <c r="L32" s="100">
        <f>'Gestandaardiseerde PAV en EAV'!L25</f>
        <v>5663.8833333333341</v>
      </c>
      <c r="M32" s="100">
        <f>'Gestandaardiseerde PAV en EAV'!M25</f>
        <v>7642.8261091343747</v>
      </c>
      <c r="N32" s="100">
        <f>'Gestandaardiseerde PAV en EAV'!N25</f>
        <v>5499.5725000000002</v>
      </c>
    </row>
    <row r="33" spans="2:15">
      <c r="B33" s="59" t="s">
        <v>254</v>
      </c>
      <c r="C33" s="59"/>
      <c r="D33" s="59" t="s">
        <v>334</v>
      </c>
      <c r="G33" s="100">
        <f>'Gestandaardiseerde PAV en EAV'!G26</f>
        <v>0</v>
      </c>
      <c r="H33" s="100">
        <f>'Gestandaardiseerde PAV en EAV'!H26</f>
        <v>79319.244545454538</v>
      </c>
      <c r="I33" s="100">
        <f>'Gestandaardiseerde PAV en EAV'!I26</f>
        <v>23227.39</v>
      </c>
      <c r="J33" s="100">
        <f>'Gestandaardiseerde PAV en EAV'!J26</f>
        <v>35983.565515262329</v>
      </c>
      <c r="K33" s="100">
        <f>'Gestandaardiseerde PAV en EAV'!K26</f>
        <v>92183.117647058825</v>
      </c>
      <c r="L33" s="100">
        <f>'Gestandaardiseerde PAV en EAV'!L26</f>
        <v>0</v>
      </c>
      <c r="M33" s="100">
        <f>'Gestandaardiseerde PAV en EAV'!M26</f>
        <v>80991.585943571772</v>
      </c>
      <c r="N33" s="100">
        <f>'Gestandaardiseerde PAV en EAV'!N26</f>
        <v>52308.988695652173</v>
      </c>
    </row>
    <row r="34" spans="2:15">
      <c r="B34" s="59" t="s">
        <v>260</v>
      </c>
      <c r="C34" s="59"/>
      <c r="D34" s="59"/>
      <c r="G34" s="101"/>
      <c r="H34" s="101"/>
      <c r="I34" s="101"/>
      <c r="J34" s="101"/>
      <c r="K34" s="101"/>
      <c r="L34" s="101"/>
      <c r="M34" s="101"/>
      <c r="N34" s="101"/>
    </row>
    <row r="35" spans="2:15">
      <c r="B35" s="60" t="s">
        <v>329</v>
      </c>
      <c r="C35" s="59"/>
      <c r="D35" s="59"/>
      <c r="G35" s="101"/>
      <c r="H35" s="101"/>
      <c r="I35" s="101"/>
      <c r="J35" s="101"/>
      <c r="K35" s="101"/>
      <c r="L35" s="101"/>
      <c r="M35" s="101"/>
      <c r="N35" s="101"/>
    </row>
    <row r="36" spans="2:15">
      <c r="B36" s="59" t="s">
        <v>251</v>
      </c>
      <c r="C36" s="59"/>
      <c r="D36" s="59" t="s">
        <v>334</v>
      </c>
      <c r="G36" s="100">
        <f>'Gestandaardiseerde PAV en EAV'!G29</f>
        <v>21.89</v>
      </c>
      <c r="H36" s="100">
        <f>'Gestandaardiseerde PAV en EAV'!H29</f>
        <v>14.86</v>
      </c>
      <c r="I36" s="100">
        <f>'Gestandaardiseerde PAV en EAV'!I29</f>
        <v>23.97</v>
      </c>
      <c r="J36" s="100">
        <f>'Gestandaardiseerde PAV en EAV'!J29</f>
        <v>15</v>
      </c>
      <c r="K36" s="100">
        <f>'Gestandaardiseerde PAV en EAV'!K29</f>
        <v>16.93</v>
      </c>
      <c r="L36" s="100">
        <f>'Gestandaardiseerde PAV en EAV'!L29</f>
        <v>18.18</v>
      </c>
      <c r="M36" s="100">
        <f>'Gestandaardiseerde PAV en EAV'!M29</f>
        <v>16.21</v>
      </c>
      <c r="N36" s="100">
        <f>'Gestandaardiseerde PAV en EAV'!N29</f>
        <v>17.649999999999999</v>
      </c>
    </row>
    <row r="37" spans="2:15">
      <c r="B37" s="59" t="s">
        <v>252</v>
      </c>
      <c r="C37" s="59"/>
      <c r="D37" s="59" t="s">
        <v>334</v>
      </c>
      <c r="G37" s="100">
        <f>'Gestandaardiseerde PAV en EAV'!G30</f>
        <v>17.28</v>
      </c>
      <c r="H37" s="100">
        <f>'Gestandaardiseerde PAV en EAV'!H30</f>
        <v>24.18</v>
      </c>
      <c r="I37" s="100">
        <f>'Gestandaardiseerde PAV en EAV'!I30</f>
        <v>25.003599999999999</v>
      </c>
      <c r="J37" s="100">
        <f>'Gestandaardiseerde PAV en EAV'!J30</f>
        <v>17</v>
      </c>
      <c r="K37" s="100">
        <f>'Gestandaardiseerde PAV en EAV'!K30</f>
        <v>22.37</v>
      </c>
      <c r="L37" s="100">
        <f>'Gestandaardiseerde PAV en EAV'!L30</f>
        <v>21.31</v>
      </c>
      <c r="M37" s="100">
        <f>'Gestandaardiseerde PAV en EAV'!M30</f>
        <v>22.41</v>
      </c>
      <c r="N37" s="100">
        <f>'Gestandaardiseerde PAV en EAV'!N30</f>
        <v>25.5</v>
      </c>
    </row>
    <row r="38" spans="2:15">
      <c r="B38" s="59" t="s">
        <v>253</v>
      </c>
      <c r="C38" s="59"/>
      <c r="D38" s="59" t="s">
        <v>334</v>
      </c>
      <c r="G38" s="100">
        <f>'Gestandaardiseerde PAV en EAV'!G31</f>
        <v>24.2</v>
      </c>
      <c r="H38" s="100">
        <f>'Gestandaardiseerde PAV en EAV'!H31</f>
        <v>30.917757575757577</v>
      </c>
      <c r="I38" s="100">
        <f>'Gestandaardiseerde PAV en EAV'!I31</f>
        <v>41.49341402929921</v>
      </c>
      <c r="J38" s="100">
        <f>'Gestandaardiseerde PAV en EAV'!J31</f>
        <v>22</v>
      </c>
      <c r="K38" s="100">
        <f>'Gestandaardiseerde PAV en EAV'!K31</f>
        <v>29.709231775002667</v>
      </c>
      <c r="L38" s="100">
        <f>'Gestandaardiseerde PAV en EAV'!L31</f>
        <v>27.327407407407406</v>
      </c>
      <c r="M38" s="100">
        <f>'Gestandaardiseerde PAV en EAV'!M31</f>
        <v>30.880147554505786</v>
      </c>
      <c r="N38" s="100">
        <f>'Gestandaardiseerde PAV en EAV'!N31</f>
        <v>29.903568607247124</v>
      </c>
    </row>
    <row r="39" spans="2:15">
      <c r="B39" s="59" t="s">
        <v>255</v>
      </c>
      <c r="C39" s="59"/>
      <c r="D39" s="59" t="s">
        <v>334</v>
      </c>
      <c r="G39" s="100">
        <f>'Gestandaardiseerde PAV en EAV'!G32</f>
        <v>42.664182655637397</v>
      </c>
      <c r="H39" s="100">
        <f>'Gestandaardiseerde PAV en EAV'!H32</f>
        <v>51.217625114934982</v>
      </c>
      <c r="I39" s="100">
        <f>'Gestandaardiseerde PAV en EAV'!I32</f>
        <v>58.053020692322562</v>
      </c>
      <c r="J39" s="100">
        <f>'Gestandaardiseerde PAV en EAV'!J32</f>
        <v>32.891843967542812</v>
      </c>
      <c r="K39" s="100">
        <f>'Gestandaardiseerde PAV en EAV'!K32</f>
        <v>62.653204945759938</v>
      </c>
      <c r="L39" s="100">
        <f>'Gestandaardiseerde PAV en EAV'!L32</f>
        <v>45.506176046176044</v>
      </c>
      <c r="M39" s="100">
        <f>'Gestandaardiseerde PAV en EAV'!M32</f>
        <v>53.814533210860375</v>
      </c>
      <c r="N39" s="100">
        <f>'Gestandaardiseerde PAV en EAV'!N32</f>
        <v>80.586181254841222</v>
      </c>
    </row>
    <row r="40" spans="2:15">
      <c r="B40" s="59" t="s">
        <v>254</v>
      </c>
      <c r="C40" s="59"/>
      <c r="D40" s="59" t="s">
        <v>334</v>
      </c>
      <c r="G40" s="100">
        <f>'Gestandaardiseerde PAV en EAV'!G33</f>
        <v>0</v>
      </c>
      <c r="H40" s="100">
        <f>'Gestandaardiseerde PAV en EAV'!H33</f>
        <v>120.2580426298409</v>
      </c>
      <c r="I40" s="100">
        <f>'Gestandaardiseerde PAV en EAV'!I33</f>
        <v>0</v>
      </c>
      <c r="J40" s="100">
        <f>'Gestandaardiseerde PAV en EAV'!J33</f>
        <v>107.72320849559387</v>
      </c>
      <c r="K40" s="100">
        <f>'Gestandaardiseerde PAV en EAV'!K33</f>
        <v>135.04774497722269</v>
      </c>
      <c r="L40" s="100">
        <f>'Gestandaardiseerde PAV en EAV'!L33</f>
        <v>0</v>
      </c>
      <c r="M40" s="100">
        <f>'Gestandaardiseerde PAV en EAV'!M33</f>
        <v>147.54096842427572</v>
      </c>
      <c r="N40" s="100">
        <f>'Gestandaardiseerde PAV en EAV'!N33</f>
        <v>147.93595425496011</v>
      </c>
    </row>
    <row r="43" spans="2:15" s="2" customFormat="1">
      <c r="B43" s="2" t="s">
        <v>103</v>
      </c>
    </row>
    <row r="45" spans="2:15">
      <c r="B45" s="60" t="s">
        <v>101</v>
      </c>
      <c r="C45" s="13"/>
      <c r="D45" s="13"/>
      <c r="E45" s="13"/>
      <c r="F45" s="13"/>
      <c r="G45" s="96"/>
      <c r="H45" s="96"/>
      <c r="I45" s="96"/>
      <c r="J45" s="96"/>
      <c r="K45" s="96"/>
      <c r="L45" s="96"/>
      <c r="M45" s="96"/>
      <c r="N45" s="96"/>
      <c r="O45" s="13"/>
    </row>
    <row r="46" spans="2:15">
      <c r="B46" s="60"/>
      <c r="C46" s="13"/>
      <c r="D46" s="13"/>
      <c r="E46" s="13"/>
      <c r="F46" s="13"/>
      <c r="G46" s="96"/>
      <c r="H46" s="96"/>
      <c r="I46" s="96"/>
      <c r="J46" s="96"/>
      <c r="K46" s="96"/>
      <c r="L46" s="96"/>
      <c r="M46" s="96"/>
      <c r="N46" s="96"/>
      <c r="O46" s="13"/>
    </row>
    <row r="47" spans="2:15">
      <c r="B47" s="60" t="s">
        <v>425</v>
      </c>
      <c r="C47" s="13"/>
      <c r="D47" s="13"/>
      <c r="E47" s="13"/>
      <c r="F47" s="13"/>
      <c r="G47" s="96"/>
      <c r="H47" s="96"/>
      <c r="I47" s="96"/>
      <c r="J47" s="96"/>
      <c r="K47" s="96"/>
      <c r="L47" s="96"/>
      <c r="M47" s="96"/>
      <c r="N47" s="96"/>
      <c r="O47" s="13"/>
    </row>
    <row r="48" spans="2:15">
      <c r="B48" s="59" t="s">
        <v>251</v>
      </c>
      <c r="C48" s="13"/>
      <c r="D48" s="13" t="s">
        <v>241</v>
      </c>
      <c r="E48" s="13"/>
      <c r="G48" s="108">
        <f>'Gestandaardiseerde PAV en EAV'!G106</f>
        <v>141</v>
      </c>
      <c r="H48" s="108">
        <f>'Gestandaardiseerde PAV en EAV'!H106</f>
        <v>1237</v>
      </c>
      <c r="I48" s="108">
        <f>'Gestandaardiseerde PAV en EAV'!I106</f>
        <v>755.84510110666872</v>
      </c>
      <c r="J48" s="108">
        <f>'Gestandaardiseerde PAV en EAV'!J106</f>
        <v>25391.567533783782</v>
      </c>
      <c r="K48" s="108">
        <f>'Gestandaardiseerde PAV en EAV'!K106</f>
        <v>10247</v>
      </c>
      <c r="L48" s="108">
        <f>'Gestandaardiseerde PAV en EAV'!L106</f>
        <v>437</v>
      </c>
      <c r="M48" s="108">
        <f>'Gestandaardiseerde PAV en EAV'!M106</f>
        <v>6738.97322460328</v>
      </c>
      <c r="N48" s="108">
        <f>'Gestandaardiseerde PAV en EAV'!N106</f>
        <v>505</v>
      </c>
      <c r="O48" s="13"/>
    </row>
    <row r="49" spans="2:15">
      <c r="B49" s="59" t="s">
        <v>252</v>
      </c>
      <c r="C49" s="13"/>
      <c r="D49" s="13" t="s">
        <v>241</v>
      </c>
      <c r="E49" s="13"/>
      <c r="G49" s="108">
        <f>'Gestandaardiseerde PAV en EAV'!G107</f>
        <v>213</v>
      </c>
      <c r="H49" s="108">
        <f>'Gestandaardiseerde PAV en EAV'!H107</f>
        <v>1568</v>
      </c>
      <c r="I49" s="108">
        <f>'Gestandaardiseerde PAV en EAV'!I107</f>
        <v>509.77102838186511</v>
      </c>
      <c r="J49" s="108">
        <f>'Gestandaardiseerde PAV en EAV'!J107</f>
        <v>24397.998450704192</v>
      </c>
      <c r="K49" s="108">
        <f>'Gestandaardiseerde PAV en EAV'!K107</f>
        <v>29534.771026156941</v>
      </c>
      <c r="L49" s="108">
        <f>'Gestandaardiseerde PAV en EAV'!L107</f>
        <v>271</v>
      </c>
      <c r="M49" s="108">
        <f>'Gestandaardiseerde PAV en EAV'!M107</f>
        <v>21771.6470328408</v>
      </c>
      <c r="N49" s="108">
        <f>'Gestandaardiseerde PAV en EAV'!N107</f>
        <v>991</v>
      </c>
      <c r="O49" s="13"/>
    </row>
    <row r="50" spans="2:15">
      <c r="B50" s="59" t="s">
        <v>253</v>
      </c>
      <c r="C50" s="13"/>
      <c r="D50" s="13" t="s">
        <v>241</v>
      </c>
      <c r="E50" s="13"/>
      <c r="G50" s="108">
        <f>'Gestandaardiseerde PAV en EAV'!G108</f>
        <v>28</v>
      </c>
      <c r="H50" s="108">
        <f>'Gestandaardiseerde PAV en EAV'!H108</f>
        <v>244</v>
      </c>
      <c r="I50" s="108">
        <f>'Gestandaardiseerde PAV en EAV'!I108</f>
        <v>84.635046754229521</v>
      </c>
      <c r="J50" s="108">
        <f>'Gestandaardiseerde PAV en EAV'!J108</f>
        <v>2393.9713621954124</v>
      </c>
      <c r="K50" s="108">
        <f>'Gestandaardiseerde PAV en EAV'!K108</f>
        <v>3231.8425997156528</v>
      </c>
      <c r="L50" s="108">
        <f>'Gestandaardiseerde PAV en EAV'!L108</f>
        <v>36</v>
      </c>
      <c r="M50" s="108">
        <f>'Gestandaardiseerde PAV en EAV'!M108</f>
        <v>1833.483065417151</v>
      </c>
      <c r="N50" s="108">
        <f>'Gestandaardiseerde PAV en EAV'!N108</f>
        <v>58</v>
      </c>
      <c r="O50" s="13"/>
    </row>
    <row r="51" spans="2:15">
      <c r="B51" s="59" t="s">
        <v>255</v>
      </c>
      <c r="C51" s="13"/>
      <c r="D51" s="13" t="s">
        <v>241</v>
      </c>
      <c r="E51" s="13"/>
      <c r="G51" s="108">
        <f>'Gestandaardiseerde PAV en EAV'!G109</f>
        <v>9</v>
      </c>
      <c r="H51" s="108">
        <f>'Gestandaardiseerde PAV en EAV'!H109</f>
        <v>51.2</v>
      </c>
      <c r="I51" s="108">
        <f>'Gestandaardiseerde PAV en EAV'!I109</f>
        <v>24.389913997354657</v>
      </c>
      <c r="J51" s="108">
        <f>'Gestandaardiseerde PAV en EAV'!J109</f>
        <v>1148.2479260740615</v>
      </c>
      <c r="K51" s="108">
        <f>'Gestandaardiseerde PAV en EAV'!K109</f>
        <v>661</v>
      </c>
      <c r="L51" s="108">
        <f>'Gestandaardiseerde PAV en EAV'!L109</f>
        <v>7</v>
      </c>
      <c r="M51" s="108">
        <f>'Gestandaardiseerde PAV en EAV'!M109</f>
        <v>417.19761205638918</v>
      </c>
      <c r="N51" s="108">
        <f>'Gestandaardiseerde PAV en EAV'!N109</f>
        <v>22</v>
      </c>
      <c r="O51" s="13"/>
    </row>
    <row r="52" spans="2:15">
      <c r="B52" s="59" t="s">
        <v>254</v>
      </c>
      <c r="C52" s="13"/>
      <c r="D52" s="13" t="s">
        <v>241</v>
      </c>
      <c r="E52" s="13"/>
      <c r="G52" s="108">
        <f>'Gestandaardiseerde PAV en EAV'!G110</f>
        <v>0</v>
      </c>
      <c r="H52" s="108">
        <f>'Gestandaardiseerde PAV en EAV'!H110</f>
        <v>3</v>
      </c>
      <c r="I52" s="108">
        <f>'Gestandaardiseerde PAV en EAV'!I110</f>
        <v>1</v>
      </c>
      <c r="J52" s="108">
        <f>'Gestandaardiseerde PAV en EAV'!J110</f>
        <v>133.10390222528267</v>
      </c>
      <c r="K52" s="108">
        <f>'Gestandaardiseerde PAV en EAV'!K110</f>
        <v>78</v>
      </c>
      <c r="L52" s="108">
        <f>'Gestandaardiseerde PAV en EAV'!L110</f>
        <v>1</v>
      </c>
      <c r="M52" s="108">
        <f>'Gestandaardiseerde PAV en EAV'!M110</f>
        <v>53.014809067902824</v>
      </c>
      <c r="N52" s="108">
        <f>'Gestandaardiseerde PAV en EAV'!N110</f>
        <v>10</v>
      </c>
      <c r="O52" s="13"/>
    </row>
    <row r="53" spans="2:15">
      <c r="B53" s="59" t="s">
        <v>260</v>
      </c>
      <c r="C53" s="13"/>
      <c r="D53" s="13"/>
      <c r="E53" s="13"/>
      <c r="G53" s="96"/>
      <c r="H53" s="96"/>
      <c r="I53" s="96"/>
      <c r="J53" s="96"/>
      <c r="K53" s="96"/>
      <c r="L53" s="96"/>
      <c r="M53" s="96"/>
      <c r="N53" s="96"/>
      <c r="O53" s="13"/>
    </row>
    <row r="54" spans="2:15">
      <c r="B54" s="60" t="s">
        <v>329</v>
      </c>
      <c r="C54" s="13"/>
      <c r="D54" s="13"/>
      <c r="E54" s="13"/>
      <c r="G54" s="96"/>
      <c r="H54" s="96"/>
      <c r="I54" s="96"/>
      <c r="J54" s="96"/>
      <c r="K54" s="96"/>
      <c r="L54" s="96"/>
      <c r="M54" s="96"/>
      <c r="N54" s="96"/>
      <c r="O54" s="13"/>
    </row>
    <row r="55" spans="2:15">
      <c r="B55" s="59" t="s">
        <v>251</v>
      </c>
      <c r="C55" s="13"/>
      <c r="D55" s="13" t="s">
        <v>241</v>
      </c>
      <c r="E55" s="13"/>
      <c r="G55" s="108">
        <f>'Gestandaardiseerde PAV en EAV'!G113</f>
        <v>968</v>
      </c>
      <c r="H55" s="108">
        <f>'Gestandaardiseerde PAV en EAV'!H113</f>
        <v>2141</v>
      </c>
      <c r="I55" s="108">
        <f>'Gestandaardiseerde PAV en EAV'!I113</f>
        <v>69.388020833333314</v>
      </c>
      <c r="J55" s="108">
        <f>'Gestandaardiseerde PAV en EAV'!J113</f>
        <v>28214.471428571425</v>
      </c>
      <c r="K55" s="108">
        <f>'Gestandaardiseerde PAV en EAV'!K113</f>
        <v>12090</v>
      </c>
      <c r="L55" s="108">
        <f>'Gestandaardiseerde PAV en EAV'!L113</f>
        <v>169</v>
      </c>
      <c r="M55" s="108">
        <f>'Gestandaardiseerde PAV en EAV'!M113</f>
        <v>4151.2407952106396</v>
      </c>
      <c r="N55" s="108">
        <f>'Gestandaardiseerde PAV en EAV'!N113</f>
        <v>120</v>
      </c>
      <c r="O55" s="13"/>
    </row>
    <row r="56" spans="2:15">
      <c r="B56" s="59" t="s">
        <v>252</v>
      </c>
      <c r="C56" s="13"/>
      <c r="D56" s="13" t="s">
        <v>241</v>
      </c>
      <c r="E56" s="13"/>
      <c r="G56" s="108">
        <f>'Gestandaardiseerde PAV en EAV'!G114</f>
        <v>212</v>
      </c>
      <c r="H56" s="108">
        <f>'Gestandaardiseerde PAV en EAV'!H114</f>
        <v>5119</v>
      </c>
      <c r="I56" s="108">
        <f>'Gestandaardiseerde PAV en EAV'!I114</f>
        <v>644.55183946488296</v>
      </c>
      <c r="J56" s="108">
        <f>'Gestandaardiseerde PAV en EAV'!J114</f>
        <v>103878.09375</v>
      </c>
      <c r="K56" s="108">
        <f>'Gestandaardiseerde PAV en EAV'!K114</f>
        <v>24040</v>
      </c>
      <c r="L56" s="108">
        <f>'Gestandaardiseerde PAV en EAV'!L114</f>
        <v>487</v>
      </c>
      <c r="M56" s="108">
        <f>'Gestandaardiseerde PAV en EAV'!M114</f>
        <v>8050.5254911524798</v>
      </c>
      <c r="N56" s="108">
        <f>'Gestandaardiseerde PAV en EAV'!N114</f>
        <v>606</v>
      </c>
      <c r="O56" s="13"/>
    </row>
    <row r="57" spans="2:15">
      <c r="B57" s="59" t="s">
        <v>253</v>
      </c>
      <c r="C57" s="13"/>
      <c r="D57" s="13" t="s">
        <v>241</v>
      </c>
      <c r="E57" s="13"/>
      <c r="G57" s="108">
        <f>'Gestandaardiseerde PAV en EAV'!G115</f>
        <v>510</v>
      </c>
      <c r="H57" s="108">
        <f>'Gestandaardiseerde PAV en EAV'!H115</f>
        <v>3134</v>
      </c>
      <c r="I57" s="108">
        <f>'Gestandaardiseerde PAV en EAV'!I115</f>
        <v>837.27209894507087</v>
      </c>
      <c r="J57" s="108">
        <f>'Gestandaardiseerde PAV en EAV'!J115</f>
        <v>27885.857142857141</v>
      </c>
      <c r="K57" s="108">
        <f>'Gestandaardiseerde PAV en EAV'!K115</f>
        <v>30058</v>
      </c>
      <c r="L57" s="108">
        <f>'Gestandaardiseerde PAV en EAV'!L115</f>
        <v>150</v>
      </c>
      <c r="M57" s="108">
        <f>'Gestandaardiseerde PAV en EAV'!M115</f>
        <v>19814.150410724658</v>
      </c>
      <c r="N57" s="108">
        <f>'Gestandaardiseerde PAV en EAV'!N115</f>
        <v>2594</v>
      </c>
      <c r="O57" s="13"/>
    </row>
    <row r="58" spans="2:15">
      <c r="B58" s="59" t="s">
        <v>255</v>
      </c>
      <c r="C58" s="13"/>
      <c r="D58" s="13" t="s">
        <v>241</v>
      </c>
      <c r="E58" s="13"/>
      <c r="G58" s="108">
        <f>'Gestandaardiseerde PAV en EAV'!G116</f>
        <v>716</v>
      </c>
      <c r="H58" s="108">
        <f>'Gestandaardiseerde PAV en EAV'!H116</f>
        <v>7701.4100000000008</v>
      </c>
      <c r="I58" s="108">
        <f>'Gestandaardiseerde PAV en EAV'!I116</f>
        <v>1022.1519945530096</v>
      </c>
      <c r="J58" s="108">
        <f>'Gestandaardiseerde PAV en EAV'!J116</f>
        <v>157071.79974358977</v>
      </c>
      <c r="K58" s="108">
        <f>'Gestandaardiseerde PAV en EAV'!K116</f>
        <v>84983</v>
      </c>
      <c r="L58" s="108">
        <f>'Gestandaardiseerde PAV en EAV'!L116</f>
        <v>699</v>
      </c>
      <c r="M58" s="108">
        <f>'Gestandaardiseerde PAV en EAV'!M116</f>
        <v>38396.943027869915</v>
      </c>
      <c r="N58" s="108">
        <f>'Gestandaardiseerde PAV en EAV'!N116</f>
        <v>2685.5</v>
      </c>
      <c r="O58" s="13"/>
    </row>
    <row r="59" spans="2:15">
      <c r="B59" s="59" t="s">
        <v>254</v>
      </c>
      <c r="C59" s="13"/>
      <c r="D59" s="13" t="s">
        <v>241</v>
      </c>
      <c r="E59" s="13"/>
      <c r="G59" s="108">
        <f>'Gestandaardiseerde PAV en EAV'!G117</f>
        <v>0</v>
      </c>
      <c r="H59" s="108">
        <f>'Gestandaardiseerde PAV en EAV'!H117</f>
        <v>940</v>
      </c>
      <c r="I59" s="108">
        <f>'Gestandaardiseerde PAV en EAV'!I117</f>
        <v>0</v>
      </c>
      <c r="J59" s="108">
        <f>'Gestandaardiseerde PAV en EAV'!J117</f>
        <v>13790.555688073393</v>
      </c>
      <c r="K59" s="108">
        <f>'Gestandaardiseerde PAV en EAV'!K117</f>
        <v>20879</v>
      </c>
      <c r="L59" s="108">
        <f>'Gestandaardiseerde PAV en EAV'!L117</f>
        <v>1400</v>
      </c>
      <c r="M59" s="108">
        <f>'Gestandaardiseerde PAV en EAV'!M117</f>
        <v>13293.030891253238</v>
      </c>
      <c r="N59" s="108">
        <f>'Gestandaardiseerde PAV en EAV'!N117</f>
        <v>338</v>
      </c>
      <c r="O59" s="13"/>
    </row>
    <row r="60" spans="2:15">
      <c r="B60" s="95"/>
      <c r="C60" s="13"/>
      <c r="D60" s="13"/>
      <c r="E60" s="13"/>
      <c r="G60" s="11"/>
      <c r="H60" s="11"/>
      <c r="I60" s="11"/>
      <c r="J60" s="11"/>
      <c r="K60" s="11"/>
      <c r="L60" s="11"/>
      <c r="M60" s="11"/>
      <c r="N60" s="11"/>
      <c r="O60" s="13"/>
    </row>
    <row r="62" spans="2:15">
      <c r="B62" s="104" t="s">
        <v>102</v>
      </c>
    </row>
    <row r="63" spans="2:15">
      <c r="B63" s="60"/>
      <c r="C63" s="60"/>
      <c r="D63" s="59"/>
    </row>
    <row r="64" spans="2:15">
      <c r="B64" s="60" t="s">
        <v>425</v>
      </c>
      <c r="C64" s="59"/>
      <c r="D64" s="59"/>
    </row>
    <row r="65" spans="2:14">
      <c r="B65" s="59" t="s">
        <v>251</v>
      </c>
      <c r="C65" s="59"/>
      <c r="D65" s="59" t="s">
        <v>335</v>
      </c>
      <c r="G65" s="100">
        <f>'Gestandaardiseerde PAV en EAV'!G78</f>
        <v>350</v>
      </c>
      <c r="H65" s="100">
        <f>'Gestandaardiseerde PAV en EAV'!H78</f>
        <v>284.07</v>
      </c>
      <c r="I65" s="100">
        <f>'Gestandaardiseerde PAV en EAV'!I78</f>
        <v>345.18</v>
      </c>
      <c r="J65" s="100">
        <f>'Gestandaardiseerde PAV en EAV'!J78</f>
        <v>296</v>
      </c>
      <c r="K65" s="100">
        <f>'Gestandaardiseerde PAV en EAV'!K78</f>
        <v>329.4</v>
      </c>
      <c r="L65" s="100">
        <f>'Gestandaardiseerde PAV en EAV'!L78</f>
        <v>363</v>
      </c>
      <c r="M65" s="100">
        <f>'Gestandaardiseerde PAV en EAV'!M78</f>
        <v>327.86</v>
      </c>
      <c r="N65" s="100">
        <f>'Gestandaardiseerde PAV en EAV'!N78</f>
        <v>356.53</v>
      </c>
    </row>
    <row r="66" spans="2:14">
      <c r="B66" s="59" t="s">
        <v>252</v>
      </c>
      <c r="C66" s="59"/>
      <c r="D66" s="59" t="s">
        <v>335</v>
      </c>
      <c r="G66" s="100">
        <f>'Gestandaardiseerde PAV en EAV'!G79</f>
        <v>585</v>
      </c>
      <c r="H66" s="100">
        <f>'Gestandaardiseerde PAV en EAV'!H79</f>
        <v>539.30999999999995</v>
      </c>
      <c r="I66" s="100">
        <f>'Gestandaardiseerde PAV en EAV'!I79</f>
        <v>542.6</v>
      </c>
      <c r="J66" s="100">
        <f>'Gestandaardiseerde PAV en EAV'!J79</f>
        <v>568</v>
      </c>
      <c r="K66" s="100">
        <f>'Gestandaardiseerde PAV en EAV'!K79</f>
        <v>546.70000000000005</v>
      </c>
      <c r="L66" s="100">
        <f>'Gestandaardiseerde PAV en EAV'!L79</f>
        <v>615</v>
      </c>
      <c r="M66" s="100">
        <f>'Gestandaardiseerde PAV en EAV'!M79</f>
        <v>479.57</v>
      </c>
      <c r="N66" s="100">
        <f>'Gestandaardiseerde PAV en EAV'!N79</f>
        <v>678.65</v>
      </c>
    </row>
    <row r="67" spans="2:14">
      <c r="B67" s="59" t="s">
        <v>253</v>
      </c>
      <c r="C67" s="59"/>
      <c r="D67" s="59" t="s">
        <v>335</v>
      </c>
      <c r="G67" s="100">
        <f>'Gestandaardiseerde PAV en EAV'!G80</f>
        <v>990.80000000000007</v>
      </c>
      <c r="H67" s="100">
        <f>'Gestandaardiseerde PAV en EAV'!H80</f>
        <v>847.68622950819667</v>
      </c>
      <c r="I67" s="100">
        <f>'Gestandaardiseerde PAV en EAV'!I80</f>
        <v>740.04</v>
      </c>
      <c r="J67" s="100">
        <f>'Gestandaardiseerde PAV en EAV'!J80</f>
        <v>749.21130566707029</v>
      </c>
      <c r="K67" s="100">
        <f>'Gestandaardiseerde PAV en EAV'!K80</f>
        <v>910.54478341826143</v>
      </c>
      <c r="L67" s="100">
        <f>'Gestandaardiseerde PAV en EAV'!L80</f>
        <v>902.25</v>
      </c>
      <c r="M67" s="100">
        <f>'Gestandaardiseerde PAV en EAV'!M80</f>
        <v>824.29963768115556</v>
      </c>
      <c r="N67" s="100">
        <f>'Gestandaardiseerde PAV en EAV'!N80</f>
        <v>1022.1079310344828</v>
      </c>
    </row>
    <row r="68" spans="2:14">
      <c r="B68" s="59" t="s">
        <v>255</v>
      </c>
      <c r="C68" s="59"/>
      <c r="D68" s="59" t="s">
        <v>335</v>
      </c>
      <c r="G68" s="100">
        <f>'Gestandaardiseerde PAV en EAV'!G81</f>
        <v>11513.164444444445</v>
      </c>
      <c r="H68" s="100">
        <f>'Gestandaardiseerde PAV en EAV'!H81</f>
        <v>5557.1217187499997</v>
      </c>
      <c r="I68" s="100">
        <f>'Gestandaardiseerde PAV en EAV'!I81</f>
        <v>6299.7196306909864</v>
      </c>
      <c r="J68" s="100">
        <f>'Gestandaardiseerde PAV en EAV'!J81</f>
        <v>4583.1232005731199</v>
      </c>
      <c r="K68" s="100">
        <f>'Gestandaardiseerde PAV en EAV'!K81</f>
        <v>6931.5077912254164</v>
      </c>
      <c r="L68" s="100">
        <f>'Gestandaardiseerde PAV en EAV'!L81</f>
        <v>8102.1428571428569</v>
      </c>
      <c r="M68" s="100">
        <f>'Gestandaardiseerde PAV en EAV'!M81</f>
        <v>6826.7688103686032</v>
      </c>
      <c r="N68" s="100">
        <f>'Gestandaardiseerde PAV en EAV'!N81</f>
        <v>4935.4186363636372</v>
      </c>
    </row>
    <row r="69" spans="2:14">
      <c r="B69" s="59" t="s">
        <v>254</v>
      </c>
      <c r="C69" s="59"/>
      <c r="D69" s="59" t="s">
        <v>335</v>
      </c>
      <c r="G69" s="100">
        <f>'Gestandaardiseerde PAV en EAV'!G82</f>
        <v>0</v>
      </c>
      <c r="H69" s="100">
        <f>'Gestandaardiseerde PAV en EAV'!H82</f>
        <v>192464.63333333333</v>
      </c>
      <c r="I69" s="100">
        <f>'Gestandaardiseerde PAV en EAV'!I82</f>
        <v>32013.79</v>
      </c>
      <c r="J69" s="100">
        <f>'Gestandaardiseerde PAV en EAV'!J82</f>
        <v>28459.056997357355</v>
      </c>
      <c r="K69" s="100">
        <f>'Gestandaardiseerde PAV en EAV'!K82</f>
        <v>69916.066923076927</v>
      </c>
      <c r="L69" s="100">
        <f>'Gestandaardiseerde PAV en EAV'!L82</f>
        <v>48889.792650000003</v>
      </c>
      <c r="M69" s="100">
        <f>'Gestandaardiseerde PAV en EAV'!M82</f>
        <v>66720.72104272584</v>
      </c>
      <c r="N69" s="100">
        <f>'Gestandaardiseerde PAV en EAV'!N82</f>
        <v>63121.866999999991</v>
      </c>
    </row>
    <row r="70" spans="2:14">
      <c r="B70" s="59" t="s">
        <v>260</v>
      </c>
      <c r="C70" s="59"/>
      <c r="D70" s="59"/>
      <c r="G70" s="101"/>
      <c r="H70" s="101"/>
      <c r="I70" s="101"/>
      <c r="J70" s="101"/>
      <c r="K70" s="101"/>
      <c r="L70" s="101"/>
      <c r="M70" s="101"/>
      <c r="N70" s="101"/>
    </row>
    <row r="71" spans="2:14">
      <c r="B71" s="60" t="s">
        <v>329</v>
      </c>
      <c r="C71" s="59"/>
      <c r="D71" s="59"/>
      <c r="G71" s="101"/>
      <c r="H71" s="101"/>
      <c r="I71" s="101"/>
      <c r="J71" s="101"/>
      <c r="K71" s="101"/>
      <c r="L71" s="101"/>
      <c r="M71" s="101"/>
      <c r="N71" s="101"/>
    </row>
    <row r="72" spans="2:14">
      <c r="B72" s="59" t="s">
        <v>251</v>
      </c>
      <c r="C72" s="59"/>
      <c r="D72" s="59" t="s">
        <v>335</v>
      </c>
      <c r="G72" s="100">
        <f>'Gestandaardiseerde PAV en EAV'!G85</f>
        <v>17.36</v>
      </c>
      <c r="H72" s="100">
        <f>'Gestandaardiseerde PAV en EAV'!H85</f>
        <v>14.07</v>
      </c>
      <c r="I72" s="100">
        <f>'Gestandaardiseerde PAV en EAV'!I85</f>
        <v>23.04</v>
      </c>
      <c r="J72" s="100">
        <f>'Gestandaardiseerde PAV en EAV'!J85</f>
        <v>14</v>
      </c>
      <c r="K72" s="100">
        <f>'Gestandaardiseerde PAV en EAV'!K85</f>
        <v>16.350000000000001</v>
      </c>
      <c r="L72" s="100">
        <f>'Gestandaardiseerde PAV en EAV'!L85</f>
        <v>18.09</v>
      </c>
      <c r="M72" s="100">
        <f>'Gestandaardiseerde PAV en EAV'!M85</f>
        <v>15.23</v>
      </c>
      <c r="N72" s="100">
        <f>'Gestandaardiseerde PAV en EAV'!N85</f>
        <v>17.670000000000002</v>
      </c>
    </row>
    <row r="73" spans="2:14">
      <c r="B73" s="59" t="s">
        <v>252</v>
      </c>
      <c r="C73" s="59"/>
      <c r="D73" s="59" t="s">
        <v>335</v>
      </c>
      <c r="G73" s="100">
        <f>'Gestandaardiseerde PAV en EAV'!G86</f>
        <v>17.66</v>
      </c>
      <c r="H73" s="100">
        <f>'Gestandaardiseerde PAV en EAV'!H86</f>
        <v>22.89</v>
      </c>
      <c r="I73" s="100">
        <f>'Gestandaardiseerde PAV en EAV'!I86</f>
        <v>23.92</v>
      </c>
      <c r="J73" s="100">
        <f>'Gestandaardiseerde PAV en EAV'!J86</f>
        <v>16</v>
      </c>
      <c r="K73" s="100">
        <f>'Gestandaardiseerde PAV en EAV'!K86</f>
        <v>21.6</v>
      </c>
      <c r="L73" s="100">
        <f>'Gestandaardiseerde PAV en EAV'!L86</f>
        <v>21.2</v>
      </c>
      <c r="M73" s="100">
        <f>'Gestandaardiseerde PAV en EAV'!M86</f>
        <v>21.06</v>
      </c>
      <c r="N73" s="100">
        <f>'Gestandaardiseerde PAV en EAV'!N86</f>
        <v>25.53</v>
      </c>
    </row>
    <row r="74" spans="2:14">
      <c r="B74" s="59" t="s">
        <v>253</v>
      </c>
      <c r="C74" s="59"/>
      <c r="D74" s="59" t="s">
        <v>335</v>
      </c>
      <c r="G74" s="100">
        <f>'Gestandaardiseerde PAV en EAV'!G87</f>
        <v>24.729999999999997</v>
      </c>
      <c r="H74" s="100">
        <f>'Gestandaardiseerde PAV en EAV'!H87</f>
        <v>29.176295469049141</v>
      </c>
      <c r="I74" s="100">
        <f>'Gestandaardiseerde PAV en EAV'!I87</f>
        <v>27.49</v>
      </c>
      <c r="J74" s="100">
        <f>'Gestandaardiseerde PAV en EAV'!J87</f>
        <v>20.965036039774386</v>
      </c>
      <c r="K74" s="100">
        <f>'Gestandaardiseerde PAV en EAV'!K87</f>
        <v>28.734193226428904</v>
      </c>
      <c r="L74" s="100">
        <f>'Gestandaardiseerde PAV en EAV'!L87</f>
        <v>25.842533333333336</v>
      </c>
      <c r="M74" s="100">
        <f>'Gestandaardiseerde PAV en EAV'!M87</f>
        <v>29.16596194812238</v>
      </c>
      <c r="N74" s="100">
        <f>'Gestandaardiseerde PAV en EAV'!N87</f>
        <v>30.64</v>
      </c>
    </row>
    <row r="75" spans="2:14">
      <c r="B75" s="59" t="s">
        <v>255</v>
      </c>
      <c r="C75" s="59"/>
      <c r="D75" s="59" t="s">
        <v>335</v>
      </c>
      <c r="G75" s="100">
        <f>'Gestandaardiseerde PAV en EAV'!G88</f>
        <v>37.447695530726257</v>
      </c>
      <c r="H75" s="100">
        <f>'Gestandaardiseerde PAV en EAV'!H88</f>
        <v>50.008916146523823</v>
      </c>
      <c r="I75" s="100">
        <f>'Gestandaardiseerde PAV en EAV'!I88</f>
        <v>59.400158023026016</v>
      </c>
      <c r="J75" s="100">
        <f>'Gestandaardiseerde PAV en EAV'!J88</f>
        <v>29.745047600058921</v>
      </c>
      <c r="K75" s="100">
        <f>'Gestandaardiseerde PAV en EAV'!K88</f>
        <v>48.378328253886075</v>
      </c>
      <c r="L75" s="100">
        <f>'Gestandaardiseerde PAV en EAV'!L88</f>
        <v>45.479384835479259</v>
      </c>
      <c r="M75" s="100">
        <f>'Gestandaardiseerde PAV en EAV'!M88</f>
        <v>55.820886684363202</v>
      </c>
      <c r="N75" s="100">
        <f>'Gestandaardiseerde PAV en EAV'!N88</f>
        <v>71.944727238875444</v>
      </c>
    </row>
    <row r="76" spans="2:14">
      <c r="B76" s="59" t="s">
        <v>254</v>
      </c>
      <c r="C76" s="59"/>
      <c r="D76" s="59" t="s">
        <v>335</v>
      </c>
      <c r="G76" s="100">
        <f>'Gestandaardiseerde PAV en EAV'!G89</f>
        <v>0</v>
      </c>
      <c r="H76" s="100">
        <f>'Gestandaardiseerde PAV en EAV'!H89</f>
        <v>133.19505319148936</v>
      </c>
      <c r="I76" s="100">
        <f>'Gestandaardiseerde PAV en EAV'!I89</f>
        <v>0</v>
      </c>
      <c r="J76" s="100">
        <f>'Gestandaardiseerde PAV en EAV'!J89</f>
        <v>71.898901134021003</v>
      </c>
      <c r="K76" s="100">
        <f>'Gestandaardiseerde PAV en EAV'!K89</f>
        <v>117.90732171080991</v>
      </c>
      <c r="L76" s="100">
        <f>'Gestandaardiseerde PAV en EAV'!L89</f>
        <v>101.24</v>
      </c>
      <c r="M76" s="100">
        <f>'Gestandaardiseerde PAV en EAV'!M89</f>
        <v>142.09905027862339</v>
      </c>
      <c r="N76" s="100">
        <f>'Gestandaardiseerde PAV en EAV'!N89</f>
        <v>178.53136094674556</v>
      </c>
    </row>
    <row r="79" spans="2:14" s="2" customFormat="1">
      <c r="B79" s="2" t="s">
        <v>104</v>
      </c>
    </row>
    <row r="81" spans="2:15">
      <c r="B81" s="60" t="s">
        <v>101</v>
      </c>
      <c r="C81" s="13"/>
      <c r="D81" s="13"/>
      <c r="E81" s="13"/>
      <c r="F81" s="13"/>
      <c r="G81" s="96"/>
      <c r="H81" s="96"/>
      <c r="I81" s="96"/>
      <c r="J81" s="96"/>
      <c r="K81" s="96"/>
      <c r="L81" s="96"/>
      <c r="M81" s="96"/>
      <c r="N81" s="96"/>
      <c r="O81" s="13"/>
    </row>
    <row r="82" spans="2:15">
      <c r="B82" s="60"/>
      <c r="C82" s="13"/>
      <c r="D82" s="13"/>
      <c r="E82" s="13"/>
      <c r="F82" s="13"/>
      <c r="G82" s="96"/>
      <c r="H82" s="96"/>
      <c r="I82" s="96"/>
      <c r="J82" s="96"/>
      <c r="K82" s="96"/>
      <c r="L82" s="96"/>
      <c r="M82" s="96"/>
      <c r="N82" s="96"/>
      <c r="O82" s="13"/>
    </row>
    <row r="83" spans="2:15">
      <c r="B83" s="60" t="s">
        <v>425</v>
      </c>
      <c r="C83" s="13"/>
      <c r="D83" s="13"/>
      <c r="E83" s="13"/>
      <c r="F83" s="13"/>
      <c r="G83" s="96"/>
      <c r="H83" s="96"/>
      <c r="I83" s="96"/>
      <c r="J83" s="96"/>
      <c r="K83" s="96"/>
      <c r="L83" s="96"/>
      <c r="M83" s="96"/>
      <c r="N83" s="96"/>
      <c r="O83" s="13"/>
    </row>
    <row r="84" spans="2:15">
      <c r="B84" s="59" t="s">
        <v>251</v>
      </c>
      <c r="C84" s="13"/>
      <c r="D84" s="13" t="s">
        <v>241</v>
      </c>
      <c r="E84" s="13"/>
      <c r="G84" s="108">
        <f>'Gestandaardiseerde PAV en EAV'!G162</f>
        <v>286</v>
      </c>
      <c r="H84" s="108">
        <f>'Gestandaardiseerde PAV en EAV'!H162</f>
        <v>1248</v>
      </c>
      <c r="I84" s="108">
        <f>'Gestandaardiseerde PAV en EAV'!I162</f>
        <v>952.79261427956976</v>
      </c>
      <c r="J84" s="108">
        <f>'Gestandaardiseerde PAV en EAV'!J162</f>
        <v>24977.239905660379</v>
      </c>
      <c r="K84" s="108">
        <f>'Gestandaardiseerde PAV en EAV'!K162</f>
        <v>9232</v>
      </c>
      <c r="L84" s="108">
        <f>'Gestandaardiseerde PAV en EAV'!L162</f>
        <v>536</v>
      </c>
      <c r="M84" s="108">
        <f>'Gestandaardiseerde PAV en EAV'!M162</f>
        <v>7599.20035509424</v>
      </c>
      <c r="N84" s="108">
        <f>'Gestandaardiseerde PAV en EAV'!N162</f>
        <v>515</v>
      </c>
      <c r="O84" s="13"/>
    </row>
    <row r="85" spans="2:15">
      <c r="B85" s="59" t="s">
        <v>252</v>
      </c>
      <c r="C85" s="13"/>
      <c r="D85" s="13" t="s">
        <v>241</v>
      </c>
      <c r="E85" s="13"/>
      <c r="G85" s="108">
        <f>'Gestandaardiseerde PAV en EAV'!G163</f>
        <v>323</v>
      </c>
      <c r="H85" s="108">
        <f>'Gestandaardiseerde PAV en EAV'!H163</f>
        <v>1725</v>
      </c>
      <c r="I85" s="108">
        <f>'Gestandaardiseerde PAV en EAV'!I163</f>
        <v>1057.4221538461541</v>
      </c>
      <c r="J85" s="108">
        <f>'Gestandaardiseerde PAV en EAV'!J163</f>
        <v>21820.355139116211</v>
      </c>
      <c r="K85" s="108">
        <f>'Gestandaardiseerde PAV en EAV'!K163</f>
        <v>30595</v>
      </c>
      <c r="L85" s="108">
        <f>'Gestandaardiseerde PAV en EAV'!L163</f>
        <v>224</v>
      </c>
      <c r="M85" s="108">
        <f>'Gestandaardiseerde PAV en EAV'!M163</f>
        <v>13145.23366</v>
      </c>
      <c r="N85" s="108">
        <f>'Gestandaardiseerde PAV en EAV'!N163</f>
        <v>914</v>
      </c>
      <c r="O85" s="13"/>
    </row>
    <row r="86" spans="2:15">
      <c r="B86" s="59" t="s">
        <v>253</v>
      </c>
      <c r="C86" s="13"/>
      <c r="D86" s="13" t="s">
        <v>241</v>
      </c>
      <c r="E86" s="13"/>
      <c r="G86" s="108">
        <f>'Gestandaardiseerde PAV en EAV'!G164</f>
        <v>22</v>
      </c>
      <c r="H86" s="108">
        <f>'Gestandaardiseerde PAV en EAV'!H164</f>
        <v>498</v>
      </c>
      <c r="I86" s="108">
        <f>'Gestandaardiseerde PAV en EAV'!I164</f>
        <v>89.886131291998595</v>
      </c>
      <c r="J86" s="108">
        <f>'Gestandaardiseerde PAV en EAV'!J164</f>
        <v>2244.5079082748885</v>
      </c>
      <c r="K86" s="108">
        <f>'Gestandaardiseerde PAV en EAV'!K164</f>
        <v>4173</v>
      </c>
      <c r="L86" s="108">
        <f>'Gestandaardiseerde PAV en EAV'!L164</f>
        <v>21</v>
      </c>
      <c r="M86" s="108">
        <f>'Gestandaardiseerde PAV en EAV'!M164</f>
        <v>2430.9099414616189</v>
      </c>
      <c r="N86" s="108">
        <f>'Gestandaardiseerde PAV en EAV'!N164</f>
        <v>60</v>
      </c>
      <c r="O86" s="13"/>
    </row>
    <row r="87" spans="2:15">
      <c r="B87" s="59" t="s">
        <v>255</v>
      </c>
      <c r="C87" s="13"/>
      <c r="D87" s="13" t="s">
        <v>241</v>
      </c>
      <c r="E87" s="13"/>
      <c r="G87" s="108">
        <f>'Gestandaardiseerde PAV en EAV'!G165</f>
        <v>17</v>
      </c>
      <c r="H87" s="108">
        <f>'Gestandaardiseerde PAV en EAV'!H165</f>
        <v>85</v>
      </c>
      <c r="I87" s="108">
        <f>'Gestandaardiseerde PAV en EAV'!I165</f>
        <v>16.749011610333348</v>
      </c>
      <c r="J87" s="108">
        <f>'Gestandaardiseerde PAV en EAV'!J165</f>
        <v>1003.4605094711358</v>
      </c>
      <c r="K87" s="108">
        <f>'Gestandaardiseerde PAV en EAV'!K165</f>
        <v>832</v>
      </c>
      <c r="L87" s="108">
        <f>'Gestandaardiseerde PAV en EAV'!L165</f>
        <v>8</v>
      </c>
      <c r="M87" s="108">
        <f>'Gestandaardiseerde PAV en EAV'!M165</f>
        <v>492.75338783566156</v>
      </c>
      <c r="N87" s="108">
        <f>'Gestandaardiseerde PAV en EAV'!N165</f>
        <v>25</v>
      </c>
      <c r="O87" s="13"/>
    </row>
    <row r="88" spans="2:15">
      <c r="B88" s="59" t="s">
        <v>254</v>
      </c>
      <c r="C88" s="13"/>
      <c r="D88" s="13" t="s">
        <v>241</v>
      </c>
      <c r="E88" s="13"/>
      <c r="G88" s="108">
        <f>'Gestandaardiseerde PAV en EAV'!G166</f>
        <v>1</v>
      </c>
      <c r="H88" s="108">
        <f>'Gestandaardiseerde PAV en EAV'!H166</f>
        <v>1</v>
      </c>
      <c r="I88" s="108">
        <f>'Gestandaardiseerde PAV en EAV'!I166</f>
        <v>3.8198227951640416</v>
      </c>
      <c r="J88" s="108">
        <f>'Gestandaardiseerde PAV en EAV'!J166</f>
        <v>102.65901797621896</v>
      </c>
      <c r="K88" s="108">
        <f>'Gestandaardiseerde PAV en EAV'!K166</f>
        <v>78</v>
      </c>
      <c r="L88" s="108">
        <f>'Gestandaardiseerde PAV en EAV'!L166</f>
        <v>0</v>
      </c>
      <c r="M88" s="108">
        <f>'Gestandaardiseerde PAV en EAV'!M166</f>
        <v>55.944079921321638</v>
      </c>
      <c r="N88" s="108">
        <f>'Gestandaardiseerde PAV en EAV'!N166</f>
        <v>4</v>
      </c>
      <c r="O88" s="13"/>
    </row>
    <row r="89" spans="2:15">
      <c r="B89" s="59" t="s">
        <v>260</v>
      </c>
      <c r="C89" s="13"/>
      <c r="D89" s="13"/>
      <c r="E89" s="13"/>
      <c r="G89" s="96"/>
      <c r="H89" s="96"/>
      <c r="I89" s="96"/>
      <c r="J89" s="96"/>
      <c r="K89" s="96"/>
      <c r="L89" s="96"/>
      <c r="M89" s="96"/>
      <c r="N89" s="96"/>
      <c r="O89" s="13"/>
    </row>
    <row r="90" spans="2:15">
      <c r="B90" s="60" t="s">
        <v>329</v>
      </c>
      <c r="C90" s="13"/>
      <c r="D90" s="13"/>
      <c r="E90" s="13"/>
      <c r="G90" s="96"/>
      <c r="H90" s="96"/>
      <c r="I90" s="96"/>
      <c r="J90" s="96"/>
      <c r="K90" s="96"/>
      <c r="L90" s="96"/>
      <c r="M90" s="96"/>
      <c r="N90" s="96"/>
      <c r="O90" s="13"/>
    </row>
    <row r="91" spans="2:15">
      <c r="B91" s="59" t="s">
        <v>251</v>
      </c>
      <c r="C91" s="13"/>
      <c r="D91" s="13" t="s">
        <v>241</v>
      </c>
      <c r="E91" s="13"/>
      <c r="G91" s="108">
        <f>'Gestandaardiseerde PAV en EAV'!G169</f>
        <v>126</v>
      </c>
      <c r="H91" s="108">
        <f>'Gestandaardiseerde PAV en EAV'!H169</f>
        <v>1930</v>
      </c>
      <c r="I91" s="108">
        <f>'Gestandaardiseerde PAV en EAV'!I169</f>
        <v>134.49275362318841</v>
      </c>
      <c r="J91" s="108">
        <f>'Gestandaardiseerde PAV en EAV'!J169</f>
        <v>18536.96</v>
      </c>
      <c r="K91" s="108">
        <f>'Gestandaardiseerde PAV en EAV'!K169</f>
        <v>12904</v>
      </c>
      <c r="L91" s="108">
        <f>'Gestandaardiseerde PAV en EAV'!L169</f>
        <v>648</v>
      </c>
      <c r="M91" s="108">
        <f>'Gestandaardiseerde PAV en EAV'!M169</f>
        <v>4757.2634730538903</v>
      </c>
      <c r="N91" s="108">
        <f>'Gestandaardiseerde PAV en EAV'!N169</f>
        <v>877</v>
      </c>
      <c r="O91" s="13"/>
    </row>
    <row r="92" spans="2:15">
      <c r="B92" s="59" t="s">
        <v>252</v>
      </c>
      <c r="C92" s="13"/>
      <c r="D92" s="13" t="s">
        <v>241</v>
      </c>
      <c r="E92" s="13"/>
      <c r="G92" s="108">
        <f>'Gestandaardiseerde PAV en EAV'!G170</f>
        <v>217</v>
      </c>
      <c r="H92" s="108">
        <f>'Gestandaardiseerde PAV en EAV'!H170</f>
        <v>4386</v>
      </c>
      <c r="I92" s="108">
        <f>'Gestandaardiseerde PAV en EAV'!I170</f>
        <v>623.31407522295467</v>
      </c>
      <c r="J92" s="108">
        <f>'Gestandaardiseerde PAV en EAV'!J170</f>
        <v>45853.597058823529</v>
      </c>
      <c r="K92" s="108">
        <f>'Gestandaardiseerde PAV en EAV'!K170</f>
        <v>37836</v>
      </c>
      <c r="L92" s="108">
        <f>'Gestandaardiseerde PAV en EAV'!L170</f>
        <v>420</v>
      </c>
      <c r="M92" s="108">
        <f>'Gestandaardiseerde PAV en EAV'!M170</f>
        <v>16571.597446808501</v>
      </c>
      <c r="N92" s="108">
        <f>'Gestandaardiseerde PAV en EAV'!N170</f>
        <v>261</v>
      </c>
      <c r="O92" s="13"/>
    </row>
    <row r="93" spans="2:15">
      <c r="B93" s="59" t="s">
        <v>253</v>
      </c>
      <c r="C93" s="13"/>
      <c r="D93" s="13" t="s">
        <v>241</v>
      </c>
      <c r="E93" s="13"/>
      <c r="G93" s="108">
        <f>'Gestandaardiseerde PAV en EAV'!G171</f>
        <v>36</v>
      </c>
      <c r="H93" s="108">
        <f>'Gestandaardiseerde PAV en EAV'!H171</f>
        <v>2706</v>
      </c>
      <c r="I93" s="108">
        <f>'Gestandaardiseerde PAV en EAV'!I171</f>
        <v>174.5602458768488</v>
      </c>
      <c r="J93" s="108">
        <f>'Gestandaardiseerde PAV en EAV'!J171</f>
        <v>55279.834999999999</v>
      </c>
      <c r="K93" s="108">
        <f>'Gestandaardiseerde PAV en EAV'!K171</f>
        <v>30821</v>
      </c>
      <c r="L93" s="108">
        <f>'Gestandaardiseerde PAV en EAV'!L171</f>
        <v>293</v>
      </c>
      <c r="M93" s="108">
        <f>'Gestandaardiseerde PAV en EAV'!M171</f>
        <v>27833.38525061835</v>
      </c>
      <c r="N93" s="108">
        <f>'Gestandaardiseerde PAV en EAV'!N171</f>
        <v>1283</v>
      </c>
      <c r="O93" s="13"/>
    </row>
    <row r="94" spans="2:15">
      <c r="B94" s="59" t="s">
        <v>255</v>
      </c>
      <c r="C94" s="13"/>
      <c r="D94" s="13" t="s">
        <v>241</v>
      </c>
      <c r="E94" s="13"/>
      <c r="G94" s="108">
        <f>'Gestandaardiseerde PAV en EAV'!G172</f>
        <v>1140</v>
      </c>
      <c r="H94" s="108">
        <f>'Gestandaardiseerde PAV en EAV'!H172</f>
        <v>10244</v>
      </c>
      <c r="I94" s="108">
        <f>'Gestandaardiseerde PAV en EAV'!I172</f>
        <v>991.15956601370158</v>
      </c>
      <c r="J94" s="108">
        <f>'Gestandaardiseerde PAV en EAV'!J172</f>
        <v>135273.4627232143</v>
      </c>
      <c r="K94" s="108">
        <f>'Gestandaardiseerde PAV en EAV'!K172</f>
        <v>82562.05112693859</v>
      </c>
      <c r="L94" s="108">
        <f>'Gestandaardiseerde PAV en EAV'!L172</f>
        <v>1333</v>
      </c>
      <c r="M94" s="108">
        <f>'Gestandaardiseerde PAV en EAV'!M172</f>
        <v>58175.713158318453</v>
      </c>
      <c r="N94" s="108">
        <f>'Gestandaardiseerde PAV en EAV'!N172</f>
        <v>2865</v>
      </c>
      <c r="O94" s="13"/>
    </row>
    <row r="95" spans="2:15">
      <c r="B95" s="59" t="s">
        <v>254</v>
      </c>
      <c r="C95" s="13"/>
      <c r="D95" s="13" t="s">
        <v>241</v>
      </c>
      <c r="E95" s="13"/>
      <c r="G95" s="108">
        <f>'Gestandaardiseerde PAV en EAV'!G173</f>
        <v>150</v>
      </c>
      <c r="H95" s="108">
        <f>'Gestandaardiseerde PAV en EAV'!H173</f>
        <v>15</v>
      </c>
      <c r="I95" s="108">
        <f>'Gestandaardiseerde PAV en EAV'!I173</f>
        <v>333.8776651520447</v>
      </c>
      <c r="J95" s="108">
        <f>'Gestandaardiseerde PAV en EAV'!J173</f>
        <v>6973.8094284188028</v>
      </c>
      <c r="K95" s="108">
        <f>'Gestandaardiseerde PAV en EAV'!K173</f>
        <v>34320</v>
      </c>
      <c r="L95" s="108">
        <f>'Gestandaardiseerde PAV en EAV'!L173</f>
        <v>0</v>
      </c>
      <c r="M95" s="108">
        <f>'Gestandaardiseerde PAV en EAV'!M173</f>
        <v>7359.8313800029882</v>
      </c>
      <c r="N95" s="108">
        <f>'Gestandaardiseerde PAV en EAV'!N173</f>
        <v>1850</v>
      </c>
      <c r="O95" s="13"/>
    </row>
    <row r="96" spans="2:15">
      <c r="B96" s="95"/>
      <c r="C96" s="13"/>
      <c r="D96" s="13"/>
      <c r="E96" s="13"/>
      <c r="G96" s="11"/>
      <c r="H96" s="11"/>
      <c r="I96" s="11"/>
      <c r="J96" s="11"/>
      <c r="K96" s="11"/>
      <c r="L96" s="11"/>
      <c r="M96" s="11"/>
      <c r="N96" s="11"/>
      <c r="O96" s="13"/>
    </row>
    <row r="98" spans="2:14">
      <c r="B98" s="104" t="s">
        <v>102</v>
      </c>
    </row>
    <row r="99" spans="2:14">
      <c r="B99" s="60"/>
      <c r="C99" s="60"/>
      <c r="D99" s="59"/>
    </row>
    <row r="100" spans="2:14">
      <c r="B100" s="60" t="s">
        <v>425</v>
      </c>
      <c r="C100" s="59"/>
      <c r="D100" s="59"/>
    </row>
    <row r="101" spans="2:14">
      <c r="B101" s="59" t="s">
        <v>251</v>
      </c>
      <c r="C101" s="59"/>
      <c r="D101" s="59" t="s">
        <v>336</v>
      </c>
      <c r="G101" s="100">
        <f>'Gestandaardiseerde PAV en EAV'!G134</f>
        <v>369.79</v>
      </c>
      <c r="H101" s="100">
        <f>'Gestandaardiseerde PAV en EAV'!H134</f>
        <v>307.22000000000003</v>
      </c>
      <c r="I101" s="100">
        <f>'Gestandaardiseerde PAV en EAV'!I134</f>
        <v>372</v>
      </c>
      <c r="J101" s="100">
        <f>'Gestandaardiseerde PAV en EAV'!J134</f>
        <v>318</v>
      </c>
      <c r="K101" s="100">
        <f>'Gestandaardiseerde PAV en EAV'!K134</f>
        <v>356.9</v>
      </c>
      <c r="L101" s="100">
        <f>'Gestandaardiseerde PAV en EAV'!L134</f>
        <v>372.55</v>
      </c>
      <c r="M101" s="100">
        <f>'Gestandaardiseerde PAV en EAV'!M134</f>
        <v>366.1</v>
      </c>
      <c r="N101" s="100">
        <f>'Gestandaardiseerde PAV en EAV'!N134</f>
        <v>401.06</v>
      </c>
    </row>
    <row r="102" spans="2:14">
      <c r="B102" s="59" t="s">
        <v>252</v>
      </c>
      <c r="C102" s="59"/>
      <c r="D102" s="59" t="s">
        <v>336</v>
      </c>
      <c r="G102" s="100">
        <f>'Gestandaardiseerde PAV en EAV'!G135</f>
        <v>583.15</v>
      </c>
      <c r="H102" s="100">
        <f>'Gestandaardiseerde PAV en EAV'!H135</f>
        <v>583.26</v>
      </c>
      <c r="I102" s="100">
        <f>'Gestandaardiseerde PAV en EAV'!I135</f>
        <v>585</v>
      </c>
      <c r="J102" s="100">
        <f>'Gestandaardiseerde PAV en EAV'!J135</f>
        <v>611</v>
      </c>
      <c r="K102" s="100">
        <f>'Gestandaardiseerde PAV en EAV'!K135</f>
        <v>592.45000000000005</v>
      </c>
      <c r="L102" s="100">
        <f>'Gestandaardiseerde PAV en EAV'!L135</f>
        <v>660.94</v>
      </c>
      <c r="M102" s="100">
        <f>'Gestandaardiseerde PAV en EAV'!M135</f>
        <v>500</v>
      </c>
      <c r="N102" s="100">
        <f>'Gestandaardiseerde PAV en EAV'!N135</f>
        <v>763.42</v>
      </c>
    </row>
    <row r="103" spans="2:14">
      <c r="B103" s="59" t="s">
        <v>253</v>
      </c>
      <c r="C103" s="59"/>
      <c r="D103" s="59" t="s">
        <v>336</v>
      </c>
      <c r="G103" s="100">
        <f>'Gestandaardiseerde PAV en EAV'!G136</f>
        <v>950.38636363636363</v>
      </c>
      <c r="H103" s="100">
        <f>'Gestandaardiseerde PAV en EAV'!H136</f>
        <v>917.79921686747002</v>
      </c>
      <c r="I103" s="100">
        <f>'Gestandaardiseerde PAV en EAV'!I136</f>
        <v>901.92100644136474</v>
      </c>
      <c r="J103" s="100">
        <f>'Gestandaardiseerde PAV en EAV'!J136</f>
        <v>805.92333995842671</v>
      </c>
      <c r="K103" s="100">
        <f>'Gestandaardiseerde PAV en EAV'!K136</f>
        <v>986.0408578959981</v>
      </c>
      <c r="L103" s="100">
        <f>'Gestandaardiseerde PAV en EAV'!L136</f>
        <v>1001.2857142857143</v>
      </c>
      <c r="M103" s="100">
        <f>'Gestandaardiseerde PAV en EAV'!M136</f>
        <v>865.33837972426306</v>
      </c>
      <c r="N103" s="100">
        <f>'Gestandaardiseerde PAV en EAV'!N136</f>
        <v>1127.7458333333334</v>
      </c>
    </row>
    <row r="104" spans="2:14">
      <c r="B104" s="59" t="s">
        <v>255</v>
      </c>
      <c r="C104" s="59"/>
      <c r="D104" s="59" t="s">
        <v>336</v>
      </c>
      <c r="G104" s="100">
        <f>'Gestandaardiseerde PAV en EAV'!G137</f>
        <v>14151.258823529412</v>
      </c>
      <c r="H104" s="100">
        <f>'Gestandaardiseerde PAV en EAV'!H137</f>
        <v>5192.2870588235301</v>
      </c>
      <c r="I104" s="100">
        <f>'Gestandaardiseerde PAV en EAV'!I137</f>
        <v>5625.8674954805065</v>
      </c>
      <c r="J104" s="100">
        <f>'Gestandaardiseerde PAV en EAV'!J137</f>
        <v>4481.641138394355</v>
      </c>
      <c r="K104" s="100">
        <f>'Gestandaardiseerde PAV en EAV'!K137</f>
        <v>7413.3137019230771</v>
      </c>
      <c r="L104" s="100">
        <f>'Gestandaardiseerde PAV en EAV'!L137</f>
        <v>4186.5012500000003</v>
      </c>
      <c r="M104" s="100">
        <f>'Gestandaardiseerde PAV en EAV'!M137</f>
        <v>6932.729382145445</v>
      </c>
      <c r="N104" s="100">
        <f>'Gestandaardiseerde PAV en EAV'!N137</f>
        <v>6589.5011999999988</v>
      </c>
    </row>
    <row r="105" spans="2:14">
      <c r="B105" s="59" t="s">
        <v>254</v>
      </c>
      <c r="C105" s="59"/>
      <c r="D105" s="59" t="s">
        <v>336</v>
      </c>
      <c r="G105" s="100">
        <f>'Gestandaardiseerde PAV en EAV'!G138</f>
        <v>174413</v>
      </c>
      <c r="H105" s="100">
        <f>'Gestandaardiseerde PAV en EAV'!H138</f>
        <v>51708.68</v>
      </c>
      <c r="I105" s="100">
        <f>'Gestandaardiseerde PAV en EAV'!I138</f>
        <v>48003.404826041267</v>
      </c>
      <c r="J105" s="100">
        <f>'Gestandaardiseerde PAV en EAV'!J138</f>
        <v>31886.439832867803</v>
      </c>
      <c r="K105" s="100">
        <f>'Gestandaardiseerde PAV en EAV'!K138</f>
        <v>84928.423076923078</v>
      </c>
      <c r="L105" s="100">
        <f>'Gestandaardiseerde PAV en EAV'!L138</f>
        <v>0</v>
      </c>
      <c r="M105" s="100">
        <f>'Gestandaardiseerde PAV en EAV'!M138</f>
        <v>68433.627568533586</v>
      </c>
      <c r="N105" s="100">
        <f>'Gestandaardiseerde PAV en EAV'!N138</f>
        <v>87028.035000000003</v>
      </c>
    </row>
    <row r="106" spans="2:14">
      <c r="B106" s="59" t="s">
        <v>260</v>
      </c>
      <c r="C106" s="59"/>
      <c r="D106" s="59"/>
      <c r="G106" s="101"/>
      <c r="H106" s="101"/>
      <c r="I106" s="101"/>
      <c r="J106" s="101"/>
      <c r="K106" s="101"/>
      <c r="L106" s="101"/>
      <c r="M106" s="101"/>
      <c r="N106" s="101"/>
    </row>
    <row r="107" spans="2:14">
      <c r="B107" s="60" t="s">
        <v>329</v>
      </c>
      <c r="C107" s="59"/>
      <c r="D107" s="59"/>
      <c r="G107" s="101"/>
      <c r="H107" s="101"/>
      <c r="I107" s="101"/>
      <c r="J107" s="101"/>
      <c r="K107" s="101"/>
      <c r="L107" s="101"/>
      <c r="M107" s="101"/>
      <c r="N107" s="101"/>
    </row>
    <row r="108" spans="2:14">
      <c r="B108" s="59" t="s">
        <v>251</v>
      </c>
      <c r="C108" s="59"/>
      <c r="D108" s="59" t="s">
        <v>336</v>
      </c>
      <c r="G108" s="100">
        <f>'Gestandaardiseerde PAV en EAV'!G141</f>
        <v>17.36</v>
      </c>
      <c r="H108" s="100">
        <f>'Gestandaardiseerde PAV en EAV'!H141</f>
        <v>15.21</v>
      </c>
      <c r="I108" s="100">
        <f>'Gestandaardiseerde PAV en EAV'!I141</f>
        <v>24.84</v>
      </c>
      <c r="J108" s="100">
        <f>'Gestandaardiseerde PAV en EAV'!J141</f>
        <v>15</v>
      </c>
      <c r="K108" s="100">
        <f>'Gestandaardiseerde PAV en EAV'!K141</f>
        <v>17.71</v>
      </c>
      <c r="L108" s="100">
        <f>'Gestandaardiseerde PAV en EAV'!L141</f>
        <v>18.25</v>
      </c>
      <c r="M108" s="100">
        <f>'Gestandaardiseerde PAV en EAV'!M141</f>
        <v>16.7</v>
      </c>
      <c r="N108" s="100">
        <f>'Gestandaardiseerde PAV en EAV'!N141</f>
        <v>19.88</v>
      </c>
    </row>
    <row r="109" spans="2:14">
      <c r="B109" s="59" t="s">
        <v>252</v>
      </c>
      <c r="C109" s="59"/>
      <c r="D109" s="59" t="s">
        <v>336</v>
      </c>
      <c r="G109" s="100">
        <f>'Gestandaardiseerde PAV en EAV'!G142</f>
        <v>17.66</v>
      </c>
      <c r="H109" s="100">
        <f>'Gestandaardiseerde PAV en EAV'!H142</f>
        <v>24.75</v>
      </c>
      <c r="I109" s="100">
        <f>'Gestandaardiseerde PAV en EAV'!I142</f>
        <v>25.79</v>
      </c>
      <c r="J109" s="100">
        <f>'Gestandaardiseerde PAV en EAV'!J142</f>
        <v>17</v>
      </c>
      <c r="K109" s="100">
        <f>'Gestandaardiseerde PAV en EAV'!K142</f>
        <v>23.4</v>
      </c>
      <c r="L109" s="100">
        <f>'Gestandaardiseerde PAV en EAV'!L142</f>
        <v>21.8</v>
      </c>
      <c r="M109" s="100">
        <f>'Gestandaardiseerde PAV en EAV'!M142</f>
        <v>23.5</v>
      </c>
      <c r="N109" s="100">
        <f>'Gestandaardiseerde PAV en EAV'!N142</f>
        <v>28.72</v>
      </c>
    </row>
    <row r="110" spans="2:14">
      <c r="B110" s="59" t="s">
        <v>253</v>
      </c>
      <c r="C110" s="59"/>
      <c r="D110" s="59" t="s">
        <v>336</v>
      </c>
      <c r="G110" s="100">
        <f>'Gestandaardiseerde PAV en EAV'!G143</f>
        <v>24.730000000000004</v>
      </c>
      <c r="H110" s="100">
        <f>'Gestandaardiseerde PAV en EAV'!H143</f>
        <v>31.685199556541018</v>
      </c>
      <c r="I110" s="100">
        <f>'Gestandaardiseerde PAV en EAV'!I143</f>
        <v>37.162413282670308</v>
      </c>
      <c r="J110" s="100">
        <f>'Gestandaardiseerde PAV en EAV'!J143</f>
        <v>22.000000000000004</v>
      </c>
      <c r="K110" s="100">
        <f>'Gestandaardiseerde PAV en EAV'!K143</f>
        <v>31.177029622659873</v>
      </c>
      <c r="L110" s="100">
        <f>'Gestandaardiseerde PAV en EAV'!L143</f>
        <v>29</v>
      </c>
      <c r="M110" s="100">
        <f>'Gestandaardiseerde PAV en EAV'!M143</f>
        <v>30.821059755242683</v>
      </c>
      <c r="N110" s="100">
        <f>'Gestandaardiseerde PAV en EAV'!N143</f>
        <v>33.797747466874512</v>
      </c>
    </row>
    <row r="111" spans="2:14">
      <c r="B111" s="59" t="s">
        <v>255</v>
      </c>
      <c r="C111" s="59"/>
      <c r="D111" s="59" t="s">
        <v>336</v>
      </c>
      <c r="G111" s="100">
        <f>'Gestandaardiseerde PAV en EAV'!G144</f>
        <v>66.854894736842112</v>
      </c>
      <c r="H111" s="100">
        <f>'Gestandaardiseerde PAV en EAV'!H144</f>
        <v>49.69966028894963</v>
      </c>
      <c r="I111" s="100">
        <f>'Gestandaardiseerde PAV en EAV'!I144</f>
        <v>55.145823007921628</v>
      </c>
      <c r="J111" s="100">
        <f>'Gestandaardiseerde PAV en EAV'!J144</f>
        <v>31.447186790095945</v>
      </c>
      <c r="K111" s="100">
        <f>'Gestandaardiseerde PAV en EAV'!K144</f>
        <v>52.021781089188636</v>
      </c>
      <c r="L111" s="100">
        <f>'Gestandaardiseerde PAV en EAV'!L144</f>
        <v>43.179699924981243</v>
      </c>
      <c r="M111" s="100">
        <f>'Gestandaardiseerde PAV en EAV'!M144</f>
        <v>47.168250306315855</v>
      </c>
      <c r="N111" s="100">
        <f>'Gestandaardiseerde PAV en EAV'!N144</f>
        <v>94.05188481675394</v>
      </c>
    </row>
    <row r="112" spans="2:14">
      <c r="B112" s="59" t="s">
        <v>254</v>
      </c>
      <c r="C112" s="59"/>
      <c r="D112" s="59" t="s">
        <v>336</v>
      </c>
      <c r="G112" s="100">
        <f>'Gestandaardiseerde PAV en EAV'!G145</f>
        <v>150.75</v>
      </c>
      <c r="H112" s="100">
        <f>'Gestandaardiseerde PAV en EAV'!H145</f>
        <v>91.7</v>
      </c>
      <c r="I112" s="100">
        <f>'Gestandaardiseerde PAV en EAV'!I145</f>
        <v>143.05000000000001</v>
      </c>
      <c r="J112" s="100">
        <f>'Gestandaardiseerde PAV en EAV'!J145</f>
        <v>79.894497507989541</v>
      </c>
      <c r="K112" s="100">
        <f>'Gestandaardiseerde PAV en EAV'!K145</f>
        <v>157.65725961538462</v>
      </c>
      <c r="L112" s="100">
        <f>'Gestandaardiseerde PAV en EAV'!L145</f>
        <v>0</v>
      </c>
      <c r="M112" s="100">
        <f>'Gestandaardiseerde PAV en EAV'!M145</f>
        <v>138.40275780877832</v>
      </c>
      <c r="N112" s="100">
        <f>'Gestandaardiseerde PAV en EAV'!N145</f>
        <v>159.46302702702701</v>
      </c>
    </row>
    <row r="115" spans="2:15" s="2" customFormat="1">
      <c r="B115" s="2" t="s">
        <v>105</v>
      </c>
    </row>
    <row r="117" spans="2:15">
      <c r="B117" s="60" t="s">
        <v>101</v>
      </c>
      <c r="C117" s="13"/>
      <c r="D117" s="13"/>
      <c r="E117" s="13"/>
      <c r="F117" s="13"/>
      <c r="G117" s="96"/>
      <c r="H117" s="96"/>
      <c r="I117" s="96"/>
      <c r="J117" s="96"/>
      <c r="K117" s="96"/>
      <c r="L117" s="96"/>
      <c r="M117" s="96"/>
      <c r="N117" s="96"/>
      <c r="O117" s="13"/>
    </row>
    <row r="118" spans="2:15">
      <c r="B118" s="60"/>
      <c r="C118" s="13"/>
      <c r="D118" s="13"/>
      <c r="E118" s="13"/>
      <c r="F118" s="13"/>
      <c r="G118" s="96"/>
      <c r="H118" s="96"/>
      <c r="I118" s="96"/>
      <c r="J118" s="96"/>
      <c r="K118" s="96"/>
      <c r="L118" s="96"/>
      <c r="M118" s="96"/>
      <c r="N118" s="96"/>
      <c r="O118" s="13"/>
    </row>
    <row r="119" spans="2:15">
      <c r="B119" s="60" t="s">
        <v>425</v>
      </c>
      <c r="C119" s="13"/>
      <c r="D119" s="13"/>
      <c r="E119" s="13"/>
      <c r="F119" s="13"/>
      <c r="G119" s="96"/>
      <c r="H119" s="96"/>
      <c r="I119" s="96"/>
      <c r="J119" s="96"/>
      <c r="K119" s="96"/>
      <c r="L119" s="96"/>
      <c r="M119" s="96"/>
      <c r="N119" s="96"/>
      <c r="O119" s="13"/>
    </row>
    <row r="120" spans="2:15">
      <c r="B120" s="59" t="s">
        <v>251</v>
      </c>
      <c r="C120" s="13"/>
      <c r="D120" s="13" t="s">
        <v>241</v>
      </c>
      <c r="E120" s="13"/>
      <c r="G120" s="108">
        <f>'Gestandaardiseerde PAV en EAV'!G218</f>
        <v>291</v>
      </c>
      <c r="H120" s="108">
        <f>'Gestandaardiseerde PAV en EAV'!H218</f>
        <v>1385</v>
      </c>
      <c r="I120" s="108">
        <f>'Gestandaardiseerde PAV en EAV'!I218</f>
        <v>524.97219512195124</v>
      </c>
      <c r="J120" s="108">
        <f>'Gestandaardiseerde PAV en EAV'!J218</f>
        <v>21566.288030769232</v>
      </c>
      <c r="K120" s="108">
        <f>'Gestandaardiseerde PAV en EAV'!K218</f>
        <v>8427</v>
      </c>
      <c r="L120" s="108">
        <f>'Gestandaardiseerde PAV en EAV'!L218</f>
        <v>350</v>
      </c>
      <c r="M120" s="108">
        <f>'Gestandaardiseerde PAV en EAV'!M218</f>
        <v>7318.2568656716412</v>
      </c>
      <c r="N120" s="108">
        <f>'Gestandaardiseerde PAV en EAV'!N218</f>
        <v>322</v>
      </c>
      <c r="O120" s="13"/>
    </row>
    <row r="121" spans="2:15">
      <c r="B121" s="59" t="s">
        <v>252</v>
      </c>
      <c r="C121" s="13"/>
      <c r="D121" s="13" t="s">
        <v>241</v>
      </c>
      <c r="E121" s="13"/>
      <c r="G121" s="108">
        <f>'Gestandaardiseerde PAV en EAV'!G219</f>
        <v>132</v>
      </c>
      <c r="H121" s="108">
        <f>'Gestandaardiseerde PAV en EAV'!H219</f>
        <v>1959</v>
      </c>
      <c r="I121" s="108">
        <f>'Gestandaardiseerde PAV en EAV'!I219</f>
        <v>962.55382945736449</v>
      </c>
      <c r="J121" s="108">
        <f>'Gestandaardiseerde PAV en EAV'!J219</f>
        <v>18539.352523961661</v>
      </c>
      <c r="K121" s="108">
        <f>'Gestandaardiseerde PAV en EAV'!K219</f>
        <v>25504</v>
      </c>
      <c r="L121" s="108">
        <f>'Gestandaardiseerde PAV en EAV'!L219</f>
        <v>209</v>
      </c>
      <c r="M121" s="108">
        <f>'Gestandaardiseerde PAV en EAV'!M219</f>
        <v>14450.064404145078</v>
      </c>
      <c r="N121" s="108">
        <f>'Gestandaardiseerde PAV en EAV'!N219</f>
        <v>1088</v>
      </c>
      <c r="O121" s="13"/>
    </row>
    <row r="122" spans="2:15">
      <c r="B122" s="59" t="s">
        <v>253</v>
      </c>
      <c r="C122" s="13"/>
      <c r="D122" s="13" t="s">
        <v>241</v>
      </c>
      <c r="E122" s="13"/>
      <c r="G122" s="108">
        <f>'Gestandaardiseerde PAV en EAV'!G220</f>
        <v>21</v>
      </c>
      <c r="H122" s="108">
        <f>'Gestandaardiseerde PAV en EAV'!H220</f>
        <v>210</v>
      </c>
      <c r="I122" s="108">
        <f>'Gestandaardiseerde PAV en EAV'!I220</f>
        <v>117.89991516651132</v>
      </c>
      <c r="J122" s="108">
        <f>'Gestandaardiseerde PAV en EAV'!J220</f>
        <v>2256.2606697377187</v>
      </c>
      <c r="K122" s="108">
        <f>'Gestandaardiseerde PAV en EAV'!K220</f>
        <v>3562</v>
      </c>
      <c r="L122" s="108">
        <f>'Gestandaardiseerde PAV en EAV'!L220</f>
        <v>23</v>
      </c>
      <c r="M122" s="108">
        <f>'Gestandaardiseerde PAV en EAV'!M220</f>
        <v>2018.8903073067404</v>
      </c>
      <c r="N122" s="108">
        <f>'Gestandaardiseerde PAV en EAV'!N220</f>
        <v>110</v>
      </c>
      <c r="O122" s="13"/>
    </row>
    <row r="123" spans="2:15">
      <c r="B123" s="59" t="s">
        <v>255</v>
      </c>
      <c r="C123" s="13"/>
      <c r="D123" s="13" t="s">
        <v>241</v>
      </c>
      <c r="E123" s="13"/>
      <c r="G123" s="108">
        <f>'Gestandaardiseerde PAV en EAV'!G221</f>
        <v>11</v>
      </c>
      <c r="H123" s="108">
        <f>'Gestandaardiseerde PAV en EAV'!H221</f>
        <v>68</v>
      </c>
      <c r="I123" s="108">
        <f>'Gestandaardiseerde PAV en EAV'!I221</f>
        <v>32.896842434549647</v>
      </c>
      <c r="J123" s="108">
        <f>'Gestandaardiseerde PAV en EAV'!J221</f>
        <v>874.40351491622971</v>
      </c>
      <c r="K123" s="108">
        <f>'Gestandaardiseerde PAV en EAV'!K221</f>
        <v>700.17400915925202</v>
      </c>
      <c r="L123" s="108">
        <f>'Gestandaardiseerde PAV en EAV'!L221</f>
        <v>7</v>
      </c>
      <c r="M123" s="108">
        <f>'Gestandaardiseerde PAV en EAV'!M221</f>
        <v>422.93265452516459</v>
      </c>
      <c r="N123" s="108">
        <f>'Gestandaardiseerde PAV en EAV'!N221</f>
        <v>12</v>
      </c>
      <c r="O123" s="13"/>
    </row>
    <row r="124" spans="2:15">
      <c r="B124" s="59" t="s">
        <v>254</v>
      </c>
      <c r="C124" s="13"/>
      <c r="D124" s="13" t="s">
        <v>241</v>
      </c>
      <c r="E124" s="13"/>
      <c r="G124" s="108">
        <f>'Gestandaardiseerde PAV en EAV'!G222</f>
        <v>0</v>
      </c>
      <c r="H124" s="108">
        <f>'Gestandaardiseerde PAV en EAV'!H222</f>
        <v>2</v>
      </c>
      <c r="I124" s="108">
        <f>'Gestandaardiseerde PAV en EAV'!I222</f>
        <v>2.6621413733519095</v>
      </c>
      <c r="J124" s="108">
        <f>'Gestandaardiseerde PAV en EAV'!J222</f>
        <v>88.319011054137803</v>
      </c>
      <c r="K124" s="108">
        <f>'Gestandaardiseerde PAV en EAV'!K222</f>
        <v>96.157629349401105</v>
      </c>
      <c r="L124" s="108">
        <f>'Gestandaardiseerde PAV en EAV'!L222</f>
        <v>0</v>
      </c>
      <c r="M124" s="108">
        <f>'Gestandaardiseerde PAV en EAV'!M222</f>
        <v>46.247281688019676</v>
      </c>
      <c r="N124" s="108">
        <f>'Gestandaardiseerde PAV en EAV'!N222</f>
        <v>4</v>
      </c>
      <c r="O124" s="13"/>
    </row>
    <row r="125" spans="2:15">
      <c r="B125" s="59" t="s">
        <v>260</v>
      </c>
      <c r="C125" s="13"/>
      <c r="D125" s="13"/>
      <c r="E125" s="13"/>
      <c r="G125" s="96"/>
      <c r="H125" s="96"/>
      <c r="I125" s="96"/>
      <c r="J125" s="96"/>
      <c r="K125" s="96"/>
      <c r="L125" s="96"/>
      <c r="M125" s="96"/>
      <c r="N125" s="96"/>
      <c r="O125" s="13"/>
    </row>
    <row r="126" spans="2:15">
      <c r="B126" s="60" t="s">
        <v>329</v>
      </c>
      <c r="C126" s="13"/>
      <c r="D126" s="13"/>
      <c r="E126" s="13"/>
      <c r="G126" s="96"/>
      <c r="H126" s="96"/>
      <c r="I126" s="96"/>
      <c r="J126" s="96"/>
      <c r="K126" s="96"/>
      <c r="L126" s="96"/>
      <c r="M126" s="96"/>
      <c r="N126" s="96"/>
      <c r="O126" s="13"/>
    </row>
    <row r="127" spans="2:15">
      <c r="B127" s="59" t="s">
        <v>251</v>
      </c>
      <c r="C127" s="13"/>
      <c r="D127" s="13" t="s">
        <v>241</v>
      </c>
      <c r="E127" s="13"/>
      <c r="G127" s="108">
        <f>'Gestandaardiseerde PAV en EAV'!G225</f>
        <v>0</v>
      </c>
      <c r="H127" s="108">
        <f>'Gestandaardiseerde PAV en EAV'!H225</f>
        <v>1592</v>
      </c>
      <c r="I127" s="108">
        <f>'Gestandaardiseerde PAV en EAV'!I225</f>
        <v>0</v>
      </c>
      <c r="J127" s="108">
        <f>'Gestandaardiseerde PAV en EAV'!J225</f>
        <v>8189.8169934640573</v>
      </c>
      <c r="K127" s="108">
        <f>'Gestandaardiseerde PAV en EAV'!K225</f>
        <v>7761.5</v>
      </c>
      <c r="L127" s="108">
        <f>'Gestandaardiseerde PAV en EAV'!L225</f>
        <v>89</v>
      </c>
      <c r="M127" s="108">
        <f>'Gestandaardiseerde PAV en EAV'!M225</f>
        <v>3785.5590631364562</v>
      </c>
      <c r="N127" s="108">
        <f>'Gestandaardiseerde PAV en EAV'!N225</f>
        <v>285</v>
      </c>
      <c r="O127" s="13"/>
    </row>
    <row r="128" spans="2:15">
      <c r="B128" s="59" t="s">
        <v>252</v>
      </c>
      <c r="C128" s="13"/>
      <c r="D128" s="13" t="s">
        <v>241</v>
      </c>
      <c r="E128" s="13"/>
      <c r="G128" s="108">
        <f>'Gestandaardiseerde PAV en EAV'!G226</f>
        <v>321</v>
      </c>
      <c r="H128" s="108">
        <f>'Gestandaardiseerde PAV en EAV'!H226</f>
        <v>3747</v>
      </c>
      <c r="I128" s="108">
        <f>'Gestandaardiseerde PAV en EAV'!I226</f>
        <v>596.99187279151943</v>
      </c>
      <c r="J128" s="108">
        <f>'Gestandaardiseerde PAV en EAV'!J226</f>
        <v>59235.298850574734</v>
      </c>
      <c r="K128" s="108">
        <f>'Gestandaardiseerde PAV en EAV'!K226</f>
        <v>38233</v>
      </c>
      <c r="L128" s="108">
        <f>'Gestandaardiseerde PAV en EAV'!L226</f>
        <v>447</v>
      </c>
      <c r="M128" s="108">
        <f>'Gestandaardiseerde PAV en EAV'!M226</f>
        <v>16821.488060781474</v>
      </c>
      <c r="N128" s="108">
        <f>'Gestandaardiseerde PAV en EAV'!N226</f>
        <v>3294</v>
      </c>
      <c r="O128" s="13"/>
    </row>
    <row r="129" spans="2:15">
      <c r="B129" s="59" t="s">
        <v>253</v>
      </c>
      <c r="C129" s="13"/>
      <c r="D129" s="13" t="s">
        <v>241</v>
      </c>
      <c r="E129" s="13"/>
      <c r="G129" s="108">
        <f>'Gestandaardiseerde PAV en EAV'!G227</f>
        <v>222</v>
      </c>
      <c r="H129" s="108">
        <f>'Gestandaardiseerde PAV en EAV'!H227</f>
        <v>2120</v>
      </c>
      <c r="I129" s="108">
        <f>'Gestandaardiseerde PAV en EAV'!I227</f>
        <v>651.33653521126757</v>
      </c>
      <c r="J129" s="108">
        <f>'Gestandaardiseerde PAV en EAV'!J227</f>
        <v>31270.94222222222</v>
      </c>
      <c r="K129" s="108">
        <f>'Gestandaardiseerde PAV en EAV'!K227</f>
        <v>29644</v>
      </c>
      <c r="L129" s="108">
        <f>'Gestandaardiseerde PAV en EAV'!L227</f>
        <v>199</v>
      </c>
      <c r="M129" s="108">
        <f>'Gestandaardiseerde PAV en EAV'!M227</f>
        <v>18630.461934033709</v>
      </c>
      <c r="N129" s="108">
        <f>'Gestandaardiseerde PAV en EAV'!N227</f>
        <v>955</v>
      </c>
      <c r="O129" s="13"/>
    </row>
    <row r="130" spans="2:15">
      <c r="B130" s="59" t="s">
        <v>255</v>
      </c>
      <c r="C130" s="13"/>
      <c r="D130" s="13" t="s">
        <v>241</v>
      </c>
      <c r="E130" s="13"/>
      <c r="G130" s="108">
        <f>'Gestandaardiseerde PAV en EAV'!G228</f>
        <v>1048</v>
      </c>
      <c r="H130" s="108">
        <f>'Gestandaardiseerde PAV en EAV'!H228</f>
        <v>7814</v>
      </c>
      <c r="I130" s="108">
        <f>'Gestandaardiseerde PAV en EAV'!I228</f>
        <v>2243.4934171372843</v>
      </c>
      <c r="J130" s="108">
        <f>'Gestandaardiseerde PAV en EAV'!J228</f>
        <v>108296.22752613248</v>
      </c>
      <c r="K130" s="108">
        <f>'Gestandaardiseerde PAV en EAV'!K228</f>
        <v>70873.931903277145</v>
      </c>
      <c r="L130" s="108">
        <f>'Gestandaardiseerde PAV en EAV'!L228</f>
        <v>833</v>
      </c>
      <c r="M130" s="108">
        <f>'Gestandaardiseerde PAV en EAV'!M228</f>
        <v>46822.613600861354</v>
      </c>
      <c r="N130" s="108">
        <f>'Gestandaardiseerde PAV en EAV'!N228</f>
        <v>1994</v>
      </c>
      <c r="O130" s="13"/>
    </row>
    <row r="131" spans="2:15">
      <c r="B131" s="59" t="s">
        <v>254</v>
      </c>
      <c r="C131" s="13"/>
      <c r="D131" s="13" t="s">
        <v>241</v>
      </c>
      <c r="E131" s="13"/>
      <c r="G131" s="108">
        <f>'Gestandaardiseerde PAV en EAV'!G229</f>
        <v>0</v>
      </c>
      <c r="H131" s="108">
        <f>'Gestandaardiseerde PAV en EAV'!H229</f>
        <v>60</v>
      </c>
      <c r="I131" s="108">
        <f>'Gestandaardiseerde PAV en EAV'!I229</f>
        <v>249.58271028037382</v>
      </c>
      <c r="J131" s="108">
        <f>'Gestandaardiseerde PAV en EAV'!J229</f>
        <v>9705.4570475396158</v>
      </c>
      <c r="K131" s="108">
        <f>'Gestandaardiseerde PAV en EAV'!K229</f>
        <v>41379.500118605283</v>
      </c>
      <c r="L131" s="108">
        <f>'Gestandaardiseerde PAV en EAV'!L229</f>
        <v>0</v>
      </c>
      <c r="M131" s="108">
        <f>'Gestandaardiseerde PAV en EAV'!M229</f>
        <v>11697.479132175829</v>
      </c>
      <c r="N131" s="108">
        <f>'Gestandaardiseerde PAV en EAV'!N229</f>
        <v>260</v>
      </c>
      <c r="O131" s="13"/>
    </row>
    <row r="132" spans="2:15">
      <c r="B132" s="95"/>
      <c r="C132" s="13"/>
      <c r="D132" s="13"/>
      <c r="E132" s="13"/>
      <c r="G132" s="11"/>
      <c r="H132" s="11"/>
      <c r="I132" s="11"/>
      <c r="J132" s="11"/>
      <c r="K132" s="11"/>
      <c r="L132" s="11"/>
      <c r="M132" s="11"/>
      <c r="N132" s="11"/>
      <c r="O132" s="13"/>
    </row>
    <row r="134" spans="2:15">
      <c r="B134" s="104" t="s">
        <v>102</v>
      </c>
    </row>
    <row r="135" spans="2:15">
      <c r="B135" s="60"/>
      <c r="C135" s="60"/>
      <c r="D135" s="59"/>
    </row>
    <row r="136" spans="2:15">
      <c r="B136" s="60" t="s">
        <v>425</v>
      </c>
      <c r="C136" s="59"/>
      <c r="D136" s="59"/>
    </row>
    <row r="137" spans="2:15">
      <c r="B137" s="59" t="s">
        <v>251</v>
      </c>
      <c r="C137" s="59"/>
      <c r="D137" s="59" t="s">
        <v>337</v>
      </c>
      <c r="G137" s="100">
        <f>'Gestandaardiseerde PAV en EAV'!G190</f>
        <v>406.77</v>
      </c>
      <c r="H137" s="100">
        <f>'Gestandaardiseerde PAV en EAV'!H190</f>
        <v>341.82</v>
      </c>
      <c r="I137" s="100">
        <f>'Gestandaardiseerde PAV en EAV'!I190</f>
        <v>410</v>
      </c>
      <c r="J137" s="100">
        <f>'Gestandaardiseerde PAV en EAV'!J190</f>
        <v>346</v>
      </c>
      <c r="K137" s="100">
        <f>'Gestandaardiseerde PAV en EAV'!K190</f>
        <v>398</v>
      </c>
      <c r="L137" s="100">
        <f>'Gestandaardiseerde PAV en EAV'!L190</f>
        <v>436</v>
      </c>
      <c r="M137" s="100">
        <f>'Gestandaardiseerde PAV en EAV'!M190</f>
        <v>402</v>
      </c>
      <c r="N137" s="100">
        <f>'Gestandaardiseerde PAV en EAV'!N190</f>
        <v>445.79</v>
      </c>
    </row>
    <row r="138" spans="2:15">
      <c r="B138" s="59" t="s">
        <v>252</v>
      </c>
      <c r="C138" s="59"/>
      <c r="D138" s="59" t="s">
        <v>337</v>
      </c>
      <c r="G138" s="100">
        <f>'Gestandaardiseerde PAV en EAV'!G191</f>
        <v>641.46</v>
      </c>
      <c r="H138" s="100">
        <f>'Gestandaardiseerde PAV en EAV'!H191</f>
        <v>648.94000000000005</v>
      </c>
      <c r="I138" s="100">
        <f>'Gestandaardiseerde PAV en EAV'!I191</f>
        <v>645</v>
      </c>
      <c r="J138" s="100">
        <f>'Gestandaardiseerde PAV en EAV'!J191</f>
        <v>664</v>
      </c>
      <c r="K138" s="100">
        <f>'Gestandaardiseerde PAV en EAV'!K191</f>
        <v>661</v>
      </c>
      <c r="L138" s="100">
        <f>'Gestandaardiseerde PAV en EAV'!L191</f>
        <v>738</v>
      </c>
      <c r="M138" s="100">
        <f>'Gestandaardiseerde PAV en EAV'!M191</f>
        <v>579</v>
      </c>
      <c r="N138" s="100">
        <f>'Gestandaardiseerde PAV en EAV'!N191</f>
        <v>848.55</v>
      </c>
    </row>
    <row r="139" spans="2:15">
      <c r="B139" s="59" t="s">
        <v>253</v>
      </c>
      <c r="C139" s="59"/>
      <c r="D139" s="59" t="s">
        <v>337</v>
      </c>
      <c r="G139" s="100">
        <f>'Gestandaardiseerde PAV en EAV'!G192</f>
        <v>1017.7985714285712</v>
      </c>
      <c r="H139" s="100">
        <f>'Gestandaardiseerde PAV en EAV'!H192</f>
        <v>1006.1228095238096</v>
      </c>
      <c r="I139" s="100">
        <f>'Gestandaardiseerde PAV en EAV'!I192</f>
        <v>1004.6308331326417</v>
      </c>
      <c r="J139" s="100">
        <f>'Gestandaardiseerde PAV en EAV'!J192</f>
        <v>870.41020135186159</v>
      </c>
      <c r="K139" s="100">
        <f>'Gestandaardiseerde PAV en EAV'!K192</f>
        <v>1100.2537900056147</v>
      </c>
      <c r="L139" s="100">
        <f>'Gestandaardiseerde PAV en EAV'!L192</f>
        <v>1112.6521739130435</v>
      </c>
      <c r="M139" s="100">
        <f>'Gestandaardiseerde PAV en EAV'!M192</f>
        <v>1013.8499365676589</v>
      </c>
      <c r="N139" s="100">
        <f>'Gestandaardiseerde PAV en EAV'!N192</f>
        <v>1225.9056363636364</v>
      </c>
    </row>
    <row r="140" spans="2:15">
      <c r="B140" s="59" t="s">
        <v>255</v>
      </c>
      <c r="C140" s="59"/>
      <c r="D140" s="59" t="s">
        <v>337</v>
      </c>
      <c r="G140" s="100">
        <f>'Gestandaardiseerde PAV en EAV'!G193</f>
        <v>10095.209999999999</v>
      </c>
      <c r="H140" s="100">
        <f>'Gestandaardiseerde PAV en EAV'!H193</f>
        <v>5651.7211764705871</v>
      </c>
      <c r="I140" s="100">
        <f>'Gestandaardiseerde PAV en EAV'!I193</f>
        <v>8785.7465522726143</v>
      </c>
      <c r="J140" s="100">
        <f>'Gestandaardiseerde PAV en EAV'!J193</f>
        <v>5254.2382473481202</v>
      </c>
      <c r="K140" s="100">
        <f>'Gestandaardiseerde PAV en EAV'!K193</f>
        <v>7915.2531592087807</v>
      </c>
      <c r="L140" s="100">
        <f>'Gestandaardiseerde PAV en EAV'!L193</f>
        <v>5181.2857142857147</v>
      </c>
      <c r="M140" s="100">
        <f>'Gestandaardiseerde PAV en EAV'!M193</f>
        <v>8174.3031969982276</v>
      </c>
      <c r="N140" s="100">
        <f>'Gestandaardiseerde PAV en EAV'!N193</f>
        <v>6794.5458333333336</v>
      </c>
    </row>
    <row r="141" spans="2:15">
      <c r="B141" s="59" t="s">
        <v>254</v>
      </c>
      <c r="C141" s="59"/>
      <c r="D141" s="59" t="s">
        <v>337</v>
      </c>
      <c r="G141" s="100">
        <f>'Gestandaardiseerde PAV en EAV'!G194</f>
        <v>0</v>
      </c>
      <c r="H141" s="100">
        <f>'Gestandaardiseerde PAV en EAV'!H194</f>
        <v>57531.82</v>
      </c>
      <c r="I141" s="100">
        <f>'Gestandaardiseerde PAV en EAV'!I194</f>
        <v>79746.831676597183</v>
      </c>
      <c r="J141" s="100">
        <f>'Gestandaardiseerde PAV en EAV'!J194</f>
        <v>31376.584983078283</v>
      </c>
      <c r="K141" s="100">
        <f>'Gestandaardiseerde PAV en EAV'!K194</f>
        <v>99418.632492801975</v>
      </c>
      <c r="L141" s="100">
        <f>'Gestandaardiseerde PAV en EAV'!L194</f>
        <v>0</v>
      </c>
      <c r="M141" s="100">
        <f>'Gestandaardiseerde PAV en EAV'!M194</f>
        <v>74796.291668231905</v>
      </c>
      <c r="N141" s="100">
        <f>'Gestandaardiseerde PAV en EAV'!N194</f>
        <v>73444.97</v>
      </c>
    </row>
    <row r="142" spans="2:15">
      <c r="B142" s="59" t="s">
        <v>260</v>
      </c>
      <c r="C142" s="59"/>
      <c r="D142" s="59"/>
      <c r="G142" s="101"/>
      <c r="H142" s="101"/>
      <c r="I142" s="101"/>
      <c r="J142" s="101"/>
      <c r="K142" s="101"/>
      <c r="L142" s="101"/>
      <c r="M142" s="101"/>
      <c r="N142" s="101"/>
    </row>
    <row r="143" spans="2:15">
      <c r="B143" s="60" t="s">
        <v>329</v>
      </c>
      <c r="C143" s="59"/>
      <c r="D143" s="59"/>
      <c r="G143" s="101"/>
      <c r="H143" s="101"/>
      <c r="I143" s="101"/>
      <c r="J143" s="101"/>
      <c r="K143" s="101"/>
      <c r="L143" s="101"/>
      <c r="M143" s="101"/>
      <c r="N143" s="101"/>
    </row>
    <row r="144" spans="2:15">
      <c r="B144" s="59" t="s">
        <v>251</v>
      </c>
      <c r="C144" s="59"/>
      <c r="D144" s="59" t="s">
        <v>337</v>
      </c>
      <c r="G144" s="100">
        <f>'Gestandaardiseerde PAV en EAV'!G197</f>
        <v>0</v>
      </c>
      <c r="H144" s="100">
        <f>'Gestandaardiseerde PAV en EAV'!H197</f>
        <v>16.930000000000003</v>
      </c>
      <c r="I144" s="100">
        <f>'Gestandaardiseerde PAV en EAV'!I197</f>
        <v>27.299999999999997</v>
      </c>
      <c r="J144" s="100">
        <f>'Gestandaardiseerde PAV en EAV'!J197</f>
        <v>16.3</v>
      </c>
      <c r="K144" s="100">
        <f>'Gestandaardiseerde PAV en EAV'!K197</f>
        <v>19.7</v>
      </c>
      <c r="L144" s="100">
        <f>'Gestandaardiseerde PAV en EAV'!L197</f>
        <v>21.25</v>
      </c>
      <c r="M144" s="100">
        <f>'Gestandaardiseerde PAV en EAV'!M197</f>
        <v>19.64</v>
      </c>
      <c r="N144" s="100">
        <f>'Gestandaardiseerde PAV en EAV'!N197</f>
        <v>22.1</v>
      </c>
    </row>
    <row r="145" spans="2:14">
      <c r="B145" s="59" t="s">
        <v>252</v>
      </c>
      <c r="C145" s="59"/>
      <c r="D145" s="59" t="s">
        <v>337</v>
      </c>
      <c r="G145" s="100">
        <f>'Gestandaardiseerde PAV en EAV'!G198</f>
        <v>19.43</v>
      </c>
      <c r="H145" s="100">
        <f>'Gestandaardiseerde PAV en EAV'!H198</f>
        <v>27.55</v>
      </c>
      <c r="I145" s="100">
        <f>'Gestandaardiseerde PAV en EAV'!I198</f>
        <v>28.299999999999997</v>
      </c>
      <c r="J145" s="100">
        <f>'Gestandaardiseerde PAV en EAV'!J198</f>
        <v>18.399999999999999</v>
      </c>
      <c r="K145" s="100">
        <f>'Gestandaardiseerde PAV en EAV'!K198</f>
        <v>26.1</v>
      </c>
      <c r="L145" s="100">
        <f>'Gestandaardiseerde PAV en EAV'!L198</f>
        <v>24.5</v>
      </c>
      <c r="M145" s="100">
        <f>'Gestandaardiseerde PAV en EAV'!M198</f>
        <v>27.64</v>
      </c>
      <c r="N145" s="100">
        <f>'Gestandaardiseerde PAV en EAV'!N198</f>
        <v>31.92</v>
      </c>
    </row>
    <row r="146" spans="2:14">
      <c r="B146" s="59" t="s">
        <v>253</v>
      </c>
      <c r="C146" s="59"/>
      <c r="D146" s="59" t="s">
        <v>337</v>
      </c>
      <c r="G146" s="100">
        <f>'Gestandaardiseerde PAV en EAV'!G199</f>
        <v>27.2</v>
      </c>
      <c r="H146" s="100">
        <f>'Gestandaardiseerde PAV en EAV'!H199</f>
        <v>34.808632075471699</v>
      </c>
      <c r="I146" s="100">
        <f>'Gestandaardiseerde PAV en EAV'!I199</f>
        <v>40.710444703365518</v>
      </c>
      <c r="J146" s="100">
        <f>'Gestandaardiseerde PAV en EAV'!J199</f>
        <v>23.9</v>
      </c>
      <c r="K146" s="100">
        <f>'Gestandaardiseerde PAV en EAV'!K199</f>
        <v>34.740561327756033</v>
      </c>
      <c r="L146" s="100">
        <f>'Gestandaardiseerde PAV en EAV'!L199</f>
        <v>32.054020100502512</v>
      </c>
      <c r="M146" s="100">
        <f>'Gestandaardiseerde PAV en EAV'!M199</f>
        <v>35.099178555816955</v>
      </c>
      <c r="N146" s="100">
        <f>'Gestandaardiseerde PAV en EAV'!N199</f>
        <v>36.904869109947654</v>
      </c>
    </row>
    <row r="147" spans="2:14">
      <c r="B147" s="59" t="s">
        <v>255</v>
      </c>
      <c r="C147" s="59"/>
      <c r="D147" s="59" t="s">
        <v>337</v>
      </c>
      <c r="G147" s="100">
        <f>'Gestandaardiseerde PAV en EAV'!G200</f>
        <v>64.873129770992378</v>
      </c>
      <c r="H147" s="100">
        <f>'Gestandaardiseerde PAV en EAV'!H200</f>
        <v>55.79723957000256</v>
      </c>
      <c r="I147" s="100">
        <f>'Gestandaardiseerde PAV en EAV'!I200</f>
        <v>69.214515546981843</v>
      </c>
      <c r="J147" s="100">
        <f>'Gestandaardiseerde PAV en EAV'!J200</f>
        <v>34.963595851156384</v>
      </c>
      <c r="K147" s="100">
        <f>'Gestandaardiseerde PAV en EAV'!K200</f>
        <v>58.419326009804273</v>
      </c>
      <c r="L147" s="100">
        <f>'Gestandaardiseerde PAV en EAV'!L200</f>
        <v>58.781212484994001</v>
      </c>
      <c r="M147" s="100">
        <f>'Gestandaardiseerde PAV en EAV'!M200</f>
        <v>54.42242186055848</v>
      </c>
      <c r="N147" s="100">
        <f>'Gestandaardiseerde PAV en EAV'!N200</f>
        <v>97.246283851554679</v>
      </c>
    </row>
    <row r="148" spans="2:14">
      <c r="B148" s="59" t="s">
        <v>254</v>
      </c>
      <c r="C148" s="59"/>
      <c r="D148" s="59" t="s">
        <v>337</v>
      </c>
      <c r="G148" s="100">
        <f>'Gestandaardiseerde PAV en EAV'!G201</f>
        <v>0</v>
      </c>
      <c r="H148" s="100">
        <f>'Gestandaardiseerde PAV en EAV'!H201</f>
        <v>102.06</v>
      </c>
      <c r="I148" s="100">
        <f>'Gestandaardiseerde PAV en EAV'!I201</f>
        <v>182.78950472470873</v>
      </c>
      <c r="J148" s="100">
        <f>'Gestandaardiseerde PAV en EAV'!J201</f>
        <v>95.154795660644382</v>
      </c>
      <c r="K148" s="100">
        <f>'Gestandaardiseerde PAV en EAV'!K201</f>
        <v>161.53035309094142</v>
      </c>
      <c r="L148" s="100">
        <f>'Gestandaardiseerde PAV en EAV'!L201</f>
        <v>0</v>
      </c>
      <c r="M148" s="100">
        <f>'Gestandaardiseerde PAV en EAV'!M201</f>
        <v>158.91049336321731</v>
      </c>
      <c r="N148" s="100">
        <f>'Gestandaardiseerde PAV en EAV'!N201</f>
        <v>161.29</v>
      </c>
    </row>
    <row r="151" spans="2:14" s="2" customFormat="1">
      <c r="B151" s="2" t="s">
        <v>106</v>
      </c>
    </row>
    <row r="153" spans="2:14">
      <c r="B153" t="s">
        <v>107</v>
      </c>
      <c r="D153" s="59" t="s">
        <v>334</v>
      </c>
      <c r="F153" s="74">
        <f>SUM(G153:N153)</f>
        <v>168580391.64641124</v>
      </c>
      <c r="G153" s="24">
        <f>SUMPRODUCT(G12:G23,G29:G40)</f>
        <v>997393.57974456635</v>
      </c>
      <c r="H153" s="24">
        <f t="shared" ref="H153:N153" si="0">SUMPRODUCT(H12:H23,H29:H40)</f>
        <v>5495740.4399999995</v>
      </c>
      <c r="I153" s="24">
        <f t="shared" si="0"/>
        <v>1752844.89</v>
      </c>
      <c r="J153" s="24">
        <f t="shared" si="0"/>
        <v>57081279.509999998</v>
      </c>
      <c r="K153" s="24">
        <f t="shared" si="0"/>
        <v>50938502.446666665</v>
      </c>
      <c r="L153" s="24">
        <f t="shared" si="0"/>
        <v>491104.18999999994</v>
      </c>
      <c r="M153" s="24">
        <f t="shared" si="0"/>
        <v>49061284.910000004</v>
      </c>
      <c r="N153" s="24">
        <f t="shared" si="0"/>
        <v>2762241.6799999997</v>
      </c>
    </row>
    <row r="154" spans="2:14">
      <c r="B154" t="s">
        <v>108</v>
      </c>
      <c r="D154" s="59" t="s">
        <v>335</v>
      </c>
      <c r="F154" s="74">
        <f>SUM(G154:N154)</f>
        <v>113490347.51854995</v>
      </c>
      <c r="G154" s="24">
        <f>SUMPRODUCT(G48:G59,G65:G76)</f>
        <v>365289.12999999995</v>
      </c>
      <c r="H154" s="24">
        <f t="shared" ref="H154:N154" si="1">SUMPRODUCT(H48:H59,H65:H76)</f>
        <v>3014865.4489000002</v>
      </c>
      <c r="I154" s="24">
        <f t="shared" si="1"/>
        <v>886550.08200000005</v>
      </c>
      <c r="J154" s="24">
        <f t="shared" si="1"/>
        <v>40523444.829999983</v>
      </c>
      <c r="K154" s="24">
        <f t="shared" si="1"/>
        <v>40653688.729999997</v>
      </c>
      <c r="L154" s="24">
        <f t="shared" si="1"/>
        <v>654165.87265000003</v>
      </c>
      <c r="M154" s="24">
        <f t="shared" si="1"/>
        <v>25390050.579999983</v>
      </c>
      <c r="N154" s="24">
        <f t="shared" si="1"/>
        <v>2002292.8449999997</v>
      </c>
    </row>
    <row r="155" spans="2:14">
      <c r="B155" t="s">
        <v>109</v>
      </c>
      <c r="D155" s="59" t="s">
        <v>336</v>
      </c>
      <c r="F155" s="74">
        <f>SUM(G155:N155)</f>
        <v>119816581.86251201</v>
      </c>
      <c r="G155" s="24">
        <f>SUMPRODUCT(G84:G95,G101:G112)</f>
        <v>835747.23</v>
      </c>
      <c r="H155" s="24">
        <f t="shared" ref="H155:N155" si="2">SUMPRODUCT(H84:H95,H101:H112)</f>
        <v>3073798.92</v>
      </c>
      <c r="I155" s="24">
        <f t="shared" si="2"/>
        <v>1460015.8825120002</v>
      </c>
      <c r="J155" s="24">
        <f t="shared" si="2"/>
        <v>37939341.859999999</v>
      </c>
      <c r="K155" s="24">
        <f t="shared" si="2"/>
        <v>50108572.619999997</v>
      </c>
      <c r="L155" s="24">
        <f t="shared" si="2"/>
        <v>489293.91</v>
      </c>
      <c r="M155" s="24">
        <f t="shared" si="2"/>
        <v>23792226.800000004</v>
      </c>
      <c r="N155" s="24">
        <f t="shared" si="2"/>
        <v>2117584.64</v>
      </c>
    </row>
    <row r="156" spans="2:14">
      <c r="B156" t="s">
        <v>110</v>
      </c>
      <c r="D156" s="59" t="s">
        <v>337</v>
      </c>
      <c r="F156" s="74">
        <f>SUM(G156:N156)</f>
        <v>121505998.104591</v>
      </c>
      <c r="G156" s="115">
        <f>SUMPRODUCT(G120:G131,G137:G148)</f>
        <v>415726.34000000008</v>
      </c>
      <c r="H156" s="115">
        <f t="shared" ref="H156:N156" si="3">SUMPRODUCT(H120:H131,H137:H148)</f>
        <v>3101460.5700000003</v>
      </c>
      <c r="I156" s="115">
        <f t="shared" si="3"/>
        <v>1700166.8500000003</v>
      </c>
      <c r="J156" s="115">
        <f t="shared" si="3"/>
        <v>35782156.734590985</v>
      </c>
      <c r="K156" s="115">
        <f t="shared" si="3"/>
        <v>52238193.199999996</v>
      </c>
      <c r="L156" s="115">
        <f t="shared" si="3"/>
        <v>436888.25</v>
      </c>
      <c r="M156" s="115">
        <f t="shared" si="3"/>
        <v>25871943.710000001</v>
      </c>
      <c r="N156" s="115">
        <f t="shared" si="3"/>
        <v>1959462.45</v>
      </c>
    </row>
  </sheetData>
  <phoneticPr fontId="3" type="noConversion"/>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9" enableFormatConditionsCalculation="0">
    <tabColor rgb="FFFFCC99"/>
  </sheetPr>
  <dimension ref="B1:P617"/>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2" customWidth="1"/>
    <col min="3" max="3" width="2.5703125" customWidth="1"/>
    <col min="4" max="4" width="14.5703125" customWidth="1"/>
    <col min="5" max="5" width="2.5703125" customWidth="1"/>
    <col min="6" max="6" width="21.42578125" customWidth="1"/>
    <col min="7" max="14" width="14.85546875" customWidth="1"/>
    <col min="15" max="15" width="8.28515625" customWidth="1"/>
    <col min="16" max="16" width="21.85546875" customWidth="1"/>
  </cols>
  <sheetData>
    <row r="1" spans="2:16" ht="12" customHeight="1"/>
    <row r="2" spans="2:16" s="1" customFormat="1" ht="18">
      <c r="B2" s="1" t="s">
        <v>1</v>
      </c>
      <c r="F2" s="5" t="s">
        <v>177</v>
      </c>
      <c r="G2" s="5" t="s">
        <v>168</v>
      </c>
      <c r="H2" s="5" t="s">
        <v>169</v>
      </c>
      <c r="I2" s="5" t="s">
        <v>170</v>
      </c>
      <c r="J2" s="5" t="s">
        <v>171</v>
      </c>
      <c r="K2" s="5" t="s">
        <v>172</v>
      </c>
      <c r="L2" s="5" t="s">
        <v>173</v>
      </c>
      <c r="M2" s="5" t="s">
        <v>174</v>
      </c>
      <c r="N2" s="5" t="s">
        <v>175</v>
      </c>
      <c r="O2" s="5"/>
      <c r="P2" s="5" t="s">
        <v>438</v>
      </c>
    </row>
    <row r="4" spans="2:16">
      <c r="B4" s="50" t="s">
        <v>2</v>
      </c>
    </row>
    <row r="5" spans="2:16">
      <c r="B5" s="50" t="s">
        <v>432</v>
      </c>
    </row>
    <row r="6" spans="2:16">
      <c r="B6" s="50" t="s">
        <v>431</v>
      </c>
    </row>
    <row r="7" spans="2:16">
      <c r="B7" s="27" t="s">
        <v>1138</v>
      </c>
    </row>
    <row r="8" spans="2:16">
      <c r="F8" s="46"/>
    </row>
    <row r="9" spans="2:16" s="2" customFormat="1">
      <c r="B9" s="2" t="s">
        <v>263</v>
      </c>
      <c r="F9" s="48"/>
    </row>
    <row r="10" spans="2:16">
      <c r="F10" s="46"/>
    </row>
    <row r="11" spans="2:16">
      <c r="B11" s="3" t="s">
        <v>73</v>
      </c>
      <c r="F11" s="46"/>
    </row>
    <row r="12" spans="2:16">
      <c r="F12" s="46"/>
    </row>
    <row r="13" spans="2:16">
      <c r="B13" s="81" t="s">
        <v>194</v>
      </c>
      <c r="F13" s="46"/>
    </row>
    <row r="14" spans="2:16">
      <c r="B14" s="25" t="s">
        <v>195</v>
      </c>
      <c r="D14" t="s">
        <v>180</v>
      </c>
      <c r="F14" s="82">
        <f>SUM(G14:N14)</f>
        <v>250886722.85999998</v>
      </c>
      <c r="G14" s="41">
        <f>'PRD OPEX (2009-2012)'!G12</f>
        <v>0</v>
      </c>
      <c r="H14" s="41">
        <f>'PRD OPEX (2009-2012)'!H12</f>
        <v>6923123.1100000003</v>
      </c>
      <c r="I14" s="41">
        <f>'PRD OPEX (2009-2012)'!I12</f>
        <v>0</v>
      </c>
      <c r="J14" s="41">
        <f>'PRD OPEX (2009-2012)'!J12</f>
        <v>103693222.23999999</v>
      </c>
      <c r="K14" s="41">
        <f>'PRD OPEX (2009-2012)'!K12</f>
        <v>85123882</v>
      </c>
      <c r="L14" s="41">
        <f>'PRD OPEX (2009-2012)'!L12</f>
        <v>0</v>
      </c>
      <c r="M14" s="41">
        <f>'PRD OPEX (2009-2012)'!M12</f>
        <v>49745214</v>
      </c>
      <c r="N14" s="41">
        <f>'PRD OPEX (2009-2012)'!N12</f>
        <v>5401281.5099999998</v>
      </c>
    </row>
    <row r="15" spans="2:16">
      <c r="B15" s="25" t="s">
        <v>196</v>
      </c>
      <c r="D15" t="s">
        <v>180</v>
      </c>
      <c r="F15" s="82">
        <f>SUM(G15:N15)</f>
        <v>19892436.579999998</v>
      </c>
      <c r="G15" s="41">
        <f>'PRD OPEX (2009-2012)'!G13</f>
        <v>3138000</v>
      </c>
      <c r="H15" s="41">
        <f>'PRD OPEX (2009-2012)'!H13</f>
        <v>0</v>
      </c>
      <c r="I15" s="41">
        <f>'PRD OPEX (2009-2012)'!I13</f>
        <v>6938607.8400000008</v>
      </c>
      <c r="J15" s="41">
        <f>'PRD OPEX (2009-2012)'!J13</f>
        <v>367793.62</v>
      </c>
      <c r="K15" s="41">
        <f>'PRD OPEX (2009-2012)'!K13</f>
        <v>695851.63000000012</v>
      </c>
      <c r="L15" s="41">
        <f>'PRD OPEX (2009-2012)'!L13</f>
        <v>2044465</v>
      </c>
      <c r="M15" s="41">
        <f>'PRD OPEX (2009-2012)'!M13</f>
        <v>5781000</v>
      </c>
      <c r="N15" s="41">
        <f>'PRD OPEX (2009-2012)'!N13</f>
        <v>926718.49</v>
      </c>
    </row>
    <row r="16" spans="2:16">
      <c r="B16" s="25" t="s">
        <v>197</v>
      </c>
      <c r="D16" t="s">
        <v>180</v>
      </c>
      <c r="F16" s="82">
        <f>SUM(G16:N16)</f>
        <v>348034977.72988653</v>
      </c>
      <c r="G16" s="41">
        <f>'PRD OPEX (2009-2012)'!G14</f>
        <v>1248000</v>
      </c>
      <c r="H16" s="41">
        <f>'PRD OPEX (2009-2012)'!H14</f>
        <v>9030346.6398865208</v>
      </c>
      <c r="I16" s="41">
        <f>'PRD OPEX (2009-2012)'!I14</f>
        <v>3736015.4</v>
      </c>
      <c r="J16" s="41">
        <f>'PRD OPEX (2009-2012)'!J14</f>
        <v>119329002.25</v>
      </c>
      <c r="K16" s="41">
        <f>'PRD OPEX (2009-2012)'!K14</f>
        <v>113788474.55</v>
      </c>
      <c r="L16" s="41">
        <f>'PRD OPEX (2009-2012)'!L14</f>
        <v>758871</v>
      </c>
      <c r="M16" s="41">
        <f>'PRD OPEX (2009-2012)'!M14</f>
        <v>93964000</v>
      </c>
      <c r="N16" s="41">
        <f>'PRD OPEX (2009-2012)'!N14</f>
        <v>6180267.8899999997</v>
      </c>
    </row>
    <row r="17" spans="2:16">
      <c r="B17" s="25" t="s">
        <v>330</v>
      </c>
      <c r="D17" t="s">
        <v>180</v>
      </c>
      <c r="F17" s="82">
        <f>SUM(G17:N17)</f>
        <v>7000</v>
      </c>
      <c r="G17" s="41">
        <f>'PRD OPEX (2009-2012)'!G15</f>
        <v>7000</v>
      </c>
      <c r="H17" s="41">
        <f>'PRD OPEX (2009-2012)'!H15</f>
        <v>0</v>
      </c>
      <c r="I17" s="41">
        <f>'PRD OPEX (2009-2012)'!I15</f>
        <v>0</v>
      </c>
      <c r="J17" s="41">
        <f>'PRD OPEX (2009-2012)'!J15</f>
        <v>0</v>
      </c>
      <c r="K17" s="41">
        <f>'PRD OPEX (2009-2012)'!K15</f>
        <v>0</v>
      </c>
      <c r="L17" s="41">
        <f>'PRD OPEX (2009-2012)'!L15</f>
        <v>0</v>
      </c>
      <c r="M17" s="41">
        <f>'PRD OPEX (2009-2012)'!M15</f>
        <v>0</v>
      </c>
      <c r="N17" s="41">
        <f>'PRD OPEX (2009-2012)'!N15</f>
        <v>0</v>
      </c>
    </row>
    <row r="18" spans="2:16">
      <c r="B18" s="25"/>
      <c r="F18" s="68"/>
      <c r="G18" s="40"/>
      <c r="H18" s="40"/>
      <c r="I18" s="40"/>
      <c r="J18" s="40"/>
      <c r="K18" s="40"/>
      <c r="L18" s="40"/>
      <c r="M18" s="40"/>
      <c r="N18" s="40"/>
    </row>
    <row r="19" spans="2:16">
      <c r="B19" s="81" t="s">
        <v>198</v>
      </c>
      <c r="F19" s="68"/>
      <c r="G19" s="40"/>
      <c r="H19" s="40"/>
      <c r="I19" s="40"/>
      <c r="J19" s="40"/>
      <c r="K19" s="40"/>
      <c r="L19" s="40"/>
      <c r="M19" s="40"/>
      <c r="N19" s="40"/>
    </row>
    <row r="20" spans="2:16">
      <c r="B20" s="25" t="s">
        <v>199</v>
      </c>
      <c r="D20" t="s">
        <v>180</v>
      </c>
      <c r="F20" s="82">
        <f>SUM(G20:N20)</f>
        <v>768526386.92580914</v>
      </c>
      <c r="G20" s="41">
        <f>'PRD OPEX (2009-2012)'!G18</f>
        <v>4157000</v>
      </c>
      <c r="H20" s="41">
        <f>'PRD OPEX (2009-2012)'!H18</f>
        <v>22670873.55496677</v>
      </c>
      <c r="I20" s="41">
        <f>'PRD OPEX (2009-2012)'!I18</f>
        <v>5320308.2127202693</v>
      </c>
      <c r="J20" s="41">
        <f>'PRD OPEX (2009-2012)'!J18</f>
        <v>263001331.80993599</v>
      </c>
      <c r="K20" s="41">
        <f>'PRD OPEX (2009-2012)'!K18</f>
        <v>315277163.26123697</v>
      </c>
      <c r="L20" s="41">
        <f>'PRD OPEX (2009-2012)'!L18</f>
        <v>2406524.8940000003</v>
      </c>
      <c r="M20" s="41">
        <f>'PRD OPEX (2009-2012)'!M18</f>
        <v>144986749.51332</v>
      </c>
      <c r="N20" s="41">
        <f>'PRD OPEX (2009-2012)'!N18</f>
        <v>10706435.679629086</v>
      </c>
    </row>
    <row r="21" spans="2:16">
      <c r="B21" s="25" t="s">
        <v>200</v>
      </c>
      <c r="D21" t="s">
        <v>180</v>
      </c>
      <c r="F21" s="82">
        <f>SUM(G21:N21)</f>
        <v>62113541.467873335</v>
      </c>
      <c r="G21" s="41">
        <f>'PRD OPEX (2009-2012)'!G19</f>
        <v>0</v>
      </c>
      <c r="H21" s="41">
        <f>'PRD OPEX (2009-2012)'!H19</f>
        <v>2.9802322387695313E-8</v>
      </c>
      <c r="I21" s="41">
        <f>'PRD OPEX (2009-2012)'!I19</f>
        <v>0</v>
      </c>
      <c r="J21" s="41">
        <f>'PRD OPEX (2009-2012)'!J19</f>
        <v>0</v>
      </c>
      <c r="K21" s="41">
        <f>'PRD OPEX (2009-2012)'!K19</f>
        <v>0</v>
      </c>
      <c r="L21" s="41">
        <f>'PRD OPEX (2009-2012)'!L19</f>
        <v>454400.19999999995</v>
      </c>
      <c r="M21" s="41">
        <f>'PRD OPEX (2009-2012)'!M19</f>
        <v>61659141.267873302</v>
      </c>
      <c r="N21" s="41">
        <f>'PRD OPEX (2009-2012)'!N19</f>
        <v>0</v>
      </c>
    </row>
    <row r="22" spans="2:16">
      <c r="B22" s="25"/>
      <c r="F22" s="68"/>
      <c r="G22" s="40"/>
      <c r="H22" s="40"/>
      <c r="I22" s="40"/>
      <c r="J22" s="40"/>
      <c r="K22" s="40"/>
      <c r="L22" s="40"/>
      <c r="M22" s="40"/>
      <c r="N22" s="40"/>
    </row>
    <row r="23" spans="2:16">
      <c r="B23" s="81" t="s">
        <v>201</v>
      </c>
      <c r="F23" s="68"/>
      <c r="G23" s="40"/>
      <c r="H23" s="40"/>
      <c r="I23" s="40"/>
      <c r="J23" s="40"/>
      <c r="K23" s="40"/>
      <c r="L23" s="40"/>
      <c r="M23" s="40"/>
      <c r="N23" s="40"/>
    </row>
    <row r="24" spans="2:16">
      <c r="B24" s="25" t="s">
        <v>202</v>
      </c>
      <c r="D24" t="s">
        <v>180</v>
      </c>
      <c r="F24" s="82">
        <f>SUM(G24:N24)</f>
        <v>31603503.808885038</v>
      </c>
      <c r="G24" s="41">
        <f>'PRD OPEX (2009-2012)'!G22</f>
        <v>0</v>
      </c>
      <c r="H24" s="41">
        <f>'PRD OPEX (2009-2012)'!H22</f>
        <v>494009.98</v>
      </c>
      <c r="I24" s="41">
        <f>'PRD OPEX (2009-2012)'!I22</f>
        <v>0</v>
      </c>
      <c r="J24" s="41">
        <f>'PRD OPEX (2009-2012)'!J22</f>
        <v>1738000</v>
      </c>
      <c r="K24" s="41">
        <f>'PRD OPEX (2009-2012)'!K22</f>
        <v>13888014.728885036</v>
      </c>
      <c r="L24" s="41">
        <f>'PRD OPEX (2009-2012)'!L22</f>
        <v>139.1</v>
      </c>
      <c r="M24" s="41">
        <f>'PRD OPEX (2009-2012)'!M22</f>
        <v>15459000</v>
      </c>
      <c r="N24" s="41">
        <f>'PRD OPEX (2009-2012)'!N22</f>
        <v>24340</v>
      </c>
    </row>
    <row r="25" spans="2:16">
      <c r="B25" s="25" t="s">
        <v>203</v>
      </c>
      <c r="D25" t="s">
        <v>180</v>
      </c>
      <c r="F25" s="82">
        <f>SUM(G25:N25)</f>
        <v>8000</v>
      </c>
      <c r="G25" s="41">
        <f>'PRD OPEX (2009-2012)'!G23</f>
        <v>8000</v>
      </c>
      <c r="H25" s="41">
        <f>'PRD OPEX (2009-2012)'!H23</f>
        <v>0</v>
      </c>
      <c r="I25" s="41">
        <f>'PRD OPEX (2009-2012)'!I23</f>
        <v>0</v>
      </c>
      <c r="J25" s="41">
        <f>'PRD OPEX (2009-2012)'!J23</f>
        <v>0</v>
      </c>
      <c r="K25" s="41">
        <f>'PRD OPEX (2009-2012)'!K23</f>
        <v>0</v>
      </c>
      <c r="L25" s="41">
        <f>'PRD OPEX (2009-2012)'!L23</f>
        <v>0</v>
      </c>
      <c r="M25" s="41">
        <f>'PRD OPEX (2009-2012)'!M23</f>
        <v>0</v>
      </c>
      <c r="N25" s="41">
        <f>'PRD OPEX (2009-2012)'!N23</f>
        <v>0</v>
      </c>
    </row>
    <row r="26" spans="2:16">
      <c r="B26" s="25"/>
      <c r="F26" s="68"/>
      <c r="G26" s="40"/>
      <c r="H26" s="40"/>
      <c r="I26" s="40"/>
      <c r="J26" s="40"/>
      <c r="K26" s="40"/>
      <c r="L26" s="40"/>
      <c r="M26" s="40"/>
      <c r="N26" s="40"/>
    </row>
    <row r="27" spans="2:16">
      <c r="B27" s="81" t="s">
        <v>204</v>
      </c>
      <c r="F27" s="68"/>
      <c r="G27" s="40"/>
      <c r="H27" s="40"/>
      <c r="I27" s="40"/>
      <c r="J27" s="40"/>
      <c r="K27" s="40"/>
      <c r="L27" s="40"/>
      <c r="M27" s="40"/>
      <c r="N27" s="40"/>
    </row>
    <row r="28" spans="2:16">
      <c r="B28" s="25" t="s">
        <v>331</v>
      </c>
      <c r="D28" t="s">
        <v>180</v>
      </c>
      <c r="F28" s="82">
        <f>SUM(G28:N28)</f>
        <v>8379795.803893121</v>
      </c>
      <c r="G28" s="41">
        <f>'PRD OPEX (2009-2012)'!G26</f>
        <v>90000</v>
      </c>
      <c r="H28" s="41">
        <f>'PRD OPEX (2009-2012)'!H26</f>
        <v>191361.32392851418</v>
      </c>
      <c r="I28" s="41">
        <f>'PRD OPEX (2009-2012)'!I26</f>
        <v>84250.717797312536</v>
      </c>
      <c r="J28" s="41">
        <f>'PRD OPEX (2009-2012)'!J26</f>
        <v>2526321.4220432485</v>
      </c>
      <c r="K28" s="41">
        <f>'PRD OPEX (2009-2012)'!K26</f>
        <v>2715480.0187216662</v>
      </c>
      <c r="L28" s="41">
        <f>'PRD OPEX (2009-2012)'!L26</f>
        <v>34374.154621311347</v>
      </c>
      <c r="M28" s="41">
        <f>'PRD OPEX (2009-2012)'!M26</f>
        <v>2660626.2183749992</v>
      </c>
      <c r="N28" s="41">
        <f>'PRD OPEX (2009-2012)'!N26</f>
        <v>77381.948406068914</v>
      </c>
    </row>
    <row r="29" spans="2:16">
      <c r="B29" s="25" t="s">
        <v>332</v>
      </c>
      <c r="D29" t="s">
        <v>180</v>
      </c>
      <c r="F29" s="82">
        <f>SUM(G29:N29)</f>
        <v>5346489.6441496024</v>
      </c>
      <c r="G29" s="41">
        <f>'PRD OPEX (2009-2012)'!G27</f>
        <v>47000</v>
      </c>
      <c r="H29" s="41">
        <f>'PRD OPEX (2009-2012)'!H27</f>
        <v>84529.940320220223</v>
      </c>
      <c r="I29" s="41">
        <f>'PRD OPEX (2009-2012)'!I27</f>
        <v>63944.294202687459</v>
      </c>
      <c r="J29" s="41">
        <f>'PRD OPEX (2009-2012)'!J27</f>
        <v>1478806.3032363635</v>
      </c>
      <c r="K29" s="41">
        <f>'PRD OPEX (2009-2012)'!K27</f>
        <v>1473735.0914951223</v>
      </c>
      <c r="L29" s="41">
        <f>'PRD OPEX (2009-2012)'!L27</f>
        <v>20151.783828688654</v>
      </c>
      <c r="M29" s="41">
        <f>'PRD OPEX (2009-2012)'!M27</f>
        <v>2037432.9940723924</v>
      </c>
      <c r="N29" s="41">
        <f>'PRD OPEX (2009-2012)'!N27</f>
        <v>140889.23699412809</v>
      </c>
    </row>
    <row r="30" spans="2:16">
      <c r="B30" s="83" t="s">
        <v>333</v>
      </c>
      <c r="D30" t="s">
        <v>180</v>
      </c>
      <c r="F30" s="82">
        <f>SUM(G30:N30)</f>
        <v>16552587.780266941</v>
      </c>
      <c r="G30" s="41">
        <f>'PRD OPEX (2009-2012)'!G28</f>
        <v>0</v>
      </c>
      <c r="H30" s="41">
        <f>'PRD OPEX (2009-2012)'!H28</f>
        <v>0</v>
      </c>
      <c r="I30" s="41">
        <f>'PRD OPEX (2009-2012)'!I28</f>
        <v>-10808.852717372007</v>
      </c>
      <c r="J30" s="41">
        <f>'PRD OPEX (2009-2012)'!J28</f>
        <v>2301400</v>
      </c>
      <c r="K30" s="41">
        <f>'PRD OPEX (2009-2012)'!K28</f>
        <v>13707095.946802381</v>
      </c>
      <c r="L30" s="41">
        <f>'PRD OPEX (2009-2012)'!L28</f>
        <v>53111.252225284334</v>
      </c>
      <c r="M30" s="41">
        <f>'PRD OPEX (2009-2012)'!M28</f>
        <v>218289.43395664787</v>
      </c>
      <c r="N30" s="41">
        <f>'PRD OPEX (2009-2012)'!N28</f>
        <v>283500</v>
      </c>
    </row>
    <row r="31" spans="2:16">
      <c r="B31" s="25"/>
      <c r="C31" s="44"/>
      <c r="D31" s="27"/>
      <c r="E31" s="45"/>
      <c r="F31" s="68"/>
      <c r="G31" s="40"/>
      <c r="H31" s="40"/>
      <c r="I31" s="40"/>
      <c r="J31" s="40"/>
      <c r="K31" s="40"/>
      <c r="L31" s="40"/>
      <c r="M31" s="40"/>
      <c r="N31" s="40"/>
      <c r="P31" s="27"/>
    </row>
    <row r="32" spans="2:16">
      <c r="B32" s="25" t="s">
        <v>205</v>
      </c>
      <c r="D32" t="s">
        <v>180</v>
      </c>
      <c r="F32" s="73">
        <f t="shared" ref="F32:N32" si="0">SUM(F14:F17,F20:F21,F24:F25,F28:F30)</f>
        <v>1511351442.6007638</v>
      </c>
      <c r="G32" s="73">
        <f t="shared" si="0"/>
        <v>8695000</v>
      </c>
      <c r="H32" s="73">
        <f t="shared" si="0"/>
        <v>39394244.549102053</v>
      </c>
      <c r="I32" s="73">
        <f t="shared" si="0"/>
        <v>16132317.612002898</v>
      </c>
      <c r="J32" s="73">
        <f t="shared" si="0"/>
        <v>494435877.64521563</v>
      </c>
      <c r="K32" s="73">
        <f t="shared" si="0"/>
        <v>546669697.22714114</v>
      </c>
      <c r="L32" s="73">
        <f t="shared" si="0"/>
        <v>5772037.3846752848</v>
      </c>
      <c r="M32" s="73">
        <f t="shared" si="0"/>
        <v>376511453.42759728</v>
      </c>
      <c r="N32" s="73">
        <f t="shared" si="0"/>
        <v>23740814.755029287</v>
      </c>
    </row>
    <row r="33" spans="2:14">
      <c r="F33" s="68"/>
      <c r="G33" s="40"/>
      <c r="H33" s="40"/>
      <c r="I33" s="40"/>
      <c r="J33" s="40"/>
      <c r="K33" s="40"/>
      <c r="L33" s="40"/>
      <c r="M33" s="40"/>
      <c r="N33" s="40"/>
    </row>
    <row r="34" spans="2:14">
      <c r="F34" s="68"/>
      <c r="G34" s="40"/>
      <c r="H34" s="40"/>
      <c r="I34" s="40"/>
      <c r="J34" s="40"/>
      <c r="K34" s="40"/>
      <c r="L34" s="40"/>
      <c r="M34" s="40"/>
      <c r="N34" s="40"/>
    </row>
    <row r="35" spans="2:14">
      <c r="B35" s="3" t="s">
        <v>536</v>
      </c>
      <c r="F35" s="68"/>
      <c r="G35" s="40"/>
      <c r="H35" s="40"/>
      <c r="I35" s="40"/>
      <c r="J35" s="40"/>
      <c r="K35" s="40"/>
      <c r="L35" s="40"/>
      <c r="M35" s="40"/>
      <c r="N35" s="40"/>
    </row>
    <row r="36" spans="2:14">
      <c r="F36" s="68"/>
      <c r="G36" s="131"/>
      <c r="H36" s="40"/>
      <c r="I36" s="40"/>
      <c r="J36" s="40"/>
      <c r="K36" s="40"/>
      <c r="L36" s="40"/>
      <c r="M36" s="40"/>
      <c r="N36" s="40"/>
    </row>
    <row r="37" spans="2:14">
      <c r="B37" s="81" t="s">
        <v>194</v>
      </c>
      <c r="F37" s="46"/>
    </row>
    <row r="38" spans="2:14">
      <c r="B38" s="25" t="s">
        <v>195</v>
      </c>
      <c r="D38" t="s">
        <v>180</v>
      </c>
      <c r="F38" s="82">
        <f>SUM(G38:N38)</f>
        <v>0</v>
      </c>
      <c r="G38" s="39"/>
      <c r="H38" s="39"/>
      <c r="I38" s="39"/>
      <c r="J38" s="39"/>
      <c r="K38" s="39"/>
      <c r="L38" s="39"/>
      <c r="M38" s="39"/>
      <c r="N38" s="160"/>
    </row>
    <row r="39" spans="2:14">
      <c r="B39" s="25" t="s">
        <v>196</v>
      </c>
      <c r="D39" t="s">
        <v>180</v>
      </c>
      <c r="F39" s="82">
        <f>SUM(G39:N39)</f>
        <v>0</v>
      </c>
      <c r="G39" s="39"/>
      <c r="H39" s="39"/>
      <c r="I39" s="39"/>
      <c r="J39" s="39"/>
      <c r="K39" s="39"/>
      <c r="L39" s="39"/>
      <c r="M39" s="39"/>
      <c r="N39" s="39"/>
    </row>
    <row r="40" spans="2:14">
      <c r="B40" s="25" t="s">
        <v>197</v>
      </c>
      <c r="D40" t="s">
        <v>180</v>
      </c>
      <c r="F40" s="82">
        <f>SUM(G40:N40)</f>
        <v>0</v>
      </c>
      <c r="G40" s="39"/>
      <c r="H40" s="39"/>
      <c r="I40" s="39"/>
      <c r="J40" s="39"/>
      <c r="K40" s="39"/>
      <c r="L40" s="39"/>
      <c r="M40" s="39"/>
      <c r="N40" s="39"/>
    </row>
    <row r="41" spans="2:14">
      <c r="B41" s="25" t="s">
        <v>330</v>
      </c>
      <c r="D41" t="s">
        <v>180</v>
      </c>
      <c r="F41" s="82">
        <f>SUM(G41:N41)</f>
        <v>0</v>
      </c>
      <c r="G41" s="39"/>
      <c r="H41" s="39"/>
      <c r="I41" s="39"/>
      <c r="J41" s="39"/>
      <c r="K41" s="39"/>
      <c r="L41" s="39"/>
      <c r="M41" s="39"/>
      <c r="N41" s="39"/>
    </row>
    <row r="42" spans="2:14">
      <c r="B42" s="25"/>
      <c r="F42" s="68"/>
      <c r="G42" s="36"/>
      <c r="H42" s="36"/>
      <c r="I42" s="36"/>
      <c r="J42" s="36"/>
      <c r="K42" s="36"/>
      <c r="L42" s="36"/>
      <c r="M42" s="36"/>
      <c r="N42" s="36"/>
    </row>
    <row r="43" spans="2:14">
      <c r="B43" s="81" t="s">
        <v>198</v>
      </c>
      <c r="F43" s="68"/>
      <c r="G43" s="36"/>
      <c r="H43" s="36"/>
      <c r="I43" s="36"/>
      <c r="J43" s="36"/>
      <c r="K43" s="36"/>
      <c r="L43" s="36"/>
      <c r="M43" s="36"/>
      <c r="N43" s="36"/>
    </row>
    <row r="44" spans="2:14">
      <c r="B44" s="25" t="s">
        <v>199</v>
      </c>
      <c r="D44" t="s">
        <v>180</v>
      </c>
      <c r="F44" s="82">
        <f>SUM(G44:N44)</f>
        <v>0</v>
      </c>
      <c r="G44" s="39"/>
      <c r="H44" s="39"/>
      <c r="I44" s="39"/>
      <c r="J44" s="39"/>
      <c r="K44" s="39"/>
      <c r="L44" s="39"/>
      <c r="M44" s="39"/>
      <c r="N44" s="39"/>
    </row>
    <row r="45" spans="2:14">
      <c r="B45" s="25" t="s">
        <v>200</v>
      </c>
      <c r="D45" t="s">
        <v>180</v>
      </c>
      <c r="F45" s="82">
        <f>SUM(G45:N45)</f>
        <v>0</v>
      </c>
      <c r="G45" s="39"/>
      <c r="H45" s="39"/>
      <c r="I45" s="39"/>
      <c r="J45" s="39"/>
      <c r="K45" s="39"/>
      <c r="L45" s="39"/>
      <c r="M45" s="39"/>
      <c r="N45" s="39"/>
    </row>
    <row r="46" spans="2:14">
      <c r="B46" s="25"/>
      <c r="F46" s="68"/>
      <c r="G46" s="36"/>
      <c r="H46" s="36"/>
      <c r="I46" s="36"/>
      <c r="J46" s="36"/>
      <c r="K46" s="36"/>
      <c r="L46" s="36"/>
      <c r="M46" s="36"/>
      <c r="N46" s="36"/>
    </row>
    <row r="47" spans="2:14">
      <c r="B47" s="81" t="s">
        <v>201</v>
      </c>
      <c r="F47" s="68"/>
      <c r="G47" s="36"/>
      <c r="H47" s="36"/>
      <c r="I47" s="36"/>
      <c r="J47" s="36"/>
      <c r="K47" s="36"/>
      <c r="L47" s="36"/>
      <c r="M47" s="36"/>
      <c r="N47" s="36"/>
    </row>
    <row r="48" spans="2:14">
      <c r="B48" s="25" t="s">
        <v>202</v>
      </c>
      <c r="D48" t="s">
        <v>180</v>
      </c>
      <c r="F48" s="82">
        <f>SUM(G48:N48)</f>
        <v>0</v>
      </c>
      <c r="G48" s="39"/>
      <c r="H48" s="39"/>
      <c r="I48" s="39"/>
      <c r="J48" s="39"/>
      <c r="K48" s="39"/>
      <c r="L48" s="39"/>
      <c r="M48" s="39"/>
      <c r="N48" s="39"/>
    </row>
    <row r="49" spans="2:14">
      <c r="B49" s="25" t="s">
        <v>203</v>
      </c>
      <c r="D49" t="s">
        <v>180</v>
      </c>
      <c r="F49" s="82">
        <f>SUM(G49:N49)</f>
        <v>0</v>
      </c>
      <c r="G49" s="39"/>
      <c r="H49" s="39"/>
      <c r="I49" s="39"/>
      <c r="J49" s="39"/>
      <c r="K49" s="39"/>
      <c r="L49" s="39"/>
      <c r="M49" s="39"/>
      <c r="N49" s="39"/>
    </row>
    <row r="50" spans="2:14">
      <c r="B50" s="25"/>
      <c r="F50" s="68"/>
      <c r="G50" s="36"/>
      <c r="H50" s="36"/>
      <c r="I50" s="36"/>
      <c r="J50" s="36"/>
      <c r="K50" s="36"/>
      <c r="L50" s="36"/>
      <c r="M50" s="36"/>
      <c r="N50" s="36"/>
    </row>
    <row r="51" spans="2:14">
      <c r="B51" s="81" t="s">
        <v>204</v>
      </c>
      <c r="F51" s="68"/>
      <c r="G51" s="36"/>
      <c r="H51" s="36"/>
      <c r="I51" s="36"/>
      <c r="J51" s="36"/>
      <c r="K51" s="36"/>
      <c r="L51" s="36"/>
      <c r="M51" s="36"/>
      <c r="N51" s="36"/>
    </row>
    <row r="52" spans="2:14">
      <c r="B52" s="25" t="s">
        <v>331</v>
      </c>
      <c r="D52" t="s">
        <v>180</v>
      </c>
      <c r="F52" s="82">
        <f>SUM(G52:N52)</f>
        <v>0</v>
      </c>
      <c r="G52" s="39"/>
      <c r="H52" s="39"/>
      <c r="I52" s="39"/>
      <c r="J52" s="39"/>
      <c r="K52" s="39"/>
      <c r="L52" s="39"/>
      <c r="M52" s="39"/>
      <c r="N52" s="39"/>
    </row>
    <row r="53" spans="2:14">
      <c r="B53" s="25" t="s">
        <v>332</v>
      </c>
      <c r="D53" t="s">
        <v>180</v>
      </c>
      <c r="F53" s="82">
        <f>SUM(G53:N53)</f>
        <v>0</v>
      </c>
      <c r="G53" s="39"/>
      <c r="H53" s="39"/>
      <c r="I53" s="39"/>
      <c r="J53" s="39"/>
      <c r="K53" s="39"/>
      <c r="L53" s="39"/>
      <c r="M53" s="39"/>
      <c r="N53" s="39"/>
    </row>
    <row r="54" spans="2:14">
      <c r="B54" s="83" t="s">
        <v>333</v>
      </c>
      <c r="D54" t="s">
        <v>180</v>
      </c>
      <c r="F54" s="82">
        <f>SUM(G54:N54)</f>
        <v>0</v>
      </c>
      <c r="G54" s="39"/>
      <c r="H54" s="39"/>
      <c r="I54" s="39"/>
      <c r="J54" s="39"/>
      <c r="K54" s="39"/>
      <c r="L54" s="39"/>
      <c r="M54" s="39"/>
      <c r="N54" s="39"/>
    </row>
    <row r="55" spans="2:14">
      <c r="F55" s="68"/>
      <c r="G55" s="40"/>
      <c r="H55" s="40"/>
      <c r="I55" s="40"/>
      <c r="J55" s="40"/>
      <c r="K55" s="40"/>
      <c r="L55" s="40"/>
      <c r="M55" s="40"/>
      <c r="N55" s="40"/>
    </row>
    <row r="56" spans="2:14">
      <c r="F56" s="68"/>
      <c r="G56" s="40"/>
      <c r="H56" s="40"/>
      <c r="I56" s="40"/>
      <c r="J56" s="40"/>
      <c r="K56" s="40"/>
      <c r="L56" s="40"/>
      <c r="M56" s="40"/>
      <c r="N56" s="40"/>
    </row>
    <row r="57" spans="2:14">
      <c r="B57" s="3" t="s">
        <v>535</v>
      </c>
      <c r="F57" s="68"/>
      <c r="G57" s="40"/>
      <c r="H57" s="40"/>
      <c r="I57" s="40"/>
      <c r="J57" s="40"/>
      <c r="K57" s="40"/>
      <c r="L57" s="40"/>
      <c r="M57" s="40"/>
      <c r="N57" s="40"/>
    </row>
    <row r="58" spans="2:14">
      <c r="F58" s="68"/>
      <c r="G58" s="40"/>
      <c r="H58" s="40"/>
      <c r="I58" s="40"/>
      <c r="J58" s="40"/>
      <c r="K58" s="40"/>
      <c r="L58" s="40"/>
      <c r="M58" s="40"/>
      <c r="N58" s="40"/>
    </row>
    <row r="59" spans="2:14">
      <c r="B59" s="81" t="s">
        <v>194</v>
      </c>
      <c r="F59" s="46"/>
    </row>
    <row r="60" spans="2:14">
      <c r="B60" s="25" t="s">
        <v>195</v>
      </c>
      <c r="D60" t="s">
        <v>180</v>
      </c>
      <c r="F60" s="82">
        <f>SUM(G60:N60)</f>
        <v>0</v>
      </c>
      <c r="G60" s="39"/>
      <c r="H60" s="39"/>
      <c r="I60" s="39"/>
      <c r="J60" s="39"/>
      <c r="K60" s="39"/>
      <c r="L60" s="39"/>
      <c r="M60" s="39"/>
      <c r="N60" s="39"/>
    </row>
    <row r="61" spans="2:14">
      <c r="B61" s="25" t="s">
        <v>196</v>
      </c>
      <c r="D61" t="s">
        <v>180</v>
      </c>
      <c r="F61" s="82">
        <f>SUM(G61:N61)</f>
        <v>0</v>
      </c>
      <c r="G61" s="39"/>
      <c r="H61" s="39"/>
      <c r="I61" s="39"/>
      <c r="J61" s="39"/>
      <c r="K61" s="39"/>
      <c r="L61" s="39"/>
      <c r="M61" s="39"/>
      <c r="N61" s="39"/>
    </row>
    <row r="62" spans="2:14">
      <c r="B62" s="25" t="s">
        <v>197</v>
      </c>
      <c r="D62" t="s">
        <v>180</v>
      </c>
      <c r="F62" s="82">
        <f>SUM(G62:N62)</f>
        <v>5285883.0470211618</v>
      </c>
      <c r="G62" s="180">
        <f>SUM('PRD Ov.Opbrengsten (2009-2012)'!G45:G47)-'PRD Ov.Opbrengsten (2009-2012)'!G60</f>
        <v>274829.47999999992</v>
      </c>
      <c r="H62" s="180">
        <f>SUM('PRD Ov.Opbrengsten (2009-2012)'!H45:H47)-'PRD Ov.Opbrengsten (2009-2012)'!H60</f>
        <v>73074.029999999984</v>
      </c>
      <c r="I62" s="180">
        <f>SUM('PRD Ov.Opbrengsten (2009-2012)'!I45:I47)-'PRD Ov.Opbrengsten (2009-2012)'!I60</f>
        <v>227376.43462500005</v>
      </c>
      <c r="J62" s="180">
        <f>SUM('PRD Ov.Opbrengsten (2009-2012)'!J45:J47)-'PRD Ov.Opbrengsten (2009-2012)'!J60</f>
        <v>-1211860.04</v>
      </c>
      <c r="K62" s="180">
        <f>SUM('PRD Ov.Opbrengsten (2009-2012)'!K45:K47)-'PRD Ov.Opbrengsten (2009-2012)'!K60</f>
        <v>925716.10423879232</v>
      </c>
      <c r="L62" s="180">
        <f>SUM('PRD Ov.Opbrengsten (2009-2012)'!L45:L47)-'PRD Ov.Opbrengsten (2009-2012)'!L60</f>
        <v>11552</v>
      </c>
      <c r="M62" s="180">
        <f>SUM('PRD Ov.Opbrengsten (2009-2012)'!M45:M47)-'PRD Ov.Opbrengsten (2009-2012)'!M60</f>
        <v>4985974.3100000005</v>
      </c>
      <c r="N62" s="180">
        <f>SUM('PRD Ov.Opbrengsten (2009-2012)'!N45:N47)-'PRD Ov.Opbrengsten (2009-2012)'!N60</f>
        <v>-779.27184263013805</v>
      </c>
    </row>
    <row r="63" spans="2:14">
      <c r="B63" s="25" t="s">
        <v>330</v>
      </c>
      <c r="D63" t="s">
        <v>180</v>
      </c>
      <c r="F63" s="82">
        <f>SUM(G63:N63)</f>
        <v>0</v>
      </c>
      <c r="G63" s="39"/>
      <c r="H63" s="39"/>
      <c r="I63" s="39"/>
      <c r="J63" s="39"/>
      <c r="K63" s="39"/>
      <c r="L63" s="39"/>
      <c r="M63" s="39"/>
      <c r="N63" s="39"/>
    </row>
    <row r="64" spans="2:14">
      <c r="B64" s="25"/>
      <c r="F64" s="68"/>
      <c r="G64" s="36"/>
      <c r="H64" s="36"/>
      <c r="I64" s="36"/>
      <c r="J64" s="36"/>
      <c r="K64" s="36"/>
      <c r="L64" s="36"/>
      <c r="M64" s="36"/>
      <c r="N64" s="36"/>
    </row>
    <row r="65" spans="2:14">
      <c r="B65" s="81" t="s">
        <v>198</v>
      </c>
      <c r="F65" s="68"/>
      <c r="G65" s="36"/>
      <c r="H65" s="36"/>
      <c r="I65" s="36"/>
      <c r="J65" s="36"/>
      <c r="K65" s="36"/>
      <c r="L65" s="36"/>
      <c r="M65" s="36"/>
      <c r="N65" s="36"/>
    </row>
    <row r="66" spans="2:14">
      <c r="B66" s="25" t="s">
        <v>199</v>
      </c>
      <c r="D66" t="s">
        <v>180</v>
      </c>
      <c r="F66" s="82">
        <f>SUM(G66:N66)</f>
        <v>89097279.25974521</v>
      </c>
      <c r="G66" s="898">
        <f>'PRD Ov.Opbrengsten (2009-2012)'!G41-'PRD Ov.Opbrengsten (2009-2012)'!G33+'PRD Ov.Opbrengsten (2009-2012)'!G17+SUM('PRD Ov.Opbrengsten (2009-2012)'!G48:G54)</f>
        <v>111429.58999999979</v>
      </c>
      <c r="H66" s="898">
        <f>'PRD Ov.Opbrengsten (2009-2012)'!H41-'PRD Ov.Opbrengsten (2009-2012)'!H33+'PRD Ov.Opbrengsten (2009-2012)'!H17+SUM('PRD Ov.Opbrengsten (2009-2012)'!H48:H54)</f>
        <v>183625.5</v>
      </c>
      <c r="I66" s="898">
        <f>'PRD Ov.Opbrengsten (2009-2012)'!I41-'PRD Ov.Opbrengsten (2009-2012)'!I33+'PRD Ov.Opbrengsten (2009-2012)'!I17+SUM('PRD Ov.Opbrengsten (2009-2012)'!I48:I54)</f>
        <v>296527.31</v>
      </c>
      <c r="J66" s="898">
        <f>'PRD Ov.Opbrengsten (2009-2012)'!J41-'PRD Ov.Opbrengsten (2009-2012)'!J33+'PRD Ov.Opbrengsten (2009-2012)'!J17+SUM('PRD Ov.Opbrengsten (2009-2012)'!J48:J54)</f>
        <v>44565178.608299732</v>
      </c>
      <c r="K66" s="898">
        <f>'PRD Ov.Opbrengsten (2009-2012)'!K41-'PRD Ov.Opbrengsten (2009-2012)'!K33+'PRD Ov.Opbrengsten (2009-2012)'!K17+SUM('PRD Ov.Opbrengsten (2009-2012)'!K48:K54)</f>
        <v>25873425.500336844</v>
      </c>
      <c r="L66" s="898">
        <f>'PRD Ov.Opbrengsten (2009-2012)'!L41-'PRD Ov.Opbrengsten (2009-2012)'!L33+'PRD Ov.Opbrengsten (2009-2012)'!L17+SUM('PRD Ov.Opbrengsten (2009-2012)'!L48:L54)</f>
        <v>80432</v>
      </c>
      <c r="M66" s="898">
        <f>'PRD Ov.Opbrengsten (2009-2012)'!M41-'PRD Ov.Opbrengsten (2009-2012)'!M33+'PRD Ov.Opbrengsten (2009-2012)'!M17+SUM('PRD Ov.Opbrengsten (2009-2012)'!M48:M54)</f>
        <v>15645409.676692665</v>
      </c>
      <c r="N66" s="898">
        <f>'PRD Ov.Opbrengsten (2009-2012)'!N41-'PRD Ov.Opbrengsten (2009-2012)'!N33+'PRD Ov.Opbrengsten (2009-2012)'!N17+SUM('PRD Ov.Opbrengsten (2009-2012)'!N48:N54)</f>
        <v>2341251.0744159659</v>
      </c>
    </row>
    <row r="67" spans="2:14">
      <c r="B67" s="25" t="s">
        <v>200</v>
      </c>
      <c r="D67" t="s">
        <v>180</v>
      </c>
      <c r="F67" s="82">
        <f>SUM(G67:N67)</f>
        <v>0</v>
      </c>
      <c r="G67" s="160"/>
      <c r="H67" s="160"/>
      <c r="I67" s="160"/>
      <c r="J67" s="160"/>
      <c r="K67" s="160"/>
      <c r="L67" s="160"/>
      <c r="M67" s="160"/>
      <c r="N67" s="160"/>
    </row>
    <row r="68" spans="2:14">
      <c r="B68" s="25"/>
      <c r="F68" s="68"/>
      <c r="G68" s="36"/>
      <c r="H68" s="36"/>
      <c r="I68" s="36"/>
      <c r="J68" s="36"/>
      <c r="K68" s="36"/>
      <c r="L68" s="36"/>
      <c r="M68" s="36"/>
      <c r="N68" s="36"/>
    </row>
    <row r="69" spans="2:14">
      <c r="B69" s="81" t="s">
        <v>201</v>
      </c>
      <c r="F69" s="68"/>
      <c r="G69" s="36"/>
      <c r="H69" s="36"/>
      <c r="I69" s="36"/>
      <c r="J69" s="36"/>
      <c r="K69" s="36"/>
      <c r="L69" s="36"/>
      <c r="M69" s="36"/>
      <c r="N69" s="36"/>
    </row>
    <row r="70" spans="2:14">
      <c r="B70" s="25" t="s">
        <v>202</v>
      </c>
      <c r="D70" t="s">
        <v>180</v>
      </c>
      <c r="F70" s="82">
        <f>SUM(G70:N70)</f>
        <v>0</v>
      </c>
      <c r="G70" s="39"/>
      <c r="H70" s="39"/>
      <c r="I70" s="39"/>
      <c r="J70" s="39"/>
      <c r="K70" s="39"/>
      <c r="L70" s="39"/>
      <c r="M70" s="39"/>
      <c r="N70" s="39"/>
    </row>
    <row r="71" spans="2:14">
      <c r="B71" s="25" t="s">
        <v>203</v>
      </c>
      <c r="D71" t="s">
        <v>180</v>
      </c>
      <c r="F71" s="82">
        <f>SUM(G71:N71)</f>
        <v>0</v>
      </c>
      <c r="G71" s="39"/>
      <c r="H71" s="39"/>
      <c r="I71" s="39"/>
      <c r="J71" s="39"/>
      <c r="K71" s="39"/>
      <c r="L71" s="39"/>
      <c r="M71" s="39"/>
      <c r="N71" s="39"/>
    </row>
    <row r="72" spans="2:14">
      <c r="B72" s="25"/>
      <c r="F72" s="68"/>
      <c r="G72" s="36"/>
      <c r="H72" s="36"/>
      <c r="I72" s="36"/>
      <c r="J72" s="36"/>
      <c r="K72" s="36"/>
      <c r="L72" s="36"/>
      <c r="M72" s="36"/>
      <c r="N72" s="36"/>
    </row>
    <row r="73" spans="2:14">
      <c r="B73" s="81" t="s">
        <v>204</v>
      </c>
      <c r="F73" s="68"/>
      <c r="G73" s="36"/>
      <c r="H73" s="36"/>
      <c r="I73" s="36"/>
      <c r="J73" s="36"/>
      <c r="K73" s="36"/>
      <c r="L73" s="36"/>
      <c r="M73" s="36"/>
      <c r="N73" s="36"/>
    </row>
    <row r="74" spans="2:14">
      <c r="B74" s="25" t="s">
        <v>331</v>
      </c>
      <c r="D74" t="s">
        <v>180</v>
      </c>
      <c r="F74" s="82">
        <f>SUM(G74:N74)</f>
        <v>0</v>
      </c>
      <c r="G74" s="39"/>
      <c r="H74" s="39"/>
      <c r="I74" s="39"/>
      <c r="J74" s="39"/>
      <c r="K74" s="39"/>
      <c r="L74" s="39"/>
      <c r="M74" s="39"/>
      <c r="N74" s="39"/>
    </row>
    <row r="75" spans="2:14">
      <c r="B75" s="25" t="s">
        <v>332</v>
      </c>
      <c r="D75" t="s">
        <v>180</v>
      </c>
      <c r="F75" s="82">
        <f>SUM(G75:N75)</f>
        <v>0</v>
      </c>
      <c r="G75" s="39"/>
      <c r="H75" s="39"/>
      <c r="I75" s="39"/>
      <c r="J75" s="39"/>
      <c r="K75" s="39"/>
      <c r="L75" s="39"/>
      <c r="M75" s="39"/>
      <c r="N75" s="39"/>
    </row>
    <row r="76" spans="2:14">
      <c r="B76" s="83" t="s">
        <v>333</v>
      </c>
      <c r="D76" t="s">
        <v>180</v>
      </c>
      <c r="F76" s="82">
        <f>SUM(G76:N76)</f>
        <v>0</v>
      </c>
      <c r="G76" s="39"/>
      <c r="H76" s="39"/>
      <c r="I76" s="39"/>
      <c r="J76" s="39"/>
      <c r="K76" s="39"/>
      <c r="L76" s="39"/>
      <c r="M76" s="39"/>
      <c r="N76" s="39"/>
    </row>
    <row r="77" spans="2:14">
      <c r="F77" s="68"/>
      <c r="G77" s="40"/>
      <c r="H77" s="40"/>
      <c r="I77" s="40"/>
      <c r="J77" s="40"/>
      <c r="K77" s="40"/>
      <c r="L77" s="40"/>
      <c r="M77" s="40"/>
      <c r="N77" s="40"/>
    </row>
    <row r="78" spans="2:14">
      <c r="F78" s="68"/>
      <c r="G78" s="40"/>
      <c r="H78" s="40"/>
      <c r="I78" s="40"/>
      <c r="J78" s="40"/>
      <c r="K78" s="40"/>
      <c r="L78" s="40"/>
      <c r="M78" s="40"/>
      <c r="N78" s="40"/>
    </row>
    <row r="79" spans="2:14">
      <c r="B79" s="3" t="s">
        <v>74</v>
      </c>
      <c r="F79" s="68"/>
      <c r="G79" s="40"/>
      <c r="H79" s="40"/>
      <c r="I79" s="40"/>
      <c r="J79" s="40"/>
      <c r="K79" s="40"/>
      <c r="L79" s="40"/>
      <c r="M79" s="40"/>
      <c r="N79" s="40"/>
    </row>
    <row r="80" spans="2:14">
      <c r="F80" s="68"/>
      <c r="G80" s="40"/>
      <c r="H80" s="40"/>
      <c r="I80" s="40"/>
      <c r="J80" s="40"/>
      <c r="K80" s="40"/>
      <c r="L80" s="40"/>
      <c r="M80" s="40"/>
      <c r="N80" s="40"/>
    </row>
    <row r="81" spans="2:16">
      <c r="B81" s="81" t="s">
        <v>194</v>
      </c>
      <c r="F81" s="46"/>
    </row>
    <row r="82" spans="2:16">
      <c r="B82" s="25" t="s">
        <v>195</v>
      </c>
      <c r="D82" t="s">
        <v>180</v>
      </c>
      <c r="F82" s="82">
        <f>SUM(G82:N82)</f>
        <v>250886722.85999998</v>
      </c>
      <c r="G82" s="29">
        <f>G14+G38-G60</f>
        <v>0</v>
      </c>
      <c r="H82" s="29">
        <f t="shared" ref="H82:N82" si="1">H14+H38-H60</f>
        <v>6923123.1100000003</v>
      </c>
      <c r="I82" s="29">
        <f t="shared" si="1"/>
        <v>0</v>
      </c>
      <c r="J82" s="29">
        <f t="shared" si="1"/>
        <v>103693222.23999999</v>
      </c>
      <c r="K82" s="29">
        <f t="shared" si="1"/>
        <v>85123882</v>
      </c>
      <c r="L82" s="29">
        <f t="shared" si="1"/>
        <v>0</v>
      </c>
      <c r="M82" s="29">
        <f t="shared" si="1"/>
        <v>49745214</v>
      </c>
      <c r="N82" s="29">
        <f t="shared" si="1"/>
        <v>5401281.5099999998</v>
      </c>
      <c r="P82" s="50"/>
    </row>
    <row r="83" spans="2:16">
      <c r="B83" s="25" t="s">
        <v>196</v>
      </c>
      <c r="D83" t="s">
        <v>180</v>
      </c>
      <c r="F83" s="82">
        <f>SUM(G83:N83)</f>
        <v>19892436.579999998</v>
      </c>
      <c r="G83" s="29">
        <f>G15+G39-G61</f>
        <v>3138000</v>
      </c>
      <c r="H83" s="29">
        <f t="shared" ref="H83:N83" si="2">H15+H39-H61</f>
        <v>0</v>
      </c>
      <c r="I83" s="29">
        <f t="shared" si="2"/>
        <v>6938607.8400000008</v>
      </c>
      <c r="J83" s="29">
        <f t="shared" si="2"/>
        <v>367793.62</v>
      </c>
      <c r="K83" s="29">
        <f t="shared" si="2"/>
        <v>695851.63000000012</v>
      </c>
      <c r="L83" s="29">
        <f t="shared" si="2"/>
        <v>2044465</v>
      </c>
      <c r="M83" s="29">
        <f t="shared" si="2"/>
        <v>5781000</v>
      </c>
      <c r="N83" s="29">
        <f t="shared" si="2"/>
        <v>926718.49</v>
      </c>
    </row>
    <row r="84" spans="2:16">
      <c r="B84" s="25" t="s">
        <v>197</v>
      </c>
      <c r="D84" t="s">
        <v>180</v>
      </c>
      <c r="F84" s="82">
        <f>SUM(G84:N84)</f>
        <v>342749094.68286538</v>
      </c>
      <c r="G84" s="29">
        <f t="shared" ref="G84:N84" si="3">G16+G40-G62</f>
        <v>973170.52</v>
      </c>
      <c r="H84" s="29">
        <f t="shared" si="3"/>
        <v>8957272.6098865215</v>
      </c>
      <c r="I84" s="29">
        <f t="shared" si="3"/>
        <v>3508638.9653749997</v>
      </c>
      <c r="J84" s="29">
        <f t="shared" si="3"/>
        <v>120540862.29000001</v>
      </c>
      <c r="K84" s="29">
        <f t="shared" si="3"/>
        <v>112862758.4457612</v>
      </c>
      <c r="L84" s="29">
        <f t="shared" si="3"/>
        <v>747319</v>
      </c>
      <c r="M84" s="29">
        <f t="shared" si="3"/>
        <v>88978025.689999998</v>
      </c>
      <c r="N84" s="29">
        <f t="shared" si="3"/>
        <v>6181047.1618426302</v>
      </c>
    </row>
    <row r="85" spans="2:16">
      <c r="B85" s="25" t="s">
        <v>330</v>
      </c>
      <c r="D85" t="s">
        <v>180</v>
      </c>
      <c r="F85" s="82">
        <f>SUM(G85:N85)</f>
        <v>7000</v>
      </c>
      <c r="G85" s="29">
        <f t="shared" ref="G85:N85" si="4">G17+G41-G63</f>
        <v>7000</v>
      </c>
      <c r="H85" s="29">
        <f t="shared" si="4"/>
        <v>0</v>
      </c>
      <c r="I85" s="29">
        <f t="shared" si="4"/>
        <v>0</v>
      </c>
      <c r="J85" s="29">
        <f t="shared" si="4"/>
        <v>0</v>
      </c>
      <c r="K85" s="29">
        <f t="shared" si="4"/>
        <v>0</v>
      </c>
      <c r="L85" s="29">
        <f t="shared" si="4"/>
        <v>0</v>
      </c>
      <c r="M85" s="29">
        <f t="shared" si="4"/>
        <v>0</v>
      </c>
      <c r="N85" s="29">
        <f t="shared" si="4"/>
        <v>0</v>
      </c>
    </row>
    <row r="86" spans="2:16">
      <c r="B86" s="25"/>
      <c r="F86" s="68"/>
      <c r="G86" s="36"/>
      <c r="H86" s="36"/>
      <c r="I86" s="36"/>
      <c r="J86" s="36"/>
      <c r="K86" s="36"/>
      <c r="L86" s="36"/>
      <c r="M86" s="36"/>
      <c r="N86" s="36"/>
    </row>
    <row r="87" spans="2:16">
      <c r="B87" s="81" t="s">
        <v>198</v>
      </c>
      <c r="F87" s="68"/>
      <c r="G87" s="36"/>
      <c r="H87" s="36"/>
      <c r="I87" s="36"/>
      <c r="J87" s="36"/>
      <c r="K87" s="36"/>
      <c r="L87" s="36"/>
      <c r="M87" s="36"/>
      <c r="N87" s="36"/>
    </row>
    <row r="88" spans="2:16">
      <c r="B88" s="25" t="s">
        <v>199</v>
      </c>
      <c r="D88" t="s">
        <v>180</v>
      </c>
      <c r="F88" s="82">
        <f>SUM(G88:N88)</f>
        <v>679429107.66606402</v>
      </c>
      <c r="G88" s="29">
        <f>G20+G44-G66</f>
        <v>4045570.41</v>
      </c>
      <c r="H88" s="29">
        <f t="shared" ref="H88:N88" si="5">H20+H44-H66</f>
        <v>22487248.05496677</v>
      </c>
      <c r="I88" s="29">
        <f t="shared" si="5"/>
        <v>5023780.9027202697</v>
      </c>
      <c r="J88" s="29">
        <f t="shared" si="5"/>
        <v>218436153.20163625</v>
      </c>
      <c r="K88" s="29">
        <f t="shared" si="5"/>
        <v>289403737.76090014</v>
      </c>
      <c r="L88" s="29">
        <f t="shared" si="5"/>
        <v>2326092.8940000003</v>
      </c>
      <c r="M88" s="29">
        <f t="shared" si="5"/>
        <v>129341339.83662733</v>
      </c>
      <c r="N88" s="29">
        <f t="shared" si="5"/>
        <v>8365184.6052131196</v>
      </c>
    </row>
    <row r="89" spans="2:16">
      <c r="B89" s="25" t="s">
        <v>200</v>
      </c>
      <c r="D89" t="s">
        <v>180</v>
      </c>
      <c r="F89" s="82">
        <f>SUM(G89:N89)</f>
        <v>62113541.467873335</v>
      </c>
      <c r="G89" s="29">
        <f t="shared" ref="G89:N89" si="6">G21+G45-G67</f>
        <v>0</v>
      </c>
      <c r="H89" s="29">
        <f t="shared" si="6"/>
        <v>2.9802322387695313E-8</v>
      </c>
      <c r="I89" s="29">
        <f t="shared" si="6"/>
        <v>0</v>
      </c>
      <c r="J89" s="29">
        <f t="shared" si="6"/>
        <v>0</v>
      </c>
      <c r="K89" s="29">
        <f t="shared" si="6"/>
        <v>0</v>
      </c>
      <c r="L89" s="29">
        <f t="shared" si="6"/>
        <v>454400.19999999995</v>
      </c>
      <c r="M89" s="29">
        <f t="shared" si="6"/>
        <v>61659141.267873302</v>
      </c>
      <c r="N89" s="29">
        <f t="shared" si="6"/>
        <v>0</v>
      </c>
    </row>
    <row r="90" spans="2:16">
      <c r="B90" s="25"/>
      <c r="F90" s="68"/>
      <c r="G90" s="36"/>
      <c r="H90" s="36"/>
      <c r="I90" s="36"/>
      <c r="J90" s="36"/>
      <c r="K90" s="36"/>
      <c r="L90" s="36"/>
      <c r="M90" s="36"/>
      <c r="N90" s="36"/>
    </row>
    <row r="91" spans="2:16">
      <c r="B91" s="81" t="s">
        <v>201</v>
      </c>
      <c r="F91" s="68"/>
      <c r="G91" s="36"/>
      <c r="H91" s="36"/>
      <c r="I91" s="36"/>
      <c r="J91" s="36"/>
      <c r="K91" s="36"/>
      <c r="L91" s="36"/>
      <c r="M91" s="36"/>
      <c r="N91" s="36"/>
    </row>
    <row r="92" spans="2:16">
      <c r="B92" s="25" t="s">
        <v>202</v>
      </c>
      <c r="D92" t="s">
        <v>180</v>
      </c>
      <c r="F92" s="82">
        <f>SUM(G92:N92)</f>
        <v>31603503.808885038</v>
      </c>
      <c r="G92" s="29">
        <f>G24+G48-G70</f>
        <v>0</v>
      </c>
      <c r="H92" s="29">
        <f t="shared" ref="H92:N92" si="7">H24+H48-H70</f>
        <v>494009.98</v>
      </c>
      <c r="I92" s="29">
        <f t="shared" si="7"/>
        <v>0</v>
      </c>
      <c r="J92" s="29">
        <f t="shared" si="7"/>
        <v>1738000</v>
      </c>
      <c r="K92" s="29">
        <f t="shared" si="7"/>
        <v>13888014.728885036</v>
      </c>
      <c r="L92" s="29">
        <f t="shared" si="7"/>
        <v>139.1</v>
      </c>
      <c r="M92" s="29">
        <f t="shared" si="7"/>
        <v>15459000</v>
      </c>
      <c r="N92" s="29">
        <f t="shared" si="7"/>
        <v>24340</v>
      </c>
    </row>
    <row r="93" spans="2:16">
      <c r="B93" s="25" t="s">
        <v>203</v>
      </c>
      <c r="D93" t="s">
        <v>180</v>
      </c>
      <c r="F93" s="82">
        <f>SUM(G93:N93)</f>
        <v>8000</v>
      </c>
      <c r="G93" s="29">
        <f t="shared" ref="G93:N93" si="8">G25+G49-G71</f>
        <v>8000</v>
      </c>
      <c r="H93" s="29">
        <f t="shared" si="8"/>
        <v>0</v>
      </c>
      <c r="I93" s="29">
        <f t="shared" si="8"/>
        <v>0</v>
      </c>
      <c r="J93" s="29">
        <f t="shared" si="8"/>
        <v>0</v>
      </c>
      <c r="K93" s="29">
        <f t="shared" si="8"/>
        <v>0</v>
      </c>
      <c r="L93" s="29">
        <f t="shared" si="8"/>
        <v>0</v>
      </c>
      <c r="M93" s="29">
        <f t="shared" si="8"/>
        <v>0</v>
      </c>
      <c r="N93" s="29">
        <f t="shared" si="8"/>
        <v>0</v>
      </c>
    </row>
    <row r="94" spans="2:16">
      <c r="B94" s="25"/>
      <c r="F94" s="68"/>
      <c r="G94" s="36"/>
      <c r="H94" s="36"/>
      <c r="I94" s="36"/>
      <c r="J94" s="36"/>
      <c r="K94" s="36"/>
      <c r="L94" s="36"/>
      <c r="M94" s="36"/>
      <c r="N94" s="36"/>
    </row>
    <row r="95" spans="2:16">
      <c r="B95" s="81" t="s">
        <v>204</v>
      </c>
      <c r="F95" s="68"/>
      <c r="G95" s="36"/>
      <c r="H95" s="36"/>
      <c r="I95" s="36"/>
      <c r="J95" s="36"/>
      <c r="K95" s="36"/>
      <c r="L95" s="36"/>
      <c r="M95" s="36"/>
      <c r="N95" s="36"/>
    </row>
    <row r="96" spans="2:16">
      <c r="B96" s="25" t="s">
        <v>331</v>
      </c>
      <c r="D96" t="s">
        <v>180</v>
      </c>
      <c r="F96" s="82">
        <f>SUM(G96:N96)</f>
        <v>8379795.803893121</v>
      </c>
      <c r="G96" s="29">
        <f>G28+G52-G74</f>
        <v>90000</v>
      </c>
      <c r="H96" s="29">
        <f t="shared" ref="H96:N96" si="9">H28+H52-H74</f>
        <v>191361.32392851418</v>
      </c>
      <c r="I96" s="29">
        <f t="shared" si="9"/>
        <v>84250.717797312536</v>
      </c>
      <c r="J96" s="29">
        <f t="shared" si="9"/>
        <v>2526321.4220432485</v>
      </c>
      <c r="K96" s="29">
        <f t="shared" si="9"/>
        <v>2715480.0187216662</v>
      </c>
      <c r="L96" s="29">
        <f t="shared" si="9"/>
        <v>34374.154621311347</v>
      </c>
      <c r="M96" s="29">
        <f t="shared" si="9"/>
        <v>2660626.2183749992</v>
      </c>
      <c r="N96" s="29">
        <f t="shared" si="9"/>
        <v>77381.948406068914</v>
      </c>
    </row>
    <row r="97" spans="2:15">
      <c r="B97" s="25" t="s">
        <v>332</v>
      </c>
      <c r="D97" t="s">
        <v>180</v>
      </c>
      <c r="F97" s="82">
        <f>SUM(G97:N97)</f>
        <v>5346489.6441496024</v>
      </c>
      <c r="G97" s="29">
        <f>G29+G53-G75</f>
        <v>47000</v>
      </c>
      <c r="H97" s="29">
        <f t="shared" ref="H97:N97" si="10">H29+H53-H75</f>
        <v>84529.940320220223</v>
      </c>
      <c r="I97" s="29">
        <f t="shared" si="10"/>
        <v>63944.294202687459</v>
      </c>
      <c r="J97" s="29">
        <f t="shared" si="10"/>
        <v>1478806.3032363635</v>
      </c>
      <c r="K97" s="29">
        <f t="shared" si="10"/>
        <v>1473735.0914951223</v>
      </c>
      <c r="L97" s="29">
        <f t="shared" si="10"/>
        <v>20151.783828688654</v>
      </c>
      <c r="M97" s="29">
        <f t="shared" si="10"/>
        <v>2037432.9940723924</v>
      </c>
      <c r="N97" s="29">
        <f t="shared" si="10"/>
        <v>140889.23699412809</v>
      </c>
    </row>
    <row r="98" spans="2:15">
      <c r="B98" s="83" t="s">
        <v>333</v>
      </c>
      <c r="D98" t="s">
        <v>180</v>
      </c>
      <c r="F98" s="82">
        <f>SUM(G98:N98)</f>
        <v>16552587.780266941</v>
      </c>
      <c r="G98" s="29">
        <f t="shared" ref="G98:N98" si="11">G30+G54-G76</f>
        <v>0</v>
      </c>
      <c r="H98" s="29">
        <f t="shared" si="11"/>
        <v>0</v>
      </c>
      <c r="I98" s="29">
        <f t="shared" si="11"/>
        <v>-10808.852717372007</v>
      </c>
      <c r="J98" s="29">
        <f t="shared" si="11"/>
        <v>2301400</v>
      </c>
      <c r="K98" s="29">
        <f t="shared" si="11"/>
        <v>13707095.946802381</v>
      </c>
      <c r="L98" s="29">
        <f t="shared" si="11"/>
        <v>53111.252225284334</v>
      </c>
      <c r="M98" s="29">
        <f t="shared" si="11"/>
        <v>218289.43395664787</v>
      </c>
      <c r="N98" s="29">
        <f t="shared" si="11"/>
        <v>283500</v>
      </c>
    </row>
    <row r="99" spans="2:15">
      <c r="F99" s="68"/>
      <c r="G99" s="40"/>
      <c r="H99" s="40"/>
      <c r="I99" s="40"/>
      <c r="J99" s="40"/>
      <c r="K99" s="40"/>
      <c r="L99" s="40"/>
      <c r="M99" s="40"/>
      <c r="N99" s="40"/>
    </row>
    <row r="100" spans="2:15">
      <c r="B100" s="25" t="s">
        <v>75</v>
      </c>
      <c r="D100" t="s">
        <v>180</v>
      </c>
      <c r="F100" s="94">
        <f t="shared" ref="F100:N100" si="12">SUM(F82:F85,F88:F89,F92:F93,F96:F98)</f>
        <v>1416968280.2939975</v>
      </c>
      <c r="G100" s="73">
        <f t="shared" si="12"/>
        <v>8308740.9299999997</v>
      </c>
      <c r="H100" s="73">
        <f t="shared" si="12"/>
        <v>39137545.019102052</v>
      </c>
      <c r="I100" s="73">
        <f t="shared" si="12"/>
        <v>15608413.8673779</v>
      </c>
      <c r="J100" s="73">
        <f t="shared" si="12"/>
        <v>451082559.07691592</v>
      </c>
      <c r="K100" s="73">
        <f t="shared" si="12"/>
        <v>519870555.62256551</v>
      </c>
      <c r="L100" s="73">
        <f t="shared" si="12"/>
        <v>5680053.3846752848</v>
      </c>
      <c r="M100" s="73">
        <f t="shared" si="12"/>
        <v>355880069.44090462</v>
      </c>
      <c r="N100" s="73">
        <f t="shared" si="12"/>
        <v>21400342.952455949</v>
      </c>
    </row>
    <row r="101" spans="2:15">
      <c r="F101" s="109"/>
      <c r="G101" s="40"/>
      <c r="H101" s="40"/>
      <c r="I101" s="40"/>
      <c r="J101" s="40"/>
      <c r="K101" s="40"/>
      <c r="L101" s="40"/>
      <c r="M101" s="40"/>
      <c r="N101" s="40"/>
    </row>
    <row r="102" spans="2:15">
      <c r="B102" s="50" t="s">
        <v>467</v>
      </c>
      <c r="D102" t="s">
        <v>180</v>
      </c>
      <c r="F102" s="179">
        <f>SUM(G102:N102)</f>
        <v>1106197821.241219</v>
      </c>
      <c r="G102" s="180">
        <f>G100-G82-G83-G92-G93-G96</f>
        <v>5072740.93</v>
      </c>
      <c r="H102" s="180">
        <f t="shared" ref="H102:N102" si="13">H100-H82-H83-H92-H93-H96</f>
        <v>31529050.605173539</v>
      </c>
      <c r="I102" s="180">
        <f t="shared" si="13"/>
        <v>8585555.3095805869</v>
      </c>
      <c r="J102" s="180">
        <f t="shared" si="13"/>
        <v>342757221.79487264</v>
      </c>
      <c r="K102" s="180">
        <f t="shared" si="13"/>
        <v>417447327.24495882</v>
      </c>
      <c r="L102" s="180">
        <f t="shared" si="13"/>
        <v>3601075.1300539733</v>
      </c>
      <c r="M102" s="180">
        <f t="shared" si="13"/>
        <v>282234229.22252959</v>
      </c>
      <c r="N102" s="180">
        <f t="shared" si="13"/>
        <v>14970621.00404988</v>
      </c>
      <c r="O102" s="36"/>
    </row>
    <row r="103" spans="2:15">
      <c r="F103" s="68"/>
      <c r="G103" s="40"/>
      <c r="H103" s="40"/>
      <c r="I103" s="40"/>
      <c r="J103" s="40"/>
      <c r="K103" s="40"/>
      <c r="L103" s="40"/>
      <c r="M103" s="40"/>
      <c r="N103" s="40"/>
    </row>
    <row r="104" spans="2:15">
      <c r="F104" s="68"/>
      <c r="G104" s="40"/>
      <c r="H104" s="40"/>
      <c r="I104" s="40"/>
      <c r="J104" s="40"/>
      <c r="K104" s="40"/>
      <c r="L104" s="40"/>
      <c r="M104" s="40"/>
      <c r="N104" s="40"/>
    </row>
    <row r="105" spans="2:15" s="2" customFormat="1">
      <c r="B105" s="2" t="s">
        <v>264</v>
      </c>
      <c r="F105" s="70"/>
      <c r="G105" s="71"/>
      <c r="H105" s="71"/>
      <c r="I105" s="71"/>
      <c r="J105" s="71"/>
      <c r="K105" s="71"/>
      <c r="L105" s="71"/>
      <c r="M105" s="71"/>
      <c r="N105" s="71"/>
    </row>
    <row r="106" spans="2:15">
      <c r="F106" s="68"/>
      <c r="G106" s="40"/>
      <c r="H106" s="40"/>
      <c r="I106" s="40"/>
      <c r="J106" s="40"/>
      <c r="K106" s="40"/>
      <c r="L106" s="40"/>
      <c r="M106" s="40"/>
      <c r="N106" s="40"/>
    </row>
    <row r="107" spans="2:15">
      <c r="B107" s="3" t="s">
        <v>73</v>
      </c>
      <c r="F107" s="46"/>
    </row>
    <row r="108" spans="2:15">
      <c r="F108" s="46"/>
    </row>
    <row r="109" spans="2:15">
      <c r="B109" s="81" t="s">
        <v>194</v>
      </c>
      <c r="F109" s="68"/>
      <c r="G109" s="40"/>
      <c r="H109" s="40"/>
      <c r="I109" s="40"/>
      <c r="J109" s="40"/>
      <c r="K109" s="40"/>
      <c r="L109" s="40"/>
      <c r="M109" s="40"/>
      <c r="N109" s="40"/>
    </row>
    <row r="110" spans="2:15">
      <c r="B110" s="25" t="s">
        <v>195</v>
      </c>
      <c r="D110" t="s">
        <v>181</v>
      </c>
      <c r="F110" s="82">
        <f>SUM(G110:N110)</f>
        <v>328469196.11000001</v>
      </c>
      <c r="G110" s="41">
        <f>'PRD OPEX (2009-2012)'!G36</f>
        <v>0</v>
      </c>
      <c r="H110" s="41">
        <f>'PRD OPEX (2009-2012)'!H36</f>
        <v>9918649.5800000001</v>
      </c>
      <c r="I110" s="41">
        <f>'PRD OPEX (2009-2012)'!I36</f>
        <v>0</v>
      </c>
      <c r="J110" s="41">
        <f>'PRD OPEX (2009-2012)'!J36</f>
        <v>129166000</v>
      </c>
      <c r="K110" s="41">
        <f>'PRD OPEX (2009-2012)'!K36</f>
        <v>114647694.47</v>
      </c>
      <c r="L110" s="41">
        <f>'PRD OPEX (2009-2012)'!L36</f>
        <v>0</v>
      </c>
      <c r="M110" s="41">
        <f>'PRD OPEX (2009-2012)'!M36</f>
        <v>69138852.060000002</v>
      </c>
      <c r="N110" s="41">
        <f>'PRD OPEX (2009-2012)'!N36</f>
        <v>5598000</v>
      </c>
    </row>
    <row r="111" spans="2:15">
      <c r="B111" s="25" t="s">
        <v>196</v>
      </c>
      <c r="D111" t="s">
        <v>181</v>
      </c>
      <c r="F111" s="82">
        <f>SUM(G111:N111)</f>
        <v>18560783.280000001</v>
      </c>
      <c r="G111" s="41">
        <f>'PRD OPEX (2009-2012)'!G37</f>
        <v>3045000</v>
      </c>
      <c r="H111" s="41">
        <f>'PRD OPEX (2009-2012)'!H37</f>
        <v>41425</v>
      </c>
      <c r="I111" s="41">
        <f>'PRD OPEX (2009-2012)'!I37</f>
        <v>6624716.3400000008</v>
      </c>
      <c r="J111" s="41">
        <f>'PRD OPEX (2009-2012)'!J37</f>
        <v>1027000</v>
      </c>
      <c r="K111" s="41">
        <f>'PRD OPEX (2009-2012)'!K37</f>
        <v>708815</v>
      </c>
      <c r="L111" s="41">
        <f>'PRD OPEX (2009-2012)'!L37</f>
        <v>1836719</v>
      </c>
      <c r="M111" s="41">
        <f>'PRD OPEX (2009-2012)'!M37</f>
        <v>4443042.55</v>
      </c>
      <c r="N111" s="41">
        <f>'PRD OPEX (2009-2012)'!N37</f>
        <v>834065.39</v>
      </c>
    </row>
    <row r="112" spans="2:15">
      <c r="B112" s="25" t="s">
        <v>197</v>
      </c>
      <c r="D112" t="s">
        <v>181</v>
      </c>
      <c r="F112" s="82">
        <f>SUM(G112:N112)</f>
        <v>285922823.88999999</v>
      </c>
      <c r="G112" s="41">
        <f>'PRD OPEX (2009-2012)'!G38</f>
        <v>895000</v>
      </c>
      <c r="H112" s="41">
        <f>'PRD OPEX (2009-2012)'!H38</f>
        <v>6370006.5300000003</v>
      </c>
      <c r="I112" s="41">
        <f>'PRD OPEX (2009-2012)'!I38</f>
        <v>2697362.59</v>
      </c>
      <c r="J112" s="41">
        <f>'PRD OPEX (2009-2012)'!J38</f>
        <v>88472000</v>
      </c>
      <c r="K112" s="41">
        <f>'PRD OPEX (2009-2012)'!K38</f>
        <v>101306913.70999999</v>
      </c>
      <c r="L112" s="41">
        <f>'PRD OPEX (2009-2012)'!L38</f>
        <v>723421</v>
      </c>
      <c r="M112" s="41">
        <f>'PRD OPEX (2009-2012)'!M38</f>
        <v>79006338</v>
      </c>
      <c r="N112" s="41">
        <f>'PRD OPEX (2009-2012)'!N38</f>
        <v>6451782.0599999996</v>
      </c>
    </row>
    <row r="113" spans="2:14">
      <c r="B113" s="25" t="s">
        <v>330</v>
      </c>
      <c r="D113" t="s">
        <v>181</v>
      </c>
      <c r="F113" s="82">
        <f>SUM(G113:N113)</f>
        <v>6000</v>
      </c>
      <c r="G113" s="41">
        <f>'PRD OPEX (2009-2012)'!G39</f>
        <v>6000</v>
      </c>
      <c r="H113" s="41">
        <f>'PRD OPEX (2009-2012)'!H39</f>
        <v>0</v>
      </c>
      <c r="I113" s="41">
        <f>'PRD OPEX (2009-2012)'!I39</f>
        <v>0</v>
      </c>
      <c r="J113" s="41">
        <f>'PRD OPEX (2009-2012)'!J39</f>
        <v>0</v>
      </c>
      <c r="K113" s="41">
        <f>'PRD OPEX (2009-2012)'!K39</f>
        <v>0</v>
      </c>
      <c r="L113" s="41">
        <f>'PRD OPEX (2009-2012)'!L39</f>
        <v>0</v>
      </c>
      <c r="M113" s="41">
        <f>'PRD OPEX (2009-2012)'!M39</f>
        <v>0</v>
      </c>
      <c r="N113" s="41">
        <f>'PRD OPEX (2009-2012)'!N39</f>
        <v>0</v>
      </c>
    </row>
    <row r="114" spans="2:14">
      <c r="B114" s="25"/>
      <c r="F114" s="68"/>
      <c r="G114" s="40"/>
      <c r="H114" s="40"/>
      <c r="I114" s="40"/>
      <c r="J114" s="40"/>
      <c r="K114" s="40"/>
      <c r="L114" s="40"/>
      <c r="M114" s="40"/>
      <c r="N114" s="40"/>
    </row>
    <row r="115" spans="2:14">
      <c r="B115" s="81" t="s">
        <v>198</v>
      </c>
      <c r="F115" s="68"/>
      <c r="G115" s="40"/>
      <c r="H115" s="40"/>
      <c r="I115" s="40"/>
      <c r="J115" s="40"/>
      <c r="K115" s="40"/>
      <c r="L115" s="40"/>
      <c r="M115" s="40"/>
      <c r="N115" s="40"/>
    </row>
    <row r="116" spans="2:14">
      <c r="B116" s="25" t="s">
        <v>199</v>
      </c>
      <c r="D116" t="s">
        <v>181</v>
      </c>
      <c r="F116" s="82">
        <f>SUM(G116:N116)</f>
        <v>725335425.36825502</v>
      </c>
      <c r="G116" s="41">
        <f>'PRD OPEX (2009-2012)'!G42</f>
        <v>3971000</v>
      </c>
      <c r="H116" s="41">
        <f>'PRD OPEX (2009-2012)'!H42</f>
        <v>22613808.489562713</v>
      </c>
      <c r="I116" s="41">
        <f>'PRD OPEX (2009-2012)'!I42</f>
        <v>6632066.2323511029</v>
      </c>
      <c r="J116" s="41">
        <f>'PRD OPEX (2009-2012)'!J42</f>
        <v>238353449.83862001</v>
      </c>
      <c r="K116" s="41">
        <f>'PRD OPEX (2009-2012)'!K42</f>
        <v>302344726.10359061</v>
      </c>
      <c r="L116" s="41">
        <f>'PRD OPEX (2009-2012)'!L42</f>
        <v>1874100.0455100001</v>
      </c>
      <c r="M116" s="41">
        <f>'PRD OPEX (2009-2012)'!M42</f>
        <v>140465971.992578</v>
      </c>
      <c r="N116" s="41">
        <f>'PRD OPEX (2009-2012)'!N42</f>
        <v>9080302.6660424992</v>
      </c>
    </row>
    <row r="117" spans="2:14">
      <c r="B117" s="25" t="s">
        <v>200</v>
      </c>
      <c r="D117" t="s">
        <v>181</v>
      </c>
      <c r="F117" s="82">
        <f>SUM(G117:N117)</f>
        <v>49443109.759045899</v>
      </c>
      <c r="G117" s="41">
        <f>'PRD OPEX (2009-2012)'!G43</f>
        <v>0</v>
      </c>
      <c r="H117" s="41">
        <f>'PRD OPEX (2009-2012)'!H43</f>
        <v>0</v>
      </c>
      <c r="I117" s="41">
        <f>'PRD OPEX (2009-2012)'!I43</f>
        <v>0</v>
      </c>
      <c r="J117" s="41">
        <f>'PRD OPEX (2009-2012)'!J43</f>
        <v>0</v>
      </c>
      <c r="K117" s="41">
        <f>'PRD OPEX (2009-2012)'!K43</f>
        <v>0</v>
      </c>
      <c r="L117" s="41">
        <f>'PRD OPEX (2009-2012)'!L43</f>
        <v>235709.86</v>
      </c>
      <c r="M117" s="41">
        <f>'PRD OPEX (2009-2012)'!M43</f>
        <v>49207399.8990459</v>
      </c>
      <c r="N117" s="41">
        <f>'PRD OPEX (2009-2012)'!N43</f>
        <v>0</v>
      </c>
    </row>
    <row r="118" spans="2:14">
      <c r="B118" s="25"/>
      <c r="F118" s="68"/>
      <c r="G118" s="40"/>
      <c r="H118" s="40"/>
      <c r="I118" s="40"/>
      <c r="J118" s="40"/>
      <c r="K118" s="40"/>
      <c r="L118" s="40"/>
      <c r="M118" s="40"/>
      <c r="N118" s="40"/>
    </row>
    <row r="119" spans="2:14">
      <c r="B119" s="81" t="s">
        <v>201</v>
      </c>
      <c r="F119" s="68"/>
      <c r="G119" s="40"/>
      <c r="H119" s="40"/>
      <c r="I119" s="40"/>
      <c r="J119" s="40"/>
      <c r="K119" s="40"/>
      <c r="L119" s="40"/>
      <c r="M119" s="40"/>
      <c r="N119" s="40"/>
    </row>
    <row r="120" spans="2:14">
      <c r="B120" s="25" t="s">
        <v>202</v>
      </c>
      <c r="D120" t="s">
        <v>181</v>
      </c>
      <c r="F120" s="82">
        <f>SUM(G120:N120)</f>
        <v>32965074.439999998</v>
      </c>
      <c r="G120" s="41">
        <f>'PRD OPEX (2009-2012)'!G46</f>
        <v>0</v>
      </c>
      <c r="H120" s="41">
        <f>'PRD OPEX (2009-2012)'!H46</f>
        <v>481846.5</v>
      </c>
      <c r="I120" s="41">
        <f>'PRD OPEX (2009-2012)'!I46</f>
        <v>0</v>
      </c>
      <c r="J120" s="41">
        <f>'PRD OPEX (2009-2012)'!J46</f>
        <v>1730000</v>
      </c>
      <c r="K120" s="41">
        <f>'PRD OPEX (2009-2012)'!K46</f>
        <v>15024290.939999999</v>
      </c>
      <c r="L120" s="41">
        <f>'PRD OPEX (2009-2012)'!L46</f>
        <v>0</v>
      </c>
      <c r="M120" s="41">
        <f>'PRD OPEX (2009-2012)'!M46</f>
        <v>15702913</v>
      </c>
      <c r="N120" s="41">
        <f>'PRD OPEX (2009-2012)'!N46</f>
        <v>26024</v>
      </c>
    </row>
    <row r="121" spans="2:14">
      <c r="B121" s="25" t="s">
        <v>203</v>
      </c>
      <c r="D121" t="s">
        <v>181</v>
      </c>
      <c r="F121" s="82">
        <f>SUM(G121:N121)</f>
        <v>2000</v>
      </c>
      <c r="G121" s="41">
        <f>'PRD OPEX (2009-2012)'!G47</f>
        <v>2000</v>
      </c>
      <c r="H121" s="41">
        <f>'PRD OPEX (2009-2012)'!H47</f>
        <v>0</v>
      </c>
      <c r="I121" s="41">
        <f>'PRD OPEX (2009-2012)'!I47</f>
        <v>0</v>
      </c>
      <c r="J121" s="41">
        <f>'PRD OPEX (2009-2012)'!J47</f>
        <v>0</v>
      </c>
      <c r="K121" s="41">
        <f>'PRD OPEX (2009-2012)'!K47</f>
        <v>0</v>
      </c>
      <c r="L121" s="41">
        <f>'PRD OPEX (2009-2012)'!L47</f>
        <v>0</v>
      </c>
      <c r="M121" s="41">
        <f>'PRD OPEX (2009-2012)'!M47</f>
        <v>0</v>
      </c>
      <c r="N121" s="41">
        <f>'PRD OPEX (2009-2012)'!N47</f>
        <v>0</v>
      </c>
    </row>
    <row r="122" spans="2:14">
      <c r="B122" s="25"/>
      <c r="F122" s="68"/>
      <c r="G122" s="40"/>
      <c r="H122" s="40"/>
      <c r="I122" s="40"/>
      <c r="J122" s="40"/>
      <c r="K122" s="40"/>
      <c r="L122" s="40"/>
      <c r="M122" s="40"/>
      <c r="N122" s="40"/>
    </row>
    <row r="123" spans="2:14">
      <c r="B123" s="81" t="s">
        <v>204</v>
      </c>
      <c r="F123" s="68"/>
      <c r="G123" s="40"/>
      <c r="H123" s="40"/>
      <c r="I123" s="40"/>
      <c r="J123" s="40"/>
      <c r="K123" s="40"/>
      <c r="L123" s="40"/>
      <c r="M123" s="40"/>
      <c r="N123" s="40"/>
    </row>
    <row r="124" spans="2:14">
      <c r="B124" s="25" t="s">
        <v>331</v>
      </c>
      <c r="D124" t="s">
        <v>181</v>
      </c>
      <c r="F124" s="82">
        <f>SUM(G124:N124)</f>
        <v>7133100.0584022803</v>
      </c>
      <c r="G124" s="41">
        <f>'PRD OPEX (2009-2012)'!G50</f>
        <v>52000</v>
      </c>
      <c r="H124" s="41">
        <f>'PRD OPEX (2009-2012)'!H50</f>
        <v>196070.65540000005</v>
      </c>
      <c r="I124" s="41">
        <f>'PRD OPEX (2009-2012)'!I50</f>
        <v>85388.18399999995</v>
      </c>
      <c r="J124" s="41">
        <f>'PRD OPEX (2009-2012)'!J50</f>
        <v>2430129.2954398002</v>
      </c>
      <c r="K124" s="41">
        <f>'PRD OPEX (2009-2012)'!K50</f>
        <v>2580293.2308380585</v>
      </c>
      <c r="L124" s="41">
        <f>'PRD OPEX (2009-2012)'!L50</f>
        <v>29469.583077709256</v>
      </c>
      <c r="M124" s="41">
        <f>'PRD OPEX (2009-2012)'!M50</f>
        <v>1689715.1152390735</v>
      </c>
      <c r="N124" s="41">
        <f>'PRD OPEX (2009-2012)'!N50</f>
        <v>70033.994407639329</v>
      </c>
    </row>
    <row r="125" spans="2:14">
      <c r="B125" s="25" t="s">
        <v>332</v>
      </c>
      <c r="D125" t="s">
        <v>181</v>
      </c>
      <c r="F125" s="82">
        <f>SUM(G125:N125)</f>
        <v>4363447.0208760453</v>
      </c>
      <c r="G125" s="41">
        <f>'PRD OPEX (2009-2012)'!G51</f>
        <v>27000</v>
      </c>
      <c r="H125" s="41">
        <f>'PRD OPEX (2009-2012)'!H51</f>
        <v>95878.095531827174</v>
      </c>
      <c r="I125" s="41">
        <f>'PRD OPEX (2009-2012)'!I51</f>
        <v>61449.91565287541</v>
      </c>
      <c r="J125" s="41">
        <f>'PRD OPEX (2009-2012)'!J51</f>
        <v>1399426.9184500005</v>
      </c>
      <c r="K125" s="41">
        <f>'PRD OPEX (2009-2012)'!K51</f>
        <v>1405350.6184107608</v>
      </c>
      <c r="L125" s="41">
        <f>'PRD OPEX (2009-2012)'!L51</f>
        <v>17030.555072790747</v>
      </c>
      <c r="M125" s="41">
        <f>'PRD OPEX (2009-2012)'!M51</f>
        <v>1229800.0933473588</v>
      </c>
      <c r="N125" s="41">
        <f>'PRD OPEX (2009-2012)'!N51</f>
        <v>127510.8244104317</v>
      </c>
    </row>
    <row r="126" spans="2:14">
      <c r="B126" s="83" t="s">
        <v>333</v>
      </c>
      <c r="D126" t="s">
        <v>181</v>
      </c>
      <c r="F126" s="82">
        <f>SUM(G126:N126)</f>
        <v>14679103.794318927</v>
      </c>
      <c r="G126" s="41">
        <f>'PRD OPEX (2009-2012)'!G52</f>
        <v>0</v>
      </c>
      <c r="H126" s="41">
        <f>'PRD OPEX (2009-2012)'!H52</f>
        <v>0</v>
      </c>
      <c r="I126" s="41">
        <f>'PRD OPEX (2009-2012)'!I52</f>
        <v>94522.687281721999</v>
      </c>
      <c r="J126" s="41">
        <f>'PRD OPEX (2009-2012)'!J52</f>
        <v>2642995.9728000001</v>
      </c>
      <c r="K126" s="41">
        <f>'PRD OPEX (2009-2012)'!K52</f>
        <v>11536858.688653734</v>
      </c>
      <c r="L126" s="41">
        <f>'PRD OPEX (2009-2012)'!L52</f>
        <v>49667.486081247655</v>
      </c>
      <c r="M126" s="41">
        <f>'PRD OPEX (2009-2012)'!M52</f>
        <v>248858.95950222455</v>
      </c>
      <c r="N126" s="41">
        <f>'PRD OPEX (2009-2012)'!N52</f>
        <v>106200</v>
      </c>
    </row>
    <row r="127" spans="2:14">
      <c r="B127" s="25"/>
      <c r="C127" s="13"/>
      <c r="D127" s="11"/>
      <c r="E127" s="13"/>
      <c r="F127" s="68"/>
      <c r="G127" s="40"/>
      <c r="H127" s="40"/>
      <c r="I127" s="40"/>
      <c r="J127" s="40"/>
      <c r="K127" s="40"/>
      <c r="L127" s="40"/>
      <c r="M127" s="40"/>
      <c r="N127" s="40"/>
    </row>
    <row r="128" spans="2:14">
      <c r="B128" s="25" t="s">
        <v>205</v>
      </c>
      <c r="D128" t="s">
        <v>181</v>
      </c>
      <c r="F128" s="73">
        <f t="shared" ref="F128:N128" si="14">SUM(F110:F113,F116:F117,F120:F121,F124:F126)</f>
        <v>1466880063.7208979</v>
      </c>
      <c r="G128" s="73">
        <f t="shared" si="14"/>
        <v>7998000</v>
      </c>
      <c r="H128" s="73">
        <f t="shared" si="14"/>
        <v>39717684.850494541</v>
      </c>
      <c r="I128" s="73">
        <f t="shared" si="14"/>
        <v>16195505.949285699</v>
      </c>
      <c r="J128" s="73">
        <f t="shared" si="14"/>
        <v>465221002.0253098</v>
      </c>
      <c r="K128" s="73">
        <f t="shared" si="14"/>
        <v>549554942.76149309</v>
      </c>
      <c r="L128" s="73">
        <f t="shared" si="14"/>
        <v>4766117.5297417473</v>
      </c>
      <c r="M128" s="73">
        <f t="shared" si="14"/>
        <v>361132891.6697126</v>
      </c>
      <c r="N128" s="73">
        <f t="shared" si="14"/>
        <v>22293918.934860568</v>
      </c>
    </row>
    <row r="129" spans="2:14">
      <c r="F129" s="68"/>
      <c r="G129" s="40"/>
      <c r="H129" s="40"/>
      <c r="I129" s="40"/>
      <c r="J129" s="40"/>
      <c r="K129" s="40"/>
      <c r="L129" s="40"/>
      <c r="M129" s="40"/>
      <c r="N129" s="40"/>
    </row>
    <row r="130" spans="2:14">
      <c r="F130" s="68"/>
      <c r="G130" s="40"/>
      <c r="H130" s="40"/>
      <c r="I130" s="40"/>
      <c r="J130" s="40"/>
      <c r="K130" s="40"/>
      <c r="L130" s="40"/>
      <c r="M130" s="40"/>
      <c r="N130" s="40"/>
    </row>
    <row r="131" spans="2:14">
      <c r="B131" s="3" t="s">
        <v>536</v>
      </c>
      <c r="F131" s="68"/>
      <c r="G131" s="40"/>
      <c r="H131" s="40"/>
      <c r="I131" s="40"/>
      <c r="J131" s="40"/>
      <c r="K131" s="40"/>
      <c r="L131" s="40"/>
      <c r="M131" s="40"/>
      <c r="N131" s="40"/>
    </row>
    <row r="132" spans="2:14">
      <c r="F132" s="68"/>
      <c r="G132" s="40"/>
      <c r="H132" s="40"/>
      <c r="I132" s="40"/>
      <c r="J132" s="40"/>
      <c r="K132" s="40"/>
      <c r="L132" s="40"/>
      <c r="M132" s="40"/>
      <c r="N132" s="40"/>
    </row>
    <row r="133" spans="2:14">
      <c r="B133" s="81" t="s">
        <v>194</v>
      </c>
      <c r="F133" s="46"/>
    </row>
    <row r="134" spans="2:14">
      <c r="B134" s="25" t="s">
        <v>195</v>
      </c>
      <c r="D134" t="s">
        <v>181</v>
      </c>
      <c r="F134" s="82">
        <f>SUM(G134:N134)</f>
        <v>0</v>
      </c>
      <c r="G134" s="39"/>
      <c r="H134" s="39"/>
      <c r="I134" s="39"/>
      <c r="J134" s="39"/>
      <c r="K134" s="39"/>
      <c r="L134" s="39"/>
      <c r="M134" s="39"/>
      <c r="N134" s="160"/>
    </row>
    <row r="135" spans="2:14">
      <c r="B135" s="25" t="s">
        <v>196</v>
      </c>
      <c r="D135" t="s">
        <v>181</v>
      </c>
      <c r="F135" s="82">
        <f>SUM(G135:N135)</f>
        <v>0</v>
      </c>
      <c r="G135" s="39"/>
      <c r="H135" s="39"/>
      <c r="I135" s="39"/>
      <c r="J135" s="39"/>
      <c r="K135" s="39"/>
      <c r="L135" s="39"/>
      <c r="M135" s="39"/>
      <c r="N135" s="39"/>
    </row>
    <row r="136" spans="2:14">
      <c r="B136" s="25" t="s">
        <v>197</v>
      </c>
      <c r="D136" t="s">
        <v>181</v>
      </c>
      <c r="F136" s="82">
        <f>SUM(G136:N136)</f>
        <v>0</v>
      </c>
      <c r="G136" s="39"/>
      <c r="H136" s="39"/>
      <c r="I136" s="39"/>
      <c r="J136" s="39"/>
      <c r="K136" s="39"/>
      <c r="L136" s="39"/>
      <c r="M136" s="39"/>
      <c r="N136" s="39"/>
    </row>
    <row r="137" spans="2:14">
      <c r="B137" s="25" t="s">
        <v>330</v>
      </c>
      <c r="D137" t="s">
        <v>181</v>
      </c>
      <c r="F137" s="82">
        <f>SUM(G137:N137)</f>
        <v>0</v>
      </c>
      <c r="G137" s="39"/>
      <c r="H137" s="39"/>
      <c r="I137" s="39"/>
      <c r="J137" s="39"/>
      <c r="K137" s="39"/>
      <c r="L137" s="39"/>
      <c r="M137" s="39"/>
      <c r="N137" s="39"/>
    </row>
    <row r="138" spans="2:14">
      <c r="B138" s="25"/>
      <c r="F138" s="68"/>
      <c r="G138" s="36"/>
      <c r="H138" s="36"/>
      <c r="I138" s="36"/>
      <c r="J138" s="36"/>
      <c r="K138" s="36"/>
      <c r="L138" s="36"/>
      <c r="M138" s="36"/>
      <c r="N138" s="36"/>
    </row>
    <row r="139" spans="2:14">
      <c r="B139" s="81" t="s">
        <v>198</v>
      </c>
      <c r="F139" s="68"/>
      <c r="G139" s="36"/>
      <c r="H139" s="36"/>
      <c r="I139" s="36"/>
      <c r="J139" s="36"/>
      <c r="K139" s="36"/>
      <c r="L139" s="36"/>
      <c r="M139" s="36"/>
      <c r="N139" s="36"/>
    </row>
    <row r="140" spans="2:14">
      <c r="B140" s="25" t="s">
        <v>199</v>
      </c>
      <c r="D140" t="s">
        <v>181</v>
      </c>
      <c r="F140" s="82">
        <f>SUM(G140:N140)</f>
        <v>0</v>
      </c>
      <c r="G140" s="39"/>
      <c r="H140" s="39"/>
      <c r="I140" s="39"/>
      <c r="J140" s="39"/>
      <c r="K140" s="39"/>
      <c r="L140" s="39"/>
      <c r="M140" s="39"/>
      <c r="N140" s="39"/>
    </row>
    <row r="141" spans="2:14">
      <c r="B141" s="25" t="s">
        <v>200</v>
      </c>
      <c r="D141" t="s">
        <v>181</v>
      </c>
      <c r="F141" s="82">
        <f>SUM(G141:N141)</f>
        <v>0</v>
      </c>
      <c r="G141" s="39"/>
      <c r="H141" s="39"/>
      <c r="I141" s="39"/>
      <c r="J141" s="39"/>
      <c r="K141" s="39"/>
      <c r="L141" s="39"/>
      <c r="M141" s="39"/>
      <c r="N141" s="39"/>
    </row>
    <row r="142" spans="2:14">
      <c r="B142" s="25"/>
      <c r="F142" s="68"/>
      <c r="G142" s="36"/>
      <c r="H142" s="36"/>
      <c r="I142" s="36"/>
      <c r="J142" s="36"/>
      <c r="K142" s="36"/>
      <c r="L142" s="36"/>
      <c r="M142" s="36"/>
      <c r="N142" s="36"/>
    </row>
    <row r="143" spans="2:14">
      <c r="B143" s="81" t="s">
        <v>201</v>
      </c>
      <c r="F143" s="68"/>
      <c r="G143" s="36"/>
      <c r="H143" s="36"/>
      <c r="I143" s="36"/>
      <c r="J143" s="36"/>
      <c r="K143" s="36"/>
      <c r="L143" s="36"/>
      <c r="M143" s="36"/>
      <c r="N143" s="36"/>
    </row>
    <row r="144" spans="2:14">
      <c r="B144" s="25" t="s">
        <v>202</v>
      </c>
      <c r="D144" t="s">
        <v>181</v>
      </c>
      <c r="F144" s="82">
        <f>SUM(G144:N144)</f>
        <v>0</v>
      </c>
      <c r="G144" s="39"/>
      <c r="H144" s="39"/>
      <c r="I144" s="39"/>
      <c r="J144" s="39"/>
      <c r="K144" s="39"/>
      <c r="L144" s="39"/>
      <c r="M144" s="39"/>
      <c r="N144" s="39"/>
    </row>
    <row r="145" spans="2:14">
      <c r="B145" s="25" t="s">
        <v>203</v>
      </c>
      <c r="D145" t="s">
        <v>181</v>
      </c>
      <c r="F145" s="82">
        <f>SUM(G145:N145)</f>
        <v>0</v>
      </c>
      <c r="G145" s="39"/>
      <c r="H145" s="39"/>
      <c r="I145" s="39"/>
      <c r="J145" s="39"/>
      <c r="K145" s="39"/>
      <c r="L145" s="39"/>
      <c r="M145" s="39"/>
      <c r="N145" s="39"/>
    </row>
    <row r="146" spans="2:14">
      <c r="B146" s="25"/>
      <c r="F146" s="68"/>
      <c r="G146" s="36"/>
      <c r="H146" s="36"/>
      <c r="I146" s="36"/>
      <c r="J146" s="36"/>
      <c r="K146" s="36"/>
      <c r="L146" s="36"/>
      <c r="M146" s="36"/>
      <c r="N146" s="36"/>
    </row>
    <row r="147" spans="2:14">
      <c r="B147" s="81" t="s">
        <v>204</v>
      </c>
      <c r="F147" s="68"/>
      <c r="G147" s="36"/>
      <c r="H147" s="36"/>
      <c r="I147" s="36"/>
      <c r="J147" s="36"/>
      <c r="K147" s="36"/>
      <c r="L147" s="36"/>
      <c r="M147" s="36"/>
      <c r="N147" s="36"/>
    </row>
    <row r="148" spans="2:14">
      <c r="B148" s="25" t="s">
        <v>331</v>
      </c>
      <c r="D148" t="s">
        <v>181</v>
      </c>
      <c r="F148" s="82">
        <f>SUM(G148:N148)</f>
        <v>0</v>
      </c>
      <c r="G148" s="39"/>
      <c r="H148" s="39"/>
      <c r="I148" s="39"/>
      <c r="J148" s="39"/>
      <c r="K148" s="39"/>
      <c r="L148" s="39"/>
      <c r="M148" s="39"/>
      <c r="N148" s="39"/>
    </row>
    <row r="149" spans="2:14">
      <c r="B149" s="25" t="s">
        <v>332</v>
      </c>
      <c r="D149" t="s">
        <v>181</v>
      </c>
      <c r="F149" s="82">
        <f>SUM(G149:N149)</f>
        <v>0</v>
      </c>
      <c r="G149" s="39"/>
      <c r="H149" s="39"/>
      <c r="I149" s="39"/>
      <c r="J149" s="39"/>
      <c r="K149" s="39"/>
      <c r="L149" s="39"/>
      <c r="M149" s="39"/>
      <c r="N149" s="39"/>
    </row>
    <row r="150" spans="2:14">
      <c r="B150" s="83" t="s">
        <v>333</v>
      </c>
      <c r="D150" t="s">
        <v>181</v>
      </c>
      <c r="F150" s="82">
        <f>SUM(G150:N150)</f>
        <v>0</v>
      </c>
      <c r="G150" s="39"/>
      <c r="H150" s="39"/>
      <c r="I150" s="39"/>
      <c r="J150" s="39"/>
      <c r="K150" s="39"/>
      <c r="L150" s="39"/>
      <c r="M150" s="39"/>
      <c r="N150" s="39"/>
    </row>
    <row r="151" spans="2:14">
      <c r="F151" s="68"/>
      <c r="G151" s="40"/>
      <c r="H151" s="40"/>
      <c r="I151" s="40"/>
      <c r="J151" s="40"/>
      <c r="K151" s="40"/>
      <c r="L151" s="40"/>
      <c r="M151" s="40"/>
      <c r="N151" s="40"/>
    </row>
    <row r="152" spans="2:14">
      <c r="F152" s="68"/>
      <c r="G152" s="40"/>
      <c r="H152" s="40"/>
      <c r="I152" s="40"/>
      <c r="J152" s="40"/>
      <c r="K152" s="40"/>
      <c r="L152" s="40"/>
      <c r="M152" s="40"/>
      <c r="N152" s="40"/>
    </row>
    <row r="153" spans="2:14">
      <c r="B153" s="3" t="s">
        <v>535</v>
      </c>
      <c r="F153" s="68"/>
      <c r="G153" s="40"/>
      <c r="H153" s="40"/>
      <c r="I153" s="40"/>
      <c r="J153" s="40"/>
      <c r="K153" s="40"/>
      <c r="L153" s="40"/>
      <c r="M153" s="40"/>
      <c r="N153" s="40"/>
    </row>
    <row r="154" spans="2:14">
      <c r="F154" s="68"/>
      <c r="G154" s="40"/>
      <c r="H154" s="40"/>
      <c r="I154" s="40"/>
      <c r="J154" s="40"/>
      <c r="K154" s="40"/>
      <c r="L154" s="40"/>
      <c r="M154" s="40"/>
      <c r="N154" s="40"/>
    </row>
    <row r="155" spans="2:14">
      <c r="B155" s="81" t="s">
        <v>194</v>
      </c>
      <c r="F155" s="46"/>
    </row>
    <row r="156" spans="2:14">
      <c r="B156" s="25" t="s">
        <v>195</v>
      </c>
      <c r="D156" t="s">
        <v>181</v>
      </c>
      <c r="F156" s="82">
        <f>SUM(G156:N156)</f>
        <v>0</v>
      </c>
      <c r="G156" s="39"/>
      <c r="H156" s="39"/>
      <c r="I156" s="39"/>
      <c r="J156" s="39"/>
      <c r="K156" s="39"/>
      <c r="L156" s="39"/>
      <c r="M156" s="39"/>
      <c r="N156" s="39"/>
    </row>
    <row r="157" spans="2:14">
      <c r="B157" s="25" t="s">
        <v>196</v>
      </c>
      <c r="D157" t="s">
        <v>181</v>
      </c>
      <c r="F157" s="82">
        <f>SUM(G157:N157)</f>
        <v>0</v>
      </c>
      <c r="G157" s="39"/>
      <c r="H157" s="39"/>
      <c r="I157" s="39"/>
      <c r="J157" s="39"/>
      <c r="K157" s="39"/>
      <c r="L157" s="39"/>
      <c r="M157" s="39"/>
      <c r="N157" s="39"/>
    </row>
    <row r="158" spans="2:14">
      <c r="B158" s="25" t="s">
        <v>197</v>
      </c>
      <c r="D158" t="s">
        <v>181</v>
      </c>
      <c r="F158" s="82">
        <f>SUM(G158:N158)</f>
        <v>12816980.426033111</v>
      </c>
      <c r="G158" s="180">
        <f>SUM('PRD Ov.Opbrengsten (2009-2012)'!G103:G105)-'PRD Ov.Opbrengsten (2009-2012)'!G118</f>
        <v>214261.35</v>
      </c>
      <c r="H158" s="180">
        <f>SUM('PRD Ov.Opbrengsten (2009-2012)'!H103:H105)-'PRD Ov.Opbrengsten (2009-2012)'!H118</f>
        <v>137201.81</v>
      </c>
      <c r="I158" s="180">
        <f>SUM('PRD Ov.Opbrengsten (2009-2012)'!I103:I105)-'PRD Ov.Opbrengsten (2009-2012)'!I118</f>
        <v>343697.47462500003</v>
      </c>
      <c r="J158" s="180">
        <f>SUM('PRD Ov.Opbrengsten (2009-2012)'!J103:J105)-'PRD Ov.Opbrengsten (2009-2012)'!J118</f>
        <v>6132444.4400000013</v>
      </c>
      <c r="K158" s="180">
        <f>SUM('PRD Ov.Opbrengsten (2009-2012)'!K103:K105)-'PRD Ov.Opbrengsten (2009-2012)'!K118</f>
        <v>1198078.2258870176</v>
      </c>
      <c r="L158" s="180">
        <f>SUM('PRD Ov.Opbrengsten (2009-2012)'!L103:L105)-'PRD Ov.Opbrengsten (2009-2012)'!L118</f>
        <v>-186</v>
      </c>
      <c r="M158" s="180">
        <f>SUM('PRD Ov.Opbrengsten (2009-2012)'!M103:M105)-'PRD Ov.Opbrengsten (2009-2012)'!M118</f>
        <v>4784340.8199999984</v>
      </c>
      <c r="N158" s="180">
        <f>SUM('PRD Ov.Opbrengsten (2009-2012)'!N103:N105)-'PRD Ov.Opbrengsten (2009-2012)'!N118</f>
        <v>7142.3055210958919</v>
      </c>
    </row>
    <row r="159" spans="2:14">
      <c r="B159" s="25" t="s">
        <v>330</v>
      </c>
      <c r="D159" t="s">
        <v>181</v>
      </c>
      <c r="F159" s="82">
        <f>SUM(G159:N159)</f>
        <v>0</v>
      </c>
      <c r="G159" s="39"/>
      <c r="H159" s="39"/>
      <c r="I159" s="39"/>
      <c r="J159" s="39"/>
      <c r="K159" s="39"/>
      <c r="L159" s="39"/>
      <c r="M159" s="39"/>
      <c r="N159" s="39"/>
    </row>
    <row r="160" spans="2:14">
      <c r="B160" s="25"/>
      <c r="F160" s="68"/>
      <c r="G160" s="36"/>
      <c r="H160" s="36"/>
      <c r="I160" s="36"/>
      <c r="J160" s="36"/>
      <c r="K160" s="36"/>
      <c r="L160" s="36"/>
      <c r="M160" s="36"/>
      <c r="N160" s="36"/>
    </row>
    <row r="161" spans="2:14">
      <c r="B161" s="81" t="s">
        <v>198</v>
      </c>
      <c r="F161" s="68"/>
      <c r="G161" s="36"/>
      <c r="H161" s="36"/>
      <c r="I161" s="36"/>
      <c r="J161" s="36"/>
      <c r="K161" s="36"/>
      <c r="L161" s="36"/>
      <c r="M161" s="36"/>
      <c r="N161" s="36"/>
    </row>
    <row r="162" spans="2:14">
      <c r="B162" s="25" t="s">
        <v>199</v>
      </c>
      <c r="D162" t="s">
        <v>181</v>
      </c>
      <c r="F162" s="82">
        <f>SUM(G162:N162)</f>
        <v>80265040.257760316</v>
      </c>
      <c r="G162" s="180">
        <f>'PRD Ov.Opbrengsten (2009-2012)'!G99-'PRD Ov.Opbrengsten (2009-2012)'!G91+'PRD Ov.Opbrengsten (2009-2012)'!G75+SUM('PRD Ov.Opbrengsten (2009-2012)'!G106:G112)</f>
        <v>166392.92000000001</v>
      </c>
      <c r="H162" s="180">
        <f>'PRD Ov.Opbrengsten (2009-2012)'!H99-'PRD Ov.Opbrengsten (2009-2012)'!H91+'PRD Ov.Opbrengsten (2009-2012)'!H75+SUM('PRD Ov.Opbrengsten (2009-2012)'!H106:H112)</f>
        <v>184215.45</v>
      </c>
      <c r="I162" s="180">
        <f>'PRD Ov.Opbrengsten (2009-2012)'!I99-'PRD Ov.Opbrengsten (2009-2012)'!I91+'PRD Ov.Opbrengsten (2009-2012)'!I75+SUM('PRD Ov.Opbrengsten (2009-2012)'!I106:I112)</f>
        <v>440264.69057506917</v>
      </c>
      <c r="J162" s="180">
        <f>'PRD Ov.Opbrengsten (2009-2012)'!J99-'PRD Ov.Opbrengsten (2009-2012)'!J91+'PRD Ov.Opbrengsten (2009-2012)'!J75+SUM('PRD Ov.Opbrengsten (2009-2012)'!J106:J112)</f>
        <v>39444896.633727275</v>
      </c>
      <c r="K162" s="180">
        <f>'PRD Ov.Opbrengsten (2009-2012)'!K99-'PRD Ov.Opbrengsten (2009-2012)'!K91+'PRD Ov.Opbrengsten (2009-2012)'!K75+SUM('PRD Ov.Opbrengsten (2009-2012)'!K106:K112)</f>
        <v>24709488.037898444</v>
      </c>
      <c r="L162" s="180">
        <f>'PRD Ov.Opbrengsten (2009-2012)'!L99-'PRD Ov.Opbrengsten (2009-2012)'!L91+'PRD Ov.Opbrengsten (2009-2012)'!L75+SUM('PRD Ov.Opbrengsten (2009-2012)'!L106:L112)</f>
        <v>92394</v>
      </c>
      <c r="M162" s="180">
        <f>'PRD Ov.Opbrengsten (2009-2012)'!M99-'PRD Ov.Opbrengsten (2009-2012)'!M91+'PRD Ov.Opbrengsten (2009-2012)'!M75+SUM('PRD Ov.Opbrengsten (2009-2012)'!M106:M112)</f>
        <v>14404989.919371918</v>
      </c>
      <c r="N162" s="180">
        <f>'PRD Ov.Opbrengsten (2009-2012)'!N99-'PRD Ov.Opbrengsten (2009-2012)'!N91+'PRD Ov.Opbrengsten (2009-2012)'!N75+SUM('PRD Ov.Opbrengsten (2009-2012)'!N106:N112)</f>
        <v>822398.6061876103</v>
      </c>
    </row>
    <row r="163" spans="2:14">
      <c r="B163" s="25" t="s">
        <v>200</v>
      </c>
      <c r="D163" t="s">
        <v>181</v>
      </c>
      <c r="F163" s="82">
        <f>SUM(G163:N163)</f>
        <v>0</v>
      </c>
      <c r="G163" s="160"/>
      <c r="H163" s="160"/>
      <c r="I163" s="160"/>
      <c r="J163" s="160"/>
      <c r="K163" s="160"/>
      <c r="L163" s="160"/>
      <c r="M163" s="160"/>
      <c r="N163" s="160"/>
    </row>
    <row r="164" spans="2:14">
      <c r="B164" s="25"/>
      <c r="F164" s="68"/>
      <c r="G164" s="36"/>
      <c r="H164" s="36"/>
      <c r="I164" s="36"/>
      <c r="J164" s="36"/>
      <c r="K164" s="36"/>
      <c r="L164" s="36"/>
      <c r="M164" s="36"/>
      <c r="N164" s="36"/>
    </row>
    <row r="165" spans="2:14">
      <c r="B165" s="81" t="s">
        <v>201</v>
      </c>
      <c r="F165" s="68"/>
      <c r="G165" s="36"/>
      <c r="H165" s="36"/>
      <c r="I165" s="36"/>
      <c r="J165" s="36"/>
      <c r="K165" s="36"/>
      <c r="L165" s="36"/>
      <c r="M165" s="36"/>
      <c r="N165" s="36"/>
    </row>
    <row r="166" spans="2:14">
      <c r="B166" s="25" t="s">
        <v>202</v>
      </c>
      <c r="D166" t="s">
        <v>181</v>
      </c>
      <c r="F166" s="82">
        <f>SUM(G166:N166)</f>
        <v>0</v>
      </c>
      <c r="G166" s="39"/>
      <c r="H166" s="39"/>
      <c r="I166" s="39"/>
      <c r="J166" s="39"/>
      <c r="K166" s="39"/>
      <c r="L166" s="39"/>
      <c r="M166" s="39"/>
      <c r="N166" s="39"/>
    </row>
    <row r="167" spans="2:14">
      <c r="B167" s="25" t="s">
        <v>203</v>
      </c>
      <c r="D167" t="s">
        <v>181</v>
      </c>
      <c r="F167" s="82">
        <f>SUM(G167:N167)</f>
        <v>0</v>
      </c>
      <c r="G167" s="39"/>
      <c r="H167" s="39"/>
      <c r="I167" s="39"/>
      <c r="J167" s="39"/>
      <c r="K167" s="39"/>
      <c r="L167" s="39"/>
      <c r="M167" s="39"/>
      <c r="N167" s="39"/>
    </row>
    <row r="168" spans="2:14">
      <c r="B168" s="25"/>
      <c r="F168" s="68"/>
      <c r="G168" s="36"/>
      <c r="H168" s="36"/>
      <c r="I168" s="36"/>
      <c r="J168" s="36"/>
      <c r="K168" s="36"/>
      <c r="L168" s="36"/>
      <c r="M168" s="36"/>
      <c r="N168" s="36"/>
    </row>
    <row r="169" spans="2:14">
      <c r="B169" s="81" t="s">
        <v>204</v>
      </c>
      <c r="F169" s="68"/>
      <c r="G169" s="36"/>
      <c r="H169" s="36"/>
      <c r="I169" s="36"/>
      <c r="J169" s="36"/>
      <c r="K169" s="36"/>
      <c r="L169" s="36"/>
      <c r="M169" s="36"/>
      <c r="N169" s="36"/>
    </row>
    <row r="170" spans="2:14">
      <c r="B170" s="25" t="s">
        <v>331</v>
      </c>
      <c r="D170" t="s">
        <v>181</v>
      </c>
      <c r="F170" s="82">
        <f>SUM(G170:N170)</f>
        <v>0</v>
      </c>
      <c r="G170" s="39"/>
      <c r="H170" s="39"/>
      <c r="I170" s="39"/>
      <c r="J170" s="39"/>
      <c r="K170" s="39"/>
      <c r="L170" s="39"/>
      <c r="M170" s="39"/>
      <c r="N170" s="39"/>
    </row>
    <row r="171" spans="2:14">
      <c r="B171" s="25" t="s">
        <v>332</v>
      </c>
      <c r="D171" t="s">
        <v>181</v>
      </c>
      <c r="F171" s="82">
        <f>SUM(G171:N171)</f>
        <v>0</v>
      </c>
      <c r="G171" s="39"/>
      <c r="H171" s="39"/>
      <c r="I171" s="39"/>
      <c r="J171" s="39"/>
      <c r="K171" s="39"/>
      <c r="L171" s="39"/>
      <c r="M171" s="39"/>
      <c r="N171" s="39"/>
    </row>
    <row r="172" spans="2:14">
      <c r="B172" s="83" t="s">
        <v>333</v>
      </c>
      <c r="D172" t="s">
        <v>181</v>
      </c>
      <c r="F172" s="82">
        <f>SUM(G172:N172)</f>
        <v>0</v>
      </c>
      <c r="G172" s="39"/>
      <c r="H172" s="39"/>
      <c r="I172" s="39"/>
      <c r="J172" s="39"/>
      <c r="K172" s="39"/>
      <c r="L172" s="39"/>
      <c r="M172" s="39"/>
      <c r="N172" s="39"/>
    </row>
    <row r="173" spans="2:14">
      <c r="F173" s="68"/>
      <c r="G173" s="40"/>
      <c r="H173" s="40"/>
      <c r="I173" s="40"/>
      <c r="J173" s="40"/>
      <c r="K173" s="40"/>
      <c r="L173" s="40"/>
      <c r="M173" s="40"/>
      <c r="N173" s="40"/>
    </row>
    <row r="174" spans="2:14">
      <c r="F174" s="68"/>
      <c r="G174" s="40"/>
      <c r="H174" s="40"/>
      <c r="I174" s="40"/>
      <c r="J174" s="40"/>
      <c r="K174" s="40"/>
      <c r="L174" s="40"/>
      <c r="M174" s="40"/>
      <c r="N174" s="40"/>
    </row>
    <row r="175" spans="2:14">
      <c r="B175" s="3" t="s">
        <v>74</v>
      </c>
      <c r="F175" s="68"/>
      <c r="G175" s="40"/>
      <c r="H175" s="40"/>
      <c r="I175" s="40"/>
      <c r="J175" s="40"/>
      <c r="K175" s="40"/>
      <c r="L175" s="40"/>
      <c r="M175" s="40"/>
      <c r="N175" s="40"/>
    </row>
    <row r="176" spans="2:14">
      <c r="F176" s="68"/>
      <c r="G176" s="40"/>
      <c r="H176" s="40"/>
      <c r="I176" s="40"/>
      <c r="J176" s="40"/>
      <c r="K176" s="40"/>
      <c r="L176" s="40"/>
      <c r="M176" s="40"/>
      <c r="N176" s="40"/>
    </row>
    <row r="177" spans="2:16">
      <c r="B177" s="81" t="s">
        <v>194</v>
      </c>
      <c r="F177" s="46"/>
    </row>
    <row r="178" spans="2:16">
      <c r="B178" s="25" t="s">
        <v>195</v>
      </c>
      <c r="D178" t="s">
        <v>181</v>
      </c>
      <c r="F178" s="82">
        <f>SUM(G178:N178)</f>
        <v>328469196.11000001</v>
      </c>
      <c r="G178" s="29">
        <f>G110+G134-G156</f>
        <v>0</v>
      </c>
      <c r="H178" s="29">
        <f t="shared" ref="H178:N178" si="15">H110+H134-H156</f>
        <v>9918649.5800000001</v>
      </c>
      <c r="I178" s="29">
        <f t="shared" si="15"/>
        <v>0</v>
      </c>
      <c r="J178" s="29">
        <f t="shared" si="15"/>
        <v>129166000</v>
      </c>
      <c r="K178" s="29">
        <f t="shared" si="15"/>
        <v>114647694.47</v>
      </c>
      <c r="L178" s="29">
        <f t="shared" si="15"/>
        <v>0</v>
      </c>
      <c r="M178" s="29">
        <f t="shared" si="15"/>
        <v>69138852.060000002</v>
      </c>
      <c r="N178" s="29">
        <f t="shared" si="15"/>
        <v>5598000</v>
      </c>
      <c r="P178" s="50"/>
    </row>
    <row r="179" spans="2:16">
      <c r="B179" s="25" t="s">
        <v>196</v>
      </c>
      <c r="D179" t="s">
        <v>181</v>
      </c>
      <c r="F179" s="82">
        <f>SUM(G179:N179)</f>
        <v>18560783.280000001</v>
      </c>
      <c r="G179" s="29">
        <f t="shared" ref="G179:N179" si="16">G111+G135-G157</f>
        <v>3045000</v>
      </c>
      <c r="H179" s="29">
        <f t="shared" si="16"/>
        <v>41425</v>
      </c>
      <c r="I179" s="29">
        <f t="shared" si="16"/>
        <v>6624716.3400000008</v>
      </c>
      <c r="J179" s="29">
        <f t="shared" si="16"/>
        <v>1027000</v>
      </c>
      <c r="K179" s="29">
        <f t="shared" si="16"/>
        <v>708815</v>
      </c>
      <c r="L179" s="29">
        <f t="shared" si="16"/>
        <v>1836719</v>
      </c>
      <c r="M179" s="29">
        <f t="shared" si="16"/>
        <v>4443042.55</v>
      </c>
      <c r="N179" s="29">
        <f t="shared" si="16"/>
        <v>834065.39</v>
      </c>
    </row>
    <row r="180" spans="2:16">
      <c r="B180" s="25" t="s">
        <v>197</v>
      </c>
      <c r="D180" t="s">
        <v>181</v>
      </c>
      <c r="F180" s="82">
        <f>SUM(G180:N180)</f>
        <v>273105843.46396691</v>
      </c>
      <c r="G180" s="29">
        <f t="shared" ref="G180:N180" si="17">G112+G136-G158</f>
        <v>680738.65</v>
      </c>
      <c r="H180" s="29">
        <f t="shared" si="17"/>
        <v>6232804.7200000007</v>
      </c>
      <c r="I180" s="29">
        <f t="shared" si="17"/>
        <v>2353665.1153750001</v>
      </c>
      <c r="J180" s="29">
        <f t="shared" si="17"/>
        <v>82339555.560000002</v>
      </c>
      <c r="K180" s="29">
        <f t="shared" si="17"/>
        <v>100108835.48411298</v>
      </c>
      <c r="L180" s="29">
        <f t="shared" si="17"/>
        <v>723607</v>
      </c>
      <c r="M180" s="29">
        <f t="shared" si="17"/>
        <v>74221997.180000007</v>
      </c>
      <c r="N180" s="29">
        <f t="shared" si="17"/>
        <v>6444639.7544789035</v>
      </c>
    </row>
    <row r="181" spans="2:16">
      <c r="B181" s="25" t="s">
        <v>330</v>
      </c>
      <c r="D181" t="s">
        <v>181</v>
      </c>
      <c r="F181" s="82">
        <f>SUM(G181:N181)</f>
        <v>6000</v>
      </c>
      <c r="G181" s="29">
        <f t="shared" ref="G181:N181" si="18">G113+G137-G159</f>
        <v>6000</v>
      </c>
      <c r="H181" s="29">
        <f t="shared" si="18"/>
        <v>0</v>
      </c>
      <c r="I181" s="29">
        <f t="shared" si="18"/>
        <v>0</v>
      </c>
      <c r="J181" s="29">
        <f t="shared" si="18"/>
        <v>0</v>
      </c>
      <c r="K181" s="29">
        <f t="shared" si="18"/>
        <v>0</v>
      </c>
      <c r="L181" s="29">
        <f t="shared" si="18"/>
        <v>0</v>
      </c>
      <c r="M181" s="29">
        <f t="shared" si="18"/>
        <v>0</v>
      </c>
      <c r="N181" s="29">
        <f t="shared" si="18"/>
        <v>0</v>
      </c>
    </row>
    <row r="182" spans="2:16">
      <c r="B182" s="25"/>
      <c r="F182" s="68"/>
      <c r="G182" s="36"/>
      <c r="H182" s="36"/>
      <c r="I182" s="36"/>
      <c r="J182" s="36"/>
      <c r="K182" s="36"/>
      <c r="L182" s="36"/>
      <c r="M182" s="36"/>
      <c r="N182" s="36"/>
    </row>
    <row r="183" spans="2:16">
      <c r="B183" s="81" t="s">
        <v>198</v>
      </c>
      <c r="F183" s="68"/>
      <c r="G183" s="36"/>
      <c r="H183" s="36"/>
      <c r="I183" s="36"/>
      <c r="J183" s="36"/>
      <c r="K183" s="36"/>
      <c r="L183" s="36"/>
      <c r="M183" s="36"/>
      <c r="N183" s="36"/>
    </row>
    <row r="184" spans="2:16">
      <c r="B184" s="25" t="s">
        <v>199</v>
      </c>
      <c r="D184" t="s">
        <v>181</v>
      </c>
      <c r="F184" s="82">
        <f>SUM(G184:N184)</f>
        <v>645070385.11049461</v>
      </c>
      <c r="G184" s="29">
        <f>G116+G140-G162</f>
        <v>3804607.08</v>
      </c>
      <c r="H184" s="29">
        <f t="shared" ref="H184:N184" si="19">H116+H140-H162</f>
        <v>22429593.039562713</v>
      </c>
      <c r="I184" s="29">
        <f t="shared" si="19"/>
        <v>6191801.541776034</v>
      </c>
      <c r="J184" s="29">
        <f t="shared" si="19"/>
        <v>198908553.20489272</v>
      </c>
      <c r="K184" s="29">
        <f t="shared" si="19"/>
        <v>277635238.06569219</v>
      </c>
      <c r="L184" s="29">
        <f t="shared" si="19"/>
        <v>1781706.0455100001</v>
      </c>
      <c r="M184" s="29">
        <f t="shared" si="19"/>
        <v>126060982.07320608</v>
      </c>
      <c r="N184" s="29">
        <f t="shared" si="19"/>
        <v>8257904.0598548893</v>
      </c>
    </row>
    <row r="185" spans="2:16">
      <c r="B185" s="25" t="s">
        <v>200</v>
      </c>
      <c r="D185" t="s">
        <v>181</v>
      </c>
      <c r="F185" s="82">
        <f>SUM(G185:N185)</f>
        <v>49443109.759045899</v>
      </c>
      <c r="G185" s="29">
        <f t="shared" ref="G185:N185" si="20">G117+G141-G163</f>
        <v>0</v>
      </c>
      <c r="H185" s="29">
        <f t="shared" si="20"/>
        <v>0</v>
      </c>
      <c r="I185" s="29">
        <f t="shared" si="20"/>
        <v>0</v>
      </c>
      <c r="J185" s="29">
        <f t="shared" si="20"/>
        <v>0</v>
      </c>
      <c r="K185" s="29">
        <f t="shared" si="20"/>
        <v>0</v>
      </c>
      <c r="L185" s="29">
        <f t="shared" si="20"/>
        <v>235709.86</v>
      </c>
      <c r="M185" s="29">
        <f t="shared" si="20"/>
        <v>49207399.8990459</v>
      </c>
      <c r="N185" s="29">
        <f t="shared" si="20"/>
        <v>0</v>
      </c>
    </row>
    <row r="186" spans="2:16">
      <c r="B186" s="25"/>
      <c r="F186" s="68"/>
      <c r="G186" s="36"/>
      <c r="H186" s="36"/>
      <c r="I186" s="36"/>
      <c r="J186" s="36"/>
      <c r="K186" s="36"/>
      <c r="L186" s="36"/>
      <c r="M186" s="36"/>
      <c r="N186" s="36"/>
    </row>
    <row r="187" spans="2:16">
      <c r="B187" s="81" t="s">
        <v>201</v>
      </c>
      <c r="F187" s="68"/>
      <c r="G187" s="36"/>
      <c r="H187" s="36"/>
      <c r="I187" s="36"/>
      <c r="J187" s="36"/>
      <c r="K187" s="36"/>
      <c r="L187" s="36"/>
      <c r="M187" s="36"/>
      <c r="N187" s="36"/>
    </row>
    <row r="188" spans="2:16">
      <c r="B188" s="25" t="s">
        <v>202</v>
      </c>
      <c r="D188" t="s">
        <v>181</v>
      </c>
      <c r="F188" s="82">
        <f>SUM(G188:N188)</f>
        <v>32965074.439999998</v>
      </c>
      <c r="G188" s="29">
        <f>G120+G144-G166</f>
        <v>0</v>
      </c>
      <c r="H188" s="29">
        <f t="shared" ref="H188:N188" si="21">H120+H144-H166</f>
        <v>481846.5</v>
      </c>
      <c r="I188" s="29">
        <f t="shared" si="21"/>
        <v>0</v>
      </c>
      <c r="J188" s="29">
        <f t="shared" si="21"/>
        <v>1730000</v>
      </c>
      <c r="K188" s="29">
        <f t="shared" si="21"/>
        <v>15024290.939999999</v>
      </c>
      <c r="L188" s="29">
        <f t="shared" si="21"/>
        <v>0</v>
      </c>
      <c r="M188" s="29">
        <f t="shared" si="21"/>
        <v>15702913</v>
      </c>
      <c r="N188" s="29">
        <f t="shared" si="21"/>
        <v>26024</v>
      </c>
    </row>
    <row r="189" spans="2:16">
      <c r="B189" s="25" t="s">
        <v>203</v>
      </c>
      <c r="D189" t="s">
        <v>181</v>
      </c>
      <c r="F189" s="82">
        <f>SUM(G189:N189)</f>
        <v>2000</v>
      </c>
      <c r="G189" s="29">
        <f t="shared" ref="G189:N189" si="22">G121+G145-G167</f>
        <v>2000</v>
      </c>
      <c r="H189" s="29">
        <f t="shared" si="22"/>
        <v>0</v>
      </c>
      <c r="I189" s="29">
        <f t="shared" si="22"/>
        <v>0</v>
      </c>
      <c r="J189" s="29">
        <f t="shared" si="22"/>
        <v>0</v>
      </c>
      <c r="K189" s="29">
        <f t="shared" si="22"/>
        <v>0</v>
      </c>
      <c r="L189" s="29">
        <f t="shared" si="22"/>
        <v>0</v>
      </c>
      <c r="M189" s="29">
        <f t="shared" si="22"/>
        <v>0</v>
      </c>
      <c r="N189" s="29">
        <f t="shared" si="22"/>
        <v>0</v>
      </c>
    </row>
    <row r="190" spans="2:16">
      <c r="B190" s="25"/>
      <c r="F190" s="68"/>
      <c r="G190" s="36"/>
      <c r="H190" s="36"/>
      <c r="I190" s="36"/>
      <c r="J190" s="36"/>
      <c r="K190" s="36"/>
      <c r="L190" s="36"/>
      <c r="M190" s="36"/>
      <c r="N190" s="36"/>
    </row>
    <row r="191" spans="2:16">
      <c r="B191" s="81" t="s">
        <v>204</v>
      </c>
      <c r="F191" s="68"/>
      <c r="G191" s="36"/>
      <c r="H191" s="36"/>
      <c r="I191" s="36"/>
      <c r="J191" s="36"/>
      <c r="K191" s="36"/>
      <c r="L191" s="36"/>
      <c r="M191" s="36"/>
      <c r="N191" s="36"/>
    </row>
    <row r="192" spans="2:16">
      <c r="B192" s="25" t="s">
        <v>331</v>
      </c>
      <c r="D192" t="s">
        <v>181</v>
      </c>
      <c r="F192" s="82">
        <f>SUM(G192:N192)</f>
        <v>7133100.0584022803</v>
      </c>
      <c r="G192" s="29">
        <f>G124+G148-G170</f>
        <v>52000</v>
      </c>
      <c r="H192" s="29">
        <f t="shared" ref="H192:N192" si="23">H124+H148-H170</f>
        <v>196070.65540000005</v>
      </c>
      <c r="I192" s="29">
        <f t="shared" si="23"/>
        <v>85388.18399999995</v>
      </c>
      <c r="J192" s="29">
        <f t="shared" si="23"/>
        <v>2430129.2954398002</v>
      </c>
      <c r="K192" s="29">
        <f t="shared" si="23"/>
        <v>2580293.2308380585</v>
      </c>
      <c r="L192" s="29">
        <f t="shared" si="23"/>
        <v>29469.583077709256</v>
      </c>
      <c r="M192" s="29">
        <f t="shared" si="23"/>
        <v>1689715.1152390735</v>
      </c>
      <c r="N192" s="29">
        <f t="shared" si="23"/>
        <v>70033.994407639329</v>
      </c>
    </row>
    <row r="193" spans="2:15">
      <c r="B193" s="25" t="s">
        <v>332</v>
      </c>
      <c r="D193" t="s">
        <v>181</v>
      </c>
      <c r="F193" s="82">
        <f>SUM(G193:N193)</f>
        <v>4363447.0208760453</v>
      </c>
      <c r="G193" s="29">
        <f>G125+G149-G171</f>
        <v>27000</v>
      </c>
      <c r="H193" s="29">
        <f t="shared" ref="H193:N193" si="24">H125+H149-H171</f>
        <v>95878.095531827174</v>
      </c>
      <c r="I193" s="29">
        <f t="shared" si="24"/>
        <v>61449.91565287541</v>
      </c>
      <c r="J193" s="29">
        <f t="shared" si="24"/>
        <v>1399426.9184500005</v>
      </c>
      <c r="K193" s="29">
        <f t="shared" si="24"/>
        <v>1405350.6184107608</v>
      </c>
      <c r="L193" s="29">
        <f t="shared" si="24"/>
        <v>17030.555072790747</v>
      </c>
      <c r="M193" s="29">
        <f t="shared" si="24"/>
        <v>1229800.0933473588</v>
      </c>
      <c r="N193" s="29">
        <f t="shared" si="24"/>
        <v>127510.8244104317</v>
      </c>
    </row>
    <row r="194" spans="2:15">
      <c r="B194" s="83" t="s">
        <v>333</v>
      </c>
      <c r="D194" t="s">
        <v>181</v>
      </c>
      <c r="F194" s="82">
        <f>SUM(G194:N194)</f>
        <v>14679103.794318927</v>
      </c>
      <c r="G194" s="29">
        <f t="shared" ref="G194:N194" si="25">G126+G150-G172</f>
        <v>0</v>
      </c>
      <c r="H194" s="29">
        <f t="shared" si="25"/>
        <v>0</v>
      </c>
      <c r="I194" s="29">
        <f t="shared" si="25"/>
        <v>94522.687281721999</v>
      </c>
      <c r="J194" s="29">
        <f t="shared" si="25"/>
        <v>2642995.9728000001</v>
      </c>
      <c r="K194" s="29">
        <f t="shared" si="25"/>
        <v>11536858.688653734</v>
      </c>
      <c r="L194" s="29">
        <f t="shared" si="25"/>
        <v>49667.486081247655</v>
      </c>
      <c r="M194" s="29">
        <f t="shared" si="25"/>
        <v>248858.95950222455</v>
      </c>
      <c r="N194" s="29">
        <f t="shared" si="25"/>
        <v>106200</v>
      </c>
    </row>
    <row r="195" spans="2:15">
      <c r="F195" s="68"/>
      <c r="G195" s="40"/>
      <c r="H195" s="40"/>
      <c r="I195" s="40"/>
      <c r="J195" s="40"/>
      <c r="K195" s="40"/>
      <c r="L195" s="40"/>
      <c r="M195" s="40"/>
      <c r="N195" s="40"/>
    </row>
    <row r="196" spans="2:15">
      <c r="B196" s="25" t="s">
        <v>75</v>
      </c>
      <c r="D196" t="s">
        <v>181</v>
      </c>
      <c r="F196" s="94">
        <f t="shared" ref="F196:N196" si="26">SUM(F178:F181,F184:F185,F188:F189,F192:F194)</f>
        <v>1373798043.0371046</v>
      </c>
      <c r="G196" s="73">
        <f t="shared" si="26"/>
        <v>7617345.7300000004</v>
      </c>
      <c r="H196" s="73">
        <f t="shared" si="26"/>
        <v>39396267.590494543</v>
      </c>
      <c r="I196" s="73">
        <f t="shared" si="26"/>
        <v>15411543.784085633</v>
      </c>
      <c r="J196" s="73">
        <f t="shared" si="26"/>
        <v>419643660.95158249</v>
      </c>
      <c r="K196" s="73">
        <f t="shared" si="26"/>
        <v>523647376.49770772</v>
      </c>
      <c r="L196" s="73">
        <f t="shared" si="26"/>
        <v>4673909.5297417473</v>
      </c>
      <c r="M196" s="73">
        <f t="shared" si="26"/>
        <v>341943560.93034065</v>
      </c>
      <c r="N196" s="73">
        <f t="shared" si="26"/>
        <v>21464378.02315186</v>
      </c>
    </row>
    <row r="197" spans="2:15">
      <c r="F197" s="68"/>
      <c r="G197" s="40"/>
      <c r="H197" s="40"/>
      <c r="I197" s="40"/>
      <c r="J197" s="40"/>
      <c r="K197" s="40"/>
      <c r="L197" s="40"/>
      <c r="M197" s="40"/>
      <c r="N197" s="40"/>
    </row>
    <row r="198" spans="2:15">
      <c r="B198" s="50" t="s">
        <v>467</v>
      </c>
      <c r="D198" t="s">
        <v>181</v>
      </c>
      <c r="F198" s="179">
        <f>SUM(G198:N198)</f>
        <v>986667889.14870226</v>
      </c>
      <c r="G198" s="180">
        <f>G196-G178-G179-G188-G189-G192</f>
        <v>4518345.7300000004</v>
      </c>
      <c r="H198" s="180">
        <f t="shared" ref="H198:N198" si="27">H196-H178-H179-H188-H189-H192</f>
        <v>28758275.855094545</v>
      </c>
      <c r="I198" s="180">
        <f t="shared" si="27"/>
        <v>8701439.2600856312</v>
      </c>
      <c r="J198" s="180">
        <f t="shared" si="27"/>
        <v>285290531.65614271</v>
      </c>
      <c r="K198" s="180">
        <f t="shared" si="27"/>
        <v>390686282.85686964</v>
      </c>
      <c r="L198" s="180">
        <f t="shared" si="27"/>
        <v>2807720.9466640381</v>
      </c>
      <c r="M198" s="180">
        <f t="shared" si="27"/>
        <v>250969038.20510155</v>
      </c>
      <c r="N198" s="180">
        <f t="shared" si="27"/>
        <v>14936254.63874422</v>
      </c>
      <c r="O198" s="36"/>
    </row>
    <row r="199" spans="2:15">
      <c r="F199" s="68"/>
      <c r="G199" s="40"/>
      <c r="H199" s="40"/>
      <c r="I199" s="40"/>
      <c r="J199" s="40"/>
      <c r="K199" s="40"/>
      <c r="L199" s="40"/>
      <c r="M199" s="40"/>
      <c r="N199" s="40"/>
    </row>
    <row r="200" spans="2:15">
      <c r="F200" s="68"/>
      <c r="G200" s="40"/>
      <c r="H200" s="40"/>
      <c r="I200" s="40"/>
      <c r="J200" s="40"/>
      <c r="K200" s="40"/>
      <c r="L200" s="40"/>
      <c r="M200" s="40"/>
      <c r="N200" s="40"/>
    </row>
    <row r="201" spans="2:15" s="2" customFormat="1">
      <c r="B201" s="2" t="s">
        <v>71</v>
      </c>
      <c r="F201" s="70"/>
      <c r="G201" s="71"/>
      <c r="H201" s="71"/>
      <c r="I201" s="71"/>
      <c r="J201" s="71"/>
      <c r="K201" s="71"/>
      <c r="L201" s="71"/>
      <c r="M201" s="71"/>
      <c r="N201" s="71"/>
    </row>
    <row r="202" spans="2:15">
      <c r="F202" s="68"/>
      <c r="G202" s="40"/>
      <c r="H202" s="40"/>
      <c r="I202" s="40"/>
      <c r="J202" s="40"/>
      <c r="K202" s="40"/>
      <c r="L202" s="40"/>
      <c r="M202" s="40"/>
      <c r="N202" s="40"/>
    </row>
    <row r="203" spans="2:15">
      <c r="B203" s="3" t="s">
        <v>73</v>
      </c>
      <c r="F203" s="46"/>
    </row>
    <row r="204" spans="2:15">
      <c r="F204" s="46"/>
    </row>
    <row r="205" spans="2:15">
      <c r="B205" s="81" t="s">
        <v>194</v>
      </c>
      <c r="F205" s="68"/>
      <c r="G205" s="40"/>
      <c r="H205" s="40"/>
      <c r="I205" s="40"/>
      <c r="J205" s="40"/>
      <c r="K205" s="40"/>
      <c r="L205" s="40"/>
      <c r="M205" s="40"/>
      <c r="N205" s="40"/>
    </row>
    <row r="206" spans="2:15">
      <c r="B206" s="25" t="s">
        <v>195</v>
      </c>
      <c r="D206" t="s">
        <v>182</v>
      </c>
      <c r="F206" s="82">
        <f>SUM(G206:N206)</f>
        <v>352669240.13542116</v>
      </c>
      <c r="G206" s="41">
        <f>'PRD OPEX (2009-2012)'!G60</f>
        <v>0</v>
      </c>
      <c r="H206" s="41">
        <f>'PRD OPEX (2009-2012)'!H60</f>
        <v>8134496.3854211643</v>
      </c>
      <c r="I206" s="41">
        <f>'PRD OPEX (2009-2012)'!I60</f>
        <v>0</v>
      </c>
      <c r="J206" s="41">
        <f>'PRD OPEX (2009-2012)'!J60</f>
        <v>144636526.41999999</v>
      </c>
      <c r="K206" s="41">
        <f>'PRD OPEX (2009-2012)'!K60</f>
        <v>119811255.33</v>
      </c>
      <c r="L206" s="41">
        <f>'PRD OPEX (2009-2012)'!L60</f>
        <v>0</v>
      </c>
      <c r="M206" s="41">
        <f>'PRD OPEX (2009-2012)'!M60</f>
        <v>73239608</v>
      </c>
      <c r="N206" s="41">
        <f>'PRD OPEX (2009-2012)'!N60</f>
        <v>6847354</v>
      </c>
    </row>
    <row r="207" spans="2:15">
      <c r="B207" s="25" t="s">
        <v>196</v>
      </c>
      <c r="D207" t="s">
        <v>182</v>
      </c>
      <c r="F207" s="82">
        <f>SUM(G207:N207)</f>
        <v>19341881.041000001</v>
      </c>
      <c r="G207" s="41">
        <f>'PRD OPEX (2009-2012)'!G61</f>
        <v>3205889</v>
      </c>
      <c r="H207" s="41">
        <f>'PRD OPEX (2009-2012)'!H61</f>
        <v>0</v>
      </c>
      <c r="I207" s="41">
        <f>'PRD OPEX (2009-2012)'!I61</f>
        <v>6785819.2400000002</v>
      </c>
      <c r="J207" s="41">
        <f>'PRD OPEX (2009-2012)'!J61</f>
        <v>1725180.5109999999</v>
      </c>
      <c r="K207" s="41">
        <f>'PRD OPEX (2009-2012)'!K61</f>
        <v>747734.48999999987</v>
      </c>
      <c r="L207" s="41">
        <f>'PRD OPEX (2009-2012)'!L61</f>
        <v>1974084.8</v>
      </c>
      <c r="M207" s="41">
        <f>'PRD OPEX (2009-2012)'!M61</f>
        <v>4752515</v>
      </c>
      <c r="N207" s="41">
        <f>'PRD OPEX (2009-2012)'!N61</f>
        <v>150658</v>
      </c>
    </row>
    <row r="208" spans="2:15">
      <c r="B208" s="25" t="s">
        <v>197</v>
      </c>
      <c r="D208" t="s">
        <v>182</v>
      </c>
      <c r="F208" s="82">
        <f>SUM(G208:N208)</f>
        <v>277278795.69912004</v>
      </c>
      <c r="G208" s="41">
        <f>'PRD OPEX (2009-2012)'!G62</f>
        <v>1110173</v>
      </c>
      <c r="H208" s="41">
        <f>'PRD OPEX (2009-2012)'!H62</f>
        <v>6110820.1100000031</v>
      </c>
      <c r="I208" s="41">
        <f>'PRD OPEX (2009-2012)'!I62</f>
        <v>4574406.3099999996</v>
      </c>
      <c r="J208" s="41">
        <f>'PRD OPEX (2009-2012)'!J62</f>
        <v>92476459.629120022</v>
      </c>
      <c r="K208" s="41">
        <f>'PRD OPEX (2009-2012)'!K62</f>
        <v>104839228.91000001</v>
      </c>
      <c r="L208" s="41">
        <f>'PRD OPEX (2009-2012)'!L62</f>
        <v>520897</v>
      </c>
      <c r="M208" s="41">
        <f>'PRD OPEX (2009-2012)'!M62</f>
        <v>62668551</v>
      </c>
      <c r="N208" s="41">
        <f>'PRD OPEX (2009-2012)'!N62</f>
        <v>4978259.74</v>
      </c>
    </row>
    <row r="209" spans="2:14">
      <c r="B209" s="25" t="s">
        <v>330</v>
      </c>
      <c r="D209" t="s">
        <v>182</v>
      </c>
      <c r="F209" s="82">
        <f>SUM(G209:N209)</f>
        <v>6130</v>
      </c>
      <c r="G209" s="41">
        <f>'PRD OPEX (2009-2012)'!G63</f>
        <v>6130</v>
      </c>
      <c r="H209" s="41">
        <f>'PRD OPEX (2009-2012)'!H63</f>
        <v>0</v>
      </c>
      <c r="I209" s="41">
        <f>'PRD OPEX (2009-2012)'!I63</f>
        <v>0</v>
      </c>
      <c r="J209" s="41">
        <f>'PRD OPEX (2009-2012)'!J63</f>
        <v>0</v>
      </c>
      <c r="K209" s="41">
        <f>'PRD OPEX (2009-2012)'!K63</f>
        <v>0</v>
      </c>
      <c r="L209" s="41">
        <f>'PRD OPEX (2009-2012)'!L63</f>
        <v>0</v>
      </c>
      <c r="M209" s="41">
        <f>'PRD OPEX (2009-2012)'!M63</f>
        <v>0</v>
      </c>
      <c r="N209" s="41">
        <f>'PRD OPEX (2009-2012)'!N63</f>
        <v>0</v>
      </c>
    </row>
    <row r="210" spans="2:14">
      <c r="B210" s="25"/>
      <c r="F210" s="68"/>
      <c r="G210" s="40"/>
      <c r="H210" s="40"/>
      <c r="I210" s="40"/>
      <c r="J210" s="40"/>
      <c r="K210" s="40"/>
      <c r="L210" s="40"/>
      <c r="M210" s="40"/>
      <c r="N210" s="40"/>
    </row>
    <row r="211" spans="2:14">
      <c r="B211" s="81" t="s">
        <v>198</v>
      </c>
      <c r="F211" s="68"/>
      <c r="G211" s="40"/>
      <c r="H211" s="40"/>
      <c r="I211" s="40"/>
      <c r="J211" s="40"/>
      <c r="K211" s="40"/>
      <c r="L211" s="40"/>
      <c r="M211" s="40"/>
      <c r="N211" s="40"/>
    </row>
    <row r="212" spans="2:14">
      <c r="B212" s="25" t="s">
        <v>199</v>
      </c>
      <c r="D212" t="s">
        <v>182</v>
      </c>
      <c r="F212" s="82">
        <f>SUM(G212:N212)</f>
        <v>771169410.88172412</v>
      </c>
      <c r="G212" s="41">
        <f>'PRD OPEX (2009-2012)'!G66</f>
        <v>3746304</v>
      </c>
      <c r="H212" s="41">
        <f>'PRD OPEX (2009-2012)'!H66</f>
        <v>21606479.533203602</v>
      </c>
      <c r="I212" s="41">
        <f>'PRD OPEX (2009-2012)'!I66</f>
        <v>7989752.3650398152</v>
      </c>
      <c r="J212" s="41">
        <f>'PRD OPEX (2009-2012)'!J66</f>
        <v>228683352.06878099</v>
      </c>
      <c r="K212" s="41">
        <f>'PRD OPEX (2009-2012)'!K66</f>
        <v>324130034.21117359</v>
      </c>
      <c r="L212" s="41">
        <f>'PRD OPEX (2009-2012)'!L66</f>
        <v>2253078.06</v>
      </c>
      <c r="M212" s="41">
        <f>'PRD OPEX (2009-2012)'!M66</f>
        <v>173162709.37926617</v>
      </c>
      <c r="N212" s="41">
        <f>'PRD OPEX (2009-2012)'!N66</f>
        <v>9597701.2642599996</v>
      </c>
    </row>
    <row r="213" spans="2:14">
      <c r="B213" s="25" t="s">
        <v>200</v>
      </c>
      <c r="D213" t="s">
        <v>182</v>
      </c>
      <c r="F213" s="82">
        <f>SUM(G213:N213)</f>
        <v>23847868.598614596</v>
      </c>
      <c r="G213" s="41">
        <f>'PRD OPEX (2009-2012)'!G67</f>
        <v>0</v>
      </c>
      <c r="H213" s="41">
        <f>'PRD OPEX (2009-2012)'!H67</f>
        <v>0</v>
      </c>
      <c r="I213" s="41">
        <f>'PRD OPEX (2009-2012)'!I67</f>
        <v>0</v>
      </c>
      <c r="J213" s="41">
        <f>'PRD OPEX (2009-2012)'!J67</f>
        <v>0</v>
      </c>
      <c r="K213" s="41">
        <f>'PRD OPEX (2009-2012)'!K67</f>
        <v>0</v>
      </c>
      <c r="L213" s="41">
        <f>'PRD OPEX (2009-2012)'!L67</f>
        <v>262310.96999999997</v>
      </c>
      <c r="M213" s="41">
        <f>'PRD OPEX (2009-2012)'!M67</f>
        <v>23585557.628614597</v>
      </c>
      <c r="N213" s="41">
        <f>'PRD OPEX (2009-2012)'!N67</f>
        <v>0</v>
      </c>
    </row>
    <row r="214" spans="2:14">
      <c r="B214" s="25"/>
      <c r="F214" s="68"/>
      <c r="G214" s="40"/>
      <c r="H214" s="40"/>
      <c r="I214" s="40"/>
      <c r="J214" s="40"/>
      <c r="K214" s="40"/>
      <c r="L214" s="40"/>
      <c r="M214" s="40"/>
      <c r="N214" s="40"/>
    </row>
    <row r="215" spans="2:14">
      <c r="B215" s="81" t="s">
        <v>201</v>
      </c>
      <c r="F215" s="68"/>
      <c r="G215" s="40"/>
      <c r="H215" s="40"/>
      <c r="I215" s="40"/>
      <c r="J215" s="40"/>
      <c r="K215" s="40"/>
      <c r="L215" s="40"/>
      <c r="M215" s="40"/>
      <c r="N215" s="40"/>
    </row>
    <row r="216" spans="2:14">
      <c r="B216" s="25" t="s">
        <v>202</v>
      </c>
      <c r="D216" t="s">
        <v>182</v>
      </c>
      <c r="F216" s="82">
        <f>SUM(G216:N216)</f>
        <v>37381340.960763238</v>
      </c>
      <c r="G216" s="41">
        <f>'PRD OPEX (2009-2012)'!G70</f>
        <v>0</v>
      </c>
      <c r="H216" s="41">
        <f>'PRD OPEX (2009-2012)'!H70</f>
        <v>821971.5</v>
      </c>
      <c r="I216" s="41">
        <f>'PRD OPEX (2009-2012)'!I70</f>
        <v>0</v>
      </c>
      <c r="J216" s="41">
        <f>'PRD OPEX (2009-2012)'!J70</f>
        <v>1750320</v>
      </c>
      <c r="K216" s="41">
        <f>'PRD OPEX (2009-2012)'!K70</f>
        <v>18867648.890763242</v>
      </c>
      <c r="L216" s="41">
        <f>'PRD OPEX (2009-2012)'!L70</f>
        <v>0</v>
      </c>
      <c r="M216" s="41">
        <f>'PRD OPEX (2009-2012)'!M70</f>
        <v>15909316</v>
      </c>
      <c r="N216" s="41">
        <f>'PRD OPEX (2009-2012)'!N70</f>
        <v>32084.57</v>
      </c>
    </row>
    <row r="217" spans="2:14">
      <c r="B217" s="25" t="s">
        <v>203</v>
      </c>
      <c r="D217" t="s">
        <v>182</v>
      </c>
      <c r="F217" s="82">
        <f>SUM(G217:N217)</f>
        <v>4642</v>
      </c>
      <c r="G217" s="41">
        <f>'PRD OPEX (2009-2012)'!G71</f>
        <v>4642</v>
      </c>
      <c r="H217" s="41">
        <f>'PRD OPEX (2009-2012)'!H71</f>
        <v>0</v>
      </c>
      <c r="I217" s="41">
        <f>'PRD OPEX (2009-2012)'!I71</f>
        <v>0</v>
      </c>
      <c r="J217" s="41">
        <f>'PRD OPEX (2009-2012)'!J71</f>
        <v>0</v>
      </c>
      <c r="K217" s="41">
        <f>'PRD OPEX (2009-2012)'!K71</f>
        <v>0</v>
      </c>
      <c r="L217" s="41">
        <f>'PRD OPEX (2009-2012)'!L71</f>
        <v>0</v>
      </c>
      <c r="M217" s="41">
        <f>'PRD OPEX (2009-2012)'!M71</f>
        <v>0</v>
      </c>
      <c r="N217" s="41">
        <f>'PRD OPEX (2009-2012)'!N71</f>
        <v>0</v>
      </c>
    </row>
    <row r="218" spans="2:14">
      <c r="B218" s="25"/>
      <c r="F218" s="68"/>
      <c r="G218" s="40"/>
      <c r="H218" s="40"/>
      <c r="I218" s="40"/>
      <c r="J218" s="40"/>
      <c r="K218" s="40"/>
      <c r="L218" s="40"/>
      <c r="M218" s="40"/>
      <c r="N218" s="40"/>
    </row>
    <row r="219" spans="2:14">
      <c r="B219" s="81" t="s">
        <v>204</v>
      </c>
      <c r="F219" s="68"/>
      <c r="G219" s="40"/>
      <c r="H219" s="40"/>
      <c r="I219" s="40"/>
      <c r="J219" s="40"/>
      <c r="K219" s="40"/>
      <c r="L219" s="40"/>
      <c r="M219" s="40"/>
      <c r="N219" s="40"/>
    </row>
    <row r="220" spans="2:14">
      <c r="B220" s="25" t="s">
        <v>331</v>
      </c>
      <c r="D220" t="s">
        <v>182</v>
      </c>
      <c r="F220" s="82">
        <f>SUM(G220:N220)</f>
        <v>8022665.5678633489</v>
      </c>
      <c r="G220" s="41">
        <f>'PRD OPEX (2009-2012)'!G74</f>
        <v>55891.670000000006</v>
      </c>
      <c r="H220" s="41">
        <f>'PRD OPEX (2009-2012)'!H74</f>
        <v>193754.88647000003</v>
      </c>
      <c r="I220" s="41">
        <f>'PRD OPEX (2009-2012)'!I74</f>
        <v>90141.403460864283</v>
      </c>
      <c r="J220" s="41">
        <f>'PRD OPEX (2009-2012)'!J74</f>
        <v>2854779.6157059204</v>
      </c>
      <c r="K220" s="41">
        <f>'PRD OPEX (2009-2012)'!K74</f>
        <v>2889310.0987137407</v>
      </c>
      <c r="L220" s="41">
        <f>'PRD OPEX (2009-2012)'!L74</f>
        <v>32445.09</v>
      </c>
      <c r="M220" s="41">
        <f>'PRD OPEX (2009-2012)'!M74</f>
        <v>1834913.7005999999</v>
      </c>
      <c r="N220" s="41">
        <f>'PRD OPEX (2009-2012)'!N74</f>
        <v>71429.102912824033</v>
      </c>
    </row>
    <row r="221" spans="2:14">
      <c r="B221" s="25" t="s">
        <v>332</v>
      </c>
      <c r="D221" t="s">
        <v>182</v>
      </c>
      <c r="F221" s="82">
        <f>SUM(G221:N221)</f>
        <v>4763595.5661339397</v>
      </c>
      <c r="G221" s="41">
        <f>'PRD OPEX (2009-2012)'!G75</f>
        <v>29917.454300000001</v>
      </c>
      <c r="H221" s="41">
        <f>'PRD OPEX (2009-2012)'!H75</f>
        <v>123963.71725638183</v>
      </c>
      <c r="I221" s="41">
        <f>'PRD OPEX (2009-2012)'!I75</f>
        <v>67252.570896652731</v>
      </c>
      <c r="J221" s="41">
        <f>'PRD OPEX (2009-2012)'!J75</f>
        <v>1517957.7268277665</v>
      </c>
      <c r="K221" s="41">
        <f>'PRD OPEX (2009-2012)'!K75</f>
        <v>1541944.2044580879</v>
      </c>
      <c r="L221" s="41">
        <f>'PRD OPEX (2009-2012)'!L75</f>
        <v>18793.830000000002</v>
      </c>
      <c r="M221" s="41">
        <f>'PRD OPEX (2009-2012)'!M75</f>
        <v>1333715.1653078743</v>
      </c>
      <c r="N221" s="41">
        <f>'PRD OPEX (2009-2012)'!N75</f>
        <v>130050.89708717598</v>
      </c>
    </row>
    <row r="222" spans="2:14">
      <c r="B222" s="83" t="s">
        <v>333</v>
      </c>
      <c r="D222" t="s">
        <v>182</v>
      </c>
      <c r="F222" s="82">
        <f>SUM(G222:N222)</f>
        <v>16070378.105314899</v>
      </c>
      <c r="G222" s="41">
        <f>'PRD OPEX (2009-2012)'!G76</f>
        <v>0</v>
      </c>
      <c r="H222" s="41">
        <f>'PRD OPEX (2009-2012)'!H76</f>
        <v>35404.699999999997</v>
      </c>
      <c r="I222" s="41">
        <f>'PRD OPEX (2009-2012)'!I76</f>
        <v>28287.510798789008</v>
      </c>
      <c r="J222" s="41">
        <f>'PRD OPEX (2009-2012)'!J76</f>
        <v>4166379.1362300781</v>
      </c>
      <c r="K222" s="41">
        <f>'PRD OPEX (2009-2012)'!K76</f>
        <v>11545640.813241772</v>
      </c>
      <c r="L222" s="41">
        <f>'PRD OPEX (2009-2012)'!L76</f>
        <v>37876.76</v>
      </c>
      <c r="M222" s="41">
        <f>'PRD OPEX (2009-2012)'!M76</f>
        <v>212789.18504425997</v>
      </c>
      <c r="N222" s="41">
        <f>'PRD OPEX (2009-2012)'!N76</f>
        <v>44000</v>
      </c>
    </row>
    <row r="223" spans="2:14">
      <c r="B223" s="25"/>
      <c r="F223" s="68"/>
      <c r="G223" s="40"/>
      <c r="H223" s="40"/>
      <c r="I223" s="40"/>
      <c r="J223" s="40"/>
      <c r="K223" s="40"/>
      <c r="L223" s="40"/>
      <c r="M223" s="40"/>
      <c r="N223" s="40"/>
    </row>
    <row r="224" spans="2:14">
      <c r="B224" s="25" t="s">
        <v>205</v>
      </c>
      <c r="D224" t="s">
        <v>182</v>
      </c>
      <c r="F224" s="73">
        <f t="shared" ref="F224:N224" si="28">SUM(F206:F209,F212:F213,F216:F217,F220:F222)</f>
        <v>1510555948.5559556</v>
      </c>
      <c r="G224" s="73">
        <f t="shared" si="28"/>
        <v>8158947.1243000003</v>
      </c>
      <c r="H224" s="73">
        <f t="shared" si="28"/>
        <v>37026890.832351156</v>
      </c>
      <c r="I224" s="73">
        <f t="shared" si="28"/>
        <v>19535659.40019612</v>
      </c>
      <c r="J224" s="73">
        <f t="shared" si="28"/>
        <v>477810955.1076647</v>
      </c>
      <c r="K224" s="73">
        <f t="shared" si="28"/>
        <v>584372796.94835043</v>
      </c>
      <c r="L224" s="73">
        <f t="shared" si="28"/>
        <v>5099486.5099999988</v>
      </c>
      <c r="M224" s="73">
        <f t="shared" si="28"/>
        <v>356699675.05883294</v>
      </c>
      <c r="N224" s="73">
        <f t="shared" si="28"/>
        <v>21851537.57426</v>
      </c>
    </row>
    <row r="225" spans="2:14">
      <c r="F225" s="68"/>
      <c r="G225" s="40"/>
      <c r="H225" s="40"/>
      <c r="I225" s="40"/>
      <c r="J225" s="40"/>
      <c r="K225" s="40"/>
      <c r="L225" s="40"/>
      <c r="M225" s="40"/>
      <c r="N225" s="40"/>
    </row>
    <row r="226" spans="2:14">
      <c r="F226" s="68"/>
      <c r="G226" s="40"/>
      <c r="H226" s="40"/>
      <c r="I226" s="40"/>
      <c r="J226" s="40"/>
      <c r="K226" s="40"/>
      <c r="L226" s="40"/>
      <c r="M226" s="40"/>
      <c r="N226" s="40"/>
    </row>
    <row r="227" spans="2:14">
      <c r="B227" s="3" t="s">
        <v>536</v>
      </c>
      <c r="F227" s="68"/>
      <c r="G227" s="40"/>
      <c r="H227" s="40"/>
      <c r="I227" s="40"/>
      <c r="J227" s="40"/>
      <c r="K227" s="40"/>
      <c r="L227" s="40"/>
      <c r="M227" s="40"/>
      <c r="N227" s="40"/>
    </row>
    <row r="228" spans="2:14">
      <c r="F228" s="68"/>
      <c r="G228" s="40"/>
      <c r="H228" s="40"/>
      <c r="I228" s="40"/>
      <c r="J228" s="40"/>
      <c r="K228" s="40"/>
      <c r="L228" s="40"/>
      <c r="M228" s="40"/>
      <c r="N228" s="40"/>
    </row>
    <row r="229" spans="2:14">
      <c r="B229" s="81" t="s">
        <v>194</v>
      </c>
      <c r="F229" s="46"/>
    </row>
    <row r="230" spans="2:14">
      <c r="B230" s="25" t="s">
        <v>195</v>
      </c>
      <c r="D230" t="s">
        <v>182</v>
      </c>
      <c r="F230" s="82">
        <f>SUM(G230:N230)</f>
        <v>0</v>
      </c>
      <c r="G230" s="39"/>
      <c r="H230" s="39"/>
      <c r="I230" s="39"/>
      <c r="J230" s="39"/>
      <c r="K230" s="39"/>
      <c r="L230" s="39"/>
      <c r="M230" s="39"/>
      <c r="N230" s="160"/>
    </row>
    <row r="231" spans="2:14">
      <c r="B231" s="25" t="s">
        <v>196</v>
      </c>
      <c r="D231" t="s">
        <v>182</v>
      </c>
      <c r="F231" s="82">
        <f>SUM(G231:N231)</f>
        <v>0</v>
      </c>
      <c r="G231" s="39"/>
      <c r="H231" s="39"/>
      <c r="I231" s="39"/>
      <c r="J231" s="39"/>
      <c r="K231" s="39"/>
      <c r="L231" s="39"/>
      <c r="M231" s="39"/>
      <c r="N231" s="39"/>
    </row>
    <row r="232" spans="2:14">
      <c r="B232" s="25" t="s">
        <v>197</v>
      </c>
      <c r="D232" t="s">
        <v>182</v>
      </c>
      <c r="F232" s="82">
        <f>SUM(G232:N232)</f>
        <v>0</v>
      </c>
      <c r="G232" s="39"/>
      <c r="H232" s="39"/>
      <c r="I232" s="39"/>
      <c r="J232" s="39"/>
      <c r="K232" s="39"/>
      <c r="L232" s="39"/>
      <c r="M232" s="39"/>
      <c r="N232" s="39"/>
    </row>
    <row r="233" spans="2:14">
      <c r="B233" s="25" t="s">
        <v>330</v>
      </c>
      <c r="D233" t="s">
        <v>182</v>
      </c>
      <c r="F233" s="82">
        <f>SUM(G233:N233)</f>
        <v>0</v>
      </c>
      <c r="G233" s="39"/>
      <c r="H233" s="39"/>
      <c r="I233" s="39"/>
      <c r="J233" s="39"/>
      <c r="K233" s="39"/>
      <c r="L233" s="39"/>
      <c r="M233" s="39"/>
      <c r="N233" s="39"/>
    </row>
    <row r="234" spans="2:14">
      <c r="B234" s="25"/>
      <c r="F234" s="68"/>
      <c r="G234" s="36"/>
      <c r="H234" s="36"/>
      <c r="I234" s="36"/>
      <c r="J234" s="36"/>
      <c r="K234" s="36"/>
      <c r="L234" s="36"/>
      <c r="M234" s="36"/>
      <c r="N234" s="36"/>
    </row>
    <row r="235" spans="2:14">
      <c r="B235" s="81" t="s">
        <v>198</v>
      </c>
      <c r="F235" s="68"/>
      <c r="G235" s="36"/>
      <c r="H235" s="36"/>
      <c r="I235" s="36"/>
      <c r="J235" s="36"/>
      <c r="K235" s="36"/>
      <c r="L235" s="36"/>
      <c r="M235" s="36"/>
      <c r="N235" s="36"/>
    </row>
    <row r="236" spans="2:14">
      <c r="B236" s="25" t="s">
        <v>199</v>
      </c>
      <c r="D236" t="s">
        <v>182</v>
      </c>
      <c r="F236" s="82">
        <f>SUM(G236:N236)</f>
        <v>0</v>
      </c>
      <c r="G236" s="39"/>
      <c r="H236" s="39"/>
      <c r="I236" s="39"/>
      <c r="J236" s="39"/>
      <c r="K236" s="39"/>
      <c r="L236" s="39"/>
      <c r="M236" s="39"/>
      <c r="N236" s="39"/>
    </row>
    <row r="237" spans="2:14">
      <c r="B237" s="25" t="s">
        <v>200</v>
      </c>
      <c r="D237" t="s">
        <v>182</v>
      </c>
      <c r="F237" s="82">
        <f>SUM(G237:N237)</f>
        <v>0</v>
      </c>
      <c r="G237" s="39"/>
      <c r="H237" s="39"/>
      <c r="I237" s="39"/>
      <c r="J237" s="39"/>
      <c r="K237" s="39"/>
      <c r="L237" s="39"/>
      <c r="M237" s="39"/>
      <c r="N237" s="39"/>
    </row>
    <row r="238" spans="2:14">
      <c r="B238" s="25"/>
      <c r="F238" s="68"/>
      <c r="G238" s="36"/>
      <c r="H238" s="36"/>
      <c r="I238" s="36"/>
      <c r="J238" s="36"/>
      <c r="K238" s="36"/>
      <c r="L238" s="36"/>
      <c r="M238" s="36"/>
      <c r="N238" s="36"/>
    </row>
    <row r="239" spans="2:14">
      <c r="B239" s="81" t="s">
        <v>201</v>
      </c>
      <c r="F239" s="68"/>
      <c r="G239" s="36"/>
      <c r="H239" s="36"/>
      <c r="I239" s="36"/>
      <c r="J239" s="36"/>
      <c r="K239" s="36"/>
      <c r="L239" s="36"/>
      <c r="M239" s="36"/>
      <c r="N239" s="36"/>
    </row>
    <row r="240" spans="2:14">
      <c r="B240" s="25" t="s">
        <v>202</v>
      </c>
      <c r="D240" t="s">
        <v>182</v>
      </c>
      <c r="F240" s="82">
        <f>SUM(G240:N240)</f>
        <v>0</v>
      </c>
      <c r="G240" s="39"/>
      <c r="H240" s="39"/>
      <c r="I240" s="39"/>
      <c r="J240" s="39"/>
      <c r="K240" s="39"/>
      <c r="L240" s="39"/>
      <c r="M240" s="39"/>
      <c r="N240" s="39"/>
    </row>
    <row r="241" spans="2:14">
      <c r="B241" s="25" t="s">
        <v>203</v>
      </c>
      <c r="D241" t="s">
        <v>182</v>
      </c>
      <c r="F241" s="82">
        <f>SUM(G241:N241)</f>
        <v>0</v>
      </c>
      <c r="G241" s="39"/>
      <c r="H241" s="39"/>
      <c r="I241" s="39"/>
      <c r="J241" s="39"/>
      <c r="K241" s="39"/>
      <c r="L241" s="39"/>
      <c r="M241" s="39"/>
      <c r="N241" s="39"/>
    </row>
    <row r="242" spans="2:14">
      <c r="B242" s="25"/>
      <c r="F242" s="68"/>
      <c r="G242" s="36"/>
      <c r="H242" s="36"/>
      <c r="I242" s="36"/>
      <c r="J242" s="36"/>
      <c r="K242" s="36"/>
      <c r="L242" s="36"/>
      <c r="M242" s="36"/>
      <c r="N242" s="36"/>
    </row>
    <row r="243" spans="2:14">
      <c r="B243" s="81" t="s">
        <v>204</v>
      </c>
      <c r="F243" s="68"/>
      <c r="G243" s="36"/>
      <c r="H243" s="36"/>
      <c r="I243" s="36"/>
      <c r="J243" s="36"/>
      <c r="K243" s="36"/>
      <c r="L243" s="36"/>
      <c r="M243" s="36"/>
      <c r="N243" s="36"/>
    </row>
    <row r="244" spans="2:14">
      <c r="B244" s="25" t="s">
        <v>331</v>
      </c>
      <c r="D244" t="s">
        <v>182</v>
      </c>
      <c r="F244" s="82">
        <f>SUM(G244:N244)</f>
        <v>0</v>
      </c>
      <c r="G244" s="39"/>
      <c r="H244" s="39"/>
      <c r="I244" s="39"/>
      <c r="J244" s="39"/>
      <c r="K244" s="39"/>
      <c r="L244" s="39"/>
      <c r="M244" s="39"/>
      <c r="N244" s="39"/>
    </row>
    <row r="245" spans="2:14">
      <c r="B245" s="25" t="s">
        <v>332</v>
      </c>
      <c r="D245" t="s">
        <v>182</v>
      </c>
      <c r="F245" s="82">
        <f>SUM(G245:N245)</f>
        <v>0</v>
      </c>
      <c r="G245" s="39"/>
      <c r="H245" s="39"/>
      <c r="I245" s="39"/>
      <c r="J245" s="39"/>
      <c r="K245" s="39"/>
      <c r="L245" s="39"/>
      <c r="M245" s="39"/>
      <c r="N245" s="39"/>
    </row>
    <row r="246" spans="2:14">
      <c r="B246" s="83" t="s">
        <v>333</v>
      </c>
      <c r="D246" t="s">
        <v>182</v>
      </c>
      <c r="F246" s="82">
        <f>SUM(G246:N246)</f>
        <v>0</v>
      </c>
      <c r="G246" s="39"/>
      <c r="H246" s="39"/>
      <c r="I246" s="39"/>
      <c r="J246" s="39"/>
      <c r="K246" s="39"/>
      <c r="L246" s="39"/>
      <c r="M246" s="39"/>
      <c r="N246" s="39"/>
    </row>
    <row r="247" spans="2:14">
      <c r="F247" s="68"/>
      <c r="G247" s="40"/>
      <c r="H247" s="40"/>
      <c r="I247" s="40"/>
      <c r="J247" s="40"/>
      <c r="K247" s="40"/>
      <c r="L247" s="40"/>
      <c r="M247" s="40"/>
      <c r="N247" s="40"/>
    </row>
    <row r="248" spans="2:14">
      <c r="F248" s="68"/>
      <c r="G248" s="40"/>
      <c r="H248" s="40"/>
      <c r="I248" s="40"/>
      <c r="J248" s="40"/>
      <c r="K248" s="40"/>
      <c r="L248" s="40"/>
      <c r="M248" s="40"/>
      <c r="N248" s="40"/>
    </row>
    <row r="249" spans="2:14">
      <c r="B249" s="3" t="s">
        <v>535</v>
      </c>
      <c r="F249" s="68"/>
      <c r="G249" s="40"/>
      <c r="H249" s="40"/>
      <c r="I249" s="40"/>
      <c r="J249" s="40"/>
      <c r="K249" s="40"/>
      <c r="L249" s="40"/>
      <c r="M249" s="40"/>
      <c r="N249" s="40"/>
    </row>
    <row r="250" spans="2:14">
      <c r="F250" s="68"/>
      <c r="G250" s="40"/>
      <c r="H250" s="40"/>
      <c r="I250" s="40"/>
      <c r="J250" s="40"/>
      <c r="K250" s="40"/>
      <c r="L250" s="40"/>
      <c r="M250" s="40"/>
      <c r="N250" s="40"/>
    </row>
    <row r="251" spans="2:14">
      <c r="B251" s="81" t="s">
        <v>194</v>
      </c>
      <c r="F251" s="46"/>
    </row>
    <row r="252" spans="2:14">
      <c r="B252" s="25" t="s">
        <v>195</v>
      </c>
      <c r="D252" t="s">
        <v>182</v>
      </c>
      <c r="F252" s="82">
        <f>SUM(G252:N252)</f>
        <v>0</v>
      </c>
      <c r="G252" s="39"/>
      <c r="H252" s="39"/>
      <c r="I252" s="39"/>
      <c r="J252" s="39"/>
      <c r="K252" s="39"/>
      <c r="L252" s="39"/>
      <c r="M252" s="39"/>
      <c r="N252" s="39"/>
    </row>
    <row r="253" spans="2:14">
      <c r="B253" s="25" t="s">
        <v>196</v>
      </c>
      <c r="D253" t="s">
        <v>182</v>
      </c>
      <c r="F253" s="82">
        <f>SUM(G253:N253)</f>
        <v>0</v>
      </c>
      <c r="G253" s="39"/>
      <c r="H253" s="39"/>
      <c r="I253" s="39"/>
      <c r="J253" s="39"/>
      <c r="K253" s="39"/>
      <c r="L253" s="39"/>
      <c r="M253" s="39"/>
      <c r="N253" s="39"/>
    </row>
    <row r="254" spans="2:14">
      <c r="B254" s="25" t="s">
        <v>197</v>
      </c>
      <c r="D254" t="s">
        <v>182</v>
      </c>
      <c r="F254" s="82">
        <f>SUM(G254:N254)</f>
        <v>14800727.420764441</v>
      </c>
      <c r="G254" s="180">
        <f>SUM('PRD Ov.Opbrengsten (2009-2012)'!G161:G163)-'PRD Ov.Opbrengsten (2009-2012)'!G176</f>
        <v>211939.30000000005</v>
      </c>
      <c r="H254" s="180">
        <f>SUM('PRD Ov.Opbrengsten (2009-2012)'!H161:H163)-'PRD Ov.Opbrengsten (2009-2012)'!H176</f>
        <v>124910.37</v>
      </c>
      <c r="I254" s="180">
        <f>SUM('PRD Ov.Opbrengsten (2009-2012)'!I161:I163)-'PRD Ov.Opbrengsten (2009-2012)'!I176</f>
        <v>475846.89488000004</v>
      </c>
      <c r="J254" s="180">
        <f>SUM('PRD Ov.Opbrengsten (2009-2012)'!J161:J163)-'PRD Ov.Opbrengsten (2009-2012)'!J176</f>
        <v>8405561.0700000003</v>
      </c>
      <c r="K254" s="180">
        <f>SUM('PRD Ov.Opbrengsten (2009-2012)'!K161:K163)-'PRD Ov.Opbrengsten (2009-2012)'!K176</f>
        <v>1352954.975884438</v>
      </c>
      <c r="L254" s="180">
        <f>SUM('PRD Ov.Opbrengsten (2009-2012)'!L161:L163)-'PRD Ov.Opbrengsten (2009-2012)'!L176</f>
        <v>9925</v>
      </c>
      <c r="M254" s="180">
        <f>SUM('PRD Ov.Opbrengsten (2009-2012)'!M161:M163)-'PRD Ov.Opbrengsten (2009-2012)'!M176</f>
        <v>4234644.160000002</v>
      </c>
      <c r="N254" s="180">
        <f>SUM('PRD Ov.Opbrengsten (2009-2012)'!N161:N163)-'PRD Ov.Opbrengsten (2009-2012)'!N176</f>
        <v>-15054.349999999999</v>
      </c>
    </row>
    <row r="255" spans="2:14">
      <c r="B255" s="25" t="s">
        <v>330</v>
      </c>
      <c r="D255" t="s">
        <v>182</v>
      </c>
      <c r="F255" s="82">
        <f>SUM(G255:N255)</f>
        <v>0</v>
      </c>
      <c r="G255" s="39"/>
      <c r="H255" s="39"/>
      <c r="I255" s="39"/>
      <c r="J255" s="39"/>
      <c r="K255" s="39"/>
      <c r="L255" s="39"/>
      <c r="M255" s="39"/>
      <c r="N255" s="39"/>
    </row>
    <row r="256" spans="2:14">
      <c r="B256" s="25"/>
      <c r="F256" s="68"/>
      <c r="G256" s="36"/>
      <c r="H256" s="36"/>
      <c r="I256" s="36"/>
      <c r="J256" s="36"/>
      <c r="K256" s="36"/>
      <c r="L256" s="36"/>
      <c r="M256" s="36"/>
      <c r="N256" s="36"/>
    </row>
    <row r="257" spans="2:14">
      <c r="B257" s="81" t="s">
        <v>198</v>
      </c>
      <c r="F257" s="68"/>
      <c r="G257" s="36"/>
      <c r="H257" s="36"/>
      <c r="I257" s="36"/>
      <c r="J257" s="36"/>
      <c r="K257" s="36"/>
      <c r="L257" s="36"/>
      <c r="M257" s="36"/>
      <c r="N257" s="36"/>
    </row>
    <row r="258" spans="2:14">
      <c r="B258" s="25" t="s">
        <v>199</v>
      </c>
      <c r="D258" t="s">
        <v>182</v>
      </c>
      <c r="F258" s="82">
        <f>SUM(G258:N258)</f>
        <v>83714158.025167584</v>
      </c>
      <c r="G258" s="180">
        <f>'PRD Ov.Opbrengsten (2009-2012)'!G157-'PRD Ov.Opbrengsten (2009-2012)'!G149+'PRD Ov.Opbrengsten (2009-2012)'!G133+SUM('PRD Ov.Opbrengsten (2009-2012)'!G164:G170)</f>
        <v>137738.41000000003</v>
      </c>
      <c r="H258" s="180">
        <f>'PRD Ov.Opbrengsten (2009-2012)'!H157-'PRD Ov.Opbrengsten (2009-2012)'!H149+'PRD Ov.Opbrengsten (2009-2012)'!H133+SUM('PRD Ov.Opbrengsten (2009-2012)'!H164:H170)</f>
        <v>223322.49050000001</v>
      </c>
      <c r="I258" s="180">
        <f>'PRD Ov.Opbrengsten (2009-2012)'!I157-'PRD Ov.Opbrengsten (2009-2012)'!I149+'PRD Ov.Opbrengsten (2009-2012)'!I133+SUM('PRD Ov.Opbrengsten (2009-2012)'!I164:I170)</f>
        <v>761241.3315033986</v>
      </c>
      <c r="J258" s="180">
        <f>'PRD Ov.Opbrengsten (2009-2012)'!J157-'PRD Ov.Opbrengsten (2009-2012)'!J149+'PRD Ov.Opbrengsten (2009-2012)'!J133+SUM('PRD Ov.Opbrengsten (2009-2012)'!J164:J170)</f>
        <v>43930917.399544701</v>
      </c>
      <c r="K258" s="180">
        <f>'PRD Ov.Opbrengsten (2009-2012)'!K157-'PRD Ov.Opbrengsten (2009-2012)'!K149+'PRD Ov.Opbrengsten (2009-2012)'!K133+SUM('PRD Ov.Opbrengsten (2009-2012)'!K164:K170)</f>
        <v>25118107.213707607</v>
      </c>
      <c r="L258" s="180">
        <f>'PRD Ov.Opbrengsten (2009-2012)'!L157-'PRD Ov.Opbrengsten (2009-2012)'!L149+'PRD Ov.Opbrengsten (2009-2012)'!L133+SUM('PRD Ov.Opbrengsten (2009-2012)'!L164:L170)</f>
        <v>153666</v>
      </c>
      <c r="M258" s="180">
        <f>'PRD Ov.Opbrengsten (2009-2012)'!M157-'PRD Ov.Opbrengsten (2009-2012)'!M149+'PRD Ov.Opbrengsten (2009-2012)'!M133+SUM('PRD Ov.Opbrengsten (2009-2012)'!M164:M170)</f>
        <v>12843863.799911881</v>
      </c>
      <c r="N258" s="180">
        <f>'PRD Ov.Opbrengsten (2009-2012)'!N157-'PRD Ov.Opbrengsten (2009-2012)'!N149+'PRD Ov.Opbrengsten (2009-2012)'!N133+SUM('PRD Ov.Opbrengsten (2009-2012)'!N164:N170)</f>
        <v>545301.38</v>
      </c>
    </row>
    <row r="259" spans="2:14">
      <c r="B259" s="25" t="s">
        <v>200</v>
      </c>
      <c r="D259" t="s">
        <v>182</v>
      </c>
      <c r="F259" s="82">
        <f>SUM(G259:N259)</f>
        <v>0</v>
      </c>
      <c r="G259" s="160"/>
      <c r="H259" s="160"/>
      <c r="I259" s="160"/>
      <c r="J259" s="160"/>
      <c r="K259" s="160"/>
      <c r="L259" s="160"/>
      <c r="M259" s="160"/>
      <c r="N259" s="160"/>
    </row>
    <row r="260" spans="2:14">
      <c r="B260" s="25"/>
      <c r="F260" s="68"/>
      <c r="G260" s="36"/>
      <c r="H260" s="36"/>
      <c r="I260" s="36"/>
      <c r="J260" s="36"/>
      <c r="K260" s="36"/>
      <c r="L260" s="36"/>
      <c r="M260" s="36"/>
      <c r="N260" s="36"/>
    </row>
    <row r="261" spans="2:14">
      <c r="B261" s="81" t="s">
        <v>201</v>
      </c>
      <c r="F261" s="68"/>
      <c r="G261" s="36"/>
      <c r="H261" s="36"/>
      <c r="I261" s="36"/>
      <c r="J261" s="36"/>
      <c r="K261" s="36"/>
      <c r="L261" s="36"/>
      <c r="M261" s="36"/>
      <c r="N261" s="36"/>
    </row>
    <row r="262" spans="2:14">
      <c r="B262" s="25" t="s">
        <v>202</v>
      </c>
      <c r="D262" t="s">
        <v>182</v>
      </c>
      <c r="F262" s="82">
        <f>SUM(G262:N262)</f>
        <v>0</v>
      </c>
      <c r="G262" s="39"/>
      <c r="H262" s="39"/>
      <c r="I262" s="39"/>
      <c r="J262" s="39"/>
      <c r="K262" s="39"/>
      <c r="L262" s="39"/>
      <c r="M262" s="39"/>
      <c r="N262" s="39"/>
    </row>
    <row r="263" spans="2:14">
      <c r="B263" s="25" t="s">
        <v>203</v>
      </c>
      <c r="D263" t="s">
        <v>182</v>
      </c>
      <c r="F263" s="82">
        <f>SUM(G263:N263)</f>
        <v>0</v>
      </c>
      <c r="G263" s="39"/>
      <c r="H263" s="39"/>
      <c r="I263" s="39"/>
      <c r="J263" s="39"/>
      <c r="K263" s="39"/>
      <c r="L263" s="39"/>
      <c r="M263" s="39"/>
      <c r="N263" s="39"/>
    </row>
    <row r="264" spans="2:14">
      <c r="B264" s="25"/>
      <c r="F264" s="68"/>
      <c r="G264" s="36"/>
      <c r="H264" s="36"/>
      <c r="I264" s="36"/>
      <c r="J264" s="36"/>
      <c r="K264" s="36"/>
      <c r="L264" s="36"/>
      <c r="M264" s="36"/>
      <c r="N264" s="36"/>
    </row>
    <row r="265" spans="2:14">
      <c r="B265" s="81" t="s">
        <v>204</v>
      </c>
      <c r="F265" s="68"/>
      <c r="G265" s="36"/>
      <c r="H265" s="36"/>
      <c r="I265" s="36"/>
      <c r="J265" s="36"/>
      <c r="K265" s="36"/>
      <c r="L265" s="36"/>
      <c r="M265" s="36"/>
      <c r="N265" s="36"/>
    </row>
    <row r="266" spans="2:14">
      <c r="B266" s="25" t="s">
        <v>331</v>
      </c>
      <c r="D266" t="s">
        <v>182</v>
      </c>
      <c r="F266" s="82">
        <f>SUM(G266:N266)</f>
        <v>0</v>
      </c>
      <c r="G266" s="39"/>
      <c r="H266" s="39"/>
      <c r="I266" s="39"/>
      <c r="J266" s="39"/>
      <c r="K266" s="39"/>
      <c r="L266" s="39"/>
      <c r="M266" s="39"/>
      <c r="N266" s="39"/>
    </row>
    <row r="267" spans="2:14">
      <c r="B267" s="25" t="s">
        <v>332</v>
      </c>
      <c r="D267" t="s">
        <v>182</v>
      </c>
      <c r="F267" s="82">
        <f>SUM(G267:N267)</f>
        <v>0</v>
      </c>
      <c r="G267" s="39"/>
      <c r="H267" s="39"/>
      <c r="I267" s="39"/>
      <c r="J267" s="39"/>
      <c r="K267" s="39"/>
      <c r="L267" s="39"/>
      <c r="M267" s="39"/>
      <c r="N267" s="39"/>
    </row>
    <row r="268" spans="2:14">
      <c r="B268" s="83" t="s">
        <v>333</v>
      </c>
      <c r="D268" t="s">
        <v>182</v>
      </c>
      <c r="F268" s="82">
        <f>SUM(G268:N268)</f>
        <v>0</v>
      </c>
      <c r="G268" s="39"/>
      <c r="H268" s="39"/>
      <c r="I268" s="39"/>
      <c r="J268" s="39"/>
      <c r="K268" s="39"/>
      <c r="L268" s="39"/>
      <c r="M268" s="39"/>
      <c r="N268" s="39"/>
    </row>
    <row r="269" spans="2:14">
      <c r="F269" s="68"/>
      <c r="G269" s="40"/>
      <c r="H269" s="40"/>
      <c r="I269" s="40"/>
      <c r="J269" s="40"/>
      <c r="K269" s="40"/>
      <c r="L269" s="40"/>
      <c r="M269" s="40"/>
      <c r="N269" s="40"/>
    </row>
    <row r="270" spans="2:14">
      <c r="F270" s="68"/>
      <c r="G270" s="40"/>
      <c r="H270" s="40"/>
      <c r="I270" s="40"/>
      <c r="J270" s="40"/>
      <c r="K270" s="40"/>
      <c r="L270" s="40"/>
      <c r="M270" s="40"/>
      <c r="N270" s="40"/>
    </row>
    <row r="271" spans="2:14">
      <c r="B271" s="3" t="s">
        <v>74</v>
      </c>
      <c r="F271" s="68"/>
      <c r="G271" s="40"/>
      <c r="H271" s="40"/>
      <c r="I271" s="40"/>
      <c r="J271" s="40"/>
      <c r="K271" s="40"/>
      <c r="L271" s="40"/>
      <c r="M271" s="40"/>
      <c r="N271" s="40"/>
    </row>
    <row r="272" spans="2:14">
      <c r="F272" s="68"/>
      <c r="G272" s="40"/>
      <c r="H272" s="40"/>
      <c r="I272" s="40"/>
      <c r="J272" s="40"/>
      <c r="K272" s="40"/>
      <c r="L272" s="40"/>
      <c r="M272" s="40"/>
      <c r="N272" s="40"/>
    </row>
    <row r="273" spans="2:16">
      <c r="B273" s="81" t="s">
        <v>194</v>
      </c>
      <c r="F273" s="46"/>
    </row>
    <row r="274" spans="2:16">
      <c r="B274" s="25" t="s">
        <v>195</v>
      </c>
      <c r="D274" t="s">
        <v>182</v>
      </c>
      <c r="F274" s="82">
        <f>SUM(G274:N274)</f>
        <v>352669240.13542116</v>
      </c>
      <c r="G274" s="29">
        <f>G206+G230-G252</f>
        <v>0</v>
      </c>
      <c r="H274" s="29">
        <f t="shared" ref="H274:N274" si="29">H206+H230-H252</f>
        <v>8134496.3854211643</v>
      </c>
      <c r="I274" s="29">
        <f t="shared" si="29"/>
        <v>0</v>
      </c>
      <c r="J274" s="29">
        <f t="shared" si="29"/>
        <v>144636526.41999999</v>
      </c>
      <c r="K274" s="29">
        <f t="shared" si="29"/>
        <v>119811255.33</v>
      </c>
      <c r="L274" s="29">
        <f t="shared" si="29"/>
        <v>0</v>
      </c>
      <c r="M274" s="29">
        <f t="shared" si="29"/>
        <v>73239608</v>
      </c>
      <c r="N274" s="29">
        <f t="shared" si="29"/>
        <v>6847354</v>
      </c>
      <c r="P274" s="50"/>
    </row>
    <row r="275" spans="2:16">
      <c r="B275" s="25" t="s">
        <v>196</v>
      </c>
      <c r="D275" t="s">
        <v>182</v>
      </c>
      <c r="F275" s="82">
        <f>SUM(G275:N275)</f>
        <v>19341881.041000001</v>
      </c>
      <c r="G275" s="29">
        <f t="shared" ref="G275:N275" si="30">G207+G231-G253</f>
        <v>3205889</v>
      </c>
      <c r="H275" s="29">
        <f t="shared" si="30"/>
        <v>0</v>
      </c>
      <c r="I275" s="29">
        <f t="shared" si="30"/>
        <v>6785819.2400000002</v>
      </c>
      <c r="J275" s="29">
        <f t="shared" si="30"/>
        <v>1725180.5109999999</v>
      </c>
      <c r="K275" s="29">
        <f t="shared" si="30"/>
        <v>747734.48999999987</v>
      </c>
      <c r="L275" s="29">
        <f t="shared" si="30"/>
        <v>1974084.8</v>
      </c>
      <c r="M275" s="29">
        <f t="shared" si="30"/>
        <v>4752515</v>
      </c>
      <c r="N275" s="29">
        <f t="shared" si="30"/>
        <v>150658</v>
      </c>
    </row>
    <row r="276" spans="2:16">
      <c r="B276" s="25" t="s">
        <v>197</v>
      </c>
      <c r="D276" t="s">
        <v>182</v>
      </c>
      <c r="F276" s="82">
        <f>SUM(G276:N276)</f>
        <v>262478068.2783556</v>
      </c>
      <c r="G276" s="29">
        <f t="shared" ref="G276:N276" si="31">G208+G232-G254</f>
        <v>898233.7</v>
      </c>
      <c r="H276" s="29">
        <f t="shared" si="31"/>
        <v>5985909.740000003</v>
      </c>
      <c r="I276" s="29">
        <f t="shared" si="31"/>
        <v>4098559.4151199996</v>
      </c>
      <c r="J276" s="29">
        <f t="shared" si="31"/>
        <v>84070898.559120029</v>
      </c>
      <c r="K276" s="29">
        <f t="shared" si="31"/>
        <v>103486273.93411557</v>
      </c>
      <c r="L276" s="29">
        <f t="shared" si="31"/>
        <v>510972</v>
      </c>
      <c r="M276" s="29">
        <f t="shared" si="31"/>
        <v>58433906.839999996</v>
      </c>
      <c r="N276" s="29">
        <f t="shared" si="31"/>
        <v>4993314.09</v>
      </c>
    </row>
    <row r="277" spans="2:16">
      <c r="B277" s="25" t="s">
        <v>330</v>
      </c>
      <c r="D277" t="s">
        <v>182</v>
      </c>
      <c r="F277" s="82">
        <f>SUM(G277:N277)</f>
        <v>6130</v>
      </c>
      <c r="G277" s="29">
        <f t="shared" ref="G277:N277" si="32">G209+G233-G255</f>
        <v>6130</v>
      </c>
      <c r="H277" s="29">
        <f t="shared" si="32"/>
        <v>0</v>
      </c>
      <c r="I277" s="29">
        <f t="shared" si="32"/>
        <v>0</v>
      </c>
      <c r="J277" s="29">
        <f t="shared" si="32"/>
        <v>0</v>
      </c>
      <c r="K277" s="29">
        <f t="shared" si="32"/>
        <v>0</v>
      </c>
      <c r="L277" s="29">
        <f t="shared" si="32"/>
        <v>0</v>
      </c>
      <c r="M277" s="29">
        <f t="shared" si="32"/>
        <v>0</v>
      </c>
      <c r="N277" s="29">
        <f t="shared" si="32"/>
        <v>0</v>
      </c>
    </row>
    <row r="278" spans="2:16">
      <c r="B278" s="25"/>
      <c r="F278" s="68"/>
      <c r="G278" s="36"/>
      <c r="H278" s="36"/>
      <c r="I278" s="36"/>
      <c r="J278" s="36"/>
      <c r="K278" s="36"/>
      <c r="L278" s="36"/>
      <c r="M278" s="36"/>
      <c r="N278" s="36"/>
    </row>
    <row r="279" spans="2:16">
      <c r="B279" s="81" t="s">
        <v>198</v>
      </c>
      <c r="F279" s="68"/>
      <c r="G279" s="36"/>
      <c r="H279" s="36"/>
      <c r="I279" s="36"/>
      <c r="J279" s="36"/>
      <c r="K279" s="36"/>
      <c r="L279" s="36"/>
      <c r="M279" s="36"/>
      <c r="N279" s="36"/>
    </row>
    <row r="280" spans="2:16">
      <c r="B280" s="25" t="s">
        <v>199</v>
      </c>
      <c r="D280" t="s">
        <v>182</v>
      </c>
      <c r="F280" s="82">
        <f>SUM(G280:N280)</f>
        <v>687455252.85655642</v>
      </c>
      <c r="G280" s="29">
        <f>G212+G236-G258</f>
        <v>3608565.59</v>
      </c>
      <c r="H280" s="29">
        <f t="shared" ref="H280:N280" si="33">H212+H236-H258</f>
        <v>21383157.042703602</v>
      </c>
      <c r="I280" s="29">
        <f t="shared" si="33"/>
        <v>7228511.0335364165</v>
      </c>
      <c r="J280" s="29">
        <f t="shared" si="33"/>
        <v>184752434.6692363</v>
      </c>
      <c r="K280" s="29">
        <f t="shared" si="33"/>
        <v>299011926.99746597</v>
      </c>
      <c r="L280" s="29">
        <f t="shared" si="33"/>
        <v>2099412.06</v>
      </c>
      <c r="M280" s="29">
        <f t="shared" si="33"/>
        <v>160318845.57935429</v>
      </c>
      <c r="N280" s="29">
        <f t="shared" si="33"/>
        <v>9052399.8842599988</v>
      </c>
    </row>
    <row r="281" spans="2:16">
      <c r="B281" s="25" t="s">
        <v>200</v>
      </c>
      <c r="D281" t="s">
        <v>182</v>
      </c>
      <c r="F281" s="82">
        <f>SUM(G281:N281)</f>
        <v>23847868.598614596</v>
      </c>
      <c r="G281" s="29">
        <f t="shared" ref="G281:N281" si="34">G213+G237-G259</f>
        <v>0</v>
      </c>
      <c r="H281" s="29">
        <f t="shared" si="34"/>
        <v>0</v>
      </c>
      <c r="I281" s="29">
        <f t="shared" si="34"/>
        <v>0</v>
      </c>
      <c r="J281" s="29">
        <f t="shared" si="34"/>
        <v>0</v>
      </c>
      <c r="K281" s="29">
        <f t="shared" si="34"/>
        <v>0</v>
      </c>
      <c r="L281" s="29">
        <f t="shared" si="34"/>
        <v>262310.96999999997</v>
      </c>
      <c r="M281" s="29">
        <f t="shared" si="34"/>
        <v>23585557.628614597</v>
      </c>
      <c r="N281" s="29">
        <f t="shared" si="34"/>
        <v>0</v>
      </c>
    </row>
    <row r="282" spans="2:16">
      <c r="B282" s="25"/>
      <c r="F282" s="68"/>
      <c r="G282" s="36"/>
      <c r="H282" s="36"/>
      <c r="I282" s="36"/>
      <c r="J282" s="36"/>
      <c r="K282" s="36"/>
      <c r="L282" s="36"/>
      <c r="M282" s="36"/>
      <c r="N282" s="36"/>
    </row>
    <row r="283" spans="2:16">
      <c r="B283" s="81" t="s">
        <v>201</v>
      </c>
      <c r="F283" s="68"/>
      <c r="G283" s="36"/>
      <c r="H283" s="36"/>
      <c r="I283" s="36"/>
      <c r="J283" s="36"/>
      <c r="K283" s="36"/>
      <c r="L283" s="36"/>
      <c r="M283" s="36"/>
      <c r="N283" s="36"/>
    </row>
    <row r="284" spans="2:16">
      <c r="B284" s="25" t="s">
        <v>202</v>
      </c>
      <c r="D284" t="s">
        <v>182</v>
      </c>
      <c r="F284" s="82">
        <f>SUM(G284:N284)</f>
        <v>37381340.960763238</v>
      </c>
      <c r="G284" s="29">
        <f>G216+G240-G262</f>
        <v>0</v>
      </c>
      <c r="H284" s="29">
        <f t="shared" ref="H284:N284" si="35">H216+H240-H262</f>
        <v>821971.5</v>
      </c>
      <c r="I284" s="29">
        <f t="shared" si="35"/>
        <v>0</v>
      </c>
      <c r="J284" s="29">
        <f t="shared" si="35"/>
        <v>1750320</v>
      </c>
      <c r="K284" s="29">
        <f t="shared" si="35"/>
        <v>18867648.890763242</v>
      </c>
      <c r="L284" s="29">
        <f t="shared" si="35"/>
        <v>0</v>
      </c>
      <c r="M284" s="29">
        <f t="shared" si="35"/>
        <v>15909316</v>
      </c>
      <c r="N284" s="29">
        <f t="shared" si="35"/>
        <v>32084.57</v>
      </c>
    </row>
    <row r="285" spans="2:16">
      <c r="B285" s="25" t="s">
        <v>203</v>
      </c>
      <c r="D285" t="s">
        <v>182</v>
      </c>
      <c r="F285" s="82">
        <f>SUM(G285:N285)</f>
        <v>4642</v>
      </c>
      <c r="G285" s="29">
        <f t="shared" ref="G285:N285" si="36">G217+G241-G263</f>
        <v>4642</v>
      </c>
      <c r="H285" s="29">
        <f t="shared" si="36"/>
        <v>0</v>
      </c>
      <c r="I285" s="29">
        <f t="shared" si="36"/>
        <v>0</v>
      </c>
      <c r="J285" s="29">
        <f t="shared" si="36"/>
        <v>0</v>
      </c>
      <c r="K285" s="29">
        <f t="shared" si="36"/>
        <v>0</v>
      </c>
      <c r="L285" s="29">
        <f t="shared" si="36"/>
        <v>0</v>
      </c>
      <c r="M285" s="29">
        <f t="shared" si="36"/>
        <v>0</v>
      </c>
      <c r="N285" s="29">
        <f t="shared" si="36"/>
        <v>0</v>
      </c>
    </row>
    <row r="286" spans="2:16">
      <c r="B286" s="25"/>
      <c r="F286" s="68"/>
      <c r="G286" s="36"/>
      <c r="H286" s="36"/>
      <c r="I286" s="36"/>
      <c r="J286" s="36"/>
      <c r="K286" s="36"/>
      <c r="L286" s="36"/>
      <c r="M286" s="36"/>
      <c r="N286" s="36"/>
    </row>
    <row r="287" spans="2:16">
      <c r="B287" s="81" t="s">
        <v>204</v>
      </c>
      <c r="F287" s="68"/>
      <c r="G287" s="36"/>
      <c r="H287" s="36"/>
      <c r="I287" s="36"/>
      <c r="J287" s="36"/>
      <c r="K287" s="36"/>
      <c r="L287" s="36"/>
      <c r="M287" s="36"/>
      <c r="N287" s="36"/>
    </row>
    <row r="288" spans="2:16">
      <c r="B288" s="25" t="s">
        <v>331</v>
      </c>
      <c r="D288" t="s">
        <v>182</v>
      </c>
      <c r="F288" s="82">
        <f>SUM(G288:N288)</f>
        <v>8022665.5678633489</v>
      </c>
      <c r="G288" s="29">
        <f>G220+G244-G266</f>
        <v>55891.670000000006</v>
      </c>
      <c r="H288" s="29">
        <f t="shared" ref="H288:N288" si="37">H220+H244-H266</f>
        <v>193754.88647000003</v>
      </c>
      <c r="I288" s="29">
        <f t="shared" si="37"/>
        <v>90141.403460864283</v>
      </c>
      <c r="J288" s="29">
        <f t="shared" si="37"/>
        <v>2854779.6157059204</v>
      </c>
      <c r="K288" s="29">
        <f t="shared" si="37"/>
        <v>2889310.0987137407</v>
      </c>
      <c r="L288" s="29">
        <f t="shared" si="37"/>
        <v>32445.09</v>
      </c>
      <c r="M288" s="29">
        <f t="shared" si="37"/>
        <v>1834913.7005999999</v>
      </c>
      <c r="N288" s="29">
        <f t="shared" si="37"/>
        <v>71429.102912824033</v>
      </c>
    </row>
    <row r="289" spans="2:15">
      <c r="B289" s="25" t="s">
        <v>332</v>
      </c>
      <c r="D289" t="s">
        <v>182</v>
      </c>
      <c r="F289" s="82">
        <f>SUM(G289:N289)</f>
        <v>4763595.5661339397</v>
      </c>
      <c r="G289" s="29">
        <f>G221+G245-G267</f>
        <v>29917.454300000001</v>
      </c>
      <c r="H289" s="29">
        <f t="shared" ref="H289:N289" si="38">H221+H245-H267</f>
        <v>123963.71725638183</v>
      </c>
      <c r="I289" s="29">
        <f t="shared" si="38"/>
        <v>67252.570896652731</v>
      </c>
      <c r="J289" s="29">
        <f t="shared" si="38"/>
        <v>1517957.7268277665</v>
      </c>
      <c r="K289" s="29">
        <f t="shared" si="38"/>
        <v>1541944.2044580879</v>
      </c>
      <c r="L289" s="29">
        <f t="shared" si="38"/>
        <v>18793.830000000002</v>
      </c>
      <c r="M289" s="29">
        <f t="shared" si="38"/>
        <v>1333715.1653078743</v>
      </c>
      <c r="N289" s="29">
        <f t="shared" si="38"/>
        <v>130050.89708717598</v>
      </c>
    </row>
    <row r="290" spans="2:15">
      <c r="B290" s="83" t="s">
        <v>333</v>
      </c>
      <c r="D290" t="s">
        <v>182</v>
      </c>
      <c r="F290" s="82">
        <f>SUM(G290:N290)</f>
        <v>16070378.105314899</v>
      </c>
      <c r="G290" s="29">
        <f t="shared" ref="G290:N290" si="39">G222+G246-G268</f>
        <v>0</v>
      </c>
      <c r="H290" s="29">
        <f t="shared" si="39"/>
        <v>35404.699999999997</v>
      </c>
      <c r="I290" s="29">
        <f t="shared" si="39"/>
        <v>28287.510798789008</v>
      </c>
      <c r="J290" s="29">
        <f t="shared" si="39"/>
        <v>4166379.1362300781</v>
      </c>
      <c r="K290" s="29">
        <f t="shared" si="39"/>
        <v>11545640.813241772</v>
      </c>
      <c r="L290" s="29">
        <f t="shared" si="39"/>
        <v>37876.76</v>
      </c>
      <c r="M290" s="29">
        <f t="shared" si="39"/>
        <v>212789.18504425997</v>
      </c>
      <c r="N290" s="29">
        <f t="shared" si="39"/>
        <v>44000</v>
      </c>
    </row>
    <row r="291" spans="2:15">
      <c r="F291" s="68"/>
      <c r="G291" s="40"/>
      <c r="H291" s="40"/>
      <c r="I291" s="40"/>
      <c r="J291" s="40"/>
      <c r="K291" s="40"/>
      <c r="L291" s="40"/>
      <c r="M291" s="40"/>
      <c r="N291" s="40"/>
    </row>
    <row r="292" spans="2:15">
      <c r="B292" s="25" t="s">
        <v>75</v>
      </c>
      <c r="D292" t="s">
        <v>182</v>
      </c>
      <c r="F292" s="94">
        <f t="shared" ref="F292:N292" si="40">SUM(F274:F277,F280:F281,F284:F285,F288:F290)</f>
        <v>1412041063.1100235</v>
      </c>
      <c r="G292" s="73">
        <f t="shared" si="40"/>
        <v>7809269.4143000003</v>
      </c>
      <c r="H292" s="73">
        <f t="shared" si="40"/>
        <v>36678657.971851148</v>
      </c>
      <c r="I292" s="73">
        <f t="shared" si="40"/>
        <v>18298571.173812721</v>
      </c>
      <c r="J292" s="73">
        <f t="shared" si="40"/>
        <v>425474476.63812006</v>
      </c>
      <c r="K292" s="73">
        <f t="shared" si="40"/>
        <v>557901734.75875843</v>
      </c>
      <c r="L292" s="73">
        <f t="shared" si="40"/>
        <v>4935895.5099999988</v>
      </c>
      <c r="M292" s="73">
        <f t="shared" si="40"/>
        <v>339621167.09892112</v>
      </c>
      <c r="N292" s="73">
        <f t="shared" si="40"/>
        <v>21321290.544259999</v>
      </c>
    </row>
    <row r="293" spans="2:15">
      <c r="F293" s="68"/>
      <c r="G293" s="40"/>
      <c r="H293" s="40"/>
      <c r="I293" s="40"/>
      <c r="J293" s="40"/>
      <c r="K293" s="40"/>
      <c r="L293" s="40"/>
      <c r="M293" s="40"/>
      <c r="N293" s="40"/>
      <c r="O293" s="27"/>
    </row>
    <row r="294" spans="2:15">
      <c r="B294" s="50" t="s">
        <v>467</v>
      </c>
      <c r="D294" t="s">
        <v>182</v>
      </c>
      <c r="F294" s="179">
        <f>SUM(G294:N294)</f>
        <v>994621293.40497577</v>
      </c>
      <c r="G294" s="180">
        <f>G292-G274-G275-G284-G285-G288</f>
        <v>4542846.7443000004</v>
      </c>
      <c r="H294" s="180">
        <f t="shared" ref="H294:N294" si="41">H292-H274-H275-H284-H285-H288</f>
        <v>27528435.199959982</v>
      </c>
      <c r="I294" s="180">
        <f t="shared" si="41"/>
        <v>11422610.530351857</v>
      </c>
      <c r="J294" s="180">
        <f t="shared" si="41"/>
        <v>274507670.09141421</v>
      </c>
      <c r="K294" s="180">
        <f t="shared" si="41"/>
        <v>415585785.94928145</v>
      </c>
      <c r="L294" s="180">
        <f t="shared" si="41"/>
        <v>2929365.6199999992</v>
      </c>
      <c r="M294" s="180">
        <f t="shared" si="41"/>
        <v>243884814.39832112</v>
      </c>
      <c r="N294" s="180">
        <f t="shared" si="41"/>
        <v>14219764.871347174</v>
      </c>
      <c r="O294" s="36"/>
    </row>
    <row r="295" spans="2:15">
      <c r="F295" s="68"/>
      <c r="G295" s="40"/>
      <c r="H295" s="40"/>
      <c r="I295" s="40"/>
      <c r="J295" s="40"/>
      <c r="K295" s="40"/>
      <c r="L295" s="40"/>
      <c r="M295" s="40"/>
      <c r="N295" s="40"/>
    </row>
    <row r="296" spans="2:15">
      <c r="F296" s="68"/>
      <c r="G296" s="40"/>
      <c r="H296" s="40"/>
      <c r="I296" s="40"/>
      <c r="J296" s="40"/>
      <c r="K296" s="40"/>
      <c r="L296" s="40"/>
      <c r="M296" s="40"/>
      <c r="N296" s="40"/>
    </row>
    <row r="297" spans="2:15" s="2" customFormat="1">
      <c r="B297" s="2" t="s">
        <v>72</v>
      </c>
      <c r="F297" s="70"/>
      <c r="G297" s="71"/>
      <c r="H297" s="71"/>
      <c r="I297" s="71"/>
      <c r="J297" s="71"/>
      <c r="K297" s="71"/>
      <c r="L297" s="71"/>
      <c r="M297" s="71"/>
      <c r="N297" s="71"/>
    </row>
    <row r="298" spans="2:15">
      <c r="F298" s="68"/>
      <c r="G298" s="40"/>
      <c r="H298" s="40"/>
      <c r="I298" s="40"/>
      <c r="J298" s="40"/>
      <c r="K298" s="40"/>
      <c r="L298" s="40"/>
      <c r="M298" s="40"/>
      <c r="N298" s="40"/>
    </row>
    <row r="299" spans="2:15">
      <c r="B299" s="3" t="s">
        <v>73</v>
      </c>
      <c r="F299" s="46"/>
    </row>
    <row r="300" spans="2:15">
      <c r="F300" s="46"/>
    </row>
    <row r="301" spans="2:15">
      <c r="B301" s="81" t="s">
        <v>194</v>
      </c>
      <c r="F301" s="68"/>
      <c r="G301" s="40"/>
      <c r="H301" s="40"/>
      <c r="I301" s="40"/>
      <c r="J301" s="40"/>
      <c r="K301" s="40"/>
      <c r="L301" s="40"/>
      <c r="M301" s="40"/>
      <c r="N301" s="40"/>
    </row>
    <row r="302" spans="2:15">
      <c r="B302" s="25" t="s">
        <v>195</v>
      </c>
      <c r="D302" t="s">
        <v>183</v>
      </c>
      <c r="F302" s="82">
        <f>SUM(G302:N302)</f>
        <v>355594186.6006127</v>
      </c>
      <c r="G302" s="41">
        <f>'PRD OPEX (2009-2012)'!G84</f>
        <v>0</v>
      </c>
      <c r="H302" s="41">
        <f>'PRD OPEX (2009-2012)'!H84</f>
        <v>8880192.4545788374</v>
      </c>
      <c r="I302" s="41">
        <f>'PRD OPEX (2009-2012)'!I84</f>
        <v>0</v>
      </c>
      <c r="J302" s="41">
        <f>'PRD OPEX (2009-2012)'!J84</f>
        <v>141855339.68000001</v>
      </c>
      <c r="K302" s="41">
        <f>'PRD OPEX (2009-2012)'!K84</f>
        <v>114575797.41666667</v>
      </c>
      <c r="L302" s="41">
        <f>'PRD OPEX (2009-2012)'!L84</f>
        <v>0</v>
      </c>
      <c r="M302" s="41">
        <f>'PRD OPEX (2009-2012)'!M84</f>
        <v>82955235.159999996</v>
      </c>
      <c r="N302" s="41">
        <f>'PRD OPEX (2009-2012)'!N84</f>
        <v>7327621.8893671352</v>
      </c>
    </row>
    <row r="303" spans="2:15">
      <c r="B303" s="25" t="s">
        <v>196</v>
      </c>
      <c r="D303" t="s">
        <v>183</v>
      </c>
      <c r="F303" s="82">
        <f>SUM(G303:N303)</f>
        <v>19900655.606179394</v>
      </c>
      <c r="G303" s="41">
        <f>'PRD OPEX (2009-2012)'!G85</f>
        <v>3258198</v>
      </c>
      <c r="H303" s="41">
        <f>'PRD OPEX (2009-2012)'!H85</f>
        <v>0</v>
      </c>
      <c r="I303" s="41">
        <f>'PRD OPEX (2009-2012)'!I85</f>
        <v>6890933.9199999999</v>
      </c>
      <c r="J303" s="41">
        <f>'PRD OPEX (2009-2012)'!J85</f>
        <v>701040.53364000004</v>
      </c>
      <c r="K303" s="41">
        <f>'PRD OPEX (2009-2012)'!K85</f>
        <v>757117.24166666681</v>
      </c>
      <c r="L303" s="41">
        <f>'PRD OPEX (2009-2012)'!L85</f>
        <v>2116603.44</v>
      </c>
      <c r="M303" s="41">
        <f>'PRD OPEX (2009-2012)'!M85</f>
        <v>6004607.2448727274</v>
      </c>
      <c r="N303" s="41">
        <f>'PRD OPEX (2009-2012)'!N85</f>
        <v>172155.22599999933</v>
      </c>
    </row>
    <row r="304" spans="2:15">
      <c r="B304" s="25" t="s">
        <v>197</v>
      </c>
      <c r="D304" t="s">
        <v>183</v>
      </c>
      <c r="F304" s="82">
        <f>SUM(G304:N304)</f>
        <v>268445231.60768992</v>
      </c>
      <c r="G304" s="41">
        <f>'PRD OPEX (2009-2012)'!G86</f>
        <v>1043794</v>
      </c>
      <c r="H304" s="41">
        <f>'PRD OPEX (2009-2012)'!H86</f>
        <v>5739842.75</v>
      </c>
      <c r="I304" s="41">
        <f>'PRD OPEX (2009-2012)'!I86</f>
        <v>2603651.7199999997</v>
      </c>
      <c r="J304" s="41">
        <f>'PRD OPEX (2009-2012)'!J86</f>
        <v>95272596.307689965</v>
      </c>
      <c r="K304" s="41">
        <f>'PRD OPEX (2009-2012)'!K86</f>
        <v>110406026.91999999</v>
      </c>
      <c r="L304" s="41">
        <f>'PRD OPEX (2009-2012)'!L86</f>
        <v>531075.98</v>
      </c>
      <c r="M304" s="41">
        <f>'PRD OPEX (2009-2012)'!M86</f>
        <v>48739592</v>
      </c>
      <c r="N304" s="41">
        <f>'PRD OPEX (2009-2012)'!N86</f>
        <v>4108651.93</v>
      </c>
    </row>
    <row r="305" spans="2:14">
      <c r="B305" s="25" t="s">
        <v>330</v>
      </c>
      <c r="D305" t="s">
        <v>183</v>
      </c>
      <c r="F305" s="82">
        <f>SUM(G305:N305)</f>
        <v>6288</v>
      </c>
      <c r="G305" s="41">
        <f>'PRD OPEX (2009-2012)'!G87</f>
        <v>6288</v>
      </c>
      <c r="H305" s="41">
        <f>'PRD OPEX (2009-2012)'!H87</f>
        <v>0</v>
      </c>
      <c r="I305" s="41">
        <f>'PRD OPEX (2009-2012)'!I87</f>
        <v>0</v>
      </c>
      <c r="J305" s="41">
        <f>'PRD OPEX (2009-2012)'!J87</f>
        <v>0</v>
      </c>
      <c r="K305" s="41">
        <f>'PRD OPEX (2009-2012)'!K87</f>
        <v>0</v>
      </c>
      <c r="L305" s="41">
        <f>'PRD OPEX (2009-2012)'!L87</f>
        <v>0</v>
      </c>
      <c r="M305" s="41">
        <f>'PRD OPEX (2009-2012)'!M87</f>
        <v>0</v>
      </c>
      <c r="N305" s="41">
        <f>'PRD OPEX (2009-2012)'!N87</f>
        <v>0</v>
      </c>
    </row>
    <row r="306" spans="2:14">
      <c r="B306" s="25"/>
      <c r="F306" s="68"/>
      <c r="G306" s="40"/>
      <c r="H306" s="40"/>
      <c r="I306" s="40"/>
      <c r="J306" s="40"/>
      <c r="K306" s="40"/>
      <c r="L306" s="40"/>
      <c r="M306" s="40"/>
      <c r="N306" s="40"/>
    </row>
    <row r="307" spans="2:14">
      <c r="B307" s="81" t="s">
        <v>198</v>
      </c>
      <c r="F307" s="68"/>
      <c r="G307" s="40"/>
      <c r="H307" s="40"/>
      <c r="I307" s="40"/>
      <c r="J307" s="40"/>
      <c r="K307" s="40"/>
      <c r="L307" s="40"/>
      <c r="M307" s="40"/>
      <c r="N307" s="40"/>
    </row>
    <row r="308" spans="2:14">
      <c r="B308" s="25" t="s">
        <v>199</v>
      </c>
      <c r="D308" t="s">
        <v>183</v>
      </c>
      <c r="F308" s="82">
        <f>SUM(G308:N308)</f>
        <v>840361579.75091136</v>
      </c>
      <c r="G308" s="41">
        <f>'PRD OPEX (2009-2012)'!G90</f>
        <v>4517685</v>
      </c>
      <c r="H308" s="41">
        <f>'PRD OPEX (2009-2012)'!H90</f>
        <v>25343493.373409849</v>
      </c>
      <c r="I308" s="41">
        <f>'PRD OPEX (2009-2012)'!I90</f>
        <v>8712683.5812297929</v>
      </c>
      <c r="J308" s="41">
        <f>'PRD OPEX (2009-2012)'!J90</f>
        <v>238347464.43642327</v>
      </c>
      <c r="K308" s="41">
        <f>'PRD OPEX (2009-2012)'!K90</f>
        <v>361385953.88940197</v>
      </c>
      <c r="L308" s="41">
        <f>'PRD OPEX (2009-2012)'!L90</f>
        <v>2145616.61</v>
      </c>
      <c r="M308" s="41">
        <f>'PRD OPEX (2009-2012)'!M90</f>
        <v>189649902.17479649</v>
      </c>
      <c r="N308" s="41">
        <f>'PRD OPEX (2009-2012)'!N90</f>
        <v>10258780.68565</v>
      </c>
    </row>
    <row r="309" spans="2:14">
      <c r="B309" s="25" t="s">
        <v>200</v>
      </c>
      <c r="D309" t="s">
        <v>183</v>
      </c>
      <c r="F309" s="82">
        <f>SUM(G309:N309)</f>
        <v>21599075.919442751</v>
      </c>
      <c r="G309" s="41">
        <f>'PRD OPEX (2009-2012)'!G91</f>
        <v>0</v>
      </c>
      <c r="H309" s="41">
        <f>'PRD OPEX (2009-2012)'!H91</f>
        <v>0</v>
      </c>
      <c r="I309" s="41">
        <f>'PRD OPEX (2009-2012)'!I91</f>
        <v>0</v>
      </c>
      <c r="J309" s="41">
        <f>'PRD OPEX (2009-2012)'!J91</f>
        <v>0</v>
      </c>
      <c r="K309" s="41">
        <f>'PRD OPEX (2009-2012)'!K91</f>
        <v>0</v>
      </c>
      <c r="L309" s="41">
        <f>'PRD OPEX (2009-2012)'!L91</f>
        <v>271762.44</v>
      </c>
      <c r="M309" s="41">
        <f>'PRD OPEX (2009-2012)'!M91</f>
        <v>21327313.479442749</v>
      </c>
      <c r="N309" s="41">
        <f>'PRD OPEX (2009-2012)'!N91</f>
        <v>0</v>
      </c>
    </row>
    <row r="310" spans="2:14">
      <c r="B310" s="25"/>
      <c r="F310" s="68"/>
      <c r="G310" s="40"/>
      <c r="H310" s="40"/>
      <c r="I310" s="40"/>
      <c r="J310" s="40"/>
      <c r="K310" s="40"/>
      <c r="L310" s="40"/>
      <c r="M310" s="40"/>
      <c r="N310" s="40"/>
    </row>
    <row r="311" spans="2:14">
      <c r="B311" s="81" t="s">
        <v>201</v>
      </c>
      <c r="F311" s="68"/>
      <c r="G311" s="40"/>
      <c r="H311" s="40"/>
      <c r="I311" s="40"/>
      <c r="J311" s="40"/>
      <c r="K311" s="40"/>
      <c r="L311" s="40"/>
      <c r="M311" s="40"/>
      <c r="N311" s="40"/>
    </row>
    <row r="312" spans="2:14">
      <c r="B312" s="25" t="s">
        <v>202</v>
      </c>
      <c r="D312" t="s">
        <v>183</v>
      </c>
      <c r="F312" s="82">
        <f>SUM(G312:N312)</f>
        <v>48807818.626913533</v>
      </c>
      <c r="G312" s="41">
        <f>'PRD OPEX (2009-2012)'!G94</f>
        <v>0</v>
      </c>
      <c r="H312" s="41">
        <f>'PRD OPEX (2009-2012)'!H94</f>
        <v>851761.6</v>
      </c>
      <c r="I312" s="41">
        <f>'PRD OPEX (2009-2012)'!I94</f>
        <v>0</v>
      </c>
      <c r="J312" s="41">
        <f>'PRD OPEX (2009-2012)'!J94</f>
        <v>1612169.4569135276</v>
      </c>
      <c r="K312" s="41">
        <f>'PRD OPEX (2009-2012)'!K94</f>
        <v>29496804.710000001</v>
      </c>
      <c r="L312" s="41">
        <f>'PRD OPEX (2009-2012)'!L94</f>
        <v>0</v>
      </c>
      <c r="M312" s="41">
        <f>'PRD OPEX (2009-2012)'!M94</f>
        <v>16832392</v>
      </c>
      <c r="N312" s="41">
        <f>'PRD OPEX (2009-2012)'!N94</f>
        <v>14690.86</v>
      </c>
    </row>
    <row r="313" spans="2:14">
      <c r="B313" s="25" t="s">
        <v>203</v>
      </c>
      <c r="D313" t="s">
        <v>183</v>
      </c>
      <c r="F313" s="82">
        <f>SUM(G313:N313)</f>
        <v>1484</v>
      </c>
      <c r="G313" s="41">
        <f>'PRD OPEX (2009-2012)'!G95</f>
        <v>1484</v>
      </c>
      <c r="H313" s="41">
        <f>'PRD OPEX (2009-2012)'!H95</f>
        <v>0</v>
      </c>
      <c r="I313" s="41">
        <f>'PRD OPEX (2009-2012)'!I95</f>
        <v>0</v>
      </c>
      <c r="J313" s="41">
        <f>'PRD OPEX (2009-2012)'!J95</f>
        <v>0</v>
      </c>
      <c r="K313" s="41">
        <f>'PRD OPEX (2009-2012)'!K95</f>
        <v>0</v>
      </c>
      <c r="L313" s="41">
        <f>'PRD OPEX (2009-2012)'!L95</f>
        <v>0</v>
      </c>
      <c r="M313" s="41">
        <f>'PRD OPEX (2009-2012)'!M95</f>
        <v>0</v>
      </c>
      <c r="N313" s="41">
        <f>'PRD OPEX (2009-2012)'!N95</f>
        <v>0</v>
      </c>
    </row>
    <row r="314" spans="2:14">
      <c r="B314" s="25"/>
      <c r="F314" s="68"/>
      <c r="G314" s="40"/>
      <c r="H314" s="40"/>
      <c r="I314" s="40"/>
      <c r="J314" s="40"/>
      <c r="K314" s="40"/>
      <c r="L314" s="40"/>
      <c r="M314" s="40"/>
      <c r="N314" s="40"/>
    </row>
    <row r="315" spans="2:14">
      <c r="B315" s="81" t="s">
        <v>204</v>
      </c>
      <c r="F315" s="68"/>
      <c r="G315" s="40"/>
      <c r="H315" s="40"/>
      <c r="I315" s="40"/>
      <c r="J315" s="40"/>
      <c r="K315" s="40"/>
      <c r="L315" s="40"/>
      <c r="M315" s="40"/>
      <c r="N315" s="40"/>
    </row>
    <row r="316" spans="2:14">
      <c r="B316" s="25" t="s">
        <v>331</v>
      </c>
      <c r="D316" t="s">
        <v>183</v>
      </c>
      <c r="F316" s="82">
        <f>SUM(G316:N316)</f>
        <v>8182035.3200101843</v>
      </c>
      <c r="G316" s="41">
        <f>'PRD OPEX (2009-2012)'!G98</f>
        <v>62769</v>
      </c>
      <c r="H316" s="41">
        <f>'PRD OPEX (2009-2012)'!H98</f>
        <v>235302.03012499999</v>
      </c>
      <c r="I316" s="41">
        <f>'PRD OPEX (2009-2012)'!I98</f>
        <v>102030.37893782025</v>
      </c>
      <c r="J316" s="41">
        <f>'PRD OPEX (2009-2012)'!J98</f>
        <v>2620948.3491235389</v>
      </c>
      <c r="K316" s="41">
        <f>'PRD OPEX (2009-2012)'!K98</f>
        <v>3025828.3042752063</v>
      </c>
      <c r="L316" s="41">
        <f>'PRD OPEX (2009-2012)'!L98</f>
        <v>22011.55</v>
      </c>
      <c r="M316" s="41">
        <f>'PRD OPEX (2009-2012)'!M98</f>
        <v>2071522.4875324718</v>
      </c>
      <c r="N316" s="41">
        <f>'PRD OPEX (2009-2012)'!N98</f>
        <v>41623.220016147228</v>
      </c>
    </row>
    <row r="317" spans="2:14">
      <c r="B317" s="25" t="s">
        <v>332</v>
      </c>
      <c r="D317" t="s">
        <v>183</v>
      </c>
      <c r="F317" s="82">
        <f>SUM(G317:N317)</f>
        <v>5263289.2005261993</v>
      </c>
      <c r="G317" s="41">
        <f>'PRD OPEX (2009-2012)'!G99</f>
        <v>30894</v>
      </c>
      <c r="H317" s="41">
        <f>'PRD OPEX (2009-2012)'!H99</f>
        <v>113082.90043756668</v>
      </c>
      <c r="I317" s="41">
        <f>'PRD OPEX (2009-2012)'!I99</f>
        <v>69216.523913263387</v>
      </c>
      <c r="J317" s="41">
        <f>'PRD OPEX (2009-2012)'!J99</f>
        <v>1592417.5369157223</v>
      </c>
      <c r="K317" s="41">
        <f>'PRD OPEX (2009-2012)'!K99</f>
        <v>1747367.0458747949</v>
      </c>
      <c r="L317" s="41">
        <f>'PRD OPEX (2009-2012)'!L99</f>
        <v>37126.31</v>
      </c>
      <c r="M317" s="41">
        <f>'PRD OPEX (2009-2012)'!M99</f>
        <v>1467903.3519429786</v>
      </c>
      <c r="N317" s="41">
        <f>'PRD OPEX (2009-2012)'!N99</f>
        <v>205281.53144187349</v>
      </c>
    </row>
    <row r="318" spans="2:14">
      <c r="B318" s="83" t="s">
        <v>333</v>
      </c>
      <c r="D318" t="s">
        <v>183</v>
      </c>
      <c r="F318" s="82">
        <f>SUM(G318:N318)</f>
        <v>18647386.207195293</v>
      </c>
      <c r="G318" s="41">
        <f>'PRD OPEX (2009-2012)'!G100</f>
        <v>0</v>
      </c>
      <c r="H318" s="41">
        <f>'PRD OPEX (2009-2012)'!H100</f>
        <v>95907.53</v>
      </c>
      <c r="I318" s="41">
        <f>'PRD OPEX (2009-2012)'!I100</f>
        <v>146798.95740935003</v>
      </c>
      <c r="J318" s="41">
        <f>'PRD OPEX (2009-2012)'!J100</f>
        <v>6084709.2708396483</v>
      </c>
      <c r="K318" s="41">
        <f>'PRD OPEX (2009-2012)'!K100</f>
        <v>11890028.667398341</v>
      </c>
      <c r="L318" s="41">
        <f>'PRD OPEX (2009-2012)'!L100</f>
        <v>38704.22</v>
      </c>
      <c r="M318" s="41">
        <f>'PRD OPEX (2009-2012)'!M100</f>
        <v>285737.56154795532</v>
      </c>
      <c r="N318" s="41">
        <f>'PRD OPEX (2009-2012)'!N100</f>
        <v>105500</v>
      </c>
    </row>
    <row r="319" spans="2:14">
      <c r="B319" s="25"/>
      <c r="F319" s="68"/>
      <c r="G319" s="40"/>
      <c r="H319" s="40"/>
      <c r="I319" s="40"/>
      <c r="J319" s="40"/>
      <c r="K319" s="40"/>
      <c r="L319" s="40"/>
      <c r="M319" s="40"/>
      <c r="N319" s="40"/>
    </row>
    <row r="320" spans="2:14">
      <c r="B320" s="25" t="s">
        <v>205</v>
      </c>
      <c r="D320" t="s">
        <v>183</v>
      </c>
      <c r="F320" s="73">
        <f t="shared" ref="F320:N320" si="42">SUM(F302:F305,F308:F309,F312:F313,F316:F318)</f>
        <v>1586809030.8394814</v>
      </c>
      <c r="G320" s="73">
        <f t="shared" si="42"/>
        <v>8921112</v>
      </c>
      <c r="H320" s="73">
        <f t="shared" si="42"/>
        <v>41259582.63855125</v>
      </c>
      <c r="I320" s="73">
        <f t="shared" si="42"/>
        <v>18525315.081490226</v>
      </c>
      <c r="J320" s="73">
        <f t="shared" si="42"/>
        <v>488086685.57154566</v>
      </c>
      <c r="K320" s="73">
        <f t="shared" si="42"/>
        <v>633284924.19528365</v>
      </c>
      <c r="L320" s="73">
        <f t="shared" si="42"/>
        <v>5162900.5499999989</v>
      </c>
      <c r="M320" s="73">
        <f t="shared" si="42"/>
        <v>369334205.4601354</v>
      </c>
      <c r="N320" s="73">
        <f t="shared" si="42"/>
        <v>22234305.342475157</v>
      </c>
    </row>
    <row r="321" spans="2:14">
      <c r="F321" s="46"/>
    </row>
    <row r="322" spans="2:14">
      <c r="F322" s="46"/>
    </row>
    <row r="323" spans="2:14">
      <c r="B323" s="3" t="s">
        <v>536</v>
      </c>
      <c r="F323" s="68"/>
      <c r="G323" s="40"/>
      <c r="H323" s="40"/>
      <c r="I323" s="40"/>
      <c r="J323" s="40"/>
      <c r="K323" s="40"/>
      <c r="L323" s="40"/>
      <c r="M323" s="40"/>
      <c r="N323" s="40"/>
    </row>
    <row r="324" spans="2:14">
      <c r="F324" s="68"/>
      <c r="G324" s="40"/>
      <c r="H324" s="40"/>
      <c r="I324" s="40"/>
      <c r="J324" s="40"/>
      <c r="K324" s="40"/>
      <c r="L324" s="40"/>
      <c r="M324" s="40"/>
      <c r="N324" s="40"/>
    </row>
    <row r="325" spans="2:14">
      <c r="B325" s="81" t="s">
        <v>194</v>
      </c>
      <c r="F325" s="46"/>
    </row>
    <row r="326" spans="2:14">
      <c r="B326" s="25" t="s">
        <v>195</v>
      </c>
      <c r="D326" t="s">
        <v>183</v>
      </c>
      <c r="F326" s="82">
        <f>SUM(G326:N326)</f>
        <v>0</v>
      </c>
      <c r="G326" s="39"/>
      <c r="H326" s="39"/>
      <c r="I326" s="39"/>
      <c r="J326" s="39"/>
      <c r="K326" s="39"/>
      <c r="L326" s="39"/>
      <c r="M326" s="39"/>
      <c r="N326" s="160"/>
    </row>
    <row r="327" spans="2:14">
      <c r="B327" s="25" t="s">
        <v>196</v>
      </c>
      <c r="D327" t="s">
        <v>183</v>
      </c>
      <c r="F327" s="82">
        <f>SUM(G327:N327)</f>
        <v>0</v>
      </c>
      <c r="G327" s="39"/>
      <c r="H327" s="39"/>
      <c r="I327" s="39"/>
      <c r="J327" s="39"/>
      <c r="K327" s="39"/>
      <c r="L327" s="39"/>
      <c r="M327" s="39"/>
      <c r="N327" s="39"/>
    </row>
    <row r="328" spans="2:14">
      <c r="B328" s="25" t="s">
        <v>197</v>
      </c>
      <c r="D328" t="s">
        <v>183</v>
      </c>
      <c r="F328" s="82">
        <f>SUM(G328:N328)</f>
        <v>0</v>
      </c>
      <c r="G328" s="39"/>
      <c r="H328" s="39"/>
      <c r="I328" s="39"/>
      <c r="J328" s="39"/>
      <c r="K328" s="39"/>
      <c r="L328" s="39"/>
      <c r="M328" s="39"/>
      <c r="N328" s="39"/>
    </row>
    <row r="329" spans="2:14">
      <c r="B329" s="25" t="s">
        <v>330</v>
      </c>
      <c r="D329" t="s">
        <v>183</v>
      </c>
      <c r="F329" s="82">
        <f>SUM(G329:N329)</f>
        <v>0</v>
      </c>
      <c r="G329" s="39"/>
      <c r="H329" s="39"/>
      <c r="I329" s="39"/>
      <c r="J329" s="39"/>
      <c r="K329" s="39"/>
      <c r="L329" s="39"/>
      <c r="M329" s="39"/>
      <c r="N329" s="39"/>
    </row>
    <row r="330" spans="2:14">
      <c r="B330" s="25"/>
      <c r="F330" s="68"/>
      <c r="G330" s="36"/>
      <c r="H330" s="36"/>
      <c r="I330" s="36"/>
      <c r="J330" s="36"/>
      <c r="K330" s="36"/>
      <c r="L330" s="36"/>
      <c r="M330" s="36"/>
      <c r="N330" s="36"/>
    </row>
    <row r="331" spans="2:14">
      <c r="B331" s="81" t="s">
        <v>198</v>
      </c>
      <c r="F331" s="68"/>
      <c r="G331" s="36"/>
      <c r="H331" s="36"/>
      <c r="I331" s="36"/>
      <c r="J331" s="36"/>
      <c r="K331" s="36"/>
      <c r="L331" s="36"/>
      <c r="M331" s="36"/>
      <c r="N331" s="36"/>
    </row>
    <row r="332" spans="2:14">
      <c r="B332" s="25" t="s">
        <v>199</v>
      </c>
      <c r="D332" t="s">
        <v>183</v>
      </c>
      <c r="F332" s="82">
        <f>SUM(G332:N332)</f>
        <v>0</v>
      </c>
      <c r="G332" s="39"/>
      <c r="H332" s="39"/>
      <c r="I332" s="39"/>
      <c r="J332" s="39"/>
      <c r="K332" s="39"/>
      <c r="L332" s="39"/>
      <c r="M332" s="39"/>
      <c r="N332" s="39"/>
    </row>
    <row r="333" spans="2:14">
      <c r="B333" s="25" t="s">
        <v>200</v>
      </c>
      <c r="D333" t="s">
        <v>183</v>
      </c>
      <c r="F333" s="82">
        <f>SUM(G333:N333)</f>
        <v>0</v>
      </c>
      <c r="G333" s="39"/>
      <c r="H333" s="39"/>
      <c r="I333" s="39"/>
      <c r="J333" s="39"/>
      <c r="K333" s="39"/>
      <c r="L333" s="39"/>
      <c r="M333" s="39"/>
      <c r="N333" s="39"/>
    </row>
    <row r="334" spans="2:14">
      <c r="B334" s="25"/>
      <c r="F334" s="68"/>
      <c r="G334" s="36"/>
      <c r="H334" s="36"/>
      <c r="I334" s="36"/>
      <c r="J334" s="36"/>
      <c r="K334" s="36"/>
      <c r="L334" s="36"/>
      <c r="M334" s="36"/>
      <c r="N334" s="36"/>
    </row>
    <row r="335" spans="2:14">
      <c r="B335" s="81" t="s">
        <v>201</v>
      </c>
      <c r="F335" s="68"/>
      <c r="G335" s="36"/>
      <c r="H335" s="36"/>
      <c r="I335" s="36"/>
      <c r="J335" s="36"/>
      <c r="K335" s="36"/>
      <c r="L335" s="36"/>
      <c r="M335" s="36"/>
      <c r="N335" s="36"/>
    </row>
    <row r="336" spans="2:14">
      <c r="B336" s="25" t="s">
        <v>202</v>
      </c>
      <c r="D336" t="s">
        <v>183</v>
      </c>
      <c r="F336" s="82">
        <f>SUM(G336:N336)</f>
        <v>0</v>
      </c>
      <c r="G336" s="39"/>
      <c r="H336" s="39"/>
      <c r="I336" s="39"/>
      <c r="J336" s="39"/>
      <c r="K336" s="39"/>
      <c r="L336" s="39"/>
      <c r="M336" s="39"/>
      <c r="N336" s="39"/>
    </row>
    <row r="337" spans="2:14">
      <c r="B337" s="25" t="s">
        <v>203</v>
      </c>
      <c r="D337" t="s">
        <v>183</v>
      </c>
      <c r="F337" s="82">
        <f>SUM(G337:N337)</f>
        <v>0</v>
      </c>
      <c r="G337" s="39"/>
      <c r="H337" s="39"/>
      <c r="I337" s="39"/>
      <c r="J337" s="39"/>
      <c r="K337" s="39"/>
      <c r="L337" s="39"/>
      <c r="M337" s="39"/>
      <c r="N337" s="39"/>
    </row>
    <row r="338" spans="2:14">
      <c r="B338" s="25"/>
      <c r="F338" s="68"/>
      <c r="G338" s="36"/>
      <c r="H338" s="36"/>
      <c r="I338" s="36"/>
      <c r="J338" s="36"/>
      <c r="K338" s="36"/>
      <c r="L338" s="36"/>
      <c r="M338" s="36"/>
      <c r="N338" s="36"/>
    </row>
    <row r="339" spans="2:14">
      <c r="B339" s="81" t="s">
        <v>204</v>
      </c>
      <c r="F339" s="68"/>
      <c r="G339" s="36"/>
      <c r="H339" s="36"/>
      <c r="I339" s="36"/>
      <c r="J339" s="36"/>
      <c r="K339" s="36"/>
      <c r="L339" s="36"/>
      <c r="M339" s="36"/>
      <c r="N339" s="36"/>
    </row>
    <row r="340" spans="2:14">
      <c r="B340" s="25" t="s">
        <v>331</v>
      </c>
      <c r="D340" t="s">
        <v>183</v>
      </c>
      <c r="F340" s="82">
        <f>SUM(G340:N340)</f>
        <v>0</v>
      </c>
      <c r="G340" s="39"/>
      <c r="H340" s="39"/>
      <c r="I340" s="39"/>
      <c r="J340" s="39"/>
      <c r="K340" s="39"/>
      <c r="L340" s="39"/>
      <c r="M340" s="39"/>
      <c r="N340" s="39"/>
    </row>
    <row r="341" spans="2:14">
      <c r="B341" s="25" t="s">
        <v>332</v>
      </c>
      <c r="D341" t="s">
        <v>183</v>
      </c>
      <c r="F341" s="82">
        <f>SUM(G341:N341)</f>
        <v>0</v>
      </c>
      <c r="G341" s="39"/>
      <c r="H341" s="39"/>
      <c r="I341" s="39"/>
      <c r="J341" s="39"/>
      <c r="K341" s="39"/>
      <c r="L341" s="39"/>
      <c r="M341" s="39"/>
      <c r="N341" s="39"/>
    </row>
    <row r="342" spans="2:14">
      <c r="B342" s="83" t="s">
        <v>333</v>
      </c>
      <c r="D342" t="s">
        <v>183</v>
      </c>
      <c r="F342" s="82">
        <f>SUM(G342:N342)</f>
        <v>0</v>
      </c>
      <c r="G342" s="39"/>
      <c r="H342" s="39"/>
      <c r="I342" s="39"/>
      <c r="J342" s="39"/>
      <c r="K342" s="39"/>
      <c r="L342" s="39"/>
      <c r="M342" s="39"/>
      <c r="N342" s="39"/>
    </row>
    <row r="343" spans="2:14">
      <c r="F343" s="68"/>
      <c r="G343" s="40"/>
      <c r="H343" s="40"/>
      <c r="I343" s="40"/>
      <c r="J343" s="40"/>
      <c r="K343" s="40"/>
      <c r="L343" s="40"/>
      <c r="M343" s="40"/>
      <c r="N343" s="40"/>
    </row>
    <row r="344" spans="2:14">
      <c r="F344" s="68"/>
      <c r="G344" s="40"/>
      <c r="H344" s="40"/>
      <c r="I344" s="40"/>
      <c r="J344" s="40"/>
      <c r="K344" s="40"/>
      <c r="L344" s="40"/>
      <c r="M344" s="40"/>
      <c r="N344" s="40"/>
    </row>
    <row r="345" spans="2:14">
      <c r="B345" s="3" t="s">
        <v>535</v>
      </c>
      <c r="F345" s="68"/>
      <c r="G345" s="40"/>
      <c r="H345" s="40"/>
      <c r="I345" s="40"/>
      <c r="J345" s="40"/>
      <c r="K345" s="40"/>
      <c r="L345" s="40"/>
      <c r="M345" s="40"/>
      <c r="N345" s="40"/>
    </row>
    <row r="346" spans="2:14">
      <c r="F346" s="68"/>
      <c r="G346" s="40"/>
      <c r="H346" s="40"/>
      <c r="I346" s="40"/>
      <c r="J346" s="40"/>
      <c r="K346" s="40"/>
      <c r="L346" s="40"/>
      <c r="M346" s="40"/>
      <c r="N346" s="40"/>
    </row>
    <row r="347" spans="2:14">
      <c r="B347" s="81" t="s">
        <v>194</v>
      </c>
      <c r="F347" s="46"/>
    </row>
    <row r="348" spans="2:14">
      <c r="B348" s="25" t="s">
        <v>195</v>
      </c>
      <c r="D348" t="s">
        <v>183</v>
      </c>
      <c r="F348" s="82">
        <f>SUM(G348:N348)</f>
        <v>0</v>
      </c>
      <c r="G348" s="39"/>
      <c r="H348" s="39"/>
      <c r="I348" s="39"/>
      <c r="J348" s="39"/>
      <c r="K348" s="39"/>
      <c r="L348" s="39"/>
      <c r="M348" s="39"/>
      <c r="N348" s="39"/>
    </row>
    <row r="349" spans="2:14">
      <c r="B349" s="25" t="s">
        <v>196</v>
      </c>
      <c r="D349" t="s">
        <v>183</v>
      </c>
      <c r="F349" s="82">
        <f>SUM(G349:N349)</f>
        <v>0</v>
      </c>
      <c r="G349" s="39"/>
      <c r="H349" s="39"/>
      <c r="I349" s="39"/>
      <c r="J349" s="39"/>
      <c r="K349" s="39"/>
      <c r="L349" s="39"/>
      <c r="M349" s="39"/>
      <c r="N349" s="39"/>
    </row>
    <row r="350" spans="2:14">
      <c r="B350" s="25" t="s">
        <v>197</v>
      </c>
      <c r="D350" t="s">
        <v>183</v>
      </c>
      <c r="F350" s="82">
        <f>SUM(G350:N350)</f>
        <v>11385924.062742677</v>
      </c>
      <c r="G350" s="180">
        <f>SUM('PRD Ov.Opbrengsten (2009-2012)'!G219:G221)-'PRD Ov.Opbrengsten (2009-2012)'!G234</f>
        <v>116436.54183915989</v>
      </c>
      <c r="H350" s="180">
        <f>SUM('PRD Ov.Opbrengsten (2009-2012)'!H219:H221)-'PRD Ov.Opbrengsten (2009-2012)'!H234</f>
        <v>289733.67</v>
      </c>
      <c r="I350" s="180">
        <f>SUM('PRD Ov.Opbrengsten (2009-2012)'!I219:I221)-'PRD Ov.Opbrengsten (2009-2012)'!I234</f>
        <v>239944.38127000001</v>
      </c>
      <c r="J350" s="180">
        <f>SUM('PRD Ov.Opbrengsten (2009-2012)'!J219:J221)-'PRD Ov.Opbrengsten (2009-2012)'!J234</f>
        <v>6442762.0200000005</v>
      </c>
      <c r="K350" s="180">
        <f>SUM('PRD Ov.Opbrengsten (2009-2012)'!K219:K221)-'PRD Ov.Opbrengsten (2009-2012)'!K234</f>
        <v>1817861.7096688831</v>
      </c>
      <c r="L350" s="180">
        <f>SUM('PRD Ov.Opbrengsten (2009-2012)'!L219:L221)-'PRD Ov.Opbrengsten (2009-2012)'!L234</f>
        <v>26403.069299999999</v>
      </c>
      <c r="M350" s="180">
        <f>SUM('PRD Ov.Opbrengsten (2009-2012)'!M219:M221)-'PRD Ov.Opbrengsten (2009-2012)'!M234</f>
        <v>2441462.9899999993</v>
      </c>
      <c r="N350" s="180">
        <f>SUM('PRD Ov.Opbrengsten (2009-2012)'!N219:N221)-'PRD Ov.Opbrengsten (2009-2012)'!N234</f>
        <v>11319.680664635616</v>
      </c>
    </row>
    <row r="351" spans="2:14">
      <c r="B351" s="25" t="s">
        <v>330</v>
      </c>
      <c r="D351" t="s">
        <v>183</v>
      </c>
      <c r="F351" s="82">
        <f>SUM(G351:N351)</f>
        <v>0</v>
      </c>
      <c r="G351" s="39"/>
      <c r="H351" s="39"/>
      <c r="I351" s="39"/>
      <c r="J351" s="39"/>
      <c r="K351" s="39"/>
      <c r="L351" s="39"/>
      <c r="M351" s="39"/>
      <c r="N351" s="39"/>
    </row>
    <row r="352" spans="2:14">
      <c r="B352" s="25"/>
      <c r="F352" s="68"/>
      <c r="G352" s="36"/>
      <c r="H352" s="36"/>
      <c r="I352" s="36"/>
      <c r="J352" s="36"/>
      <c r="K352" s="36"/>
      <c r="L352" s="36"/>
      <c r="M352" s="36"/>
      <c r="N352" s="36"/>
    </row>
    <row r="353" spans="2:14">
      <c r="B353" s="81" t="s">
        <v>198</v>
      </c>
      <c r="F353" s="68"/>
      <c r="G353" s="36"/>
      <c r="H353" s="36"/>
      <c r="I353" s="36"/>
      <c r="J353" s="36"/>
      <c r="K353" s="36"/>
      <c r="L353" s="36"/>
      <c r="M353" s="36"/>
      <c r="N353" s="36"/>
    </row>
    <row r="354" spans="2:14">
      <c r="B354" s="25" t="s">
        <v>199</v>
      </c>
      <c r="D354" t="s">
        <v>183</v>
      </c>
      <c r="F354" s="82">
        <f>SUM(G354:N354)</f>
        <v>85406134.831372991</v>
      </c>
      <c r="G354" s="180">
        <f>'PRD Ov.Opbrengsten (2009-2012)'!G215-'PRD Ov.Opbrengsten (2009-2012)'!G207+'PRD Ov.Opbrengsten (2009-2012)'!G191+SUM('PRD Ov.Opbrengsten (2009-2012)'!G222:G228)</f>
        <v>78769.198451244316</v>
      </c>
      <c r="H354" s="180">
        <f>'PRD Ov.Opbrengsten (2009-2012)'!H215-'PRD Ov.Opbrengsten (2009-2012)'!H207+'PRD Ov.Opbrengsten (2009-2012)'!H191+SUM('PRD Ov.Opbrengsten (2009-2012)'!H222:H228)</f>
        <v>424548.24915679242</v>
      </c>
      <c r="I354" s="180">
        <f>'PRD Ov.Opbrengsten (2009-2012)'!I215-'PRD Ov.Opbrengsten (2009-2012)'!I207+'PRD Ov.Opbrengsten (2009-2012)'!I191+SUM('PRD Ov.Opbrengsten (2009-2012)'!I222:I228)</f>
        <v>365428.00894673099</v>
      </c>
      <c r="J354" s="180">
        <f>'PRD Ov.Opbrengsten (2009-2012)'!J215-'PRD Ov.Opbrengsten (2009-2012)'!J207+'PRD Ov.Opbrengsten (2009-2012)'!J191+SUM('PRD Ov.Opbrengsten (2009-2012)'!J222:J228)</f>
        <v>46182199.264481686</v>
      </c>
      <c r="K354" s="180">
        <f>'PRD Ov.Opbrengsten (2009-2012)'!K215-'PRD Ov.Opbrengsten (2009-2012)'!K207+'PRD Ov.Opbrengsten (2009-2012)'!K191+SUM('PRD Ov.Opbrengsten (2009-2012)'!K222:K228)</f>
        <v>24433595.360331222</v>
      </c>
      <c r="L354" s="180">
        <f>'PRD Ov.Opbrengsten (2009-2012)'!L215-'PRD Ov.Opbrengsten (2009-2012)'!L207+'PRD Ov.Opbrengsten (2009-2012)'!L191+SUM('PRD Ov.Opbrengsten (2009-2012)'!L222:L228)</f>
        <v>132167.80499999999</v>
      </c>
      <c r="M354" s="180">
        <f>'PRD Ov.Opbrengsten (2009-2012)'!M215-'PRD Ov.Opbrengsten (2009-2012)'!M207+'PRD Ov.Opbrengsten (2009-2012)'!M191+SUM('PRD Ov.Opbrengsten (2009-2012)'!M222:M228)</f>
        <v>13400597.748775223</v>
      </c>
      <c r="N354" s="180">
        <f>'PRD Ov.Opbrengsten (2009-2012)'!N215-'PRD Ov.Opbrengsten (2009-2012)'!N207+'PRD Ov.Opbrengsten (2009-2012)'!N191+SUM('PRD Ov.Opbrengsten (2009-2012)'!N222:N228)</f>
        <v>388829.1962300794</v>
      </c>
    </row>
    <row r="355" spans="2:14">
      <c r="B355" s="25" t="s">
        <v>200</v>
      </c>
      <c r="D355" t="s">
        <v>183</v>
      </c>
      <c r="F355" s="82">
        <f>SUM(G355:N355)</f>
        <v>0</v>
      </c>
      <c r="G355" s="160"/>
      <c r="H355" s="160"/>
      <c r="I355" s="160"/>
      <c r="J355" s="160"/>
      <c r="K355" s="160"/>
      <c r="L355" s="160"/>
      <c r="M355" s="160"/>
      <c r="N355" s="160"/>
    </row>
    <row r="356" spans="2:14">
      <c r="B356" s="25"/>
      <c r="F356" s="68"/>
      <c r="G356" s="36"/>
      <c r="H356" s="36"/>
      <c r="I356" s="36"/>
      <c r="J356" s="36"/>
      <c r="K356" s="36"/>
      <c r="L356" s="36"/>
      <c r="M356" s="36"/>
      <c r="N356" s="36"/>
    </row>
    <row r="357" spans="2:14">
      <c r="B357" s="81" t="s">
        <v>201</v>
      </c>
      <c r="F357" s="68"/>
      <c r="G357" s="36"/>
      <c r="H357" s="36"/>
      <c r="I357" s="36"/>
      <c r="J357" s="36"/>
      <c r="K357" s="36"/>
      <c r="L357" s="36"/>
      <c r="M357" s="36"/>
      <c r="N357" s="36"/>
    </row>
    <row r="358" spans="2:14">
      <c r="B358" s="25" t="s">
        <v>202</v>
      </c>
      <c r="D358" t="s">
        <v>183</v>
      </c>
      <c r="F358" s="82">
        <f>SUM(G358:N358)</f>
        <v>0</v>
      </c>
      <c r="G358" s="39"/>
      <c r="H358" s="39"/>
      <c r="I358" s="39"/>
      <c r="J358" s="39"/>
      <c r="K358" s="39"/>
      <c r="L358" s="39"/>
      <c r="M358" s="39"/>
      <c r="N358" s="39"/>
    </row>
    <row r="359" spans="2:14">
      <c r="B359" s="25" t="s">
        <v>203</v>
      </c>
      <c r="D359" t="s">
        <v>183</v>
      </c>
      <c r="F359" s="82">
        <f>SUM(G359:N359)</f>
        <v>0</v>
      </c>
      <c r="G359" s="39"/>
      <c r="H359" s="39"/>
      <c r="I359" s="39"/>
      <c r="J359" s="39"/>
      <c r="K359" s="39"/>
      <c r="L359" s="39"/>
      <c r="M359" s="39"/>
      <c r="N359" s="39"/>
    </row>
    <row r="360" spans="2:14">
      <c r="B360" s="25"/>
      <c r="F360" s="68"/>
      <c r="G360" s="36"/>
      <c r="H360" s="36"/>
      <c r="I360" s="36"/>
      <c r="J360" s="36"/>
      <c r="K360" s="36"/>
      <c r="L360" s="36"/>
      <c r="M360" s="36"/>
      <c r="N360" s="36"/>
    </row>
    <row r="361" spans="2:14">
      <c r="B361" s="81" t="s">
        <v>204</v>
      </c>
      <c r="F361" s="68"/>
      <c r="G361" s="36"/>
      <c r="H361" s="36"/>
      <c r="I361" s="36"/>
      <c r="J361" s="36"/>
      <c r="K361" s="36"/>
      <c r="L361" s="36"/>
      <c r="M361" s="36"/>
      <c r="N361" s="36"/>
    </row>
    <row r="362" spans="2:14">
      <c r="B362" s="25" t="s">
        <v>331</v>
      </c>
      <c r="D362" t="s">
        <v>183</v>
      </c>
      <c r="F362" s="82">
        <f>SUM(G362:N362)</f>
        <v>0</v>
      </c>
      <c r="G362" s="39"/>
      <c r="H362" s="39"/>
      <c r="I362" s="39"/>
      <c r="J362" s="39"/>
      <c r="K362" s="39"/>
      <c r="L362" s="39"/>
      <c r="M362" s="39"/>
      <c r="N362" s="39"/>
    </row>
    <row r="363" spans="2:14">
      <c r="B363" s="25" t="s">
        <v>332</v>
      </c>
      <c r="D363" t="s">
        <v>183</v>
      </c>
      <c r="F363" s="82">
        <f>SUM(G363:N363)</f>
        <v>0</v>
      </c>
      <c r="G363" s="39"/>
      <c r="H363" s="39"/>
      <c r="I363" s="39"/>
      <c r="J363" s="39"/>
      <c r="K363" s="39"/>
      <c r="L363" s="39"/>
      <c r="M363" s="39"/>
      <c r="N363" s="39"/>
    </row>
    <row r="364" spans="2:14">
      <c r="B364" s="83" t="s">
        <v>333</v>
      </c>
      <c r="D364" t="s">
        <v>183</v>
      </c>
      <c r="F364" s="82">
        <f>SUM(G364:N364)</f>
        <v>0</v>
      </c>
      <c r="G364" s="39"/>
      <c r="H364" s="39"/>
      <c r="I364" s="39"/>
      <c r="J364" s="39"/>
      <c r="K364" s="39"/>
      <c r="L364" s="39"/>
      <c r="M364" s="39"/>
      <c r="N364" s="39"/>
    </row>
    <row r="365" spans="2:14">
      <c r="F365" s="68"/>
      <c r="G365" s="40"/>
      <c r="H365" s="40"/>
      <c r="I365" s="40"/>
      <c r="J365" s="40"/>
      <c r="K365" s="40"/>
      <c r="L365" s="40"/>
      <c r="M365" s="40"/>
      <c r="N365" s="40"/>
    </row>
    <row r="366" spans="2:14">
      <c r="F366" s="68"/>
      <c r="G366" s="40"/>
      <c r="H366" s="40"/>
      <c r="I366" s="40"/>
      <c r="J366" s="40"/>
      <c r="K366" s="40"/>
      <c r="L366" s="40"/>
      <c r="M366" s="40"/>
      <c r="N366" s="40"/>
    </row>
    <row r="367" spans="2:14">
      <c r="B367" s="3" t="s">
        <v>74</v>
      </c>
      <c r="F367" s="68"/>
      <c r="G367" s="40"/>
      <c r="H367" s="40"/>
      <c r="I367" s="40"/>
      <c r="J367" s="40"/>
      <c r="K367" s="40"/>
      <c r="L367" s="40"/>
      <c r="M367" s="40"/>
      <c r="N367" s="40"/>
    </row>
    <row r="368" spans="2:14">
      <c r="F368" s="68"/>
      <c r="G368" s="40"/>
      <c r="H368" s="40"/>
      <c r="I368" s="40"/>
      <c r="J368" s="40"/>
      <c r="K368" s="40"/>
      <c r="L368" s="40"/>
      <c r="M368" s="40"/>
      <c r="N368" s="40"/>
    </row>
    <row r="369" spans="2:16">
      <c r="B369" s="81" t="s">
        <v>194</v>
      </c>
      <c r="F369" s="46"/>
    </row>
    <row r="370" spans="2:16">
      <c r="B370" s="25" t="s">
        <v>195</v>
      </c>
      <c r="D370" t="s">
        <v>183</v>
      </c>
      <c r="F370" s="82">
        <f>SUM(G370:N370)</f>
        <v>355594186.6006127</v>
      </c>
      <c r="G370" s="29">
        <f>G302+G326-G348</f>
        <v>0</v>
      </c>
      <c r="H370" s="29">
        <f t="shared" ref="H370:N370" si="43">H302+H326-H348</f>
        <v>8880192.4545788374</v>
      </c>
      <c r="I370" s="29">
        <f t="shared" si="43"/>
        <v>0</v>
      </c>
      <c r="J370" s="29">
        <f t="shared" si="43"/>
        <v>141855339.68000001</v>
      </c>
      <c r="K370" s="29">
        <f t="shared" si="43"/>
        <v>114575797.41666667</v>
      </c>
      <c r="L370" s="29">
        <f t="shared" si="43"/>
        <v>0</v>
      </c>
      <c r="M370" s="29">
        <f t="shared" si="43"/>
        <v>82955235.159999996</v>
      </c>
      <c r="N370" s="29">
        <f t="shared" si="43"/>
        <v>7327621.8893671352</v>
      </c>
      <c r="P370" s="50"/>
    </row>
    <row r="371" spans="2:16">
      <c r="B371" s="25" t="s">
        <v>196</v>
      </c>
      <c r="D371" t="s">
        <v>183</v>
      </c>
      <c r="F371" s="82">
        <f>SUM(G371:N371)</f>
        <v>19900655.606179394</v>
      </c>
      <c r="G371" s="29">
        <f t="shared" ref="G371:N371" si="44">G303+G327-G349</f>
        <v>3258198</v>
      </c>
      <c r="H371" s="29">
        <f t="shared" si="44"/>
        <v>0</v>
      </c>
      <c r="I371" s="29">
        <f t="shared" si="44"/>
        <v>6890933.9199999999</v>
      </c>
      <c r="J371" s="29">
        <f t="shared" si="44"/>
        <v>701040.53364000004</v>
      </c>
      <c r="K371" s="29">
        <f t="shared" si="44"/>
        <v>757117.24166666681</v>
      </c>
      <c r="L371" s="29">
        <f t="shared" si="44"/>
        <v>2116603.44</v>
      </c>
      <c r="M371" s="29">
        <f t="shared" si="44"/>
        <v>6004607.2448727274</v>
      </c>
      <c r="N371" s="29">
        <f t="shared" si="44"/>
        <v>172155.22599999933</v>
      </c>
    </row>
    <row r="372" spans="2:16">
      <c r="B372" s="25" t="s">
        <v>197</v>
      </c>
      <c r="D372" t="s">
        <v>183</v>
      </c>
      <c r="F372" s="82">
        <f>SUM(G372:N372)</f>
        <v>257059307.54494727</v>
      </c>
      <c r="G372" s="29">
        <f t="shared" ref="G372:N372" si="45">G304+G328-G350</f>
        <v>927357.45816084009</v>
      </c>
      <c r="H372" s="29">
        <f t="shared" si="45"/>
        <v>5450109.0800000001</v>
      </c>
      <c r="I372" s="29">
        <f t="shared" si="45"/>
        <v>2363707.33873</v>
      </c>
      <c r="J372" s="29">
        <f t="shared" si="45"/>
        <v>88829834.287689969</v>
      </c>
      <c r="K372" s="29">
        <f t="shared" si="45"/>
        <v>108588165.2103311</v>
      </c>
      <c r="L372" s="29">
        <f t="shared" si="45"/>
        <v>504672.91070000001</v>
      </c>
      <c r="M372" s="29">
        <f t="shared" si="45"/>
        <v>46298129.009999998</v>
      </c>
      <c r="N372" s="29">
        <f t="shared" si="45"/>
        <v>4097332.2493353644</v>
      </c>
    </row>
    <row r="373" spans="2:16">
      <c r="B373" s="25" t="s">
        <v>330</v>
      </c>
      <c r="D373" t="s">
        <v>183</v>
      </c>
      <c r="F373" s="82">
        <f>SUM(G373:N373)</f>
        <v>6288</v>
      </c>
      <c r="G373" s="29">
        <f t="shared" ref="G373:N373" si="46">G305+G329-G351</f>
        <v>6288</v>
      </c>
      <c r="H373" s="29">
        <f t="shared" si="46"/>
        <v>0</v>
      </c>
      <c r="I373" s="29">
        <f t="shared" si="46"/>
        <v>0</v>
      </c>
      <c r="J373" s="29">
        <f t="shared" si="46"/>
        <v>0</v>
      </c>
      <c r="K373" s="29">
        <f t="shared" si="46"/>
        <v>0</v>
      </c>
      <c r="L373" s="29">
        <f t="shared" si="46"/>
        <v>0</v>
      </c>
      <c r="M373" s="29">
        <f t="shared" si="46"/>
        <v>0</v>
      </c>
      <c r="N373" s="29">
        <f t="shared" si="46"/>
        <v>0</v>
      </c>
    </row>
    <row r="374" spans="2:16">
      <c r="B374" s="25"/>
      <c r="F374" s="68"/>
      <c r="G374" s="36"/>
      <c r="H374" s="36"/>
      <c r="I374" s="36"/>
      <c r="J374" s="36"/>
      <c r="K374" s="36"/>
      <c r="L374" s="36"/>
      <c r="M374" s="36"/>
      <c r="N374" s="36"/>
    </row>
    <row r="375" spans="2:16">
      <c r="B375" s="81" t="s">
        <v>198</v>
      </c>
      <c r="F375" s="68"/>
      <c r="G375" s="36"/>
      <c r="H375" s="36"/>
      <c r="I375" s="36"/>
      <c r="J375" s="36"/>
      <c r="K375" s="36"/>
      <c r="L375" s="36"/>
      <c r="M375" s="36"/>
      <c r="N375" s="36"/>
    </row>
    <row r="376" spans="2:16">
      <c r="B376" s="25" t="s">
        <v>199</v>
      </c>
      <c r="D376" t="s">
        <v>183</v>
      </c>
      <c r="F376" s="82">
        <f>SUM(G376:N376)</f>
        <v>754955444.91953826</v>
      </c>
      <c r="G376" s="29">
        <f>G308+G332-G354</f>
        <v>4438915.8015487557</v>
      </c>
      <c r="H376" s="29">
        <f t="shared" ref="H376:N376" si="47">H308+H332-H354</f>
        <v>24918945.124253057</v>
      </c>
      <c r="I376" s="29">
        <f t="shared" si="47"/>
        <v>8347255.5722830622</v>
      </c>
      <c r="J376" s="29">
        <f t="shared" si="47"/>
        <v>192165265.17194158</v>
      </c>
      <c r="K376" s="29">
        <f t="shared" si="47"/>
        <v>336952358.52907073</v>
      </c>
      <c r="L376" s="29">
        <f t="shared" si="47"/>
        <v>2013448.8049999999</v>
      </c>
      <c r="M376" s="29">
        <f t="shared" si="47"/>
        <v>176249304.42602128</v>
      </c>
      <c r="N376" s="29">
        <f t="shared" si="47"/>
        <v>9869951.4894199204</v>
      </c>
    </row>
    <row r="377" spans="2:16">
      <c r="B377" s="25" t="s">
        <v>200</v>
      </c>
      <c r="D377" t="s">
        <v>183</v>
      </c>
      <c r="F377" s="82">
        <f>SUM(G377:N377)</f>
        <v>21599075.919442751</v>
      </c>
      <c r="G377" s="29">
        <f t="shared" ref="G377:N377" si="48">G309+G333-G355</f>
        <v>0</v>
      </c>
      <c r="H377" s="29">
        <f t="shared" si="48"/>
        <v>0</v>
      </c>
      <c r="I377" s="29">
        <f t="shared" si="48"/>
        <v>0</v>
      </c>
      <c r="J377" s="29">
        <f t="shared" si="48"/>
        <v>0</v>
      </c>
      <c r="K377" s="29">
        <f t="shared" si="48"/>
        <v>0</v>
      </c>
      <c r="L377" s="29">
        <f t="shared" si="48"/>
        <v>271762.44</v>
      </c>
      <c r="M377" s="29">
        <f t="shared" si="48"/>
        <v>21327313.479442749</v>
      </c>
      <c r="N377" s="29">
        <f t="shared" si="48"/>
        <v>0</v>
      </c>
    </row>
    <row r="378" spans="2:16">
      <c r="B378" s="25"/>
      <c r="F378" s="68"/>
      <c r="G378" s="36"/>
      <c r="H378" s="36"/>
      <c r="I378" s="36"/>
      <c r="J378" s="36"/>
      <c r="K378" s="36"/>
      <c r="L378" s="36"/>
      <c r="M378" s="36"/>
      <c r="N378" s="36"/>
    </row>
    <row r="379" spans="2:16">
      <c r="B379" s="81" t="s">
        <v>201</v>
      </c>
      <c r="F379" s="68"/>
      <c r="G379" s="36"/>
      <c r="H379" s="36"/>
      <c r="I379" s="36"/>
      <c r="J379" s="36"/>
      <c r="K379" s="36"/>
      <c r="L379" s="36"/>
      <c r="M379" s="36"/>
      <c r="N379" s="36"/>
    </row>
    <row r="380" spans="2:16">
      <c r="B380" s="25" t="s">
        <v>202</v>
      </c>
      <c r="D380" t="s">
        <v>183</v>
      </c>
      <c r="F380" s="82">
        <f>SUM(G380:N380)</f>
        <v>48807818.626913533</v>
      </c>
      <c r="G380" s="29">
        <f>G312+G336-G358</f>
        <v>0</v>
      </c>
      <c r="H380" s="29">
        <f t="shared" ref="H380:N380" si="49">H312+H336-H358</f>
        <v>851761.6</v>
      </c>
      <c r="I380" s="29">
        <f t="shared" si="49"/>
        <v>0</v>
      </c>
      <c r="J380" s="29">
        <f t="shared" si="49"/>
        <v>1612169.4569135276</v>
      </c>
      <c r="K380" s="29">
        <f t="shared" si="49"/>
        <v>29496804.710000001</v>
      </c>
      <c r="L380" s="29">
        <f t="shared" si="49"/>
        <v>0</v>
      </c>
      <c r="M380" s="29">
        <f t="shared" si="49"/>
        <v>16832392</v>
      </c>
      <c r="N380" s="29">
        <f t="shared" si="49"/>
        <v>14690.86</v>
      </c>
    </row>
    <row r="381" spans="2:16">
      <c r="B381" s="25" t="s">
        <v>203</v>
      </c>
      <c r="D381" t="s">
        <v>183</v>
      </c>
      <c r="F381" s="82">
        <f>SUM(G381:N381)</f>
        <v>1484</v>
      </c>
      <c r="G381" s="29">
        <f t="shared" ref="G381:N381" si="50">G313+G337-G359</f>
        <v>1484</v>
      </c>
      <c r="H381" s="29">
        <f t="shared" si="50"/>
        <v>0</v>
      </c>
      <c r="I381" s="29">
        <f t="shared" si="50"/>
        <v>0</v>
      </c>
      <c r="J381" s="29">
        <f t="shared" si="50"/>
        <v>0</v>
      </c>
      <c r="K381" s="29">
        <f t="shared" si="50"/>
        <v>0</v>
      </c>
      <c r="L381" s="29">
        <f t="shared" si="50"/>
        <v>0</v>
      </c>
      <c r="M381" s="29">
        <f t="shared" si="50"/>
        <v>0</v>
      </c>
      <c r="N381" s="29">
        <f t="shared" si="50"/>
        <v>0</v>
      </c>
    </row>
    <row r="382" spans="2:16">
      <c r="B382" s="25"/>
      <c r="F382" s="68"/>
      <c r="G382" s="36"/>
      <c r="H382" s="36"/>
      <c r="I382" s="36"/>
      <c r="J382" s="36"/>
      <c r="K382" s="36"/>
      <c r="L382" s="36"/>
      <c r="M382" s="36"/>
      <c r="N382" s="36"/>
    </row>
    <row r="383" spans="2:16">
      <c r="B383" s="81" t="s">
        <v>204</v>
      </c>
      <c r="F383" s="68"/>
      <c r="G383" s="36"/>
      <c r="H383" s="36"/>
      <c r="I383" s="36"/>
      <c r="J383" s="36"/>
      <c r="K383" s="36"/>
      <c r="L383" s="36"/>
      <c r="M383" s="36"/>
      <c r="N383" s="36"/>
    </row>
    <row r="384" spans="2:16">
      <c r="B384" s="25" t="s">
        <v>331</v>
      </c>
      <c r="D384" t="s">
        <v>183</v>
      </c>
      <c r="F384" s="82">
        <f>SUM(G384:N384)</f>
        <v>8182035.3200101843</v>
      </c>
      <c r="G384" s="29">
        <f>G316+G340-G362</f>
        <v>62769</v>
      </c>
      <c r="H384" s="29">
        <f t="shared" ref="H384:N384" si="51">H316+H340-H362</f>
        <v>235302.03012499999</v>
      </c>
      <c r="I384" s="29">
        <f t="shared" si="51"/>
        <v>102030.37893782025</v>
      </c>
      <c r="J384" s="29">
        <f t="shared" si="51"/>
        <v>2620948.3491235389</v>
      </c>
      <c r="K384" s="29">
        <f t="shared" si="51"/>
        <v>3025828.3042752063</v>
      </c>
      <c r="L384" s="29">
        <f t="shared" si="51"/>
        <v>22011.55</v>
      </c>
      <c r="M384" s="29">
        <f t="shared" si="51"/>
        <v>2071522.4875324718</v>
      </c>
      <c r="N384" s="29">
        <f t="shared" si="51"/>
        <v>41623.220016147228</v>
      </c>
    </row>
    <row r="385" spans="2:15">
      <c r="B385" s="25" t="s">
        <v>332</v>
      </c>
      <c r="D385" t="s">
        <v>183</v>
      </c>
      <c r="F385" s="82">
        <f>SUM(G385:N385)</f>
        <v>5263289.2005261993</v>
      </c>
      <c r="G385" s="29">
        <f>G317+G341-G363</f>
        <v>30894</v>
      </c>
      <c r="H385" s="29">
        <f t="shared" ref="H385:N385" si="52">H317+H341-H363</f>
        <v>113082.90043756668</v>
      </c>
      <c r="I385" s="29">
        <f t="shared" si="52"/>
        <v>69216.523913263387</v>
      </c>
      <c r="J385" s="29">
        <f t="shared" si="52"/>
        <v>1592417.5369157223</v>
      </c>
      <c r="K385" s="29">
        <f t="shared" si="52"/>
        <v>1747367.0458747949</v>
      </c>
      <c r="L385" s="29">
        <f t="shared" si="52"/>
        <v>37126.31</v>
      </c>
      <c r="M385" s="29">
        <f t="shared" si="52"/>
        <v>1467903.3519429786</v>
      </c>
      <c r="N385" s="29">
        <f t="shared" si="52"/>
        <v>205281.53144187349</v>
      </c>
    </row>
    <row r="386" spans="2:15">
      <c r="B386" s="83" t="s">
        <v>333</v>
      </c>
      <c r="D386" t="s">
        <v>183</v>
      </c>
      <c r="F386" s="82">
        <f>SUM(G386:N386)</f>
        <v>18647386.207195293</v>
      </c>
      <c r="G386" s="29">
        <f t="shared" ref="G386:N386" si="53">G318+G342-G364</f>
        <v>0</v>
      </c>
      <c r="H386" s="29">
        <f t="shared" si="53"/>
        <v>95907.53</v>
      </c>
      <c r="I386" s="29">
        <f t="shared" si="53"/>
        <v>146798.95740935003</v>
      </c>
      <c r="J386" s="29">
        <f t="shared" si="53"/>
        <v>6084709.2708396483</v>
      </c>
      <c r="K386" s="29">
        <f t="shared" si="53"/>
        <v>11890028.667398341</v>
      </c>
      <c r="L386" s="29">
        <f t="shared" si="53"/>
        <v>38704.22</v>
      </c>
      <c r="M386" s="29">
        <f t="shared" si="53"/>
        <v>285737.56154795532</v>
      </c>
      <c r="N386" s="29">
        <f t="shared" si="53"/>
        <v>105500</v>
      </c>
    </row>
    <row r="387" spans="2:15">
      <c r="F387" s="68"/>
      <c r="G387" s="40"/>
      <c r="H387" s="40"/>
      <c r="I387" s="40"/>
      <c r="J387" s="40"/>
      <c r="K387" s="40"/>
      <c r="L387" s="40"/>
      <c r="M387" s="40"/>
      <c r="N387" s="40"/>
    </row>
    <row r="388" spans="2:15">
      <c r="B388" s="25" t="s">
        <v>75</v>
      </c>
      <c r="D388" t="s">
        <v>183</v>
      </c>
      <c r="F388" s="94">
        <f t="shared" ref="F388:N388" si="54">SUM(F370:F373,F376:F377,F380:F381,F384:F386)</f>
        <v>1490016971.9453654</v>
      </c>
      <c r="G388" s="73">
        <f t="shared" si="54"/>
        <v>8725906.2597095966</v>
      </c>
      <c r="H388" s="73">
        <f t="shared" si="54"/>
        <v>40545300.71939446</v>
      </c>
      <c r="I388" s="73">
        <f t="shared" si="54"/>
        <v>17919942.691273496</v>
      </c>
      <c r="J388" s="73">
        <f t="shared" si="54"/>
        <v>435461724.28706396</v>
      </c>
      <c r="K388" s="73">
        <f t="shared" si="54"/>
        <v>607033467.12528348</v>
      </c>
      <c r="L388" s="73">
        <f t="shared" si="54"/>
        <v>5004329.6756999996</v>
      </c>
      <c r="M388" s="73">
        <f t="shared" si="54"/>
        <v>353492144.72136015</v>
      </c>
      <c r="N388" s="73">
        <f t="shared" si="54"/>
        <v>21834156.465580445</v>
      </c>
    </row>
    <row r="389" spans="2:15">
      <c r="F389" s="68"/>
      <c r="G389" s="40"/>
      <c r="H389" s="40"/>
      <c r="I389" s="40"/>
      <c r="J389" s="40"/>
      <c r="K389" s="40"/>
      <c r="L389" s="40"/>
      <c r="M389" s="40"/>
      <c r="N389" s="40"/>
    </row>
    <row r="390" spans="2:15">
      <c r="B390" s="50" t="s">
        <v>467</v>
      </c>
      <c r="D390" t="s">
        <v>183</v>
      </c>
      <c r="F390" s="179">
        <f>SUM(G390:N390)</f>
        <v>1057530791.7916498</v>
      </c>
      <c r="G390" s="180">
        <f>G388-G370-G371-G380-G381-G384</f>
        <v>5403455.2597095966</v>
      </c>
      <c r="H390" s="180">
        <f t="shared" ref="H390:N390" si="55">H388-H370-H371-H380-H381-H384</f>
        <v>30578044.63469062</v>
      </c>
      <c r="I390" s="180">
        <f t="shared" si="55"/>
        <v>10926978.392335676</v>
      </c>
      <c r="J390" s="180">
        <f t="shared" si="55"/>
        <v>288672226.26738685</v>
      </c>
      <c r="K390" s="180">
        <f t="shared" si="55"/>
        <v>459177919.45267493</v>
      </c>
      <c r="L390" s="180">
        <f t="shared" si="55"/>
        <v>2865714.6856999998</v>
      </c>
      <c r="M390" s="180">
        <f t="shared" si="55"/>
        <v>245628387.82895494</v>
      </c>
      <c r="N390" s="180">
        <f t="shared" si="55"/>
        <v>14278065.270197162</v>
      </c>
      <c r="O390" s="36"/>
    </row>
    <row r="391" spans="2:15">
      <c r="F391" s="68"/>
      <c r="G391" s="40"/>
      <c r="H391" s="40"/>
      <c r="I391" s="40"/>
      <c r="J391" s="40"/>
      <c r="K391" s="40"/>
      <c r="L391" s="40"/>
      <c r="M391" s="40"/>
      <c r="N391" s="40"/>
    </row>
    <row r="392" spans="2:15">
      <c r="F392" s="68"/>
      <c r="G392" s="40"/>
      <c r="H392" s="40"/>
      <c r="I392" s="40"/>
      <c r="J392" s="40"/>
      <c r="K392" s="40"/>
      <c r="L392" s="40"/>
      <c r="M392" s="40"/>
      <c r="N392" s="40"/>
    </row>
    <row r="393" spans="2:15">
      <c r="F393" s="4"/>
    </row>
    <row r="394" spans="2:15">
      <c r="F394" s="4"/>
    </row>
    <row r="395" spans="2:15">
      <c r="F395" s="4"/>
    </row>
    <row r="396" spans="2:15">
      <c r="F396" s="4"/>
    </row>
    <row r="397" spans="2:15">
      <c r="F397" s="4"/>
    </row>
    <row r="398" spans="2:15">
      <c r="F398" s="4"/>
    </row>
    <row r="399" spans="2:15">
      <c r="F399" s="4"/>
    </row>
    <row r="400" spans="2:15">
      <c r="F400" s="4"/>
    </row>
    <row r="401" spans="6:6">
      <c r="F401" s="4"/>
    </row>
    <row r="402" spans="6:6">
      <c r="F402" s="4"/>
    </row>
    <row r="403" spans="6:6">
      <c r="F403" s="4"/>
    </row>
    <row r="404" spans="6:6">
      <c r="F404" s="4"/>
    </row>
    <row r="405" spans="6:6">
      <c r="F405" s="4"/>
    </row>
    <row r="406" spans="6:6">
      <c r="F406" s="4"/>
    </row>
    <row r="407" spans="6:6">
      <c r="F407" s="4"/>
    </row>
    <row r="408" spans="6:6">
      <c r="F408" s="4"/>
    </row>
    <row r="409" spans="6:6">
      <c r="F409" s="4"/>
    </row>
    <row r="410" spans="6:6">
      <c r="F410" s="4"/>
    </row>
    <row r="411" spans="6:6">
      <c r="F411" s="4"/>
    </row>
    <row r="412" spans="6:6">
      <c r="F412" s="4"/>
    </row>
    <row r="413" spans="6:6">
      <c r="F413" s="4"/>
    </row>
    <row r="414" spans="6:6">
      <c r="F414" s="4"/>
    </row>
    <row r="415" spans="6:6">
      <c r="F415" s="4"/>
    </row>
    <row r="416" spans="6:6">
      <c r="F416" s="4"/>
    </row>
    <row r="417" spans="6:6">
      <c r="F417" s="4"/>
    </row>
    <row r="418" spans="6:6">
      <c r="F418" s="4"/>
    </row>
    <row r="419" spans="6:6">
      <c r="F419" s="4"/>
    </row>
    <row r="420" spans="6:6">
      <c r="F420" s="4"/>
    </row>
    <row r="421" spans="6:6">
      <c r="F421" s="4"/>
    </row>
    <row r="422" spans="6:6">
      <c r="F422" s="4"/>
    </row>
    <row r="423" spans="6:6">
      <c r="F423" s="4"/>
    </row>
    <row r="424" spans="6:6">
      <c r="F424" s="4"/>
    </row>
    <row r="425" spans="6:6">
      <c r="F425" s="4"/>
    </row>
    <row r="426" spans="6:6">
      <c r="F426" s="4"/>
    </row>
    <row r="427" spans="6:6">
      <c r="F427" s="4"/>
    </row>
    <row r="428" spans="6:6">
      <c r="F428" s="4"/>
    </row>
    <row r="429" spans="6:6">
      <c r="F429" s="4"/>
    </row>
    <row r="430" spans="6:6">
      <c r="F430" s="4"/>
    </row>
    <row r="431" spans="6:6">
      <c r="F431" s="4"/>
    </row>
    <row r="432" spans="6:6">
      <c r="F432" s="4"/>
    </row>
    <row r="433" spans="6:6">
      <c r="F433" s="4"/>
    </row>
    <row r="434" spans="6:6">
      <c r="F434" s="4"/>
    </row>
    <row r="435" spans="6:6">
      <c r="F435" s="4"/>
    </row>
    <row r="436" spans="6:6">
      <c r="F436" s="4"/>
    </row>
    <row r="437" spans="6:6">
      <c r="F437" s="4"/>
    </row>
    <row r="438" spans="6:6">
      <c r="F438" s="4"/>
    </row>
    <row r="439" spans="6:6">
      <c r="F439" s="4"/>
    </row>
    <row r="440" spans="6:6">
      <c r="F440" s="4"/>
    </row>
    <row r="441" spans="6:6">
      <c r="F441" s="4"/>
    </row>
    <row r="442" spans="6:6">
      <c r="F442" s="4"/>
    </row>
    <row r="443" spans="6:6">
      <c r="F443" s="4"/>
    </row>
    <row r="444" spans="6:6">
      <c r="F444" s="4"/>
    </row>
    <row r="445" spans="6:6">
      <c r="F445" s="4"/>
    </row>
    <row r="446" spans="6:6">
      <c r="F446" s="4"/>
    </row>
    <row r="447" spans="6:6">
      <c r="F447" s="4"/>
    </row>
    <row r="448" spans="6:6">
      <c r="F448" s="4"/>
    </row>
    <row r="449" spans="6:6">
      <c r="F449" s="4"/>
    </row>
    <row r="450" spans="6:6">
      <c r="F450" s="4"/>
    </row>
    <row r="451" spans="6:6">
      <c r="F451" s="4"/>
    </row>
    <row r="452" spans="6:6">
      <c r="F452" s="4"/>
    </row>
    <row r="453" spans="6:6">
      <c r="F453" s="4"/>
    </row>
    <row r="454" spans="6:6">
      <c r="F454" s="4"/>
    </row>
    <row r="455" spans="6:6">
      <c r="F455" s="4"/>
    </row>
    <row r="456" spans="6:6">
      <c r="F456" s="4"/>
    </row>
    <row r="457" spans="6:6">
      <c r="F457" s="4"/>
    </row>
    <row r="458" spans="6:6">
      <c r="F458" s="4"/>
    </row>
    <row r="459" spans="6:6">
      <c r="F459" s="4"/>
    </row>
    <row r="460" spans="6:6">
      <c r="F460" s="4"/>
    </row>
    <row r="461" spans="6:6">
      <c r="F461" s="4"/>
    </row>
    <row r="462" spans="6:6">
      <c r="F462" s="4"/>
    </row>
    <row r="463" spans="6:6">
      <c r="F463" s="4"/>
    </row>
    <row r="464" spans="6:6">
      <c r="F464" s="4"/>
    </row>
    <row r="465" spans="6:6">
      <c r="F465" s="4"/>
    </row>
    <row r="466" spans="6:6">
      <c r="F466" s="4"/>
    </row>
    <row r="467" spans="6:6">
      <c r="F467" s="4"/>
    </row>
    <row r="468" spans="6:6">
      <c r="F468" s="4"/>
    </row>
    <row r="469" spans="6:6">
      <c r="F469" s="4"/>
    </row>
    <row r="470" spans="6:6">
      <c r="F470" s="4"/>
    </row>
    <row r="471" spans="6:6">
      <c r="F471" s="4"/>
    </row>
    <row r="472" spans="6:6">
      <c r="F472" s="4"/>
    </row>
    <row r="473" spans="6:6">
      <c r="F473" s="4"/>
    </row>
    <row r="474" spans="6:6">
      <c r="F474" s="4"/>
    </row>
    <row r="475" spans="6:6">
      <c r="F475" s="4"/>
    </row>
    <row r="476" spans="6:6">
      <c r="F476" s="4"/>
    </row>
    <row r="477" spans="6:6">
      <c r="F477" s="4"/>
    </row>
    <row r="478" spans="6:6">
      <c r="F478" s="4"/>
    </row>
    <row r="479" spans="6:6">
      <c r="F479" s="4"/>
    </row>
    <row r="480" spans="6:6">
      <c r="F480" s="4"/>
    </row>
    <row r="481" spans="6:6">
      <c r="F481" s="4"/>
    </row>
    <row r="482" spans="6:6">
      <c r="F482" s="4"/>
    </row>
    <row r="483" spans="6:6">
      <c r="F483" s="4"/>
    </row>
    <row r="484" spans="6:6">
      <c r="F484" s="4"/>
    </row>
    <row r="485" spans="6:6">
      <c r="F485" s="4"/>
    </row>
    <row r="486" spans="6:6">
      <c r="F486" s="4"/>
    </row>
    <row r="487" spans="6:6">
      <c r="F487" s="4"/>
    </row>
    <row r="488" spans="6:6">
      <c r="F488" s="4"/>
    </row>
    <row r="489" spans="6:6">
      <c r="F489" s="4"/>
    </row>
    <row r="490" spans="6:6">
      <c r="F490" s="4"/>
    </row>
    <row r="491" spans="6:6">
      <c r="F491" s="4"/>
    </row>
    <row r="492" spans="6:6">
      <c r="F492" s="4"/>
    </row>
    <row r="493" spans="6:6">
      <c r="F493" s="4"/>
    </row>
    <row r="494" spans="6:6">
      <c r="F494" s="4"/>
    </row>
    <row r="495" spans="6:6">
      <c r="F495" s="4"/>
    </row>
    <row r="496" spans="6:6">
      <c r="F496" s="4"/>
    </row>
    <row r="497" spans="6:6">
      <c r="F497" s="4"/>
    </row>
    <row r="498" spans="6:6">
      <c r="F498" s="4"/>
    </row>
    <row r="499" spans="6:6">
      <c r="F499" s="4"/>
    </row>
    <row r="500" spans="6:6">
      <c r="F500" s="4"/>
    </row>
    <row r="501" spans="6:6">
      <c r="F501" s="4"/>
    </row>
    <row r="502" spans="6:6">
      <c r="F502" s="4"/>
    </row>
    <row r="503" spans="6:6">
      <c r="F503" s="4"/>
    </row>
    <row r="504" spans="6:6">
      <c r="F504" s="4"/>
    </row>
    <row r="505" spans="6:6">
      <c r="F505" s="4"/>
    </row>
    <row r="506" spans="6:6">
      <c r="F506" s="4"/>
    </row>
    <row r="507" spans="6:6">
      <c r="F507" s="4"/>
    </row>
    <row r="508" spans="6:6">
      <c r="F508" s="4"/>
    </row>
    <row r="509" spans="6:6">
      <c r="F509" s="4"/>
    </row>
    <row r="510" spans="6:6">
      <c r="F510" s="4"/>
    </row>
    <row r="511" spans="6:6">
      <c r="F511" s="4"/>
    </row>
    <row r="512" spans="6:6">
      <c r="F512" s="4"/>
    </row>
    <row r="513" spans="6:6">
      <c r="F513" s="4"/>
    </row>
    <row r="514" spans="6:6">
      <c r="F514" s="4"/>
    </row>
    <row r="515" spans="6:6">
      <c r="F515" s="4"/>
    </row>
    <row r="516" spans="6:6">
      <c r="F516" s="4"/>
    </row>
    <row r="517" spans="6:6">
      <c r="F517" s="4"/>
    </row>
    <row r="518" spans="6:6">
      <c r="F518" s="4"/>
    </row>
    <row r="519" spans="6:6">
      <c r="F519" s="4"/>
    </row>
    <row r="520" spans="6:6">
      <c r="F520" s="4"/>
    </row>
    <row r="521" spans="6:6">
      <c r="F521" s="4"/>
    </row>
    <row r="522" spans="6:6">
      <c r="F522" s="4"/>
    </row>
    <row r="523" spans="6:6">
      <c r="F523" s="4"/>
    </row>
    <row r="524" spans="6:6">
      <c r="F524" s="4"/>
    </row>
    <row r="525" spans="6:6">
      <c r="F525" s="4"/>
    </row>
    <row r="526" spans="6:6">
      <c r="F526" s="4"/>
    </row>
    <row r="527" spans="6:6">
      <c r="F527" s="4"/>
    </row>
    <row r="528" spans="6:6">
      <c r="F528" s="4"/>
    </row>
    <row r="529" spans="6:6">
      <c r="F529" s="4"/>
    </row>
    <row r="530" spans="6:6">
      <c r="F530" s="4"/>
    </row>
    <row r="531" spans="6:6">
      <c r="F531" s="4"/>
    </row>
    <row r="532" spans="6:6">
      <c r="F532" s="4"/>
    </row>
    <row r="533" spans="6:6">
      <c r="F533" s="4"/>
    </row>
    <row r="534" spans="6:6">
      <c r="F534" s="4"/>
    </row>
    <row r="535" spans="6:6">
      <c r="F535" s="4"/>
    </row>
    <row r="536" spans="6:6">
      <c r="F536" s="4"/>
    </row>
    <row r="537" spans="6:6">
      <c r="F537" s="4"/>
    </row>
    <row r="538" spans="6:6">
      <c r="F538" s="4"/>
    </row>
    <row r="539" spans="6:6">
      <c r="F539" s="4"/>
    </row>
    <row r="540" spans="6:6">
      <c r="F540" s="4"/>
    </row>
    <row r="541" spans="6:6">
      <c r="F541" s="4"/>
    </row>
    <row r="542" spans="6:6">
      <c r="F542" s="4"/>
    </row>
    <row r="543" spans="6:6">
      <c r="F543" s="4"/>
    </row>
    <row r="544" spans="6:6">
      <c r="F544" s="4"/>
    </row>
    <row r="545" spans="6:6">
      <c r="F545" s="4"/>
    </row>
    <row r="546" spans="6:6">
      <c r="F546" s="4"/>
    </row>
    <row r="547" spans="6:6">
      <c r="F547" s="4"/>
    </row>
    <row r="548" spans="6:6">
      <c r="F548" s="4"/>
    </row>
    <row r="549" spans="6:6">
      <c r="F549" s="4"/>
    </row>
    <row r="550" spans="6:6">
      <c r="F550" s="4"/>
    </row>
    <row r="551" spans="6:6">
      <c r="F551" s="4"/>
    </row>
    <row r="552" spans="6:6">
      <c r="F552" s="4"/>
    </row>
    <row r="553" spans="6:6">
      <c r="F553" s="4"/>
    </row>
    <row r="554" spans="6:6">
      <c r="F554" s="4"/>
    </row>
    <row r="555" spans="6:6">
      <c r="F555" s="4"/>
    </row>
    <row r="556" spans="6:6">
      <c r="F556" s="4"/>
    </row>
    <row r="557" spans="6:6">
      <c r="F557" s="4"/>
    </row>
    <row r="558" spans="6:6">
      <c r="F558" s="4"/>
    </row>
    <row r="559" spans="6:6">
      <c r="F559" s="4"/>
    </row>
    <row r="560" spans="6:6">
      <c r="F560" s="4"/>
    </row>
    <row r="561" spans="6:6">
      <c r="F561" s="4"/>
    </row>
    <row r="562" spans="6:6">
      <c r="F562" s="4"/>
    </row>
    <row r="563" spans="6:6">
      <c r="F563" s="4"/>
    </row>
    <row r="564" spans="6:6">
      <c r="F564" s="4"/>
    </row>
    <row r="565" spans="6:6">
      <c r="F565" s="4"/>
    </row>
    <row r="566" spans="6:6">
      <c r="F566" s="4"/>
    </row>
    <row r="567" spans="6:6">
      <c r="F567" s="4"/>
    </row>
    <row r="568" spans="6:6">
      <c r="F568" s="4"/>
    </row>
    <row r="569" spans="6:6">
      <c r="F569" s="4"/>
    </row>
    <row r="570" spans="6:6">
      <c r="F570" s="4"/>
    </row>
    <row r="571" spans="6:6">
      <c r="F571" s="4"/>
    </row>
    <row r="572" spans="6:6">
      <c r="F572" s="4"/>
    </row>
    <row r="573" spans="6:6">
      <c r="F573" s="4"/>
    </row>
    <row r="574" spans="6:6">
      <c r="F574" s="4"/>
    </row>
    <row r="575" spans="6:6">
      <c r="F575" s="4"/>
    </row>
    <row r="576" spans="6:6">
      <c r="F576" s="4"/>
    </row>
    <row r="577" spans="6:6">
      <c r="F577" s="4"/>
    </row>
    <row r="578" spans="6:6">
      <c r="F578" s="4"/>
    </row>
    <row r="579" spans="6:6">
      <c r="F579" s="4"/>
    </row>
    <row r="580" spans="6:6">
      <c r="F580" s="4"/>
    </row>
    <row r="581" spans="6:6">
      <c r="F581" s="4"/>
    </row>
    <row r="582" spans="6:6">
      <c r="F582" s="4"/>
    </row>
    <row r="583" spans="6:6">
      <c r="F583" s="4"/>
    </row>
    <row r="584" spans="6:6">
      <c r="F584" s="4"/>
    </row>
    <row r="585" spans="6:6">
      <c r="F585" s="4"/>
    </row>
    <row r="586" spans="6:6">
      <c r="F586" s="4"/>
    </row>
    <row r="587" spans="6:6">
      <c r="F587" s="4"/>
    </row>
    <row r="588" spans="6:6">
      <c r="F588" s="4"/>
    </row>
    <row r="589" spans="6:6">
      <c r="F589" s="4"/>
    </row>
    <row r="590" spans="6:6">
      <c r="F590" s="4"/>
    </row>
    <row r="591" spans="6:6">
      <c r="F591" s="4"/>
    </row>
    <row r="592" spans="6:6">
      <c r="F592" s="4"/>
    </row>
    <row r="593" spans="16:16">
      <c r="P593" s="26"/>
    </row>
    <row r="594" spans="16:16">
      <c r="P594" s="26"/>
    </row>
    <row r="595" spans="16:16">
      <c r="P595" s="26"/>
    </row>
    <row r="596" spans="16:16">
      <c r="P596" s="26"/>
    </row>
    <row r="597" spans="16:16">
      <c r="P597" s="26"/>
    </row>
    <row r="598" spans="16:16">
      <c r="P598" s="26"/>
    </row>
    <row r="599" spans="16:16">
      <c r="P599" s="26"/>
    </row>
    <row r="600" spans="16:16">
      <c r="P600" s="26"/>
    </row>
    <row r="601" spans="16:16">
      <c r="P601" s="26"/>
    </row>
    <row r="602" spans="16:16">
      <c r="P602" s="26"/>
    </row>
    <row r="603" spans="16:16">
      <c r="P603" s="26"/>
    </row>
    <row r="604" spans="16:16">
      <c r="P604" s="26"/>
    </row>
    <row r="605" spans="16:16">
      <c r="P605" s="26"/>
    </row>
    <row r="606" spans="16:16">
      <c r="P606" s="26"/>
    </row>
    <row r="607" spans="16:16">
      <c r="P607" s="26"/>
    </row>
    <row r="608" spans="16:16">
      <c r="P608" s="26"/>
    </row>
    <row r="609" spans="16:16">
      <c r="P609" s="26"/>
    </row>
    <row r="610" spans="16:16">
      <c r="P610" s="26"/>
    </row>
    <row r="611" spans="16:16">
      <c r="P611" s="26"/>
    </row>
    <row r="612" spans="16:16">
      <c r="P612" s="26"/>
    </row>
    <row r="613" spans="16:16">
      <c r="P613" s="26"/>
    </row>
    <row r="614" spans="16:16">
      <c r="P614" s="26"/>
    </row>
    <row r="615" spans="16:16">
      <c r="P615" s="26"/>
    </row>
    <row r="616" spans="16:16">
      <c r="P616" s="26"/>
    </row>
    <row r="617" spans="16:16">
      <c r="P617" s="26"/>
    </row>
  </sheetData>
  <phoneticPr fontId="3" type="noConversion"/>
  <pageMargins left="0.75" right="0.75" top="1" bottom="1" header="0.5" footer="0.5"/>
  <pageSetup paperSize="9"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enableFormatConditionsCalculation="0">
    <tabColor rgb="FFFFCC99"/>
  </sheetPr>
  <dimension ref="B1:P468"/>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92.42578125"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18">
      <c r="B2" s="1" t="s">
        <v>307</v>
      </c>
      <c r="F2" s="5" t="s">
        <v>177</v>
      </c>
      <c r="G2" s="5" t="s">
        <v>168</v>
      </c>
      <c r="H2" s="5" t="s">
        <v>169</v>
      </c>
      <c r="I2" s="5" t="s">
        <v>170</v>
      </c>
      <c r="J2" s="5" t="s">
        <v>171</v>
      </c>
      <c r="K2" s="5" t="s">
        <v>172</v>
      </c>
      <c r="L2" s="5" t="s">
        <v>173</v>
      </c>
      <c r="M2" s="5" t="s">
        <v>174</v>
      </c>
      <c r="N2" s="5" t="s">
        <v>175</v>
      </c>
      <c r="O2" s="5"/>
      <c r="P2" s="5" t="s">
        <v>438</v>
      </c>
    </row>
    <row r="4" spans="2:16">
      <c r="B4" t="s">
        <v>308</v>
      </c>
    </row>
    <row r="5" spans="2:16">
      <c r="B5" t="s">
        <v>309</v>
      </c>
    </row>
    <row r="6" spans="2:16">
      <c r="B6" t="s">
        <v>250</v>
      </c>
    </row>
    <row r="7" spans="2:16">
      <c r="B7" s="27" t="s">
        <v>1138</v>
      </c>
    </row>
    <row r="8" spans="2:16">
      <c r="F8" s="46"/>
    </row>
    <row r="9" spans="2:16" s="2" customFormat="1">
      <c r="B9" s="2" t="s">
        <v>78</v>
      </c>
    </row>
    <row r="11" spans="2:16">
      <c r="B11" s="50" t="s">
        <v>471</v>
      </c>
      <c r="F11" s="31">
        <f>WACC!$F$7</f>
        <v>5.5E-2</v>
      </c>
    </row>
    <row r="12" spans="2:16">
      <c r="B12" s="50" t="s">
        <v>472</v>
      </c>
      <c r="F12" s="31">
        <f>WACC!$F$8</f>
        <v>6.2E-2</v>
      </c>
    </row>
    <row r="13" spans="2:16">
      <c r="B13" s="50" t="s">
        <v>543</v>
      </c>
      <c r="F13" s="31">
        <f>WACC!$F$9</f>
        <v>3.5999999999999997E-2</v>
      </c>
    </row>
    <row r="14" spans="2:16">
      <c r="B14" s="13"/>
      <c r="F14" s="51"/>
    </row>
    <row r="15" spans="2:16">
      <c r="B15" s="13"/>
      <c r="F15" s="51"/>
    </row>
    <row r="16" spans="2:16" s="2" customFormat="1">
      <c r="B16" s="2" t="s">
        <v>320</v>
      </c>
      <c r="F16" s="48"/>
    </row>
    <row r="17" spans="2:14">
      <c r="F17" s="46"/>
    </row>
    <row r="18" spans="2:14">
      <c r="B18" s="3" t="s">
        <v>304</v>
      </c>
      <c r="F18" s="46"/>
    </row>
    <row r="19" spans="2:14">
      <c r="F19" s="46"/>
    </row>
    <row r="20" spans="2:14">
      <c r="B20" s="3" t="s">
        <v>282</v>
      </c>
      <c r="F20" s="46"/>
    </row>
    <row r="21" spans="2:14">
      <c r="B21" t="s">
        <v>283</v>
      </c>
      <c r="D21" t="s">
        <v>180</v>
      </c>
      <c r="F21" s="106">
        <f>SUM(G21:N21)</f>
        <v>0</v>
      </c>
      <c r="G21" s="37">
        <f>'Import GAW-sheet'!G10</f>
        <v>0</v>
      </c>
      <c r="H21" s="37">
        <f>'Import GAW-sheet'!H10</f>
        <v>0</v>
      </c>
      <c r="I21" s="37">
        <f>'Import GAW-sheet'!I10</f>
        <v>0</v>
      </c>
      <c r="J21" s="37">
        <f>'Import GAW-sheet'!J10</f>
        <v>0</v>
      </c>
      <c r="K21" s="37">
        <f>'Import GAW-sheet'!K10</f>
        <v>0</v>
      </c>
      <c r="L21" s="37">
        <f>'Import GAW-sheet'!L10</f>
        <v>0</v>
      </c>
      <c r="M21" s="37">
        <f>'Import GAW-sheet'!M10</f>
        <v>0</v>
      </c>
      <c r="N21" s="37">
        <f>'Import GAW-sheet'!N10</f>
        <v>0</v>
      </c>
    </row>
    <row r="22" spans="2:14">
      <c r="B22" t="s">
        <v>284</v>
      </c>
      <c r="D22" t="s">
        <v>180</v>
      </c>
      <c r="F22" s="106">
        <f>SUM(G22:N22)</f>
        <v>357504662.69023705</v>
      </c>
      <c r="G22" s="37">
        <f>'Import GAW-sheet'!G11</f>
        <v>2243894.7574385596</v>
      </c>
      <c r="H22" s="37">
        <f>'Import GAW-sheet'!H11</f>
        <v>9361262.5185793936</v>
      </c>
      <c r="I22" s="37">
        <f>'Import GAW-sheet'!I11</f>
        <v>5632257.5479918141</v>
      </c>
      <c r="J22" s="37">
        <f>'Import GAW-sheet'!J11</f>
        <v>127360095.80420877</v>
      </c>
      <c r="K22" s="37">
        <f>'Import GAW-sheet'!K11</f>
        <v>111213161.32468127</v>
      </c>
      <c r="L22" s="37">
        <f>'Import GAW-sheet'!L11</f>
        <v>1768536.4979384535</v>
      </c>
      <c r="M22" s="37">
        <f>'Import GAW-sheet'!M11</f>
        <v>96251707.855449006</v>
      </c>
      <c r="N22" s="37">
        <f>'Import GAW-sheet'!N11</f>
        <v>3673746.3839497799</v>
      </c>
    </row>
    <row r="23" spans="2:14">
      <c r="B23" t="s">
        <v>285</v>
      </c>
      <c r="D23" t="s">
        <v>180</v>
      </c>
      <c r="F23" s="106">
        <f>SUM(G23:N23)</f>
        <v>7139634627.0501585</v>
      </c>
      <c r="G23" s="37">
        <f>'Import GAW-sheet'!G12</f>
        <v>30750128.952325039</v>
      </c>
      <c r="H23" s="37">
        <f>'Import GAW-sheet'!H12</f>
        <v>135784846.31045759</v>
      </c>
      <c r="I23" s="37">
        <f>'Import GAW-sheet'!I12</f>
        <v>74478031.183910713</v>
      </c>
      <c r="J23" s="37">
        <f>'Import GAW-sheet'!J12</f>
        <v>2442837235.7240539</v>
      </c>
      <c r="K23" s="37">
        <f>'Import GAW-sheet'!K12</f>
        <v>2530950318.6171556</v>
      </c>
      <c r="L23" s="37">
        <f>'Import GAW-sheet'!L12</f>
        <v>17343633.777338076</v>
      </c>
      <c r="M23" s="37">
        <f>'Import GAW-sheet'!M12</f>
        <v>1822767025.4303279</v>
      </c>
      <c r="N23" s="37">
        <f>'Import GAW-sheet'!N12</f>
        <v>84723407.054588974</v>
      </c>
    </row>
    <row r="24" spans="2:14">
      <c r="F24" s="46"/>
      <c r="G24" s="28"/>
      <c r="H24" s="28"/>
      <c r="I24" s="28"/>
      <c r="J24" s="28"/>
      <c r="K24" s="28"/>
      <c r="L24" s="28"/>
      <c r="M24" s="28"/>
      <c r="N24" s="28"/>
    </row>
    <row r="25" spans="2:14">
      <c r="B25" s="3" t="s">
        <v>286</v>
      </c>
      <c r="F25" s="46"/>
      <c r="G25" s="28"/>
      <c r="H25" s="28"/>
      <c r="I25" s="28"/>
      <c r="J25" s="28"/>
      <c r="K25" s="28"/>
      <c r="L25" s="28"/>
      <c r="M25" s="28"/>
      <c r="N25" s="28"/>
    </row>
    <row r="26" spans="2:14">
      <c r="B26" t="s">
        <v>287</v>
      </c>
      <c r="D26" t="s">
        <v>180</v>
      </c>
      <c r="F26" s="106">
        <f>SUM(G26:N26)</f>
        <v>479105494.64045793</v>
      </c>
      <c r="G26" s="37">
        <f>'Import GAW-sheet'!G15</f>
        <v>3384000</v>
      </c>
      <c r="H26" s="37">
        <f>'Import GAW-sheet'!H15</f>
        <v>29427019.5</v>
      </c>
      <c r="I26" s="37">
        <f>'Import GAW-sheet'!I15</f>
        <v>2957724.46</v>
      </c>
      <c r="J26" s="37">
        <f>'Import GAW-sheet'!J15</f>
        <v>197865470.3467274</v>
      </c>
      <c r="K26" s="37">
        <f>'Import GAW-sheet'!K15</f>
        <v>107961301.24775401</v>
      </c>
      <c r="L26" s="37">
        <f>'Import GAW-sheet'!L15</f>
        <v>2686013.6</v>
      </c>
      <c r="M26" s="37">
        <f>'Import GAW-sheet'!M15</f>
        <v>116361599.4859765</v>
      </c>
      <c r="N26" s="37">
        <f>'Import GAW-sheet'!N15</f>
        <v>18462366</v>
      </c>
    </row>
    <row r="27" spans="2:14">
      <c r="B27" t="s">
        <v>277</v>
      </c>
      <c r="D27" t="s">
        <v>180</v>
      </c>
      <c r="F27" s="106">
        <f>SUM(G27:N27)</f>
        <v>81915587.511221156</v>
      </c>
      <c r="G27" s="37">
        <f>'Import GAW-sheet'!G16</f>
        <v>404660.34612504684</v>
      </c>
      <c r="H27" s="37">
        <f>'Import GAW-sheet'!H16</f>
        <v>2414990.410889701</v>
      </c>
      <c r="I27" s="37">
        <f>'Import GAW-sheet'!I16</f>
        <v>790093.60218085954</v>
      </c>
      <c r="J27" s="37">
        <f>'Import GAW-sheet'!J16</f>
        <v>31174651.120526467</v>
      </c>
      <c r="K27" s="37">
        <f>'Import GAW-sheet'!K16</f>
        <v>23066444.822328206</v>
      </c>
      <c r="L27" s="37">
        <f>'Import GAW-sheet'!L16</f>
        <v>895057.02450712584</v>
      </c>
      <c r="M27" s="37">
        <f>'Import GAW-sheet'!M16</f>
        <v>19863789.714890327</v>
      </c>
      <c r="N27" s="37">
        <f>'Import GAW-sheet'!N16</f>
        <v>3305900.4697734308</v>
      </c>
    </row>
    <row r="28" spans="2:14">
      <c r="B28" t="s">
        <v>288</v>
      </c>
      <c r="D28" t="s">
        <v>180</v>
      </c>
      <c r="F28" s="106">
        <f>SUM(G28:N28)</f>
        <v>2483986833.3898163</v>
      </c>
      <c r="G28" s="37">
        <f>'Import GAW-sheet'!G17</f>
        <v>18580421.367025252</v>
      </c>
      <c r="H28" s="37">
        <f>'Import GAW-sheet'!H17</f>
        <v>93916704.194141686</v>
      </c>
      <c r="I28" s="37">
        <f>'Import GAW-sheet'!I17</f>
        <v>28354307.475785807</v>
      </c>
      <c r="J28" s="37">
        <f>'Import GAW-sheet'!J17</f>
        <v>757409250.71517682</v>
      </c>
      <c r="K28" s="37">
        <f>'Import GAW-sheet'!K17</f>
        <v>672979150.51377726</v>
      </c>
      <c r="L28" s="37">
        <f>'Import GAW-sheet'!L17</f>
        <v>16142060.434831601</v>
      </c>
      <c r="M28" s="37">
        <f>'Import GAW-sheet'!M17</f>
        <v>759831872.95217299</v>
      </c>
      <c r="N28" s="37">
        <f>'Import GAW-sheet'!N17</f>
        <v>136773065.73690522</v>
      </c>
    </row>
    <row r="29" spans="2:14">
      <c r="F29" s="46"/>
      <c r="G29" s="28"/>
      <c r="H29" s="28"/>
      <c r="I29" s="28"/>
      <c r="J29" s="28"/>
      <c r="K29" s="28"/>
      <c r="L29" s="28"/>
      <c r="M29" s="28"/>
      <c r="N29" s="28"/>
    </row>
    <row r="30" spans="2:14">
      <c r="B30" s="3" t="s">
        <v>289</v>
      </c>
      <c r="F30" s="46"/>
      <c r="G30" s="28"/>
      <c r="H30" s="28"/>
      <c r="I30" s="28"/>
      <c r="J30" s="28"/>
      <c r="K30" s="28"/>
      <c r="L30" s="28"/>
      <c r="M30" s="28"/>
      <c r="N30" s="28"/>
    </row>
    <row r="31" spans="2:14">
      <c r="B31" t="s">
        <v>290</v>
      </c>
      <c r="D31" t="s">
        <v>180</v>
      </c>
      <c r="F31" s="106">
        <f>SUM(G31:N31)</f>
        <v>0</v>
      </c>
      <c r="G31" s="37">
        <f>'Import GAW-sheet'!G20</f>
        <v>0</v>
      </c>
      <c r="H31" s="37">
        <f>'Import GAW-sheet'!H20</f>
        <v>0</v>
      </c>
      <c r="I31" s="37">
        <f>'Import GAW-sheet'!I20</f>
        <v>0</v>
      </c>
      <c r="J31" s="37">
        <f>'Import GAW-sheet'!J20</f>
        <v>0</v>
      </c>
      <c r="K31" s="37">
        <f>'Import GAW-sheet'!K20</f>
        <v>0</v>
      </c>
      <c r="L31" s="37">
        <f>'Import GAW-sheet'!L20</f>
        <v>0</v>
      </c>
      <c r="M31" s="37">
        <f>'Import GAW-sheet'!M20</f>
        <v>0</v>
      </c>
      <c r="N31" s="37">
        <f>'Import GAW-sheet'!N20</f>
        <v>0</v>
      </c>
    </row>
    <row r="32" spans="2:14">
      <c r="B32" t="s">
        <v>291</v>
      </c>
      <c r="D32" t="s">
        <v>180</v>
      </c>
      <c r="F32" s="106">
        <f>SUM(G32:N32)</f>
        <v>1589160.1995761734</v>
      </c>
      <c r="G32" s="37">
        <f>'Import GAW-sheet'!G21</f>
        <v>958273.04183276335</v>
      </c>
      <c r="H32" s="37">
        <f>'Import GAW-sheet'!H21</f>
        <v>0</v>
      </c>
      <c r="I32" s="37">
        <f>'Import GAW-sheet'!I21</f>
        <v>0</v>
      </c>
      <c r="J32" s="37">
        <f>'Import GAW-sheet'!J21</f>
        <v>0</v>
      </c>
      <c r="K32" s="37">
        <f>'Import GAW-sheet'!K21</f>
        <v>0</v>
      </c>
      <c r="L32" s="37">
        <f>'Import GAW-sheet'!L21</f>
        <v>630887.15774341009</v>
      </c>
      <c r="M32" s="37">
        <f>'Import GAW-sheet'!M21</f>
        <v>0</v>
      </c>
      <c r="N32" s="37">
        <f>'Import GAW-sheet'!N21</f>
        <v>0</v>
      </c>
    </row>
    <row r="33" spans="2:14">
      <c r="B33" t="s">
        <v>292</v>
      </c>
      <c r="D33" t="s">
        <v>180</v>
      </c>
      <c r="F33" s="106">
        <f>SUM(G33:N33)</f>
        <v>6636257.4615234425</v>
      </c>
      <c r="G33" s="37">
        <f>'Import GAW-sheet'!G22</f>
        <v>958273.04183276033</v>
      </c>
      <c r="H33" s="37">
        <f>'Import GAW-sheet'!H22</f>
        <v>0</v>
      </c>
      <c r="I33" s="37">
        <f>'Import GAW-sheet'!I22</f>
        <v>0</v>
      </c>
      <c r="J33" s="37">
        <f>'Import GAW-sheet'!J22</f>
        <v>0</v>
      </c>
      <c r="K33" s="37">
        <f>'Import GAW-sheet'!K22</f>
        <v>0</v>
      </c>
      <c r="L33" s="37">
        <f>'Import GAW-sheet'!L22</f>
        <v>5677984.4196906826</v>
      </c>
      <c r="M33" s="37">
        <f>'Import GAW-sheet'!M22</f>
        <v>0</v>
      </c>
      <c r="N33" s="37">
        <f>'Import GAW-sheet'!N22</f>
        <v>0</v>
      </c>
    </row>
    <row r="34" spans="2:14">
      <c r="F34" s="46"/>
      <c r="G34" s="28"/>
      <c r="H34" s="28"/>
      <c r="I34" s="28"/>
      <c r="J34" s="28"/>
      <c r="K34" s="28"/>
      <c r="L34" s="28"/>
      <c r="M34" s="28"/>
      <c r="N34" s="28"/>
    </row>
    <row r="35" spans="2:14">
      <c r="B35" s="3" t="s">
        <v>293</v>
      </c>
      <c r="F35" s="46"/>
      <c r="G35" s="28"/>
      <c r="H35" s="28"/>
      <c r="I35" s="28"/>
      <c r="J35" s="28"/>
      <c r="K35" s="28"/>
      <c r="L35" s="28"/>
      <c r="M35" s="28"/>
      <c r="N35" s="28"/>
    </row>
    <row r="36" spans="2:14">
      <c r="B36" t="s">
        <v>294</v>
      </c>
      <c r="D36" t="s">
        <v>180</v>
      </c>
      <c r="F36" s="106">
        <f>SUM(G36:N36)</f>
        <v>9962922.5</v>
      </c>
      <c r="G36" s="37">
        <f>'Import GAW-sheet'!G25</f>
        <v>0</v>
      </c>
      <c r="H36" s="37">
        <f>'Import GAW-sheet'!H25</f>
        <v>9962922.5</v>
      </c>
      <c r="I36" s="37">
        <f>'Import GAW-sheet'!I25</f>
        <v>0</v>
      </c>
      <c r="J36" s="37">
        <f>'Import GAW-sheet'!J25</f>
        <v>0</v>
      </c>
      <c r="K36" s="37">
        <f>'Import GAW-sheet'!K25</f>
        <v>0</v>
      </c>
      <c r="L36" s="37">
        <f>'Import GAW-sheet'!L25</f>
        <v>0</v>
      </c>
      <c r="M36" s="37">
        <f>'Import GAW-sheet'!M25</f>
        <v>0</v>
      </c>
      <c r="N36" s="37">
        <f>'Import GAW-sheet'!N25</f>
        <v>0</v>
      </c>
    </row>
    <row r="37" spans="2:14">
      <c r="B37" t="s">
        <v>295</v>
      </c>
      <c r="D37" t="s">
        <v>180</v>
      </c>
      <c r="F37" s="106">
        <f>SUM(G37:N37)</f>
        <v>113620.98424999999</v>
      </c>
      <c r="G37" s="37">
        <f>'Import GAW-sheet'!G26</f>
        <v>0</v>
      </c>
      <c r="H37" s="37">
        <f>'Import GAW-sheet'!H26</f>
        <v>113620.98424999999</v>
      </c>
      <c r="I37" s="37">
        <f>'Import GAW-sheet'!I26</f>
        <v>0</v>
      </c>
      <c r="J37" s="37">
        <f>'Import GAW-sheet'!J26</f>
        <v>0</v>
      </c>
      <c r="K37" s="37">
        <f>'Import GAW-sheet'!K26</f>
        <v>0</v>
      </c>
      <c r="L37" s="37">
        <f>'Import GAW-sheet'!L26</f>
        <v>0</v>
      </c>
      <c r="M37" s="37">
        <f>'Import GAW-sheet'!M26</f>
        <v>0</v>
      </c>
      <c r="N37" s="37">
        <f>'Import GAW-sheet'!N26</f>
        <v>0</v>
      </c>
    </row>
    <row r="38" spans="2:14">
      <c r="B38" t="s">
        <v>296</v>
      </c>
      <c r="D38" t="s">
        <v>180</v>
      </c>
      <c r="F38" s="106">
        <f>SUM(G38:N38)</f>
        <v>9849301.5157500003</v>
      </c>
      <c r="G38" s="37">
        <f>'Import GAW-sheet'!G27</f>
        <v>0</v>
      </c>
      <c r="H38" s="37">
        <f>'Import GAW-sheet'!H27</f>
        <v>9849301.5157500003</v>
      </c>
      <c r="I38" s="37">
        <f>'Import GAW-sheet'!I27</f>
        <v>0</v>
      </c>
      <c r="J38" s="37">
        <f>'Import GAW-sheet'!J27</f>
        <v>0</v>
      </c>
      <c r="K38" s="37">
        <f>'Import GAW-sheet'!K27</f>
        <v>0</v>
      </c>
      <c r="L38" s="37">
        <f>'Import GAW-sheet'!L27</f>
        <v>0</v>
      </c>
      <c r="M38" s="37">
        <f>'Import GAW-sheet'!M27</f>
        <v>0</v>
      </c>
      <c r="N38" s="37">
        <f>'Import GAW-sheet'!N27</f>
        <v>0</v>
      </c>
    </row>
    <row r="39" spans="2:14">
      <c r="F39" s="46"/>
      <c r="G39" s="28"/>
      <c r="H39" s="28"/>
      <c r="I39" s="28"/>
      <c r="J39" s="28"/>
      <c r="K39" s="28"/>
      <c r="L39" s="28"/>
      <c r="M39" s="28"/>
      <c r="N39" s="28"/>
    </row>
    <row r="40" spans="2:14">
      <c r="B40" s="3" t="s">
        <v>297</v>
      </c>
      <c r="F40" s="46"/>
      <c r="G40" s="28"/>
      <c r="H40" s="28"/>
      <c r="I40" s="28"/>
      <c r="J40" s="28"/>
      <c r="K40" s="28"/>
      <c r="L40" s="28"/>
      <c r="M40" s="28"/>
      <c r="N40" s="28"/>
    </row>
    <row r="41" spans="2:14">
      <c r="B41" t="s">
        <v>298</v>
      </c>
      <c r="D41" t="s">
        <v>180</v>
      </c>
      <c r="F41" s="106">
        <f>SUM(G41:N41)</f>
        <v>0</v>
      </c>
      <c r="G41" s="37">
        <f>'Import GAW-sheet'!G30</f>
        <v>0</v>
      </c>
      <c r="H41" s="37">
        <f>'Import GAW-sheet'!H30</f>
        <v>0</v>
      </c>
      <c r="I41" s="37">
        <f>'Import GAW-sheet'!I30</f>
        <v>0</v>
      </c>
      <c r="J41" s="37">
        <f>'Import GAW-sheet'!J30</f>
        <v>0</v>
      </c>
      <c r="K41" s="37">
        <f>'Import GAW-sheet'!K30</f>
        <v>0</v>
      </c>
      <c r="L41" s="37">
        <f>'Import GAW-sheet'!L30</f>
        <v>0</v>
      </c>
      <c r="M41" s="37">
        <f>'Import GAW-sheet'!M30</f>
        <v>0</v>
      </c>
      <c r="N41" s="37">
        <f>'Import GAW-sheet'!N30</f>
        <v>0</v>
      </c>
    </row>
    <row r="42" spans="2:14">
      <c r="B42" t="s">
        <v>299</v>
      </c>
      <c r="D42" t="s">
        <v>180</v>
      </c>
      <c r="F42" s="106">
        <f>SUM(G42:N42)</f>
        <v>0</v>
      </c>
      <c r="G42" s="37">
        <f>'Import GAW-sheet'!G31</f>
        <v>0</v>
      </c>
      <c r="H42" s="37">
        <f>'Import GAW-sheet'!H31</f>
        <v>0</v>
      </c>
      <c r="I42" s="37">
        <f>'Import GAW-sheet'!I31</f>
        <v>0</v>
      </c>
      <c r="J42" s="37">
        <f>'Import GAW-sheet'!J31</f>
        <v>0</v>
      </c>
      <c r="K42" s="37">
        <f>'Import GAW-sheet'!K31</f>
        <v>0</v>
      </c>
      <c r="L42" s="37">
        <f>'Import GAW-sheet'!L31</f>
        <v>0</v>
      </c>
      <c r="M42" s="37">
        <f>'Import GAW-sheet'!M31</f>
        <v>0</v>
      </c>
      <c r="N42" s="37">
        <f>'Import GAW-sheet'!N31</f>
        <v>0</v>
      </c>
    </row>
    <row r="43" spans="2:14">
      <c r="B43" t="s">
        <v>300</v>
      </c>
      <c r="D43" t="s">
        <v>180</v>
      </c>
      <c r="F43" s="106">
        <f>SUM(G43:N43)</f>
        <v>0</v>
      </c>
      <c r="G43" s="37">
        <f>'Import GAW-sheet'!G32</f>
        <v>0</v>
      </c>
      <c r="H43" s="37">
        <f>'Import GAW-sheet'!H32</f>
        <v>0</v>
      </c>
      <c r="I43" s="37">
        <f>'Import GAW-sheet'!I32</f>
        <v>0</v>
      </c>
      <c r="J43" s="37">
        <f>'Import GAW-sheet'!J32</f>
        <v>0</v>
      </c>
      <c r="K43" s="37">
        <f>'Import GAW-sheet'!K32</f>
        <v>0</v>
      </c>
      <c r="L43" s="37">
        <f>'Import GAW-sheet'!L32</f>
        <v>0</v>
      </c>
      <c r="M43" s="37">
        <f>'Import GAW-sheet'!M32</f>
        <v>0</v>
      </c>
      <c r="N43" s="37">
        <f>'Import GAW-sheet'!N32</f>
        <v>0</v>
      </c>
    </row>
    <row r="44" spans="2:14">
      <c r="F44" s="46"/>
    </row>
    <row r="45" spans="2:14">
      <c r="F45" s="46"/>
    </row>
    <row r="46" spans="2:14">
      <c r="B46" s="3" t="s">
        <v>312</v>
      </c>
      <c r="F46" s="46"/>
    </row>
    <row r="47" spans="2:14">
      <c r="F47" s="46"/>
    </row>
    <row r="48" spans="2:14">
      <c r="B48" s="3" t="s">
        <v>313</v>
      </c>
      <c r="F48" s="46"/>
    </row>
    <row r="49" spans="2:16">
      <c r="B49" t="s">
        <v>277</v>
      </c>
      <c r="D49" t="s">
        <v>180</v>
      </c>
      <c r="F49" s="106">
        <f>SUM(G49:N49)</f>
        <v>439533871.18570822</v>
      </c>
      <c r="G49" s="24">
        <f>G22+G27+G37+G42</f>
        <v>2648555.1035636063</v>
      </c>
      <c r="H49" s="24">
        <f t="shared" ref="H49:N49" si="0">H22+H27+H37+H42</f>
        <v>11889873.913719093</v>
      </c>
      <c r="I49" s="24">
        <f t="shared" si="0"/>
        <v>6422351.1501726732</v>
      </c>
      <c r="J49" s="24">
        <f t="shared" si="0"/>
        <v>158534746.92473525</v>
      </c>
      <c r="K49" s="24">
        <f t="shared" si="0"/>
        <v>134279606.14700946</v>
      </c>
      <c r="L49" s="24">
        <f t="shared" si="0"/>
        <v>2663593.5224455791</v>
      </c>
      <c r="M49" s="24">
        <f t="shared" si="0"/>
        <v>116115497.57033934</v>
      </c>
      <c r="N49" s="24">
        <f t="shared" si="0"/>
        <v>6979646.8537232112</v>
      </c>
      <c r="P49" s="50" t="s">
        <v>439</v>
      </c>
    </row>
    <row r="50" spans="2:16">
      <c r="B50" t="s">
        <v>305</v>
      </c>
      <c r="D50" t="s">
        <v>180</v>
      </c>
      <c r="F50" s="106">
        <f>SUM(G50:N50)</f>
        <v>9633470761.9557247</v>
      </c>
      <c r="G50" s="24">
        <f>G23+G28+G38+G43</f>
        <v>49330550.319350287</v>
      </c>
      <c r="H50" s="24">
        <f t="shared" ref="H50:N50" si="1">H23+H28+H38+H43</f>
        <v>239550852.02034926</v>
      </c>
      <c r="I50" s="24">
        <f t="shared" si="1"/>
        <v>102832338.65969652</v>
      </c>
      <c r="J50" s="24">
        <f t="shared" si="1"/>
        <v>3200246486.4392309</v>
      </c>
      <c r="K50" s="24">
        <f t="shared" si="1"/>
        <v>3203929469.1309328</v>
      </c>
      <c r="L50" s="24">
        <f t="shared" si="1"/>
        <v>33485694.212169677</v>
      </c>
      <c r="M50" s="24">
        <f t="shared" si="1"/>
        <v>2582598898.3825006</v>
      </c>
      <c r="N50" s="24">
        <f t="shared" si="1"/>
        <v>221496472.79149419</v>
      </c>
      <c r="P50" s="50" t="s">
        <v>442</v>
      </c>
    </row>
    <row r="51" spans="2:16">
      <c r="B51" t="s">
        <v>306</v>
      </c>
      <c r="D51" t="s">
        <v>180</v>
      </c>
      <c r="F51" s="106">
        <f>SUM(G51:N51)</f>
        <v>346804947.43040603</v>
      </c>
      <c r="G51" s="24">
        <f t="shared" ref="G51:N51" si="2">G50*$F$13</f>
        <v>1775899.8114966103</v>
      </c>
      <c r="H51" s="24">
        <f t="shared" si="2"/>
        <v>8623830.672732573</v>
      </c>
      <c r="I51" s="24">
        <f t="shared" si="2"/>
        <v>3701964.1917490745</v>
      </c>
      <c r="J51" s="24">
        <f t="shared" si="2"/>
        <v>115208873.5118123</v>
      </c>
      <c r="K51" s="24">
        <f t="shared" si="2"/>
        <v>115341460.88871357</v>
      </c>
      <c r="L51" s="24">
        <f t="shared" si="2"/>
        <v>1205484.9916381084</v>
      </c>
      <c r="M51" s="24">
        <f t="shared" si="2"/>
        <v>92973560.341770023</v>
      </c>
      <c r="N51" s="24">
        <f t="shared" si="2"/>
        <v>7973873.0204937905</v>
      </c>
      <c r="P51" s="50" t="s">
        <v>441</v>
      </c>
    </row>
    <row r="52" spans="2:16">
      <c r="B52" t="s">
        <v>310</v>
      </c>
      <c r="D52" t="s">
        <v>180</v>
      </c>
      <c r="F52" s="106">
        <f>SUM(G52:N52)</f>
        <v>786338818.61611426</v>
      </c>
      <c r="G52" s="21">
        <f>G49+G51</f>
        <v>4424454.9150602166</v>
      </c>
      <c r="H52" s="21">
        <f t="shared" ref="H52:N52" si="3">H49+H51</f>
        <v>20513704.586451665</v>
      </c>
      <c r="I52" s="21">
        <f t="shared" si="3"/>
        <v>10124315.341921747</v>
      </c>
      <c r="J52" s="21">
        <f t="shared" si="3"/>
        <v>273743620.43654752</v>
      </c>
      <c r="K52" s="21">
        <f t="shared" si="3"/>
        <v>249621067.03572303</v>
      </c>
      <c r="L52" s="21">
        <f t="shared" si="3"/>
        <v>3869078.5140836872</v>
      </c>
      <c r="M52" s="21">
        <f t="shared" si="3"/>
        <v>209089057.91210937</v>
      </c>
      <c r="N52" s="21">
        <f t="shared" si="3"/>
        <v>14953519.874217002</v>
      </c>
      <c r="P52" s="50" t="s">
        <v>440</v>
      </c>
    </row>
    <row r="53" spans="2:16">
      <c r="F53" s="46"/>
    </row>
    <row r="54" spans="2:16">
      <c r="B54" s="3" t="s">
        <v>314</v>
      </c>
      <c r="F54" s="46"/>
    </row>
    <row r="55" spans="2:16">
      <c r="B55" t="s">
        <v>277</v>
      </c>
      <c r="D55" t="s">
        <v>180</v>
      </c>
      <c r="F55" s="106">
        <f>SUM(G55:N55)</f>
        <v>1589160.1995761734</v>
      </c>
      <c r="G55" s="24">
        <f>G32</f>
        <v>958273.04183276335</v>
      </c>
      <c r="H55" s="24">
        <f t="shared" ref="H55:N55" si="4">H32</f>
        <v>0</v>
      </c>
      <c r="I55" s="24">
        <f t="shared" si="4"/>
        <v>0</v>
      </c>
      <c r="J55" s="24">
        <f t="shared" si="4"/>
        <v>0</v>
      </c>
      <c r="K55" s="24">
        <f t="shared" si="4"/>
        <v>0</v>
      </c>
      <c r="L55" s="24">
        <f t="shared" si="4"/>
        <v>630887.15774341009</v>
      </c>
      <c r="M55" s="24">
        <f t="shared" si="4"/>
        <v>0</v>
      </c>
      <c r="N55" s="24">
        <f t="shared" si="4"/>
        <v>0</v>
      </c>
    </row>
    <row r="56" spans="2:16">
      <c r="B56" t="s">
        <v>305</v>
      </c>
      <c r="D56" t="s">
        <v>180</v>
      </c>
      <c r="F56" s="106">
        <f>SUM(G56:N56)</f>
        <v>6636257.4615234425</v>
      </c>
      <c r="G56" s="24">
        <f>G33</f>
        <v>958273.04183276033</v>
      </c>
      <c r="H56" s="24">
        <f t="shared" ref="H56:N56" si="5">H33</f>
        <v>0</v>
      </c>
      <c r="I56" s="24">
        <f t="shared" si="5"/>
        <v>0</v>
      </c>
      <c r="J56" s="24">
        <f t="shared" si="5"/>
        <v>0</v>
      </c>
      <c r="K56" s="24">
        <f t="shared" si="5"/>
        <v>0</v>
      </c>
      <c r="L56" s="24">
        <f t="shared" si="5"/>
        <v>5677984.4196906826</v>
      </c>
      <c r="M56" s="24">
        <f t="shared" si="5"/>
        <v>0</v>
      </c>
      <c r="N56" s="24">
        <f t="shared" si="5"/>
        <v>0</v>
      </c>
    </row>
    <row r="57" spans="2:16">
      <c r="B57" t="s">
        <v>306</v>
      </c>
      <c r="D57" t="s">
        <v>180</v>
      </c>
      <c r="F57" s="106">
        <f>SUM(G57:N57)</f>
        <v>238905.26861484392</v>
      </c>
      <c r="G57" s="24">
        <f t="shared" ref="G57:N57" si="6">G56*$F$13</f>
        <v>34497.829505979367</v>
      </c>
      <c r="H57" s="24">
        <f t="shared" si="6"/>
        <v>0</v>
      </c>
      <c r="I57" s="24">
        <f t="shared" si="6"/>
        <v>0</v>
      </c>
      <c r="J57" s="24">
        <f t="shared" si="6"/>
        <v>0</v>
      </c>
      <c r="K57" s="24">
        <f t="shared" si="6"/>
        <v>0</v>
      </c>
      <c r="L57" s="24">
        <f t="shared" si="6"/>
        <v>204407.43910886455</v>
      </c>
      <c r="M57" s="24">
        <f t="shared" si="6"/>
        <v>0</v>
      </c>
      <c r="N57" s="24">
        <f t="shared" si="6"/>
        <v>0</v>
      </c>
    </row>
    <row r="58" spans="2:16">
      <c r="B58" t="s">
        <v>310</v>
      </c>
      <c r="D58" t="s">
        <v>180</v>
      </c>
      <c r="F58" s="106">
        <f>SUM(G58:N58)</f>
        <v>1828065.4681910174</v>
      </c>
      <c r="G58" s="21">
        <f>G55+G57</f>
        <v>992770.87133874267</v>
      </c>
      <c r="H58" s="21">
        <f t="shared" ref="H58:N58" si="7">H55+H57</f>
        <v>0</v>
      </c>
      <c r="I58" s="21">
        <f t="shared" si="7"/>
        <v>0</v>
      </c>
      <c r="J58" s="21">
        <f t="shared" si="7"/>
        <v>0</v>
      </c>
      <c r="K58" s="21">
        <f t="shared" si="7"/>
        <v>0</v>
      </c>
      <c r="L58" s="21">
        <f t="shared" si="7"/>
        <v>835294.59685227461</v>
      </c>
      <c r="M58" s="21">
        <f t="shared" si="7"/>
        <v>0</v>
      </c>
      <c r="N58" s="21">
        <f t="shared" si="7"/>
        <v>0</v>
      </c>
    </row>
    <row r="59" spans="2:16">
      <c r="F59" s="46"/>
    </row>
    <row r="60" spans="2:16">
      <c r="F60" s="46"/>
    </row>
    <row r="61" spans="2:16">
      <c r="B61" s="3" t="s">
        <v>311</v>
      </c>
      <c r="F61" s="46"/>
    </row>
    <row r="62" spans="2:16">
      <c r="F62" s="46"/>
    </row>
    <row r="63" spans="2:16">
      <c r="B63" t="s">
        <v>315</v>
      </c>
      <c r="D63" t="s">
        <v>180</v>
      </c>
      <c r="F63" s="106">
        <f>SUM(G63:N63)</f>
        <v>6399163.636958275</v>
      </c>
      <c r="G63" s="115">
        <f>'PRD Ov.Opbrengsten (2009-2012)'!G15-'PRD Ov.Opbrengsten (2009-2012)'!G31</f>
        <v>0</v>
      </c>
      <c r="H63" s="115">
        <f>'PRD Ov.Opbrengsten (2009-2012)'!H15-'PRD Ov.Opbrengsten (2009-2012)'!H31</f>
        <v>793121.28969999985</v>
      </c>
      <c r="I63" s="115">
        <f>'PRD Ov.Opbrengsten (2009-2012)'!I15-'PRD Ov.Opbrengsten (2009-2012)'!I31</f>
        <v>0</v>
      </c>
      <c r="J63" s="115">
        <f>'PRD Ov.Opbrengsten (2009-2012)'!J15-'PRD Ov.Opbrengsten (2009-2012)'!J31</f>
        <v>1652368.838</v>
      </c>
      <c r="K63" s="115">
        <f>'PRD Ov.Opbrengsten (2009-2012)'!K15-'PRD Ov.Opbrengsten (2009-2012)'!K31</f>
        <v>1697980.5674482754</v>
      </c>
      <c r="L63" s="115">
        <f>'PRD Ov.Opbrengsten (2009-2012)'!L15-'PRD Ov.Opbrengsten (2009-2012)'!L31</f>
        <v>0</v>
      </c>
      <c r="M63" s="115">
        <f>'PRD Ov.Opbrengsten (2009-2012)'!M15-'PRD Ov.Opbrengsten (2009-2012)'!M31</f>
        <v>2255692.9418099998</v>
      </c>
      <c r="N63" s="115">
        <f>'PRD Ov.Opbrengsten (2009-2012)'!N15-'PRD Ov.Opbrengsten (2009-2012)'!N31</f>
        <v>0</v>
      </c>
    </row>
    <row r="64" spans="2:16">
      <c r="B64" t="s">
        <v>316</v>
      </c>
      <c r="D64" t="s">
        <v>180</v>
      </c>
      <c r="F64" s="106">
        <f>SUM(G64:N64)</f>
        <v>6704169.123636364</v>
      </c>
      <c r="G64" s="8"/>
      <c r="H64" s="8"/>
      <c r="I64" s="8"/>
      <c r="J64" s="159">
        <f>0+'Aanpassing gegevens (sep 2014)'!H145</f>
        <v>6704169.123636364</v>
      </c>
      <c r="K64" s="8"/>
      <c r="L64" s="8"/>
      <c r="M64" s="8"/>
      <c r="N64" s="8"/>
    </row>
    <row r="65" spans="2:16">
      <c r="B65" t="s">
        <v>317</v>
      </c>
      <c r="D65" t="s">
        <v>180</v>
      </c>
      <c r="F65" s="106">
        <f>SUM(G65:N65)</f>
        <v>0</v>
      </c>
      <c r="G65" s="116">
        <f>'PRD Ov.Opbrengsten (2009-2012)'!G64</f>
        <v>0</v>
      </c>
      <c r="H65" s="116">
        <f>'PRD Ov.Opbrengsten (2009-2012)'!H64</f>
        <v>0</v>
      </c>
      <c r="I65" s="116">
        <f>'PRD Ov.Opbrengsten (2009-2012)'!I64</f>
        <v>0</v>
      </c>
      <c r="J65" s="116">
        <f>'PRD Ov.Opbrengsten (2009-2012)'!J64</f>
        <v>0</v>
      </c>
      <c r="K65" s="116">
        <f>'PRD Ov.Opbrengsten (2009-2012)'!K64</f>
        <v>0</v>
      </c>
      <c r="L65" s="116">
        <f>'PRD Ov.Opbrengsten (2009-2012)'!L64</f>
        <v>0</v>
      </c>
      <c r="M65" s="116">
        <f>'PRD Ov.Opbrengsten (2009-2012)'!M64</f>
        <v>0</v>
      </c>
      <c r="N65" s="116">
        <f>'PRD Ov.Opbrengsten (2009-2012)'!N64</f>
        <v>0</v>
      </c>
    </row>
    <row r="66" spans="2:16">
      <c r="B66" t="s">
        <v>537</v>
      </c>
      <c r="D66" t="s">
        <v>180</v>
      </c>
      <c r="F66" s="106">
        <f>SUM(G66:N66)</f>
        <v>0</v>
      </c>
      <c r="G66" s="8"/>
      <c r="H66" s="8"/>
      <c r="I66" s="8"/>
      <c r="J66" s="8"/>
      <c r="K66" s="8"/>
      <c r="L66" s="8"/>
      <c r="M66" s="8"/>
      <c r="N66" s="8"/>
    </row>
    <row r="67" spans="2:16">
      <c r="B67" s="13" t="s">
        <v>339</v>
      </c>
      <c r="D67" t="s">
        <v>180</v>
      </c>
      <c r="F67" s="106">
        <f>SUM(G67:N67)</f>
        <v>13103332.76059464</v>
      </c>
      <c r="G67" s="24">
        <f>SUM(G63:G66)</f>
        <v>0</v>
      </c>
      <c r="H67" s="24">
        <f t="shared" ref="H67:N67" si="8">SUM(H63:H66)</f>
        <v>793121.28969999985</v>
      </c>
      <c r="I67" s="24">
        <f t="shared" si="8"/>
        <v>0</v>
      </c>
      <c r="J67" s="24">
        <f>SUM(J63:J66)</f>
        <v>8356537.9616363645</v>
      </c>
      <c r="K67" s="24">
        <f t="shared" si="8"/>
        <v>1697980.5674482754</v>
      </c>
      <c r="L67" s="24">
        <f t="shared" si="8"/>
        <v>0</v>
      </c>
      <c r="M67" s="24">
        <f t="shared" si="8"/>
        <v>2255692.9418099998</v>
      </c>
      <c r="N67" s="24">
        <f t="shared" si="8"/>
        <v>0</v>
      </c>
    </row>
    <row r="68" spans="2:16">
      <c r="F68" s="46"/>
    </row>
    <row r="69" spans="2:16">
      <c r="F69" s="46"/>
    </row>
    <row r="70" spans="2:16">
      <c r="B70" s="3" t="s">
        <v>318</v>
      </c>
      <c r="F70" s="46"/>
    </row>
    <row r="71" spans="2:16">
      <c r="F71" s="46"/>
    </row>
    <row r="72" spans="2:16">
      <c r="B72" s="50" t="s">
        <v>513</v>
      </c>
      <c r="D72" t="s">
        <v>180</v>
      </c>
      <c r="F72" s="107">
        <f>SUM(G72:N72)</f>
        <v>773235485.85551965</v>
      </c>
      <c r="G72" s="21">
        <f t="shared" ref="G72:N72" si="9">G52-G67</f>
        <v>4424454.9150602166</v>
      </c>
      <c r="H72" s="21">
        <f t="shared" si="9"/>
        <v>19720583.296751663</v>
      </c>
      <c r="I72" s="21">
        <f t="shared" si="9"/>
        <v>10124315.341921747</v>
      </c>
      <c r="J72" s="21">
        <f>J52-J67</f>
        <v>265387082.47491115</v>
      </c>
      <c r="K72" s="21">
        <f t="shared" si="9"/>
        <v>247923086.46827474</v>
      </c>
      <c r="L72" s="21">
        <f t="shared" si="9"/>
        <v>3869078.5140836872</v>
      </c>
      <c r="M72" s="21">
        <f t="shared" si="9"/>
        <v>206833364.97029936</v>
      </c>
      <c r="N72" s="21">
        <f t="shared" si="9"/>
        <v>14953519.874217002</v>
      </c>
      <c r="P72" s="50" t="s">
        <v>440</v>
      </c>
    </row>
    <row r="73" spans="2:16">
      <c r="F73" s="46"/>
    </row>
    <row r="74" spans="2:16">
      <c r="B74" s="50" t="s">
        <v>473</v>
      </c>
      <c r="D74" t="s">
        <v>180</v>
      </c>
      <c r="F74" s="107">
        <f>SUM(G74:N74)</f>
        <v>956271430.33267832</v>
      </c>
      <c r="G74" s="115">
        <f>G49+G50*$F$11-G67</f>
        <v>5361735.3711278718</v>
      </c>
      <c r="H74" s="115">
        <f t="shared" ref="H74:N74" si="10">H49+H50*$F$11-H67</f>
        <v>24272049.485138301</v>
      </c>
      <c r="I74" s="115">
        <f t="shared" si="10"/>
        <v>12078129.776455982</v>
      </c>
      <c r="J74" s="115">
        <f t="shared" si="10"/>
        <v>326191765.71725661</v>
      </c>
      <c r="K74" s="115">
        <f t="shared" si="10"/>
        <v>308797746.3817625</v>
      </c>
      <c r="L74" s="115">
        <f t="shared" si="10"/>
        <v>4505306.7041149111</v>
      </c>
      <c r="M74" s="115">
        <f t="shared" si="10"/>
        <v>255902744.03956687</v>
      </c>
      <c r="N74" s="115">
        <f t="shared" si="10"/>
        <v>19161952.857255392</v>
      </c>
      <c r="O74" s="28"/>
      <c r="P74" s="27"/>
    </row>
    <row r="75" spans="2:16">
      <c r="F75" s="46"/>
    </row>
    <row r="76" spans="2:16">
      <c r="F76" s="68"/>
      <c r="G76" s="40"/>
      <c r="H76" s="40"/>
      <c r="I76" s="40"/>
      <c r="J76" s="40"/>
      <c r="K76" s="40"/>
      <c r="L76" s="40"/>
      <c r="M76" s="40"/>
      <c r="N76" s="40"/>
    </row>
    <row r="77" spans="2:16" s="2" customFormat="1">
      <c r="B77" s="2" t="s">
        <v>321</v>
      </c>
      <c r="F77" s="48"/>
    </row>
    <row r="78" spans="2:16">
      <c r="F78" s="46"/>
    </row>
    <row r="79" spans="2:16">
      <c r="B79" s="3" t="s">
        <v>304</v>
      </c>
      <c r="F79" s="46"/>
    </row>
    <row r="80" spans="2:16">
      <c r="F80" s="46"/>
    </row>
    <row r="81" spans="2:14">
      <c r="B81" s="3" t="s">
        <v>282</v>
      </c>
      <c r="F81" s="46"/>
    </row>
    <row r="82" spans="2:14">
      <c r="B82" t="s">
        <v>283</v>
      </c>
      <c r="D82" t="s">
        <v>181</v>
      </c>
      <c r="F82" s="106">
        <f>SUM(G82:N82)</f>
        <v>0</v>
      </c>
      <c r="G82" s="37">
        <f>'Import GAW-sheet'!G44</f>
        <v>0</v>
      </c>
      <c r="H82" s="37">
        <f>'Import GAW-sheet'!H44</f>
        <v>0</v>
      </c>
      <c r="I82" s="37">
        <f>'Import GAW-sheet'!I44</f>
        <v>0</v>
      </c>
      <c r="J82" s="37">
        <f>'Import GAW-sheet'!J44</f>
        <v>0</v>
      </c>
      <c r="K82" s="37">
        <f>'Import GAW-sheet'!K44</f>
        <v>0</v>
      </c>
      <c r="L82" s="37">
        <f>'Import GAW-sheet'!L44</f>
        <v>0</v>
      </c>
      <c r="M82" s="37">
        <f>'Import GAW-sheet'!M44</f>
        <v>0</v>
      </c>
      <c r="N82" s="37">
        <f>'Import GAW-sheet'!N44</f>
        <v>0</v>
      </c>
    </row>
    <row r="83" spans="2:14">
      <c r="B83" t="s">
        <v>284</v>
      </c>
      <c r="D83" t="s">
        <v>181</v>
      </c>
      <c r="F83" s="106">
        <f>SUM(G83:N83)</f>
        <v>358577176.67830771</v>
      </c>
      <c r="G83" s="37">
        <f>'Import GAW-sheet'!G45</f>
        <v>2250626.4417108754</v>
      </c>
      <c r="H83" s="37">
        <f>'Import GAW-sheet'!H45</f>
        <v>9389346.306135131</v>
      </c>
      <c r="I83" s="37">
        <f>'Import GAW-sheet'!I45</f>
        <v>5649154.3206357891</v>
      </c>
      <c r="J83" s="37">
        <f>'Import GAW-sheet'!J45</f>
        <v>127742176.09162138</v>
      </c>
      <c r="K83" s="37">
        <f>'Import GAW-sheet'!K45</f>
        <v>111546800.80865529</v>
      </c>
      <c r="L83" s="37">
        <f>'Import GAW-sheet'!L45</f>
        <v>1773842.1074322688</v>
      </c>
      <c r="M83" s="37">
        <f>'Import GAW-sheet'!M45</f>
        <v>96540462.97901535</v>
      </c>
      <c r="N83" s="37">
        <f>'Import GAW-sheet'!N45</f>
        <v>3684767.6231016289</v>
      </c>
    </row>
    <row r="84" spans="2:14">
      <c r="B84" t="s">
        <v>285</v>
      </c>
      <c r="D84" t="s">
        <v>181</v>
      </c>
      <c r="F84" s="106">
        <f>SUM(G84:N84)</f>
        <v>6802476354.2529993</v>
      </c>
      <c r="G84" s="37">
        <f>'Import GAW-sheet'!G46</f>
        <v>28591752.897471137</v>
      </c>
      <c r="H84" s="37">
        <f>'Import GAW-sheet'!H46</f>
        <v>126802854.54325381</v>
      </c>
      <c r="I84" s="37">
        <f>'Import GAW-sheet'!I46</f>
        <v>69052310.956826642</v>
      </c>
      <c r="J84" s="37">
        <f>'Import GAW-sheet'!J46</f>
        <v>2322423571.3396044</v>
      </c>
      <c r="K84" s="37">
        <f>'Import GAW-sheet'!K46</f>
        <v>2426996368.7643518</v>
      </c>
      <c r="L84" s="37">
        <f>'Import GAW-sheet'!L46</f>
        <v>15621822.571237817</v>
      </c>
      <c r="M84" s="37">
        <f>'Import GAW-sheet'!M46</f>
        <v>1731694863.5276031</v>
      </c>
      <c r="N84" s="37">
        <f>'Import GAW-sheet'!N46</f>
        <v>81292809.652651101</v>
      </c>
    </row>
    <row r="85" spans="2:14">
      <c r="F85" s="46"/>
      <c r="G85" s="28"/>
      <c r="H85" s="28"/>
      <c r="I85" s="28"/>
      <c r="J85" s="28"/>
      <c r="K85" s="28"/>
      <c r="L85" s="28"/>
      <c r="M85" s="28"/>
      <c r="N85" s="28"/>
    </row>
    <row r="86" spans="2:14">
      <c r="B86" s="3" t="s">
        <v>286</v>
      </c>
      <c r="F86" s="46"/>
      <c r="G86" s="28"/>
      <c r="H86" s="28"/>
      <c r="I86" s="28"/>
      <c r="J86" s="28"/>
      <c r="K86" s="28"/>
      <c r="L86" s="28"/>
      <c r="M86" s="28"/>
      <c r="N86" s="28"/>
    </row>
    <row r="87" spans="2:14">
      <c r="B87" t="s">
        <v>287</v>
      </c>
      <c r="D87" t="s">
        <v>181</v>
      </c>
      <c r="F87" s="106">
        <f>SUM(G87:N87)</f>
        <v>506641100.55560994</v>
      </c>
      <c r="G87" s="37">
        <f>'Import GAW-sheet'!G49</f>
        <v>2782000</v>
      </c>
      <c r="H87" s="37">
        <f>'Import GAW-sheet'!H49</f>
        <v>11756724.409225</v>
      </c>
      <c r="I87" s="37">
        <f>'Import GAW-sheet'!I49</f>
        <v>2314213.7238850002</v>
      </c>
      <c r="J87" s="37">
        <f>'Import GAW-sheet'!J49</f>
        <v>181822222.13999999</v>
      </c>
      <c r="K87" s="37">
        <f>'Import GAW-sheet'!K49</f>
        <v>136541581</v>
      </c>
      <c r="L87" s="37">
        <f>'Import GAW-sheet'!L49</f>
        <v>3718556.0100000002</v>
      </c>
      <c r="M87" s="37">
        <f>'Import GAW-sheet'!M49</f>
        <v>151232121.27250001</v>
      </c>
      <c r="N87" s="37">
        <f>'Import GAW-sheet'!N49</f>
        <v>16473682</v>
      </c>
    </row>
    <row r="88" spans="2:14">
      <c r="B88" t="s">
        <v>277</v>
      </c>
      <c r="D88" t="s">
        <v>181</v>
      </c>
      <c r="F88" s="106">
        <f>SUM(G88:N88)</f>
        <v>96875543.883024901</v>
      </c>
      <c r="G88" s="37">
        <f>'Import GAW-sheet'!G50</f>
        <v>472709.34216342191</v>
      </c>
      <c r="H88" s="37">
        <f>'Import GAW-sheet'!H50</f>
        <v>3406431.3225562857</v>
      </c>
      <c r="I88" s="37">
        <f>'Import GAW-sheet'!I50</f>
        <v>950247.57487991697</v>
      </c>
      <c r="J88" s="37">
        <f>'Import GAW-sheet'!J50</f>
        <v>38699816.608920932</v>
      </c>
      <c r="K88" s="37">
        <f>'Import GAW-sheet'!K50</f>
        <v>25821411.912605863</v>
      </c>
      <c r="L88" s="37">
        <f>'Import GAW-sheet'!L50</f>
        <v>969331.57309227774</v>
      </c>
      <c r="M88" s="37">
        <f>'Import GAW-sheet'!M50</f>
        <v>22805150.560248852</v>
      </c>
      <c r="N88" s="37">
        <f>'Import GAW-sheet'!N50</f>
        <v>3750444.9885573499</v>
      </c>
    </row>
    <row r="89" spans="2:14">
      <c r="B89" t="s">
        <v>288</v>
      </c>
      <c r="D89" t="s">
        <v>181</v>
      </c>
      <c r="F89" s="106">
        <f>SUM(G89:N89)</f>
        <v>2901204350.5625706</v>
      </c>
      <c r="G89" s="37">
        <f>'Import GAW-sheet'!G51</f>
        <v>20945453.288962904</v>
      </c>
      <c r="H89" s="37">
        <f>'Import GAW-sheet'!H51</f>
        <v>102548747.3933928</v>
      </c>
      <c r="I89" s="37">
        <f>'Import GAW-sheet'!I51</f>
        <v>29803336.547218252</v>
      </c>
      <c r="J89" s="37">
        <f>'Import GAW-sheet'!J51</f>
        <v>902803883.99840128</v>
      </c>
      <c r="K89" s="37">
        <f>'Import GAW-sheet'!K51</f>
        <v>785718257.05271268</v>
      </c>
      <c r="L89" s="37">
        <f>'Import GAW-sheet'!L51</f>
        <v>18939711.053043816</v>
      </c>
      <c r="M89" s="37">
        <f>'Import GAW-sheet'!M51</f>
        <v>890538339.28328049</v>
      </c>
      <c r="N89" s="37">
        <f>'Import GAW-sheet'!N51</f>
        <v>149906621.94555855</v>
      </c>
    </row>
    <row r="90" spans="2:14">
      <c r="F90" s="46"/>
      <c r="G90" s="28"/>
      <c r="H90" s="28"/>
      <c r="I90" s="28"/>
      <c r="J90" s="28"/>
      <c r="K90" s="28"/>
      <c r="L90" s="28"/>
      <c r="M90" s="28"/>
      <c r="N90" s="28"/>
    </row>
    <row r="91" spans="2:14">
      <c r="B91" s="3" t="s">
        <v>289</v>
      </c>
      <c r="F91" s="46"/>
      <c r="G91" s="28"/>
      <c r="H91" s="28"/>
      <c r="I91" s="28"/>
      <c r="J91" s="28"/>
      <c r="K91" s="28"/>
      <c r="L91" s="28"/>
      <c r="M91" s="28"/>
      <c r="N91" s="28"/>
    </row>
    <row r="92" spans="2:14">
      <c r="B92" t="s">
        <v>290</v>
      </c>
      <c r="D92" t="s">
        <v>181</v>
      </c>
      <c r="F92" s="106">
        <f>SUM(G92:N92)</f>
        <v>0</v>
      </c>
      <c r="G92" s="37">
        <f>'Import GAW-sheet'!G54</f>
        <v>0</v>
      </c>
      <c r="H92" s="37">
        <f>'Import GAW-sheet'!H54</f>
        <v>0</v>
      </c>
      <c r="I92" s="37">
        <f>'Import GAW-sheet'!I54</f>
        <v>0</v>
      </c>
      <c r="J92" s="37">
        <f>'Import GAW-sheet'!J54</f>
        <v>0</v>
      </c>
      <c r="K92" s="37">
        <f>'Import GAW-sheet'!K54</f>
        <v>0</v>
      </c>
      <c r="L92" s="37">
        <f>'Import GAW-sheet'!L54</f>
        <v>0</v>
      </c>
      <c r="M92" s="37">
        <f>'Import GAW-sheet'!M54</f>
        <v>0</v>
      </c>
      <c r="N92" s="37">
        <f>'Import GAW-sheet'!N54</f>
        <v>0</v>
      </c>
    </row>
    <row r="93" spans="2:14">
      <c r="B93" t="s">
        <v>291</v>
      </c>
      <c r="D93" t="s">
        <v>181</v>
      </c>
      <c r="F93" s="106">
        <f>SUM(G93:N93)</f>
        <v>1593927.6801749018</v>
      </c>
      <c r="G93" s="37">
        <f>'Import GAW-sheet'!G55</f>
        <v>961147.86095826153</v>
      </c>
      <c r="H93" s="37">
        <f>'Import GAW-sheet'!H55</f>
        <v>0</v>
      </c>
      <c r="I93" s="37">
        <f>'Import GAW-sheet'!I55</f>
        <v>0</v>
      </c>
      <c r="J93" s="37">
        <f>'Import GAW-sheet'!J55</f>
        <v>0</v>
      </c>
      <c r="K93" s="37">
        <f>'Import GAW-sheet'!K55</f>
        <v>0</v>
      </c>
      <c r="L93" s="37">
        <f>'Import GAW-sheet'!L55</f>
        <v>632779.81921664032</v>
      </c>
      <c r="M93" s="37">
        <f>'Import GAW-sheet'!M55</f>
        <v>0</v>
      </c>
      <c r="N93" s="37">
        <f>'Import GAW-sheet'!N55</f>
        <v>0</v>
      </c>
    </row>
    <row r="94" spans="2:14">
      <c r="B94" t="s">
        <v>292</v>
      </c>
      <c r="D94" t="s">
        <v>181</v>
      </c>
      <c r="F94" s="106">
        <f>SUM(G94:N94)</f>
        <v>5062238.5537331104</v>
      </c>
      <c r="G94" s="37">
        <f>'Import GAW-sheet'!G56</f>
        <v>-3.0220018299818779E-9</v>
      </c>
      <c r="H94" s="37">
        <f>'Import GAW-sheet'!H56</f>
        <v>0</v>
      </c>
      <c r="I94" s="37">
        <f>'Import GAW-sheet'!I56</f>
        <v>0</v>
      </c>
      <c r="J94" s="37">
        <f>'Import GAW-sheet'!J56</f>
        <v>0</v>
      </c>
      <c r="K94" s="37">
        <f>'Import GAW-sheet'!K56</f>
        <v>0</v>
      </c>
      <c r="L94" s="37">
        <f>'Import GAW-sheet'!L56</f>
        <v>5062238.5537331132</v>
      </c>
      <c r="M94" s="37">
        <f>'Import GAW-sheet'!M56</f>
        <v>0</v>
      </c>
      <c r="N94" s="37">
        <f>'Import GAW-sheet'!N56</f>
        <v>0</v>
      </c>
    </row>
    <row r="95" spans="2:14">
      <c r="F95" s="46"/>
      <c r="G95" s="28"/>
      <c r="H95" s="28"/>
      <c r="I95" s="28"/>
      <c r="J95" s="28"/>
      <c r="K95" s="28"/>
      <c r="L95" s="28"/>
      <c r="M95" s="28"/>
      <c r="N95" s="28"/>
    </row>
    <row r="96" spans="2:14">
      <c r="B96" s="3" t="s">
        <v>293</v>
      </c>
      <c r="F96" s="46"/>
      <c r="G96" s="28"/>
      <c r="H96" s="28"/>
      <c r="I96" s="28"/>
      <c r="J96" s="28"/>
      <c r="K96" s="28"/>
      <c r="L96" s="28"/>
      <c r="M96" s="28"/>
      <c r="N96" s="28"/>
    </row>
    <row r="97" spans="2:16">
      <c r="B97" t="s">
        <v>294</v>
      </c>
      <c r="D97" t="s">
        <v>181</v>
      </c>
      <c r="F97" s="106">
        <f>SUM(G97:N97)</f>
        <v>0</v>
      </c>
      <c r="G97" s="37">
        <f>'Import GAW-sheet'!G59</f>
        <v>0</v>
      </c>
      <c r="H97" s="37">
        <f>'Import GAW-sheet'!H59</f>
        <v>0</v>
      </c>
      <c r="I97" s="37">
        <f>'Import GAW-sheet'!I59</f>
        <v>0</v>
      </c>
      <c r="J97" s="37">
        <f>'Import GAW-sheet'!J59</f>
        <v>0</v>
      </c>
      <c r="K97" s="37">
        <f>'Import GAW-sheet'!K59</f>
        <v>0</v>
      </c>
      <c r="L97" s="37">
        <f>'Import GAW-sheet'!L59</f>
        <v>0</v>
      </c>
      <c r="M97" s="37">
        <f>'Import GAW-sheet'!M59</f>
        <v>0</v>
      </c>
      <c r="N97" s="37">
        <f>'Import GAW-sheet'!N59</f>
        <v>0</v>
      </c>
    </row>
    <row r="98" spans="2:16">
      <c r="B98" t="s">
        <v>295</v>
      </c>
      <c r="D98" t="s">
        <v>181</v>
      </c>
      <c r="F98" s="106">
        <f>SUM(G98:N98)</f>
        <v>227923.69440549999</v>
      </c>
      <c r="G98" s="37">
        <f>'Import GAW-sheet'!G60</f>
        <v>0</v>
      </c>
      <c r="H98" s="37">
        <f>'Import GAW-sheet'!H60</f>
        <v>227923.69440549999</v>
      </c>
      <c r="I98" s="37">
        <f>'Import GAW-sheet'!I60</f>
        <v>0</v>
      </c>
      <c r="J98" s="37">
        <f>'Import GAW-sheet'!J60</f>
        <v>0</v>
      </c>
      <c r="K98" s="37">
        <f>'Import GAW-sheet'!K60</f>
        <v>0</v>
      </c>
      <c r="L98" s="37">
        <f>'Import GAW-sheet'!L60</f>
        <v>0</v>
      </c>
      <c r="M98" s="37">
        <f>'Import GAW-sheet'!M60</f>
        <v>0</v>
      </c>
      <c r="N98" s="37">
        <f>'Import GAW-sheet'!N60</f>
        <v>0</v>
      </c>
    </row>
    <row r="99" spans="2:16">
      <c r="B99" t="s">
        <v>296</v>
      </c>
      <c r="D99" t="s">
        <v>181</v>
      </c>
      <c r="F99" s="106">
        <f>SUM(G99:N99)</f>
        <v>9650925.7258917503</v>
      </c>
      <c r="G99" s="37">
        <f>'Import GAW-sheet'!G61</f>
        <v>0</v>
      </c>
      <c r="H99" s="37">
        <f>'Import GAW-sheet'!H61</f>
        <v>9650925.7258917503</v>
      </c>
      <c r="I99" s="37">
        <f>'Import GAW-sheet'!I61</f>
        <v>0</v>
      </c>
      <c r="J99" s="37">
        <f>'Import GAW-sheet'!J61</f>
        <v>0</v>
      </c>
      <c r="K99" s="37">
        <f>'Import GAW-sheet'!K61</f>
        <v>0</v>
      </c>
      <c r="L99" s="37">
        <f>'Import GAW-sheet'!L61</f>
        <v>0</v>
      </c>
      <c r="M99" s="37">
        <f>'Import GAW-sheet'!M61</f>
        <v>0</v>
      </c>
      <c r="N99" s="37">
        <f>'Import GAW-sheet'!N61</f>
        <v>0</v>
      </c>
    </row>
    <row r="100" spans="2:16">
      <c r="F100" s="46"/>
      <c r="G100" s="28"/>
      <c r="H100" s="28"/>
      <c r="I100" s="28"/>
      <c r="J100" s="28"/>
      <c r="K100" s="28"/>
      <c r="L100" s="28"/>
      <c r="M100" s="28"/>
      <c r="N100" s="28"/>
    </row>
    <row r="101" spans="2:16">
      <c r="B101" s="3" t="s">
        <v>297</v>
      </c>
      <c r="F101" s="46"/>
      <c r="G101" s="28"/>
      <c r="H101" s="28"/>
      <c r="I101" s="28"/>
      <c r="J101" s="28"/>
      <c r="K101" s="28"/>
      <c r="L101" s="28"/>
      <c r="M101" s="28"/>
      <c r="N101" s="28"/>
    </row>
    <row r="102" spans="2:16">
      <c r="B102" t="s">
        <v>298</v>
      </c>
      <c r="D102" t="s">
        <v>181</v>
      </c>
      <c r="F102" s="106">
        <f>SUM(G102:N102)</f>
        <v>0</v>
      </c>
      <c r="G102" s="37">
        <f>'Import GAW-sheet'!G64</f>
        <v>0</v>
      </c>
      <c r="H102" s="37">
        <f>'Import GAW-sheet'!H64</f>
        <v>0</v>
      </c>
      <c r="I102" s="37">
        <f>'Import GAW-sheet'!I64</f>
        <v>0</v>
      </c>
      <c r="J102" s="37">
        <f>'Import GAW-sheet'!J64</f>
        <v>0</v>
      </c>
      <c r="K102" s="37">
        <f>'Import GAW-sheet'!K64</f>
        <v>0</v>
      </c>
      <c r="L102" s="37">
        <f>'Import GAW-sheet'!L64</f>
        <v>0</v>
      </c>
      <c r="M102" s="37">
        <f>'Import GAW-sheet'!M64</f>
        <v>0</v>
      </c>
      <c r="N102" s="37">
        <f>'Import GAW-sheet'!N64</f>
        <v>0</v>
      </c>
    </row>
    <row r="103" spans="2:16">
      <c r="B103" t="s">
        <v>299</v>
      </c>
      <c r="D103" t="s">
        <v>181</v>
      </c>
      <c r="F103" s="106">
        <f>SUM(G103:N103)</f>
        <v>0</v>
      </c>
      <c r="G103" s="37">
        <f>'Import GAW-sheet'!G65</f>
        <v>0</v>
      </c>
      <c r="H103" s="37">
        <f>'Import GAW-sheet'!H65</f>
        <v>0</v>
      </c>
      <c r="I103" s="37">
        <f>'Import GAW-sheet'!I65</f>
        <v>0</v>
      </c>
      <c r="J103" s="37">
        <f>'Import GAW-sheet'!J65</f>
        <v>0</v>
      </c>
      <c r="K103" s="37">
        <f>'Import GAW-sheet'!K65</f>
        <v>0</v>
      </c>
      <c r="L103" s="37">
        <f>'Import GAW-sheet'!L65</f>
        <v>0</v>
      </c>
      <c r="M103" s="37">
        <f>'Import GAW-sheet'!M65</f>
        <v>0</v>
      </c>
      <c r="N103" s="37">
        <f>'Import GAW-sheet'!N65</f>
        <v>0</v>
      </c>
    </row>
    <row r="104" spans="2:16">
      <c r="B104" t="s">
        <v>300</v>
      </c>
      <c r="D104" t="s">
        <v>181</v>
      </c>
      <c r="F104" s="106">
        <f>SUM(G104:N104)</f>
        <v>0</v>
      </c>
      <c r="G104" s="37">
        <f>'Import GAW-sheet'!G66</f>
        <v>0</v>
      </c>
      <c r="H104" s="37">
        <f>'Import GAW-sheet'!H66</f>
        <v>0</v>
      </c>
      <c r="I104" s="37">
        <f>'Import GAW-sheet'!I66</f>
        <v>0</v>
      </c>
      <c r="J104" s="37">
        <f>'Import GAW-sheet'!J66</f>
        <v>0</v>
      </c>
      <c r="K104" s="37">
        <f>'Import GAW-sheet'!K66</f>
        <v>0</v>
      </c>
      <c r="L104" s="37">
        <f>'Import GAW-sheet'!L66</f>
        <v>0</v>
      </c>
      <c r="M104" s="37">
        <f>'Import GAW-sheet'!M66</f>
        <v>0</v>
      </c>
      <c r="N104" s="37">
        <f>'Import GAW-sheet'!N66</f>
        <v>0</v>
      </c>
    </row>
    <row r="105" spans="2:16">
      <c r="F105" s="46"/>
    </row>
    <row r="106" spans="2:16">
      <c r="F106" s="46"/>
    </row>
    <row r="107" spans="2:16">
      <c r="B107" s="3" t="s">
        <v>312</v>
      </c>
      <c r="F107" s="46"/>
    </row>
    <row r="108" spans="2:16">
      <c r="F108" s="46"/>
    </row>
    <row r="109" spans="2:16">
      <c r="B109" s="3" t="s">
        <v>313</v>
      </c>
      <c r="F109" s="46"/>
    </row>
    <row r="110" spans="2:16">
      <c r="B110" t="s">
        <v>277</v>
      </c>
      <c r="D110" t="s">
        <v>181</v>
      </c>
      <c r="F110" s="106">
        <f>SUM(G110:N110)</f>
        <v>455680644.25573814</v>
      </c>
      <c r="G110" s="24">
        <f>G83+G88+G98+G103</f>
        <v>2723335.7838742975</v>
      </c>
      <c r="H110" s="24">
        <f t="shared" ref="H110:N110" si="11">H83+H88+H98+H103</f>
        <v>13023701.323096916</v>
      </c>
      <c r="I110" s="24">
        <f t="shared" si="11"/>
        <v>6599401.8955157064</v>
      </c>
      <c r="J110" s="24">
        <f t="shared" si="11"/>
        <v>166441992.70054233</v>
      </c>
      <c r="K110" s="24">
        <f t="shared" si="11"/>
        <v>137368212.72126114</v>
      </c>
      <c r="L110" s="24">
        <f t="shared" si="11"/>
        <v>2743173.6805245467</v>
      </c>
      <c r="M110" s="24">
        <f t="shared" si="11"/>
        <v>119345613.5392642</v>
      </c>
      <c r="N110" s="24">
        <f t="shared" si="11"/>
        <v>7435212.6116589792</v>
      </c>
      <c r="P110" s="50" t="s">
        <v>439</v>
      </c>
    </row>
    <row r="111" spans="2:16">
      <c r="B111" t="s">
        <v>305</v>
      </c>
      <c r="D111" t="s">
        <v>181</v>
      </c>
      <c r="F111" s="106">
        <f>SUM(G111:N111)</f>
        <v>9713331630.5414619</v>
      </c>
      <c r="G111" s="24">
        <f>G84+G89+G99+G104</f>
        <v>49537206.186434045</v>
      </c>
      <c r="H111" s="24">
        <f t="shared" ref="H111:N111" si="12">H84+H89+H99+H104</f>
        <v>239002527.66253835</v>
      </c>
      <c r="I111" s="24">
        <f t="shared" si="12"/>
        <v>98855647.50404489</v>
      </c>
      <c r="J111" s="24">
        <f t="shared" si="12"/>
        <v>3225227455.3380055</v>
      </c>
      <c r="K111" s="24">
        <f t="shared" si="12"/>
        <v>3212714625.8170643</v>
      </c>
      <c r="L111" s="24">
        <f t="shared" si="12"/>
        <v>34561533.62428163</v>
      </c>
      <c r="M111" s="24">
        <f t="shared" si="12"/>
        <v>2622233202.8108835</v>
      </c>
      <c r="N111" s="24">
        <f t="shared" si="12"/>
        <v>231199431.59820965</v>
      </c>
      <c r="P111" s="50" t="s">
        <v>442</v>
      </c>
    </row>
    <row r="112" spans="2:16">
      <c r="B112" t="s">
        <v>306</v>
      </c>
      <c r="D112" t="s">
        <v>181</v>
      </c>
      <c r="F112" s="106">
        <f>SUM(G112:N112)</f>
        <v>349679938.69949263</v>
      </c>
      <c r="G112" s="24">
        <f t="shared" ref="G112:N112" si="13">G111*$F$13</f>
        <v>1783339.4227116255</v>
      </c>
      <c r="H112" s="24">
        <f t="shared" si="13"/>
        <v>8604090.9958513808</v>
      </c>
      <c r="I112" s="24">
        <f t="shared" si="13"/>
        <v>3558803.3101456156</v>
      </c>
      <c r="J112" s="24">
        <f t="shared" si="13"/>
        <v>116108188.39216819</v>
      </c>
      <c r="K112" s="24">
        <f t="shared" si="13"/>
        <v>115657726.52941431</v>
      </c>
      <c r="L112" s="24">
        <f t="shared" si="13"/>
        <v>1244215.2104741386</v>
      </c>
      <c r="M112" s="24">
        <f t="shared" si="13"/>
        <v>94400395.301191807</v>
      </c>
      <c r="N112" s="24">
        <f t="shared" si="13"/>
        <v>8323179.5375355463</v>
      </c>
      <c r="P112" s="50" t="s">
        <v>441</v>
      </c>
    </row>
    <row r="113" spans="2:16">
      <c r="B113" t="s">
        <v>310</v>
      </c>
      <c r="D113" t="s">
        <v>181</v>
      </c>
      <c r="F113" s="106">
        <f>SUM(G113:N113)</f>
        <v>805360582.95523071</v>
      </c>
      <c r="G113" s="21">
        <f>G110+G112</f>
        <v>4506675.2065859232</v>
      </c>
      <c r="H113" s="21">
        <f t="shared" ref="H113:N113" si="14">H110+H112</f>
        <v>21627792.318948299</v>
      </c>
      <c r="I113" s="21">
        <f t="shared" si="14"/>
        <v>10158205.205661323</v>
      </c>
      <c r="J113" s="21">
        <f t="shared" si="14"/>
        <v>282550181.09271049</v>
      </c>
      <c r="K113" s="21">
        <f t="shared" si="14"/>
        <v>253025939.25067544</v>
      </c>
      <c r="L113" s="21">
        <f t="shared" si="14"/>
        <v>3987388.8909986853</v>
      </c>
      <c r="M113" s="21">
        <f t="shared" si="14"/>
        <v>213746008.84045601</v>
      </c>
      <c r="N113" s="21">
        <f t="shared" si="14"/>
        <v>15758392.149194526</v>
      </c>
      <c r="P113" s="50" t="s">
        <v>440</v>
      </c>
    </row>
    <row r="114" spans="2:16">
      <c r="F114" s="46"/>
    </row>
    <row r="115" spans="2:16">
      <c r="B115" s="3" t="s">
        <v>314</v>
      </c>
      <c r="F115" s="46"/>
    </row>
    <row r="116" spans="2:16">
      <c r="B116" t="s">
        <v>277</v>
      </c>
      <c r="D116" t="s">
        <v>181</v>
      </c>
      <c r="F116" s="106">
        <f>SUM(G116:N116)</f>
        <v>1593927.6801749018</v>
      </c>
      <c r="G116" s="24">
        <f>G93</f>
        <v>961147.86095826153</v>
      </c>
      <c r="H116" s="24">
        <f t="shared" ref="H116:N116" si="15">H93</f>
        <v>0</v>
      </c>
      <c r="I116" s="24">
        <f t="shared" si="15"/>
        <v>0</v>
      </c>
      <c r="J116" s="24">
        <f t="shared" si="15"/>
        <v>0</v>
      </c>
      <c r="K116" s="24">
        <f t="shared" si="15"/>
        <v>0</v>
      </c>
      <c r="L116" s="24">
        <f t="shared" si="15"/>
        <v>632779.81921664032</v>
      </c>
      <c r="M116" s="24">
        <f t="shared" si="15"/>
        <v>0</v>
      </c>
      <c r="N116" s="24">
        <f t="shared" si="15"/>
        <v>0</v>
      </c>
    </row>
    <row r="117" spans="2:16">
      <c r="B117" t="s">
        <v>305</v>
      </c>
      <c r="D117" t="s">
        <v>181</v>
      </c>
      <c r="F117" s="106">
        <f>SUM(G117:N117)</f>
        <v>5062238.5537331104</v>
      </c>
      <c r="G117" s="24">
        <f>G94</f>
        <v>-3.0220018299818779E-9</v>
      </c>
      <c r="H117" s="24">
        <f t="shared" ref="H117:N117" si="16">H94</f>
        <v>0</v>
      </c>
      <c r="I117" s="24">
        <f t="shared" si="16"/>
        <v>0</v>
      </c>
      <c r="J117" s="24">
        <f t="shared" si="16"/>
        <v>0</v>
      </c>
      <c r="K117" s="24">
        <f t="shared" si="16"/>
        <v>0</v>
      </c>
      <c r="L117" s="24">
        <f t="shared" si="16"/>
        <v>5062238.5537331132</v>
      </c>
      <c r="M117" s="24">
        <f t="shared" si="16"/>
        <v>0</v>
      </c>
      <c r="N117" s="24">
        <f t="shared" si="16"/>
        <v>0</v>
      </c>
    </row>
    <row r="118" spans="2:16">
      <c r="B118" t="s">
        <v>306</v>
      </c>
      <c r="D118" t="s">
        <v>181</v>
      </c>
      <c r="F118" s="106">
        <f>SUM(G118:N118)</f>
        <v>182240.58793439195</v>
      </c>
      <c r="G118" s="24">
        <f t="shared" ref="G118:N118" si="17">G117*$F$13</f>
        <v>-1.087920658793476E-10</v>
      </c>
      <c r="H118" s="24">
        <f t="shared" si="17"/>
        <v>0</v>
      </c>
      <c r="I118" s="24">
        <f t="shared" si="17"/>
        <v>0</v>
      </c>
      <c r="J118" s="24">
        <f t="shared" si="17"/>
        <v>0</v>
      </c>
      <c r="K118" s="24">
        <f t="shared" si="17"/>
        <v>0</v>
      </c>
      <c r="L118" s="24">
        <f t="shared" si="17"/>
        <v>182240.58793439207</v>
      </c>
      <c r="M118" s="24">
        <f t="shared" si="17"/>
        <v>0</v>
      </c>
      <c r="N118" s="24">
        <f t="shared" si="17"/>
        <v>0</v>
      </c>
    </row>
    <row r="119" spans="2:16">
      <c r="B119" t="s">
        <v>310</v>
      </c>
      <c r="D119" t="s">
        <v>181</v>
      </c>
      <c r="F119" s="106">
        <f>SUM(G119:N119)</f>
        <v>1776168.2681092937</v>
      </c>
      <c r="G119" s="21">
        <f t="shared" ref="G119:N119" si="18">G116+G118</f>
        <v>961147.86095826142</v>
      </c>
      <c r="H119" s="21">
        <f t="shared" si="18"/>
        <v>0</v>
      </c>
      <c r="I119" s="21">
        <f t="shared" si="18"/>
        <v>0</v>
      </c>
      <c r="J119" s="21">
        <f t="shared" si="18"/>
        <v>0</v>
      </c>
      <c r="K119" s="21">
        <f t="shared" si="18"/>
        <v>0</v>
      </c>
      <c r="L119" s="21">
        <f t="shared" si="18"/>
        <v>815020.40715103236</v>
      </c>
      <c r="M119" s="21">
        <f t="shared" si="18"/>
        <v>0</v>
      </c>
      <c r="N119" s="21">
        <f t="shared" si="18"/>
        <v>0</v>
      </c>
    </row>
    <row r="120" spans="2:16">
      <c r="F120" s="46"/>
    </row>
    <row r="121" spans="2:16">
      <c r="F121" s="46"/>
    </row>
    <row r="122" spans="2:16">
      <c r="B122" s="3" t="s">
        <v>311</v>
      </c>
      <c r="F122" s="46"/>
    </row>
    <row r="123" spans="2:16">
      <c r="F123" s="46"/>
    </row>
    <row r="124" spans="2:16">
      <c r="B124" t="s">
        <v>315</v>
      </c>
      <c r="D124" t="s">
        <v>181</v>
      </c>
      <c r="F124" s="106">
        <f>SUM(G124:N124)</f>
        <v>6225627.4306164226</v>
      </c>
      <c r="G124" s="115">
        <f>'PRD Ov.Opbrengsten (2009-2012)'!G73-'PRD Ov.Opbrengsten (2009-2012)'!G89</f>
        <v>0</v>
      </c>
      <c r="H124" s="115">
        <f>'PRD Ov.Opbrengsten (2009-2012)'!H73-'PRD Ov.Opbrengsten (2009-2012)'!H89</f>
        <v>805060.77446021501</v>
      </c>
      <c r="I124" s="115">
        <f>'PRD Ov.Opbrengsten (2009-2012)'!I73-'PRD Ov.Opbrengsten (2009-2012)'!I89</f>
        <v>0</v>
      </c>
      <c r="J124" s="115">
        <f>'PRD Ov.Opbrengsten (2009-2012)'!J73-'PRD Ov.Opbrengsten (2009-2012)'!J89</f>
        <v>1709855.5590000004</v>
      </c>
      <c r="K124" s="115">
        <f>'PRD Ov.Opbrengsten (2009-2012)'!K73-'PRD Ov.Opbrengsten (2009-2012)'!K89</f>
        <v>1491024.8275862071</v>
      </c>
      <c r="L124" s="115">
        <f>'PRD Ov.Opbrengsten (2009-2012)'!L73-'PRD Ov.Opbrengsten (2009-2012)'!L89</f>
        <v>0</v>
      </c>
      <c r="M124" s="115">
        <f>'PRD Ov.Opbrengsten (2009-2012)'!M73-'PRD Ov.Opbrengsten (2009-2012)'!M89</f>
        <v>2219686.26957</v>
      </c>
      <c r="N124" s="115">
        <f>'PRD Ov.Opbrengsten (2009-2012)'!N73-'PRD Ov.Opbrengsten (2009-2012)'!N89</f>
        <v>0</v>
      </c>
    </row>
    <row r="125" spans="2:16">
      <c r="B125" t="s">
        <v>316</v>
      </c>
      <c r="D125" t="s">
        <v>181</v>
      </c>
      <c r="F125" s="106">
        <f>SUM(G125:N125)</f>
        <v>6561000</v>
      </c>
      <c r="G125" s="8"/>
      <c r="H125" s="8"/>
      <c r="I125" s="8"/>
      <c r="J125" s="159">
        <f>0+'Aanpassing gegevens (sep 2014)'!H146</f>
        <v>6561000</v>
      </c>
      <c r="K125" s="8"/>
      <c r="L125" s="8"/>
      <c r="M125" s="8"/>
      <c r="N125" s="8"/>
    </row>
    <row r="126" spans="2:16">
      <c r="B126" t="s">
        <v>317</v>
      </c>
      <c r="D126" t="s">
        <v>181</v>
      </c>
      <c r="F126" s="106">
        <f>SUM(G126:N126)</f>
        <v>962000</v>
      </c>
      <c r="G126" s="116">
        <f>'PRD Ov.Opbrengsten (2009-2012)'!G122</f>
        <v>0</v>
      </c>
      <c r="H126" s="116">
        <f>'PRD Ov.Opbrengsten (2009-2012)'!H122</f>
        <v>0</v>
      </c>
      <c r="I126" s="116">
        <f>'PRD Ov.Opbrengsten (2009-2012)'!I122</f>
        <v>0</v>
      </c>
      <c r="J126" s="116">
        <f>'PRD Ov.Opbrengsten (2009-2012)'!J122</f>
        <v>0</v>
      </c>
      <c r="K126" s="116">
        <f>'PRD Ov.Opbrengsten (2009-2012)'!K122</f>
        <v>0</v>
      </c>
      <c r="L126" s="116">
        <f>'PRD Ov.Opbrengsten (2009-2012)'!L122</f>
        <v>0</v>
      </c>
      <c r="M126" s="116">
        <f>'PRD Ov.Opbrengsten (2009-2012)'!M122</f>
        <v>0</v>
      </c>
      <c r="N126" s="116">
        <f>'PRD Ov.Opbrengsten (2009-2012)'!N122</f>
        <v>962000</v>
      </c>
    </row>
    <row r="127" spans="2:16">
      <c r="B127" t="s">
        <v>537</v>
      </c>
      <c r="D127" t="s">
        <v>181</v>
      </c>
      <c r="F127" s="106">
        <f>SUM(G127:N127)</f>
        <v>0</v>
      </c>
      <c r="G127" s="8"/>
      <c r="H127" s="8"/>
      <c r="I127" s="8"/>
      <c r="J127" s="8"/>
      <c r="K127" s="8"/>
      <c r="L127" s="8"/>
      <c r="M127" s="8"/>
      <c r="N127" s="8"/>
    </row>
    <row r="128" spans="2:16">
      <c r="B128" s="13" t="s">
        <v>339</v>
      </c>
      <c r="D128" t="s">
        <v>181</v>
      </c>
      <c r="F128" s="106">
        <f>SUM(G128:N128)</f>
        <v>13748627.430616423</v>
      </c>
      <c r="G128" s="24">
        <f t="shared" ref="G128:N128" si="19">SUM(G124:G127)</f>
        <v>0</v>
      </c>
      <c r="H128" s="24">
        <f t="shared" si="19"/>
        <v>805060.77446021501</v>
      </c>
      <c r="I128" s="24">
        <f t="shared" si="19"/>
        <v>0</v>
      </c>
      <c r="J128" s="24">
        <f t="shared" si="19"/>
        <v>8270855.5590000004</v>
      </c>
      <c r="K128" s="24">
        <f t="shared" si="19"/>
        <v>1491024.8275862071</v>
      </c>
      <c r="L128" s="24">
        <f t="shared" si="19"/>
        <v>0</v>
      </c>
      <c r="M128" s="24">
        <f t="shared" si="19"/>
        <v>2219686.26957</v>
      </c>
      <c r="N128" s="24">
        <f t="shared" si="19"/>
        <v>962000</v>
      </c>
    </row>
    <row r="129" spans="2:16">
      <c r="F129" s="46"/>
    </row>
    <row r="130" spans="2:16">
      <c r="F130" s="46"/>
    </row>
    <row r="131" spans="2:16">
      <c r="B131" s="3" t="s">
        <v>318</v>
      </c>
      <c r="F131" s="46"/>
    </row>
    <row r="132" spans="2:16">
      <c r="F132" s="46"/>
    </row>
    <row r="133" spans="2:16">
      <c r="B133" t="s">
        <v>319</v>
      </c>
      <c r="D133" t="s">
        <v>181</v>
      </c>
      <c r="F133" s="107">
        <f>SUM(G133:N133)</f>
        <v>791611955.52461421</v>
      </c>
      <c r="G133" s="21">
        <f>G113-G128</f>
        <v>4506675.2065859232</v>
      </c>
      <c r="H133" s="21">
        <f t="shared" ref="H133:N133" si="20">H113-H128</f>
        <v>20822731.544488084</v>
      </c>
      <c r="I133" s="21">
        <f t="shared" si="20"/>
        <v>10158205.205661323</v>
      </c>
      <c r="J133" s="21">
        <f t="shared" si="20"/>
        <v>274279325.53371048</v>
      </c>
      <c r="K133" s="21">
        <f t="shared" si="20"/>
        <v>251534914.42308924</v>
      </c>
      <c r="L133" s="21">
        <f t="shared" si="20"/>
        <v>3987388.8909986853</v>
      </c>
      <c r="M133" s="21">
        <f t="shared" si="20"/>
        <v>211526322.57088602</v>
      </c>
      <c r="N133" s="21">
        <f t="shared" si="20"/>
        <v>14796392.149194526</v>
      </c>
      <c r="P133" s="50" t="s">
        <v>440</v>
      </c>
    </row>
    <row r="134" spans="2:16">
      <c r="F134" s="46"/>
    </row>
    <row r="135" spans="2:16">
      <c r="B135" s="50" t="s">
        <v>473</v>
      </c>
      <c r="D135" t="s">
        <v>181</v>
      </c>
      <c r="F135" s="107">
        <f>SUM(G135:N135)</f>
        <v>976165256.50490212</v>
      </c>
      <c r="G135" s="115">
        <f>G110+G111*$F$11-G128</f>
        <v>5447882.1241281703</v>
      </c>
      <c r="H135" s="115">
        <f t="shared" ref="H135:N135" si="21">H110+H111*$F$11-H128</f>
        <v>25363779.570076313</v>
      </c>
      <c r="I135" s="115">
        <f t="shared" si="21"/>
        <v>12036462.508238174</v>
      </c>
      <c r="J135" s="115">
        <f t="shared" si="21"/>
        <v>335558647.18513262</v>
      </c>
      <c r="K135" s="115">
        <f t="shared" si="21"/>
        <v>312576492.31361347</v>
      </c>
      <c r="L135" s="115">
        <f t="shared" si="21"/>
        <v>4644058.0298600364</v>
      </c>
      <c r="M135" s="115">
        <f t="shared" si="21"/>
        <v>261348753.4242928</v>
      </c>
      <c r="N135" s="115">
        <f t="shared" si="21"/>
        <v>19189181.34956051</v>
      </c>
      <c r="O135" s="28"/>
      <c r="P135" s="27"/>
    </row>
    <row r="136" spans="2:16">
      <c r="B136" s="50" t="s">
        <v>474</v>
      </c>
      <c r="D136" t="s">
        <v>181</v>
      </c>
      <c r="F136" s="107">
        <f>SUM(G136:N136)</f>
        <v>1010161917.2117971</v>
      </c>
      <c r="G136" s="115">
        <f>G110+G111*AVERAGE($F$11,$F$12)-G128</f>
        <v>5621262.3457806893</v>
      </c>
      <c r="H136" s="115">
        <f t="shared" ref="H136:N136" si="22">H110+H111*AVERAGE($F$11,$F$12)-H128</f>
        <v>26200288.416895192</v>
      </c>
      <c r="I136" s="115">
        <f t="shared" si="22"/>
        <v>12382457.274502333</v>
      </c>
      <c r="J136" s="115">
        <f t="shared" si="22"/>
        <v>346846943.27881563</v>
      </c>
      <c r="K136" s="115">
        <f t="shared" si="22"/>
        <v>323820993.50397319</v>
      </c>
      <c r="L136" s="115">
        <f t="shared" si="22"/>
        <v>4765023.397545022</v>
      </c>
      <c r="M136" s="115">
        <f t="shared" si="22"/>
        <v>270526569.6341309</v>
      </c>
      <c r="N136" s="115">
        <f t="shared" si="22"/>
        <v>19998379.360154241</v>
      </c>
      <c r="O136" s="28"/>
      <c r="P136" s="27"/>
    </row>
    <row r="137" spans="2:16">
      <c r="F137" s="68"/>
      <c r="G137" s="40"/>
      <c r="H137" s="40"/>
      <c r="I137" s="40"/>
      <c r="J137" s="40"/>
      <c r="K137" s="40"/>
      <c r="L137" s="40"/>
      <c r="M137" s="40"/>
      <c r="N137" s="40"/>
    </row>
    <row r="138" spans="2:16">
      <c r="B138" s="80" t="s">
        <v>583</v>
      </c>
      <c r="D138" t="s">
        <v>181</v>
      </c>
      <c r="F138" s="107">
        <f>SUM(G138:N138)</f>
        <v>1044158577.9186922</v>
      </c>
      <c r="G138" s="180">
        <f>G110+G111*$F$12-G128</f>
        <v>5794642.5674332082</v>
      </c>
      <c r="H138" s="180">
        <f t="shared" ref="H138:N138" si="23">H110+H111*$F$12-H128</f>
        <v>27036797.263714079</v>
      </c>
      <c r="I138" s="180">
        <f t="shared" si="23"/>
        <v>12728452.040766489</v>
      </c>
      <c r="J138" s="180">
        <f t="shared" si="23"/>
        <v>358135239.37249863</v>
      </c>
      <c r="K138" s="180">
        <f t="shared" si="23"/>
        <v>335065494.6943329</v>
      </c>
      <c r="L138" s="180">
        <f t="shared" si="23"/>
        <v>4885988.7652300075</v>
      </c>
      <c r="M138" s="180">
        <f t="shared" si="23"/>
        <v>279704385.84396899</v>
      </c>
      <c r="N138" s="180">
        <f t="shared" si="23"/>
        <v>20807577.370747976</v>
      </c>
    </row>
    <row r="139" spans="2:16">
      <c r="B139" s="80" t="s">
        <v>584</v>
      </c>
      <c r="D139" t="s">
        <v>181</v>
      </c>
      <c r="F139" s="107">
        <f>SUM(G139:N139)</f>
        <v>1907786.4705063547</v>
      </c>
      <c r="G139" s="180">
        <f>G116+G117*$F$12</f>
        <v>961147.8609582613</v>
      </c>
      <c r="H139" s="180">
        <f t="shared" ref="H139:N139" si="24">H116+H117*$F$12</f>
        <v>0</v>
      </c>
      <c r="I139" s="180">
        <f t="shared" si="24"/>
        <v>0</v>
      </c>
      <c r="J139" s="180">
        <f t="shared" si="24"/>
        <v>0</v>
      </c>
      <c r="K139" s="180">
        <f t="shared" si="24"/>
        <v>0</v>
      </c>
      <c r="L139" s="180">
        <f t="shared" si="24"/>
        <v>946638.60954809329</v>
      </c>
      <c r="M139" s="180">
        <f t="shared" si="24"/>
        <v>0</v>
      </c>
      <c r="N139" s="180">
        <f t="shared" si="24"/>
        <v>0</v>
      </c>
    </row>
    <row r="140" spans="2:16">
      <c r="F140" s="68"/>
      <c r="G140" s="40"/>
      <c r="H140" s="40"/>
      <c r="I140" s="40"/>
      <c r="J140" s="40"/>
      <c r="K140" s="40"/>
      <c r="L140" s="40"/>
      <c r="M140" s="40"/>
      <c r="N140" s="40"/>
    </row>
    <row r="141" spans="2:16">
      <c r="F141" s="68"/>
      <c r="G141" s="40"/>
      <c r="H141" s="40"/>
      <c r="I141" s="40"/>
      <c r="J141" s="40"/>
      <c r="K141" s="40"/>
      <c r="L141" s="40"/>
      <c r="M141" s="40"/>
      <c r="N141" s="40"/>
    </row>
    <row r="142" spans="2:16" s="2" customFormat="1">
      <c r="B142" s="2" t="s">
        <v>322</v>
      </c>
      <c r="F142" s="48"/>
    </row>
    <row r="143" spans="2:16">
      <c r="F143" s="46"/>
    </row>
    <row r="144" spans="2:16">
      <c r="B144" s="3" t="s">
        <v>304</v>
      </c>
      <c r="F144" s="46"/>
    </row>
    <row r="145" spans="2:14">
      <c r="F145" s="46"/>
    </row>
    <row r="146" spans="2:14">
      <c r="B146" s="3" t="s">
        <v>282</v>
      </c>
      <c r="F146" s="46"/>
    </row>
    <row r="147" spans="2:14">
      <c r="B147" t="s">
        <v>283</v>
      </c>
      <c r="D147" t="s">
        <v>182</v>
      </c>
      <c r="F147" s="106">
        <f>SUM(G147:N147)</f>
        <v>0</v>
      </c>
      <c r="G147" s="37">
        <f>'Import GAW-sheet'!G77</f>
        <v>0</v>
      </c>
      <c r="H147" s="37">
        <f>'Import GAW-sheet'!H77</f>
        <v>0</v>
      </c>
      <c r="I147" s="37">
        <f>'Import GAW-sheet'!I77</f>
        <v>0</v>
      </c>
      <c r="J147" s="37">
        <f>'Import GAW-sheet'!J77</f>
        <v>0</v>
      </c>
      <c r="K147" s="37">
        <f>'Import GAW-sheet'!K77</f>
        <v>0</v>
      </c>
      <c r="L147" s="37">
        <f>'Import GAW-sheet'!L77</f>
        <v>0</v>
      </c>
      <c r="M147" s="37">
        <f>'Import GAW-sheet'!M77</f>
        <v>0</v>
      </c>
      <c r="N147" s="37">
        <f>'Import GAW-sheet'!N77</f>
        <v>0</v>
      </c>
    </row>
    <row r="148" spans="2:14">
      <c r="B148" t="s">
        <v>284</v>
      </c>
      <c r="D148" t="s">
        <v>182</v>
      </c>
      <c r="F148" s="106">
        <f>SUM(G148:N148)</f>
        <v>363955834.32848233</v>
      </c>
      <c r="G148" s="37">
        <f>'Import GAW-sheet'!G78</f>
        <v>2284385.8383365381</v>
      </c>
      <c r="H148" s="37">
        <f>'Import GAW-sheet'!H78</f>
        <v>9530186.500727158</v>
      </c>
      <c r="I148" s="37">
        <f>'Import GAW-sheet'!I78</f>
        <v>5733891.6354453256</v>
      </c>
      <c r="J148" s="37">
        <f>'Import GAW-sheet'!J78</f>
        <v>129658308.7329957</v>
      </c>
      <c r="K148" s="37">
        <f>'Import GAW-sheet'!K78</f>
        <v>113220002.82078512</v>
      </c>
      <c r="L148" s="37">
        <f>'Import GAW-sheet'!L78</f>
        <v>1800449.7390437527</v>
      </c>
      <c r="M148" s="37">
        <f>'Import GAW-sheet'!M78</f>
        <v>97988569.923700571</v>
      </c>
      <c r="N148" s="37">
        <f>'Import GAW-sheet'!N78</f>
        <v>3740039.137448153</v>
      </c>
    </row>
    <row r="149" spans="2:14">
      <c r="B149" t="s">
        <v>285</v>
      </c>
      <c r="D149" t="s">
        <v>182</v>
      </c>
      <c r="F149" s="106">
        <f>SUM(G149:N149)</f>
        <v>6540557665.2383127</v>
      </c>
      <c r="G149" s="37">
        <f>'Import GAW-sheet'!G79</f>
        <v>26736243.352596663</v>
      </c>
      <c r="H149" s="37">
        <f>'Import GAW-sheet'!H79</f>
        <v>119174710.86067545</v>
      </c>
      <c r="I149" s="37">
        <f>'Import GAW-sheet'!I79</f>
        <v>64354203.985733703</v>
      </c>
      <c r="J149" s="37">
        <f>'Import GAW-sheet'!J79</f>
        <v>2227601616.176703</v>
      </c>
      <c r="K149" s="37">
        <f>'Import GAW-sheet'!K79</f>
        <v>2350181311.4750323</v>
      </c>
      <c r="L149" s="37">
        <f>'Import GAW-sheet'!L79</f>
        <v>14055700.170762632</v>
      </c>
      <c r="M149" s="37">
        <f>'Import GAW-sheet'!M79</f>
        <v>1659681716.5568163</v>
      </c>
      <c r="N149" s="37">
        <f>'Import GAW-sheet'!N79</f>
        <v>78772162.65999271</v>
      </c>
    </row>
    <row r="150" spans="2:14">
      <c r="F150" s="46"/>
      <c r="G150" s="28"/>
      <c r="H150" s="28"/>
      <c r="I150" s="28"/>
      <c r="J150" s="28"/>
      <c r="K150" s="28"/>
      <c r="L150" s="28"/>
      <c r="M150" s="28"/>
      <c r="N150" s="28"/>
    </row>
    <row r="151" spans="2:14">
      <c r="B151" s="3" t="s">
        <v>286</v>
      </c>
      <c r="F151" s="46"/>
      <c r="G151" s="28"/>
      <c r="H151" s="28"/>
      <c r="I151" s="28"/>
      <c r="J151" s="28"/>
      <c r="K151" s="28"/>
      <c r="L151" s="28"/>
      <c r="M151" s="28"/>
      <c r="N151" s="28"/>
    </row>
    <row r="152" spans="2:14">
      <c r="B152" t="s">
        <v>287</v>
      </c>
      <c r="D152" t="s">
        <v>182</v>
      </c>
      <c r="F152" s="106">
        <f>SUM(G152:N152)</f>
        <v>646992349.16168928</v>
      </c>
      <c r="G152" s="37">
        <f>'Import GAW-sheet'!G82</f>
        <v>4705325.57</v>
      </c>
      <c r="H152" s="37">
        <f>'Import GAW-sheet'!H82</f>
        <v>17950206.140708871</v>
      </c>
      <c r="I152" s="37">
        <f>'Import GAW-sheet'!I82</f>
        <v>3594676.1891587507</v>
      </c>
      <c r="J152" s="37">
        <f>'Import GAW-sheet'!J82</f>
        <v>247860360.76999995</v>
      </c>
      <c r="K152" s="37">
        <f>'Import GAW-sheet'!K82</f>
        <v>176713925.55230328</v>
      </c>
      <c r="L152" s="37">
        <f>'Import GAW-sheet'!L82</f>
        <v>1303550.35665</v>
      </c>
      <c r="M152" s="37">
        <f>'Import GAW-sheet'!M82</f>
        <v>182349190.85522264</v>
      </c>
      <c r="N152" s="37">
        <f>'Import GAW-sheet'!N82</f>
        <v>12515113.727645898</v>
      </c>
    </row>
    <row r="153" spans="2:14">
      <c r="B153" t="s">
        <v>277</v>
      </c>
      <c r="D153" t="s">
        <v>182</v>
      </c>
      <c r="F153" s="106">
        <f>SUM(G153:N153)</f>
        <v>113272230.38500486</v>
      </c>
      <c r="G153" s="37">
        <f>'Import GAW-sheet'!G83</f>
        <v>562783.08512087318</v>
      </c>
      <c r="H153" s="37">
        <f>'Import GAW-sheet'!H83</f>
        <v>3990138.7118182289</v>
      </c>
      <c r="I153" s="37">
        <f>'Import GAW-sheet'!I83</f>
        <v>1106226.8583238171</v>
      </c>
      <c r="J153" s="37">
        <f>'Import GAW-sheet'!J83</f>
        <v>47435608.081590652</v>
      </c>
      <c r="K153" s="37">
        <f>'Import GAW-sheet'!K83</f>
        <v>27475158.83654654</v>
      </c>
      <c r="L153" s="37">
        <f>'Import GAW-sheet'!L83</f>
        <v>947047.90429273329</v>
      </c>
      <c r="M153" s="37">
        <f>'Import GAW-sheet'!M83</f>
        <v>27497346.647202898</v>
      </c>
      <c r="N153" s="37">
        <f>'Import GAW-sheet'!N83</f>
        <v>4257920.2601091322</v>
      </c>
    </row>
    <row r="154" spans="2:14">
      <c r="B154" t="s">
        <v>288</v>
      </c>
      <c r="D154" t="s">
        <v>182</v>
      </c>
      <c r="F154" s="106">
        <f>SUM(G154:N154)</f>
        <v>3478442534.5976939</v>
      </c>
      <c r="G154" s="37">
        <f>'Import GAW-sheet'!G84</f>
        <v>25402177.573176477</v>
      </c>
      <c r="H154" s="37">
        <f>'Import GAW-sheet'!H84</f>
        <v>118047046.03318433</v>
      </c>
      <c r="I154" s="37">
        <f>'Import GAW-sheet'!I84</f>
        <v>32738835.926261451</v>
      </c>
      <c r="J154" s="37">
        <f>'Import GAW-sheet'!J84</f>
        <v>1116770694.9467864</v>
      </c>
      <c r="K154" s="37">
        <f>'Import GAW-sheet'!K84</f>
        <v>946742797.62426019</v>
      </c>
      <c r="L154" s="37">
        <f>'Import GAW-sheet'!L84</f>
        <v>19580309.17119674</v>
      </c>
      <c r="M154" s="37">
        <f>'Import GAW-sheet'!M84</f>
        <v>1058748258.5805494</v>
      </c>
      <c r="N154" s="37">
        <f>'Import GAW-sheet'!N84</f>
        <v>160412414.7422787</v>
      </c>
    </row>
    <row r="155" spans="2:14">
      <c r="F155" s="46"/>
      <c r="G155" s="28"/>
      <c r="H155" s="28"/>
      <c r="I155" s="28"/>
      <c r="J155" s="28"/>
      <c r="K155" s="28"/>
      <c r="L155" s="28"/>
      <c r="M155" s="28"/>
      <c r="N155" s="28"/>
    </row>
    <row r="156" spans="2:14">
      <c r="B156" s="3" t="s">
        <v>289</v>
      </c>
      <c r="F156" s="46"/>
      <c r="G156" s="28"/>
      <c r="H156" s="28"/>
      <c r="I156" s="28"/>
      <c r="J156" s="28"/>
      <c r="K156" s="28"/>
      <c r="L156" s="28"/>
      <c r="M156" s="28"/>
      <c r="N156" s="28"/>
    </row>
    <row r="157" spans="2:14">
      <c r="B157" t="s">
        <v>290</v>
      </c>
      <c r="D157" t="s">
        <v>182</v>
      </c>
      <c r="F157" s="106">
        <f>SUM(G157:N157)</f>
        <v>0</v>
      </c>
      <c r="G157" s="37">
        <f>'Import GAW-sheet'!G87</f>
        <v>0</v>
      </c>
      <c r="H157" s="37">
        <f>'Import GAW-sheet'!H87</f>
        <v>0</v>
      </c>
      <c r="I157" s="37">
        <f>'Import GAW-sheet'!I87</f>
        <v>0</v>
      </c>
      <c r="J157" s="37">
        <f>'Import GAW-sheet'!J87</f>
        <v>0</v>
      </c>
      <c r="K157" s="37">
        <f>'Import GAW-sheet'!K87</f>
        <v>0</v>
      </c>
      <c r="L157" s="37">
        <f>'Import GAW-sheet'!L87</f>
        <v>0</v>
      </c>
      <c r="M157" s="37">
        <f>'Import GAW-sheet'!M87</f>
        <v>0</v>
      </c>
      <c r="N157" s="37">
        <f>'Import GAW-sheet'!N87</f>
        <v>0</v>
      </c>
    </row>
    <row r="158" spans="2:14">
      <c r="B158" t="s">
        <v>291</v>
      </c>
      <c r="D158" t="s">
        <v>182</v>
      </c>
      <c r="F158" s="106">
        <f>SUM(G158:N158)</f>
        <v>642271.51650488994</v>
      </c>
      <c r="G158" s="37">
        <f>'Import GAW-sheet'!G88</f>
        <v>0</v>
      </c>
      <c r="H158" s="37">
        <f>'Import GAW-sheet'!H88</f>
        <v>0</v>
      </c>
      <c r="I158" s="37">
        <f>'Import GAW-sheet'!I88</f>
        <v>0</v>
      </c>
      <c r="J158" s="37">
        <f>'Import GAW-sheet'!J88</f>
        <v>0</v>
      </c>
      <c r="K158" s="37">
        <f>'Import GAW-sheet'!K88</f>
        <v>0</v>
      </c>
      <c r="L158" s="37">
        <f>'Import GAW-sheet'!L88</f>
        <v>642271.51650488994</v>
      </c>
      <c r="M158" s="37">
        <f>'Import GAW-sheet'!M88</f>
        <v>0</v>
      </c>
      <c r="N158" s="37">
        <f>'Import GAW-sheet'!N88</f>
        <v>0</v>
      </c>
    </row>
    <row r="159" spans="2:14">
      <c r="B159" t="s">
        <v>292</v>
      </c>
      <c r="D159" t="s">
        <v>182</v>
      </c>
      <c r="F159" s="106">
        <f>SUM(G159:N159)</f>
        <v>4495900.6155342171</v>
      </c>
      <c r="G159" s="37">
        <f>'Import GAW-sheet'!G89</f>
        <v>-3.0673318574316059E-9</v>
      </c>
      <c r="H159" s="37">
        <f>'Import GAW-sheet'!H89</f>
        <v>0</v>
      </c>
      <c r="I159" s="37">
        <f>'Import GAW-sheet'!I89</f>
        <v>0</v>
      </c>
      <c r="J159" s="37">
        <f>'Import GAW-sheet'!J89</f>
        <v>0</v>
      </c>
      <c r="K159" s="37">
        <f>'Import GAW-sheet'!K89</f>
        <v>0</v>
      </c>
      <c r="L159" s="37">
        <f>'Import GAW-sheet'!L89</f>
        <v>4495900.6155342199</v>
      </c>
      <c r="M159" s="37">
        <f>'Import GAW-sheet'!M89</f>
        <v>0</v>
      </c>
      <c r="N159" s="37">
        <f>'Import GAW-sheet'!N89</f>
        <v>0</v>
      </c>
    </row>
    <row r="160" spans="2:14">
      <c r="F160" s="46"/>
      <c r="G160" s="28"/>
      <c r="H160" s="28"/>
      <c r="I160" s="28"/>
      <c r="J160" s="28"/>
      <c r="K160" s="28"/>
      <c r="L160" s="28"/>
      <c r="M160" s="28"/>
      <c r="N160" s="28"/>
    </row>
    <row r="161" spans="2:16">
      <c r="B161" s="3" t="s">
        <v>293</v>
      </c>
      <c r="F161" s="46"/>
      <c r="G161" s="28"/>
      <c r="H161" s="28"/>
      <c r="I161" s="28"/>
      <c r="J161" s="28"/>
      <c r="K161" s="28"/>
      <c r="L161" s="28"/>
      <c r="M161" s="28"/>
      <c r="N161" s="28"/>
    </row>
    <row r="162" spans="2:16">
      <c r="B162" t="s">
        <v>294</v>
      </c>
      <c r="D162" t="s">
        <v>182</v>
      </c>
      <c r="F162" s="106">
        <f>SUM(G162:N162)</f>
        <v>0</v>
      </c>
      <c r="G162" s="37">
        <f>'Import GAW-sheet'!G92</f>
        <v>0</v>
      </c>
      <c r="H162" s="37">
        <f>'Import GAW-sheet'!H92</f>
        <v>0</v>
      </c>
      <c r="I162" s="37">
        <f>'Import GAW-sheet'!I92</f>
        <v>0</v>
      </c>
      <c r="J162" s="37">
        <f>'Import GAW-sheet'!J92</f>
        <v>0</v>
      </c>
      <c r="K162" s="37">
        <f>'Import GAW-sheet'!K92</f>
        <v>0</v>
      </c>
      <c r="L162" s="37">
        <f>'Import GAW-sheet'!L92</f>
        <v>0</v>
      </c>
      <c r="M162" s="37">
        <f>'Import GAW-sheet'!M92</f>
        <v>0</v>
      </c>
      <c r="N162" s="37">
        <f>'Import GAW-sheet'!N92</f>
        <v>0</v>
      </c>
    </row>
    <row r="163" spans="2:16">
      <c r="B163" t="s">
        <v>295</v>
      </c>
      <c r="D163" t="s">
        <v>182</v>
      </c>
      <c r="F163" s="106">
        <f>SUM(G163:N163)</f>
        <v>231342.54982158248</v>
      </c>
      <c r="G163" s="37">
        <f>'Import GAW-sheet'!G93</f>
        <v>0</v>
      </c>
      <c r="H163" s="37">
        <f>'Import GAW-sheet'!H93</f>
        <v>231342.54982158248</v>
      </c>
      <c r="I163" s="37">
        <f>'Import GAW-sheet'!I93</f>
        <v>0</v>
      </c>
      <c r="J163" s="37">
        <f>'Import GAW-sheet'!J93</f>
        <v>0</v>
      </c>
      <c r="K163" s="37">
        <f>'Import GAW-sheet'!K93</f>
        <v>0</v>
      </c>
      <c r="L163" s="37">
        <f>'Import GAW-sheet'!L93</f>
        <v>0</v>
      </c>
      <c r="M163" s="37">
        <f>'Import GAW-sheet'!M93</f>
        <v>0</v>
      </c>
      <c r="N163" s="37">
        <f>'Import GAW-sheet'!N93</f>
        <v>0</v>
      </c>
    </row>
    <row r="164" spans="2:16">
      <c r="B164" t="s">
        <v>296</v>
      </c>
      <c r="D164" t="s">
        <v>182</v>
      </c>
      <c r="F164" s="106">
        <f>SUM(G164:N164)</f>
        <v>9564347.061958544</v>
      </c>
      <c r="G164" s="37">
        <f>'Import GAW-sheet'!G94</f>
        <v>0</v>
      </c>
      <c r="H164" s="37">
        <f>'Import GAW-sheet'!H94</f>
        <v>9564347.061958544</v>
      </c>
      <c r="I164" s="37">
        <f>'Import GAW-sheet'!I94</f>
        <v>0</v>
      </c>
      <c r="J164" s="37">
        <f>'Import GAW-sheet'!J94</f>
        <v>0</v>
      </c>
      <c r="K164" s="37">
        <f>'Import GAW-sheet'!K94</f>
        <v>0</v>
      </c>
      <c r="L164" s="37">
        <f>'Import GAW-sheet'!L94</f>
        <v>0</v>
      </c>
      <c r="M164" s="37">
        <f>'Import GAW-sheet'!M94</f>
        <v>0</v>
      </c>
      <c r="N164" s="37">
        <f>'Import GAW-sheet'!N94</f>
        <v>0</v>
      </c>
    </row>
    <row r="165" spans="2:16">
      <c r="F165" s="46"/>
      <c r="G165" s="28"/>
      <c r="H165" s="28"/>
      <c r="I165" s="28"/>
      <c r="J165" s="28"/>
      <c r="K165" s="28"/>
      <c r="L165" s="28"/>
      <c r="M165" s="28"/>
      <c r="N165" s="28"/>
    </row>
    <row r="166" spans="2:16">
      <c r="B166" s="3" t="s">
        <v>297</v>
      </c>
      <c r="F166" s="46"/>
      <c r="G166" s="28"/>
      <c r="H166" s="28"/>
      <c r="I166" s="28"/>
      <c r="J166" s="28"/>
      <c r="K166" s="28"/>
      <c r="L166" s="28"/>
      <c r="M166" s="28"/>
      <c r="N166" s="28"/>
    </row>
    <row r="167" spans="2:16">
      <c r="B167" t="s">
        <v>298</v>
      </c>
      <c r="D167" t="s">
        <v>182</v>
      </c>
      <c r="F167" s="106">
        <f>SUM(G167:N167)</f>
        <v>21500000</v>
      </c>
      <c r="G167" s="37">
        <f>'Import GAW-sheet'!G97</f>
        <v>0</v>
      </c>
      <c r="H167" s="37">
        <f>'Import GAW-sheet'!H97</f>
        <v>0</v>
      </c>
      <c r="I167" s="37">
        <f>'Import GAW-sheet'!I97</f>
        <v>0</v>
      </c>
      <c r="J167" s="37">
        <f>'Import GAW-sheet'!J97</f>
        <v>0</v>
      </c>
      <c r="K167" s="37">
        <f>'Import GAW-sheet'!K97</f>
        <v>0</v>
      </c>
      <c r="L167" s="37">
        <f>'Import GAW-sheet'!L97</f>
        <v>0</v>
      </c>
      <c r="M167" s="37">
        <f>'Import GAW-sheet'!M97</f>
        <v>21500000</v>
      </c>
      <c r="N167" s="37">
        <f>'Import GAW-sheet'!N97</f>
        <v>0</v>
      </c>
    </row>
    <row r="168" spans="2:16">
      <c r="B168" t="s">
        <v>299</v>
      </c>
      <c r="D168" t="s">
        <v>182</v>
      </c>
      <c r="F168" s="106">
        <f>SUM(G168:N168)</f>
        <v>643233.04785714298</v>
      </c>
      <c r="G168" s="37">
        <f>'Import GAW-sheet'!G98</f>
        <v>0</v>
      </c>
      <c r="H168" s="37">
        <f>'Import GAW-sheet'!H98</f>
        <v>0</v>
      </c>
      <c r="I168" s="37">
        <f>'Import GAW-sheet'!I98</f>
        <v>0</v>
      </c>
      <c r="J168" s="37">
        <f>'Import GAW-sheet'!J98</f>
        <v>0</v>
      </c>
      <c r="K168" s="37">
        <f>'Import GAW-sheet'!K98</f>
        <v>0</v>
      </c>
      <c r="L168" s="37">
        <f>'Import GAW-sheet'!L98</f>
        <v>0</v>
      </c>
      <c r="M168" s="37">
        <f>'Import GAW-sheet'!M98</f>
        <v>643233.04785714298</v>
      </c>
      <c r="N168" s="37">
        <f>'Import GAW-sheet'!N98</f>
        <v>0</v>
      </c>
    </row>
    <row r="169" spans="2:16">
      <c r="B169" t="s">
        <v>300</v>
      </c>
      <c r="D169" t="s">
        <v>182</v>
      </c>
      <c r="F169" s="106">
        <f>SUM(G169:N169)</f>
        <v>20856766.952142857</v>
      </c>
      <c r="G169" s="37">
        <f>'Import GAW-sheet'!G99</f>
        <v>0</v>
      </c>
      <c r="H169" s="37">
        <f>'Import GAW-sheet'!H99</f>
        <v>0</v>
      </c>
      <c r="I169" s="37">
        <f>'Import GAW-sheet'!I99</f>
        <v>0</v>
      </c>
      <c r="J169" s="37">
        <f>'Import GAW-sheet'!J99</f>
        <v>0</v>
      </c>
      <c r="K169" s="37">
        <f>'Import GAW-sheet'!K99</f>
        <v>0</v>
      </c>
      <c r="L169" s="37">
        <f>'Import GAW-sheet'!L99</f>
        <v>0</v>
      </c>
      <c r="M169" s="37">
        <f>'Import GAW-sheet'!M99</f>
        <v>20856766.952142857</v>
      </c>
      <c r="N169" s="37">
        <f>'Import GAW-sheet'!N99</f>
        <v>0</v>
      </c>
    </row>
    <row r="170" spans="2:16">
      <c r="F170" s="46"/>
    </row>
    <row r="171" spans="2:16">
      <c r="F171" s="46"/>
    </row>
    <row r="172" spans="2:16">
      <c r="B172" s="3" t="s">
        <v>312</v>
      </c>
      <c r="F172" s="46"/>
    </row>
    <row r="173" spans="2:16">
      <c r="F173" s="46"/>
    </row>
    <row r="174" spans="2:16">
      <c r="B174" s="3" t="s">
        <v>313</v>
      </c>
      <c r="F174" s="46"/>
    </row>
    <row r="175" spans="2:16">
      <c r="B175" t="s">
        <v>277</v>
      </c>
      <c r="D175" t="s">
        <v>182</v>
      </c>
      <c r="F175" s="106">
        <f>SUM(G175:N175)</f>
        <v>478102640.31116593</v>
      </c>
      <c r="G175" s="24">
        <f>G148+G153+G163+G168</f>
        <v>2847168.9234574111</v>
      </c>
      <c r="H175" s="24">
        <f t="shared" ref="H175:N175" si="25">H148+H153+H163+H168</f>
        <v>13751667.762366969</v>
      </c>
      <c r="I175" s="24">
        <f t="shared" si="25"/>
        <v>6840118.4937691428</v>
      </c>
      <c r="J175" s="24">
        <f t="shared" si="25"/>
        <v>177093916.81458634</v>
      </c>
      <c r="K175" s="24">
        <f t="shared" si="25"/>
        <v>140695161.65733165</v>
      </c>
      <c r="L175" s="24">
        <f t="shared" si="25"/>
        <v>2747497.6433364861</v>
      </c>
      <c r="M175" s="24">
        <f t="shared" si="25"/>
        <v>126129149.61876062</v>
      </c>
      <c r="N175" s="24">
        <f t="shared" si="25"/>
        <v>7997959.3975572847</v>
      </c>
      <c r="P175" s="50" t="s">
        <v>439</v>
      </c>
    </row>
    <row r="176" spans="2:16">
      <c r="B176" t="s">
        <v>305</v>
      </c>
      <c r="D176" t="s">
        <v>182</v>
      </c>
      <c r="F176" s="106">
        <f>SUM(G176:N176)</f>
        <v>10049421313.850107</v>
      </c>
      <c r="G176" s="24">
        <f>G149+G154+G164+G169</f>
        <v>52138420.925773144</v>
      </c>
      <c r="H176" s="24">
        <f t="shared" ref="H176:N176" si="26">H149+H154+H164+H169</f>
        <v>246786103.95581836</v>
      </c>
      <c r="I176" s="24">
        <f t="shared" si="26"/>
        <v>97093039.911995158</v>
      </c>
      <c r="J176" s="24">
        <f t="shared" si="26"/>
        <v>3344372311.1234894</v>
      </c>
      <c r="K176" s="24">
        <f t="shared" si="26"/>
        <v>3296924109.0992928</v>
      </c>
      <c r="L176" s="24">
        <f t="shared" si="26"/>
        <v>33636009.341959372</v>
      </c>
      <c r="M176" s="24">
        <f t="shared" si="26"/>
        <v>2739286742.0895085</v>
      </c>
      <c r="N176" s="24">
        <f t="shared" si="26"/>
        <v>239184577.40227139</v>
      </c>
      <c r="P176" s="50" t="s">
        <v>442</v>
      </c>
    </row>
    <row r="177" spans="2:16">
      <c r="B177" t="s">
        <v>306</v>
      </c>
      <c r="D177" t="s">
        <v>182</v>
      </c>
      <c r="F177" s="106">
        <f>SUM(G177:N177)</f>
        <v>361779167.29860383</v>
      </c>
      <c r="G177" s="24">
        <f t="shared" ref="G177:N177" si="27">G176*$F$13</f>
        <v>1876983.1533278329</v>
      </c>
      <c r="H177" s="24">
        <f t="shared" si="27"/>
        <v>8884299.7424094602</v>
      </c>
      <c r="I177" s="24">
        <f t="shared" si="27"/>
        <v>3495349.4368318254</v>
      </c>
      <c r="J177" s="24">
        <f t="shared" si="27"/>
        <v>120397403.20044561</v>
      </c>
      <c r="K177" s="24">
        <f t="shared" si="27"/>
        <v>118689267.92757453</v>
      </c>
      <c r="L177" s="24">
        <f t="shared" si="27"/>
        <v>1210896.3363105373</v>
      </c>
      <c r="M177" s="24">
        <f t="shared" si="27"/>
        <v>98614322.715222299</v>
      </c>
      <c r="N177" s="24">
        <f t="shared" si="27"/>
        <v>8610644.7864817698</v>
      </c>
      <c r="P177" s="50" t="s">
        <v>441</v>
      </c>
    </row>
    <row r="178" spans="2:16">
      <c r="B178" t="s">
        <v>310</v>
      </c>
      <c r="D178" t="s">
        <v>182</v>
      </c>
      <c r="F178" s="106">
        <f>SUM(G178:N178)</f>
        <v>839881807.6097697</v>
      </c>
      <c r="G178" s="21">
        <f>G175+G177</f>
        <v>4724152.076785244</v>
      </c>
      <c r="H178" s="21">
        <f t="shared" ref="H178:N178" si="28">H175+H177</f>
        <v>22635967.504776429</v>
      </c>
      <c r="I178" s="21">
        <f t="shared" si="28"/>
        <v>10335467.930600967</v>
      </c>
      <c r="J178" s="21">
        <f t="shared" si="28"/>
        <v>297491320.01503193</v>
      </c>
      <c r="K178" s="21">
        <f t="shared" si="28"/>
        <v>259384429.58490616</v>
      </c>
      <c r="L178" s="21">
        <f t="shared" si="28"/>
        <v>3958393.9796470236</v>
      </c>
      <c r="M178" s="21">
        <f t="shared" si="28"/>
        <v>224743472.33398291</v>
      </c>
      <c r="N178" s="21">
        <f t="shared" si="28"/>
        <v>16608604.184039054</v>
      </c>
      <c r="P178" s="50" t="s">
        <v>440</v>
      </c>
    </row>
    <row r="179" spans="2:16">
      <c r="F179" s="46"/>
    </row>
    <row r="180" spans="2:16">
      <c r="B180" s="3" t="s">
        <v>314</v>
      </c>
      <c r="F180" s="46"/>
    </row>
    <row r="181" spans="2:16">
      <c r="B181" t="s">
        <v>277</v>
      </c>
      <c r="D181" t="s">
        <v>182</v>
      </c>
      <c r="F181" s="106">
        <f>SUM(G181:N181)</f>
        <v>642271.51650488994</v>
      </c>
      <c r="G181" s="24">
        <f>G158</f>
        <v>0</v>
      </c>
      <c r="H181" s="24">
        <f t="shared" ref="H181:N181" si="29">H158</f>
        <v>0</v>
      </c>
      <c r="I181" s="24">
        <f t="shared" si="29"/>
        <v>0</v>
      </c>
      <c r="J181" s="24">
        <f t="shared" si="29"/>
        <v>0</v>
      </c>
      <c r="K181" s="24">
        <f t="shared" si="29"/>
        <v>0</v>
      </c>
      <c r="L181" s="24">
        <f t="shared" si="29"/>
        <v>642271.51650488994</v>
      </c>
      <c r="M181" s="24">
        <f t="shared" si="29"/>
        <v>0</v>
      </c>
      <c r="N181" s="24">
        <f t="shared" si="29"/>
        <v>0</v>
      </c>
    </row>
    <row r="182" spans="2:16">
      <c r="B182" t="s">
        <v>305</v>
      </c>
      <c r="D182" t="s">
        <v>182</v>
      </c>
      <c r="F182" s="106">
        <f>SUM(G182:N182)</f>
        <v>4495900.6155342171</v>
      </c>
      <c r="G182" s="24">
        <f>G159</f>
        <v>-3.0673318574316059E-9</v>
      </c>
      <c r="H182" s="24">
        <f t="shared" ref="H182:N182" si="30">H159</f>
        <v>0</v>
      </c>
      <c r="I182" s="24">
        <f t="shared" si="30"/>
        <v>0</v>
      </c>
      <c r="J182" s="24">
        <f t="shared" si="30"/>
        <v>0</v>
      </c>
      <c r="K182" s="24">
        <f t="shared" si="30"/>
        <v>0</v>
      </c>
      <c r="L182" s="24">
        <f t="shared" si="30"/>
        <v>4495900.6155342199</v>
      </c>
      <c r="M182" s="24">
        <f t="shared" si="30"/>
        <v>0</v>
      </c>
      <c r="N182" s="24">
        <f t="shared" si="30"/>
        <v>0</v>
      </c>
    </row>
    <row r="183" spans="2:16">
      <c r="B183" t="s">
        <v>306</v>
      </c>
      <c r="D183" t="s">
        <v>182</v>
      </c>
      <c r="F183" s="106">
        <f>SUM(G183:N183)</f>
        <v>161852.42215923179</v>
      </c>
      <c r="G183" s="24">
        <f t="shared" ref="G183:N183" si="31">G182*$F$13</f>
        <v>-1.1042394686753781E-10</v>
      </c>
      <c r="H183" s="24">
        <f t="shared" si="31"/>
        <v>0</v>
      </c>
      <c r="I183" s="24">
        <f t="shared" si="31"/>
        <v>0</v>
      </c>
      <c r="J183" s="24">
        <f t="shared" si="31"/>
        <v>0</v>
      </c>
      <c r="K183" s="24">
        <f t="shared" si="31"/>
        <v>0</v>
      </c>
      <c r="L183" s="24">
        <f t="shared" si="31"/>
        <v>161852.42215923191</v>
      </c>
      <c r="M183" s="24">
        <f t="shared" si="31"/>
        <v>0</v>
      </c>
      <c r="N183" s="24">
        <f t="shared" si="31"/>
        <v>0</v>
      </c>
    </row>
    <row r="184" spans="2:16">
      <c r="B184" t="s">
        <v>310</v>
      </c>
      <c r="D184" t="s">
        <v>182</v>
      </c>
      <c r="F184" s="106">
        <f>SUM(G184:N184)</f>
        <v>804123.93866412167</v>
      </c>
      <c r="G184" s="21">
        <f t="shared" ref="G184:N184" si="32">G181+G183</f>
        <v>-1.1042394686753781E-10</v>
      </c>
      <c r="H184" s="21">
        <f t="shared" si="32"/>
        <v>0</v>
      </c>
      <c r="I184" s="21">
        <f t="shared" si="32"/>
        <v>0</v>
      </c>
      <c r="J184" s="21">
        <f t="shared" si="32"/>
        <v>0</v>
      </c>
      <c r="K184" s="21">
        <f t="shared" si="32"/>
        <v>0</v>
      </c>
      <c r="L184" s="21">
        <f t="shared" si="32"/>
        <v>804123.93866412179</v>
      </c>
      <c r="M184" s="21">
        <f t="shared" si="32"/>
        <v>0</v>
      </c>
      <c r="N184" s="21">
        <f t="shared" si="32"/>
        <v>0</v>
      </c>
    </row>
    <row r="185" spans="2:16">
      <c r="F185" s="46"/>
    </row>
    <row r="186" spans="2:16">
      <c r="F186" s="46"/>
    </row>
    <row r="187" spans="2:16">
      <c r="B187" s="3" t="s">
        <v>311</v>
      </c>
      <c r="F187" s="46"/>
    </row>
    <row r="188" spans="2:16">
      <c r="F188" s="46"/>
    </row>
    <row r="189" spans="2:16">
      <c r="B189" t="s">
        <v>315</v>
      </c>
      <c r="D189" t="s">
        <v>182</v>
      </c>
      <c r="F189" s="106">
        <f>SUM(G189:N189)</f>
        <v>9249906.9707500301</v>
      </c>
      <c r="G189" s="115">
        <f>'PRD Ov.Opbrengsten (2009-2012)'!G131-'PRD Ov.Opbrengsten (2009-2012)'!G147</f>
        <v>0</v>
      </c>
      <c r="H189" s="115">
        <f>'PRD Ov.Opbrengsten (2009-2012)'!H131-'PRD Ov.Opbrengsten (2009-2012)'!H147</f>
        <v>844779.43144112546</v>
      </c>
      <c r="I189" s="115">
        <f>'PRD Ov.Opbrengsten (2009-2012)'!I131-'PRD Ov.Opbrengsten (2009-2012)'!I147</f>
        <v>0</v>
      </c>
      <c r="J189" s="115">
        <f>'PRD Ov.Opbrengsten (2009-2012)'!J131-'PRD Ov.Opbrengsten (2009-2012)'!J147</f>
        <v>2154279.2497500037</v>
      </c>
      <c r="K189" s="115">
        <f>'PRD Ov.Opbrengsten (2009-2012)'!K131-'PRD Ov.Opbrengsten (2009-2012)'!K147</f>
        <v>2631200.4893916282</v>
      </c>
      <c r="L189" s="115">
        <f>'PRD Ov.Opbrengsten (2009-2012)'!L131-'PRD Ov.Opbrengsten (2009-2012)'!L147</f>
        <v>0</v>
      </c>
      <c r="M189" s="115">
        <f>'PRD Ov.Opbrengsten (2009-2012)'!M131-'PRD Ov.Opbrengsten (2009-2012)'!M147</f>
        <v>3619647.8001672733</v>
      </c>
      <c r="N189" s="115">
        <f>'PRD Ov.Opbrengsten (2009-2012)'!N131-'PRD Ov.Opbrengsten (2009-2012)'!N147</f>
        <v>0</v>
      </c>
    </row>
    <row r="190" spans="2:16">
      <c r="B190" t="s">
        <v>316</v>
      </c>
      <c r="D190" t="s">
        <v>182</v>
      </c>
      <c r="F190" s="106">
        <f>SUM(G190:N190)</f>
        <v>0</v>
      </c>
      <c r="G190" s="8"/>
      <c r="H190" s="8"/>
      <c r="I190" s="8"/>
      <c r="J190" s="8"/>
      <c r="K190" s="8"/>
      <c r="L190" s="8"/>
      <c r="M190" s="8"/>
      <c r="N190" s="8"/>
    </row>
    <row r="191" spans="2:16">
      <c r="B191" t="s">
        <v>317</v>
      </c>
      <c r="D191" t="s">
        <v>182</v>
      </c>
      <c r="F191" s="106">
        <f>SUM(G191:N191)</f>
        <v>210715.75399999999</v>
      </c>
      <c r="G191" s="116">
        <f>'PRD Ov.Opbrengsten (2009-2012)'!G180</f>
        <v>0</v>
      </c>
      <c r="H191" s="116">
        <f>'PRD Ov.Opbrengsten (2009-2012)'!H180</f>
        <v>0</v>
      </c>
      <c r="I191" s="116">
        <f>'PRD Ov.Opbrengsten (2009-2012)'!I180</f>
        <v>194928</v>
      </c>
      <c r="J191" s="116">
        <f>'PRD Ov.Opbrengsten (2009-2012)'!J180</f>
        <v>14905.763999999999</v>
      </c>
      <c r="K191" s="116">
        <f>'PRD Ov.Opbrengsten (2009-2012)'!K180</f>
        <v>0</v>
      </c>
      <c r="L191" s="116">
        <f>'PRD Ov.Opbrengsten (2009-2012)'!L180</f>
        <v>881.99</v>
      </c>
      <c r="M191" s="116">
        <f>'PRD Ov.Opbrengsten (2009-2012)'!M180</f>
        <v>0</v>
      </c>
      <c r="N191" s="116">
        <f>'PRD Ov.Opbrengsten (2009-2012)'!N180</f>
        <v>0</v>
      </c>
    </row>
    <row r="192" spans="2:16">
      <c r="B192" t="s">
        <v>537</v>
      </c>
      <c r="D192" t="s">
        <v>182</v>
      </c>
      <c r="F192" s="106">
        <f>SUM(G192:N192)</f>
        <v>0</v>
      </c>
      <c r="G192" s="8"/>
      <c r="H192" s="8"/>
      <c r="I192" s="8"/>
      <c r="J192" s="8"/>
      <c r="K192" s="8"/>
      <c r="L192" s="8"/>
      <c r="M192" s="8"/>
      <c r="N192" s="8"/>
    </row>
    <row r="193" spans="2:16">
      <c r="B193" s="13" t="s">
        <v>339</v>
      </c>
      <c r="D193" t="s">
        <v>182</v>
      </c>
      <c r="F193" s="106">
        <f>SUM(G193:N193)</f>
        <v>9460622.7247500308</v>
      </c>
      <c r="G193" s="24">
        <f t="shared" ref="G193:N193" si="33">SUM(G189:G192)</f>
        <v>0</v>
      </c>
      <c r="H193" s="24">
        <f t="shared" si="33"/>
        <v>844779.43144112546</v>
      </c>
      <c r="I193" s="24">
        <f t="shared" si="33"/>
        <v>194928</v>
      </c>
      <c r="J193" s="24">
        <f t="shared" si="33"/>
        <v>2169185.0137500037</v>
      </c>
      <c r="K193" s="24">
        <f t="shared" si="33"/>
        <v>2631200.4893916282</v>
      </c>
      <c r="L193" s="24">
        <f t="shared" si="33"/>
        <v>881.99</v>
      </c>
      <c r="M193" s="24">
        <f t="shared" si="33"/>
        <v>3619647.8001672733</v>
      </c>
      <c r="N193" s="24">
        <f t="shared" si="33"/>
        <v>0</v>
      </c>
    </row>
    <row r="194" spans="2:16">
      <c r="F194" s="46"/>
    </row>
    <row r="195" spans="2:16">
      <c r="F195" s="46"/>
    </row>
    <row r="196" spans="2:16">
      <c r="B196" s="3" t="s">
        <v>318</v>
      </c>
      <c r="F196" s="46"/>
    </row>
    <row r="197" spans="2:16">
      <c r="F197" s="46"/>
    </row>
    <row r="198" spans="2:16">
      <c r="B198" t="s">
        <v>319</v>
      </c>
      <c r="D198" t="s">
        <v>182</v>
      </c>
      <c r="F198" s="107">
        <f>SUM(G198:N198)</f>
        <v>830421184.88501954</v>
      </c>
      <c r="G198" s="21">
        <f>G178-G193</f>
        <v>4724152.076785244</v>
      </c>
      <c r="H198" s="21">
        <f t="shared" ref="H198:N198" si="34">H178-H193</f>
        <v>21791188.073335305</v>
      </c>
      <c r="I198" s="21">
        <f t="shared" si="34"/>
        <v>10140539.930600967</v>
      </c>
      <c r="J198" s="21">
        <f t="shared" si="34"/>
        <v>295322135.00128192</v>
      </c>
      <c r="K198" s="21">
        <f t="shared" si="34"/>
        <v>256753229.09551454</v>
      </c>
      <c r="L198" s="21">
        <f t="shared" si="34"/>
        <v>3957511.9896470234</v>
      </c>
      <c r="M198" s="21">
        <f t="shared" si="34"/>
        <v>221123824.53381565</v>
      </c>
      <c r="N198" s="21">
        <f t="shared" si="34"/>
        <v>16608604.184039054</v>
      </c>
      <c r="P198" s="50" t="s">
        <v>440</v>
      </c>
    </row>
    <row r="199" spans="2:16">
      <c r="F199" s="46"/>
    </row>
    <row r="200" spans="2:16">
      <c r="B200" s="50" t="s">
        <v>474</v>
      </c>
      <c r="D200" t="s">
        <v>182</v>
      </c>
      <c r="F200" s="107">
        <f>SUM(G200:N200)</f>
        <v>1056533164.4466472</v>
      </c>
      <c r="G200" s="115">
        <f>G175+G176*AVERAGE($F$11,$F$12)-G193</f>
        <v>5897266.5476151397</v>
      </c>
      <c r="H200" s="115">
        <f t="shared" ref="H200:N200" si="35">H175+H176*AVERAGE($F$11,$F$12)-H193</f>
        <v>27343875.412341218</v>
      </c>
      <c r="I200" s="115">
        <f t="shared" si="35"/>
        <v>12325133.328620858</v>
      </c>
      <c r="J200" s="115">
        <f t="shared" si="35"/>
        <v>370570512.00156045</v>
      </c>
      <c r="K200" s="115">
        <f t="shared" si="35"/>
        <v>330934021.55024862</v>
      </c>
      <c r="L200" s="115">
        <f t="shared" si="35"/>
        <v>4714322.1998411091</v>
      </c>
      <c r="M200" s="115">
        <f t="shared" si="35"/>
        <v>282757776.2308296</v>
      </c>
      <c r="N200" s="115">
        <f t="shared" si="35"/>
        <v>21990257.175590158</v>
      </c>
      <c r="O200" s="28"/>
      <c r="P200" s="27"/>
    </row>
    <row r="201" spans="2:16">
      <c r="B201" s="50" t="s">
        <v>475</v>
      </c>
      <c r="D201" t="s">
        <v>182</v>
      </c>
      <c r="F201" s="107">
        <f>SUM(G201:N201)</f>
        <v>1091706139.0451226</v>
      </c>
      <c r="G201" s="115">
        <f>G175+G176*$F$12-G193</f>
        <v>6079751.0208553467</v>
      </c>
      <c r="H201" s="115">
        <f t="shared" ref="H201:N201" si="36">H175+H176*$F$12-H193</f>
        <v>28207626.776186582</v>
      </c>
      <c r="I201" s="115">
        <f t="shared" si="36"/>
        <v>12664958.968312843</v>
      </c>
      <c r="J201" s="115">
        <f t="shared" si="36"/>
        <v>382275815.09049267</v>
      </c>
      <c r="K201" s="115">
        <f t="shared" si="36"/>
        <v>342473255.93209618</v>
      </c>
      <c r="L201" s="115">
        <f t="shared" si="36"/>
        <v>4832048.2325379672</v>
      </c>
      <c r="M201" s="115">
        <f t="shared" si="36"/>
        <v>292345279.82814288</v>
      </c>
      <c r="N201" s="115">
        <f t="shared" si="36"/>
        <v>22827403.196498111</v>
      </c>
      <c r="O201" s="28"/>
      <c r="P201" s="27"/>
    </row>
    <row r="202" spans="2:16">
      <c r="F202" s="68"/>
      <c r="G202" s="40"/>
      <c r="H202" s="40"/>
      <c r="I202" s="40"/>
      <c r="J202" s="40"/>
      <c r="K202" s="40"/>
      <c r="L202" s="40"/>
      <c r="M202" s="40"/>
      <c r="N202" s="40"/>
    </row>
    <row r="203" spans="2:16">
      <c r="B203" s="80" t="s">
        <v>583</v>
      </c>
      <c r="D203" t="s">
        <v>182</v>
      </c>
      <c r="F203" s="107">
        <f>SUM(G203:N203)</f>
        <v>1091706139.0451226</v>
      </c>
      <c r="G203" s="180">
        <f>G175+G176*$F$12-G193</f>
        <v>6079751.0208553467</v>
      </c>
      <c r="H203" s="180">
        <f t="shared" ref="H203:N203" si="37">H175+H176*$F$12-H193</f>
        <v>28207626.776186582</v>
      </c>
      <c r="I203" s="180">
        <f t="shared" si="37"/>
        <v>12664958.968312843</v>
      </c>
      <c r="J203" s="180">
        <f t="shared" si="37"/>
        <v>382275815.09049267</v>
      </c>
      <c r="K203" s="180">
        <f t="shared" si="37"/>
        <v>342473255.93209618</v>
      </c>
      <c r="L203" s="180">
        <f t="shared" si="37"/>
        <v>4832048.2325379672</v>
      </c>
      <c r="M203" s="180">
        <f t="shared" si="37"/>
        <v>292345279.82814288</v>
      </c>
      <c r="N203" s="180">
        <f t="shared" si="37"/>
        <v>22827403.196498111</v>
      </c>
    </row>
    <row r="204" spans="2:16">
      <c r="B204" s="80" t="s">
        <v>584</v>
      </c>
      <c r="D204" t="s">
        <v>181</v>
      </c>
      <c r="F204" s="107">
        <f>SUM(G204:N204)</f>
        <v>921017.35466801131</v>
      </c>
      <c r="G204" s="180">
        <f>G181+G182*$F$12</f>
        <v>-1.9017457516075957E-10</v>
      </c>
      <c r="H204" s="180">
        <f t="shared" ref="H204:N204" si="38">H181+H182*$F$12</f>
        <v>0</v>
      </c>
      <c r="I204" s="180">
        <f t="shared" si="38"/>
        <v>0</v>
      </c>
      <c r="J204" s="180">
        <f t="shared" si="38"/>
        <v>0</v>
      </c>
      <c r="K204" s="180">
        <f t="shared" si="38"/>
        <v>0</v>
      </c>
      <c r="L204" s="180">
        <f t="shared" si="38"/>
        <v>921017.35466801154</v>
      </c>
      <c r="M204" s="180">
        <f t="shared" si="38"/>
        <v>0</v>
      </c>
      <c r="N204" s="180">
        <f t="shared" si="38"/>
        <v>0</v>
      </c>
    </row>
    <row r="205" spans="2:16">
      <c r="F205" s="68"/>
      <c r="G205" s="40"/>
      <c r="H205" s="40"/>
      <c r="I205" s="40"/>
      <c r="J205" s="40"/>
      <c r="K205" s="40"/>
      <c r="L205" s="40"/>
      <c r="M205" s="40"/>
      <c r="N205" s="40"/>
    </row>
    <row r="206" spans="2:16">
      <c r="F206" s="68"/>
      <c r="G206" s="40"/>
      <c r="H206" s="40"/>
      <c r="I206" s="40"/>
      <c r="J206" s="40"/>
      <c r="K206" s="40"/>
      <c r="L206" s="40"/>
      <c r="M206" s="40"/>
      <c r="N206" s="40"/>
    </row>
    <row r="207" spans="2:16" s="2" customFormat="1">
      <c r="B207" s="2" t="s">
        <v>323</v>
      </c>
      <c r="F207" s="48"/>
    </row>
    <row r="208" spans="2:16">
      <c r="F208" s="46"/>
    </row>
    <row r="209" spans="2:14">
      <c r="B209" s="3" t="s">
        <v>304</v>
      </c>
      <c r="F209" s="46"/>
    </row>
    <row r="210" spans="2:14">
      <c r="F210" s="46"/>
    </row>
    <row r="211" spans="2:14">
      <c r="B211" s="3" t="s">
        <v>282</v>
      </c>
      <c r="F211" s="46"/>
    </row>
    <row r="212" spans="2:14">
      <c r="B212" t="s">
        <v>283</v>
      </c>
      <c r="D212" t="s">
        <v>183</v>
      </c>
      <c r="F212" s="106">
        <f>SUM(G212:N212)</f>
        <v>0</v>
      </c>
      <c r="G212" s="37">
        <f>'Import GAW-sheet'!G110</f>
        <v>0</v>
      </c>
      <c r="H212" s="37">
        <f>'Import GAW-sheet'!H110</f>
        <v>0</v>
      </c>
      <c r="I212" s="37">
        <f>'Import GAW-sheet'!I110</f>
        <v>0</v>
      </c>
      <c r="J212" s="37">
        <f>'Import GAW-sheet'!J110</f>
        <v>0</v>
      </c>
      <c r="K212" s="37">
        <f>'Import GAW-sheet'!K110</f>
        <v>0</v>
      </c>
      <c r="L212" s="37">
        <f>'Import GAW-sheet'!L110</f>
        <v>0</v>
      </c>
      <c r="M212" s="37">
        <f>'Import GAW-sheet'!M110</f>
        <v>0</v>
      </c>
      <c r="N212" s="37">
        <f>'Import GAW-sheet'!N110</f>
        <v>0</v>
      </c>
    </row>
    <row r="213" spans="2:14">
      <c r="B213" t="s">
        <v>284</v>
      </c>
      <c r="D213" t="s">
        <v>183</v>
      </c>
      <c r="F213" s="106">
        <f>SUM(G213:N213)</f>
        <v>373418686.02102286</v>
      </c>
      <c r="G213" s="37">
        <f>'Import GAW-sheet'!G111</f>
        <v>2343779.8701332882</v>
      </c>
      <c r="H213" s="37">
        <f>'Import GAW-sheet'!H111</f>
        <v>9777971.3497460634</v>
      </c>
      <c r="I213" s="37">
        <f>'Import GAW-sheet'!I111</f>
        <v>5882972.8179669036</v>
      </c>
      <c r="J213" s="37">
        <f>'Import GAW-sheet'!J111</f>
        <v>133029424.76005359</v>
      </c>
      <c r="K213" s="37">
        <f>'Import GAW-sheet'!K111</f>
        <v>116163722.89412554</v>
      </c>
      <c r="L213" s="37">
        <f>'Import GAW-sheet'!L111</f>
        <v>1847261.4322588902</v>
      </c>
      <c r="M213" s="37">
        <f>'Import GAW-sheet'!M111</f>
        <v>100536272.74171679</v>
      </c>
      <c r="N213" s="37">
        <f>'Import GAW-sheet'!N111</f>
        <v>3837280.1550218049</v>
      </c>
    </row>
    <row r="214" spans="2:14">
      <c r="B214" t="s">
        <v>285</v>
      </c>
      <c r="D214" t="s">
        <v>183</v>
      </c>
      <c r="F214" s="106">
        <f>SUM(G214:N214)</f>
        <v>6337193478.5134859</v>
      </c>
      <c r="G214" s="37">
        <f>'Import GAW-sheet'!G112</f>
        <v>25087605.809630886</v>
      </c>
      <c r="H214" s="37">
        <f>'Import GAW-sheet'!H112</f>
        <v>112495281.99330693</v>
      </c>
      <c r="I214" s="37">
        <f>'Import GAW-sheet'!I112</f>
        <v>60144440.471395873</v>
      </c>
      <c r="J214" s="37">
        <f>'Import GAW-sheet'!J112</f>
        <v>2152489833.4372439</v>
      </c>
      <c r="K214" s="37">
        <f>'Import GAW-sheet'!K112</f>
        <v>2295122302.6792579</v>
      </c>
      <c r="L214" s="37">
        <f>'Import GAW-sheet'!L112</f>
        <v>12573886.942943569</v>
      </c>
      <c r="M214" s="37">
        <f>'Import GAW-sheet'!M112</f>
        <v>1602297168.4455764</v>
      </c>
      <c r="N214" s="37">
        <f>'Import GAW-sheet'!N112</f>
        <v>76982958.73413071</v>
      </c>
    </row>
    <row r="215" spans="2:14">
      <c r="F215" s="46"/>
      <c r="G215" s="28"/>
      <c r="H215" s="28"/>
      <c r="I215" s="28"/>
      <c r="J215" s="28"/>
      <c r="K215" s="28"/>
      <c r="L215" s="28"/>
      <c r="M215" s="28"/>
      <c r="N215" s="28"/>
    </row>
    <row r="216" spans="2:14">
      <c r="B216" s="3" t="s">
        <v>286</v>
      </c>
      <c r="F216" s="46"/>
      <c r="G216" s="28"/>
      <c r="H216" s="28"/>
      <c r="I216" s="28"/>
      <c r="J216" s="28"/>
      <c r="K216" s="28"/>
      <c r="L216" s="28"/>
      <c r="M216" s="28"/>
      <c r="N216" s="28"/>
    </row>
    <row r="217" spans="2:14">
      <c r="B217" t="s">
        <v>287</v>
      </c>
      <c r="D217" t="s">
        <v>183</v>
      </c>
      <c r="F217" s="106">
        <f>SUM(G217:N217)</f>
        <v>649878194.74616981</v>
      </c>
      <c r="G217" s="37">
        <f>'Import GAW-sheet'!G115</f>
        <v>3879809</v>
      </c>
      <c r="H217" s="37">
        <f>'Import GAW-sheet'!H115</f>
        <v>21683458.133099999</v>
      </c>
      <c r="I217" s="37">
        <f>'Import GAW-sheet'!I115</f>
        <v>7186733.5627800003</v>
      </c>
      <c r="J217" s="37">
        <f>'Import GAW-sheet'!J115</f>
        <v>224287714.21000001</v>
      </c>
      <c r="K217" s="37">
        <f>'Import GAW-sheet'!K115</f>
        <v>191852407.90066698</v>
      </c>
      <c r="L217" s="37">
        <f>'Import GAW-sheet'!L115</f>
        <v>1513958.19</v>
      </c>
      <c r="M217" s="37">
        <f>'Import GAW-sheet'!M115</f>
        <v>192162981.66098002</v>
      </c>
      <c r="N217" s="37">
        <f>'Import GAW-sheet'!N115</f>
        <v>7311132.0886428747</v>
      </c>
    </row>
    <row r="218" spans="2:14">
      <c r="B218" t="s">
        <v>277</v>
      </c>
      <c r="D218" t="s">
        <v>183</v>
      </c>
      <c r="F218" s="106">
        <f>SUM(G218:N218)</f>
        <v>129974565.26964357</v>
      </c>
      <c r="G218" s="37">
        <f>'Import GAW-sheet'!G116</f>
        <v>672327.44455746596</v>
      </c>
      <c r="H218" s="37">
        <f>'Import GAW-sheet'!H116</f>
        <v>4331183.7941385573</v>
      </c>
      <c r="I218" s="37">
        <f>'Import GAW-sheet'!I116</f>
        <v>1568884.5334747354</v>
      </c>
      <c r="J218" s="37">
        <f>'Import GAW-sheet'!J116</f>
        <v>55988514.214638941</v>
      </c>
      <c r="K218" s="37">
        <f>'Import GAW-sheet'!K116</f>
        <v>28282913.589619711</v>
      </c>
      <c r="L218" s="37">
        <f>'Import GAW-sheet'!L116</f>
        <v>882988.92063802795</v>
      </c>
      <c r="M218" s="37">
        <f>'Import GAW-sheet'!M116</f>
        <v>33547241.928423554</v>
      </c>
      <c r="N218" s="37">
        <f>'Import GAW-sheet'!N116</f>
        <v>4700510.8441525809</v>
      </c>
    </row>
    <row r="219" spans="2:14">
      <c r="B219" t="s">
        <v>288</v>
      </c>
      <c r="D219" t="s">
        <v>183</v>
      </c>
      <c r="F219" s="106">
        <f>SUM(G219:N219)</f>
        <v>4088785669.9737606</v>
      </c>
      <c r="G219" s="37">
        <f>'Import GAW-sheet'!G117</f>
        <v>29270115.745521598</v>
      </c>
      <c r="H219" s="37">
        <f>'Import GAW-sheet'!H117</f>
        <v>138468543.56900856</v>
      </c>
      <c r="I219" s="37">
        <f>'Import GAW-sheet'!I117</f>
        <v>39207894.689649515</v>
      </c>
      <c r="J219" s="37">
        <f>'Import GAW-sheet'!J117</f>
        <v>1314105933.0107641</v>
      </c>
      <c r="K219" s="37">
        <f>'Import GAW-sheet'!K117</f>
        <v>1134927604.6735382</v>
      </c>
      <c r="L219" s="37">
        <f>'Import GAW-sheet'!L117</f>
        <v>20720366.479009826</v>
      </c>
      <c r="M219" s="37">
        <f>'Import GAW-sheet'!M117</f>
        <v>1244891453.0362003</v>
      </c>
      <c r="N219" s="37">
        <f>'Import GAW-sheet'!N117</f>
        <v>167193758.77006823</v>
      </c>
    </row>
    <row r="220" spans="2:14">
      <c r="F220" s="46"/>
      <c r="G220" s="28"/>
      <c r="H220" s="28"/>
      <c r="I220" s="28"/>
      <c r="J220" s="28"/>
      <c r="K220" s="28"/>
      <c r="L220" s="28"/>
      <c r="M220" s="28"/>
      <c r="N220" s="28"/>
    </row>
    <row r="221" spans="2:14">
      <c r="B221" s="3" t="s">
        <v>289</v>
      </c>
      <c r="F221" s="46"/>
      <c r="G221" s="28"/>
      <c r="H221" s="28"/>
      <c r="I221" s="28"/>
      <c r="J221" s="28"/>
      <c r="K221" s="28"/>
      <c r="L221" s="28"/>
      <c r="M221" s="28"/>
      <c r="N221" s="28"/>
    </row>
    <row r="222" spans="2:14">
      <c r="B222" t="s">
        <v>290</v>
      </c>
      <c r="D222" t="s">
        <v>183</v>
      </c>
      <c r="F222" s="106">
        <f>SUM(G222:N222)</f>
        <v>0</v>
      </c>
      <c r="G222" s="37">
        <f>'Import GAW-sheet'!G120</f>
        <v>0</v>
      </c>
      <c r="H222" s="37">
        <f>'Import GAW-sheet'!H120</f>
        <v>0</v>
      </c>
      <c r="I222" s="37">
        <f>'Import GAW-sheet'!I120</f>
        <v>0</v>
      </c>
      <c r="J222" s="37">
        <f>'Import GAW-sheet'!J120</f>
        <v>0</v>
      </c>
      <c r="K222" s="37">
        <f>'Import GAW-sheet'!K120</f>
        <v>0</v>
      </c>
      <c r="L222" s="37">
        <f>'Import GAW-sheet'!L120</f>
        <v>0</v>
      </c>
      <c r="M222" s="37">
        <f>'Import GAW-sheet'!M120</f>
        <v>0</v>
      </c>
      <c r="N222" s="37">
        <f>'Import GAW-sheet'!N120</f>
        <v>0</v>
      </c>
    </row>
    <row r="223" spans="2:14">
      <c r="B223" t="s">
        <v>291</v>
      </c>
      <c r="D223" t="s">
        <v>183</v>
      </c>
      <c r="F223" s="106">
        <f>SUM(G223:N223)</f>
        <v>658970.57593401696</v>
      </c>
      <c r="G223" s="37">
        <f>'Import GAW-sheet'!G121</f>
        <v>0</v>
      </c>
      <c r="H223" s="37">
        <f>'Import GAW-sheet'!H121</f>
        <v>0</v>
      </c>
      <c r="I223" s="37">
        <f>'Import GAW-sheet'!I121</f>
        <v>0</v>
      </c>
      <c r="J223" s="37">
        <f>'Import GAW-sheet'!J121</f>
        <v>0</v>
      </c>
      <c r="K223" s="37">
        <f>'Import GAW-sheet'!K121</f>
        <v>0</v>
      </c>
      <c r="L223" s="37">
        <f>'Import GAW-sheet'!L121</f>
        <v>658970.57593401696</v>
      </c>
      <c r="M223" s="37">
        <f>'Import GAW-sheet'!M121</f>
        <v>0</v>
      </c>
      <c r="N223" s="37">
        <f>'Import GAW-sheet'!N121</f>
        <v>0</v>
      </c>
    </row>
    <row r="224" spans="2:14">
      <c r="B224" t="s">
        <v>292</v>
      </c>
      <c r="D224" t="s">
        <v>183</v>
      </c>
      <c r="F224" s="106">
        <f>SUM(G224:N224)</f>
        <v>3953823.4556040894</v>
      </c>
      <c r="G224" s="37">
        <f>'Import GAW-sheet'!G122</f>
        <v>-3.1470824857248278E-9</v>
      </c>
      <c r="H224" s="37">
        <f>'Import GAW-sheet'!H122</f>
        <v>0</v>
      </c>
      <c r="I224" s="37">
        <f>'Import GAW-sheet'!I122</f>
        <v>0</v>
      </c>
      <c r="J224" s="37">
        <f>'Import GAW-sheet'!J122</f>
        <v>0</v>
      </c>
      <c r="K224" s="37">
        <f>'Import GAW-sheet'!K122</f>
        <v>0</v>
      </c>
      <c r="L224" s="37">
        <f>'Import GAW-sheet'!L122</f>
        <v>3953823.4556040927</v>
      </c>
      <c r="M224" s="37">
        <f>'Import GAW-sheet'!M122</f>
        <v>0</v>
      </c>
      <c r="N224" s="37">
        <f>'Import GAW-sheet'!N122</f>
        <v>0</v>
      </c>
    </row>
    <row r="225" spans="2:16">
      <c r="F225" s="46"/>
      <c r="G225" s="28"/>
      <c r="H225" s="28"/>
      <c r="I225" s="28"/>
      <c r="J225" s="28"/>
      <c r="K225" s="28"/>
      <c r="L225" s="28"/>
      <c r="M225" s="28"/>
      <c r="N225" s="28"/>
    </row>
    <row r="226" spans="2:16">
      <c r="B226" s="3" t="s">
        <v>293</v>
      </c>
      <c r="F226" s="46"/>
      <c r="G226" s="28"/>
      <c r="H226" s="28"/>
      <c r="I226" s="28"/>
      <c r="J226" s="28"/>
      <c r="K226" s="28"/>
      <c r="L226" s="28"/>
      <c r="M226" s="28"/>
      <c r="N226" s="28"/>
    </row>
    <row r="227" spans="2:16">
      <c r="B227" t="s">
        <v>294</v>
      </c>
      <c r="D227" t="s">
        <v>183</v>
      </c>
      <c r="F227" s="106">
        <f>SUM(G227:N227)</f>
        <v>0</v>
      </c>
      <c r="G227" s="37">
        <f>'Import GAW-sheet'!G125</f>
        <v>0</v>
      </c>
      <c r="H227" s="37">
        <f>'Import GAW-sheet'!H125</f>
        <v>0</v>
      </c>
      <c r="I227" s="37">
        <f>'Import GAW-sheet'!I125</f>
        <v>0</v>
      </c>
      <c r="J227" s="37">
        <f>'Import GAW-sheet'!J125</f>
        <v>0</v>
      </c>
      <c r="K227" s="37">
        <f>'Import GAW-sheet'!K125</f>
        <v>0</v>
      </c>
      <c r="L227" s="37">
        <f>'Import GAW-sheet'!L125</f>
        <v>0</v>
      </c>
      <c r="M227" s="37">
        <f>'Import GAW-sheet'!M125</f>
        <v>0</v>
      </c>
      <c r="N227" s="37">
        <f>'Import GAW-sheet'!N125</f>
        <v>0</v>
      </c>
    </row>
    <row r="228" spans="2:16">
      <c r="B228" t="s">
        <v>295</v>
      </c>
      <c r="D228" t="s">
        <v>183</v>
      </c>
      <c r="F228" s="106">
        <f>SUM(G228:N228)</f>
        <v>237357.45611694362</v>
      </c>
      <c r="G228" s="37">
        <f>'Import GAW-sheet'!G126</f>
        <v>0</v>
      </c>
      <c r="H228" s="37">
        <f>'Import GAW-sheet'!H126</f>
        <v>237357.45611694362</v>
      </c>
      <c r="I228" s="37">
        <f>'Import GAW-sheet'!I126</f>
        <v>0</v>
      </c>
      <c r="J228" s="37">
        <f>'Import GAW-sheet'!J126</f>
        <v>0</v>
      </c>
      <c r="K228" s="37">
        <f>'Import GAW-sheet'!K126</f>
        <v>0</v>
      </c>
      <c r="L228" s="37">
        <f>'Import GAW-sheet'!L126</f>
        <v>0</v>
      </c>
      <c r="M228" s="37">
        <f>'Import GAW-sheet'!M126</f>
        <v>0</v>
      </c>
      <c r="N228" s="37">
        <f>'Import GAW-sheet'!N126</f>
        <v>0</v>
      </c>
    </row>
    <row r="229" spans="2:16">
      <c r="B229" t="s">
        <v>296</v>
      </c>
      <c r="D229" t="s">
        <v>183</v>
      </c>
      <c r="F229" s="106">
        <f>SUM(G229:N229)</f>
        <v>9575662.6294525228</v>
      </c>
      <c r="G229" s="37">
        <f>'Import GAW-sheet'!G127</f>
        <v>0</v>
      </c>
      <c r="H229" s="37">
        <f>'Import GAW-sheet'!H127</f>
        <v>9575662.6294525228</v>
      </c>
      <c r="I229" s="37">
        <f>'Import GAW-sheet'!I127</f>
        <v>0</v>
      </c>
      <c r="J229" s="37">
        <f>'Import GAW-sheet'!J127</f>
        <v>0</v>
      </c>
      <c r="K229" s="37">
        <f>'Import GAW-sheet'!K127</f>
        <v>0</v>
      </c>
      <c r="L229" s="37">
        <f>'Import GAW-sheet'!L127</f>
        <v>0</v>
      </c>
      <c r="M229" s="37">
        <f>'Import GAW-sheet'!M127</f>
        <v>0</v>
      </c>
      <c r="N229" s="37">
        <f>'Import GAW-sheet'!N127</f>
        <v>0</v>
      </c>
    </row>
    <row r="230" spans="2:16">
      <c r="F230" s="46"/>
      <c r="G230" s="28"/>
      <c r="H230" s="28"/>
      <c r="I230" s="28"/>
      <c r="J230" s="28"/>
      <c r="K230" s="28"/>
      <c r="L230" s="28"/>
      <c r="M230" s="28"/>
      <c r="N230" s="28"/>
    </row>
    <row r="231" spans="2:16">
      <c r="B231" s="3" t="s">
        <v>297</v>
      </c>
      <c r="F231" s="46"/>
      <c r="G231" s="28"/>
      <c r="H231" s="28"/>
      <c r="I231" s="28"/>
      <c r="J231" s="28"/>
      <c r="K231" s="28"/>
      <c r="L231" s="28"/>
      <c r="M231" s="28"/>
      <c r="N231" s="28"/>
    </row>
    <row r="232" spans="2:16">
      <c r="B232" t="s">
        <v>298</v>
      </c>
      <c r="D232" t="s">
        <v>183</v>
      </c>
      <c r="F232" s="106">
        <f>SUM(G232:N232)</f>
        <v>6392086.7999999998</v>
      </c>
      <c r="G232" s="37">
        <f>'Import GAW-sheet'!G130</f>
        <v>0</v>
      </c>
      <c r="H232" s="37">
        <f>'Import GAW-sheet'!H130</f>
        <v>1030000</v>
      </c>
      <c r="I232" s="37">
        <f>'Import GAW-sheet'!I130</f>
        <v>0</v>
      </c>
      <c r="J232" s="37">
        <f>'Import GAW-sheet'!J130</f>
        <v>279304.8</v>
      </c>
      <c r="K232" s="37">
        <f>'Import GAW-sheet'!K130</f>
        <v>5082782</v>
      </c>
      <c r="L232" s="37">
        <f>'Import GAW-sheet'!L130</f>
        <v>0</v>
      </c>
      <c r="M232" s="37">
        <f>'Import GAW-sheet'!M130</f>
        <v>0</v>
      </c>
      <c r="N232" s="37">
        <f>'Import GAW-sheet'!N130</f>
        <v>0</v>
      </c>
    </row>
    <row r="233" spans="2:16">
      <c r="B233" t="s">
        <v>299</v>
      </c>
      <c r="D233" t="s">
        <v>183</v>
      </c>
      <c r="F233" s="106">
        <f>SUM(G233:N233)</f>
        <v>1582403.5213139681</v>
      </c>
      <c r="G233" s="37">
        <f>'Import GAW-sheet'!G131</f>
        <v>0</v>
      </c>
      <c r="H233" s="37">
        <f>'Import GAW-sheet'!H131</f>
        <v>51500</v>
      </c>
      <c r="I233" s="37">
        <f>'Import GAW-sheet'!I131</f>
        <v>0</v>
      </c>
      <c r="J233" s="37">
        <f>'Import GAW-sheet'!J131</f>
        <v>4706.0959999999995</v>
      </c>
      <c r="K233" s="37">
        <f>'Import GAW-sheet'!K131</f>
        <v>206283.21111111113</v>
      </c>
      <c r="L233" s="37">
        <f>'Import GAW-sheet'!L131</f>
        <v>0</v>
      </c>
      <c r="M233" s="37">
        <f>'Import GAW-sheet'!M131</f>
        <v>1319914.2142028571</v>
      </c>
      <c r="N233" s="37">
        <f>'Import GAW-sheet'!N131</f>
        <v>0</v>
      </c>
    </row>
    <row r="234" spans="2:16">
      <c r="B234" t="s">
        <v>300</v>
      </c>
      <c r="D234" t="s">
        <v>183</v>
      </c>
      <c r="F234" s="106">
        <f>SUM(G234:N234)</f>
        <v>26208726.171584606</v>
      </c>
      <c r="G234" s="37">
        <f>'Import GAW-sheet'!G132</f>
        <v>0</v>
      </c>
      <c r="H234" s="37">
        <f>'Import GAW-sheet'!H132</f>
        <v>978500</v>
      </c>
      <c r="I234" s="37">
        <f>'Import GAW-sheet'!I132</f>
        <v>0</v>
      </c>
      <c r="J234" s="37">
        <f>'Import GAW-sheet'!J132</f>
        <v>274598.70400000003</v>
      </c>
      <c r="K234" s="37">
        <f>'Import GAW-sheet'!K132</f>
        <v>4876498.7888888884</v>
      </c>
      <c r="L234" s="37">
        <f>'Import GAW-sheet'!L132</f>
        <v>0</v>
      </c>
      <c r="M234" s="37">
        <f>'Import GAW-sheet'!M132</f>
        <v>20079128.678695716</v>
      </c>
      <c r="N234" s="37">
        <f>'Import GAW-sheet'!N132</f>
        <v>0</v>
      </c>
    </row>
    <row r="235" spans="2:16">
      <c r="F235" s="46"/>
    </row>
    <row r="236" spans="2:16">
      <c r="F236" s="46"/>
    </row>
    <row r="237" spans="2:16">
      <c r="B237" s="3" t="s">
        <v>312</v>
      </c>
      <c r="F237" s="46"/>
    </row>
    <row r="238" spans="2:16">
      <c r="F238" s="46"/>
    </row>
    <row r="239" spans="2:16">
      <c r="B239" s="3" t="s">
        <v>313</v>
      </c>
      <c r="F239" s="46"/>
    </row>
    <row r="240" spans="2:16">
      <c r="B240" t="s">
        <v>277</v>
      </c>
      <c r="D240" t="s">
        <v>183</v>
      </c>
      <c r="F240" s="106">
        <f>SUM(G240:N240)</f>
        <v>505213012.2680974</v>
      </c>
      <c r="G240" s="24">
        <f>G213+G218+G228+G233</f>
        <v>3016107.3146907543</v>
      </c>
      <c r="H240" s="24">
        <f t="shared" ref="H240:N240" si="39">H213+H218+H228+H233</f>
        <v>14398012.600001566</v>
      </c>
      <c r="I240" s="24">
        <f t="shared" si="39"/>
        <v>7451857.3514416385</v>
      </c>
      <c r="J240" s="24">
        <f t="shared" si="39"/>
        <v>189022645.07069251</v>
      </c>
      <c r="K240" s="24">
        <f t="shared" si="39"/>
        <v>144652919.69485635</v>
      </c>
      <c r="L240" s="24">
        <f t="shared" si="39"/>
        <v>2730250.3528969181</v>
      </c>
      <c r="M240" s="24">
        <f t="shared" si="39"/>
        <v>135403428.88434321</v>
      </c>
      <c r="N240" s="24">
        <f t="shared" si="39"/>
        <v>8537790.9991743863</v>
      </c>
      <c r="P240" s="50" t="s">
        <v>439</v>
      </c>
    </row>
    <row r="241" spans="2:16">
      <c r="B241" t="s">
        <v>305</v>
      </c>
      <c r="D241" t="s">
        <v>183</v>
      </c>
      <c r="F241" s="106">
        <f>SUM(G241:N241)</f>
        <v>10461763537.288282</v>
      </c>
      <c r="G241" s="24">
        <f>G214+G219+G229+G234</f>
        <v>54357721.555152483</v>
      </c>
      <c r="H241" s="24">
        <f t="shared" ref="H241:N241" si="40">H214+H219+H229+H234</f>
        <v>261517988.19176802</v>
      </c>
      <c r="I241" s="24">
        <f t="shared" si="40"/>
        <v>99352335.161045387</v>
      </c>
      <c r="J241" s="24">
        <f t="shared" si="40"/>
        <v>3466870365.1520081</v>
      </c>
      <c r="K241" s="24">
        <f t="shared" si="40"/>
        <v>3434926406.141685</v>
      </c>
      <c r="L241" s="24">
        <f t="shared" si="40"/>
        <v>33294253.421953395</v>
      </c>
      <c r="M241" s="24">
        <f t="shared" si="40"/>
        <v>2867267750.1604724</v>
      </c>
      <c r="N241" s="24">
        <f t="shared" si="40"/>
        <v>244176717.50419894</v>
      </c>
      <c r="P241" s="50" t="s">
        <v>442</v>
      </c>
    </row>
    <row r="242" spans="2:16">
      <c r="B242" t="s">
        <v>306</v>
      </c>
      <c r="D242" t="s">
        <v>183</v>
      </c>
      <c r="F242" s="106">
        <f>SUM(G242:N242)</f>
        <v>376623487.3423782</v>
      </c>
      <c r="G242" s="24">
        <f t="shared" ref="G242:N242" si="41">G241*$F$13</f>
        <v>1956877.9759854893</v>
      </c>
      <c r="H242" s="24">
        <f t="shared" si="41"/>
        <v>9414647.5749036483</v>
      </c>
      <c r="I242" s="24">
        <f t="shared" si="41"/>
        <v>3576684.0657976335</v>
      </c>
      <c r="J242" s="24">
        <f t="shared" si="41"/>
        <v>124807333.14547227</v>
      </c>
      <c r="K242" s="24">
        <f t="shared" si="41"/>
        <v>123657350.62110065</v>
      </c>
      <c r="L242" s="24">
        <f t="shared" si="41"/>
        <v>1198593.1231903222</v>
      </c>
      <c r="M242" s="24">
        <f t="shared" si="41"/>
        <v>103221639.005777</v>
      </c>
      <c r="N242" s="24">
        <f t="shared" si="41"/>
        <v>8790361.8301511612</v>
      </c>
      <c r="P242" s="50" t="s">
        <v>441</v>
      </c>
    </row>
    <row r="243" spans="2:16">
      <c r="B243" t="s">
        <v>310</v>
      </c>
      <c r="D243" t="s">
        <v>183</v>
      </c>
      <c r="F243" s="106">
        <f>SUM(G243:N243)</f>
        <v>881836499.61047542</v>
      </c>
      <c r="G243" s="21">
        <f>G240+G242</f>
        <v>4972985.2906762436</v>
      </c>
      <c r="H243" s="21">
        <f t="shared" ref="H243:N243" si="42">H240+H242</f>
        <v>23812660.174905214</v>
      </c>
      <c r="I243" s="21">
        <f t="shared" si="42"/>
        <v>11028541.417239271</v>
      </c>
      <c r="J243" s="21">
        <f t="shared" si="42"/>
        <v>313829978.21616477</v>
      </c>
      <c r="K243" s="21">
        <f t="shared" si="42"/>
        <v>268310270.31595701</v>
      </c>
      <c r="L243" s="21">
        <f t="shared" si="42"/>
        <v>3928843.4760872405</v>
      </c>
      <c r="M243" s="21">
        <f t="shared" si="42"/>
        <v>238625067.89012021</v>
      </c>
      <c r="N243" s="21">
        <f t="shared" si="42"/>
        <v>17328152.829325549</v>
      </c>
      <c r="P243" s="50" t="s">
        <v>440</v>
      </c>
    </row>
    <row r="244" spans="2:16">
      <c r="F244" s="46"/>
    </row>
    <row r="245" spans="2:16">
      <c r="B245" s="3" t="s">
        <v>314</v>
      </c>
      <c r="F245" s="46"/>
    </row>
    <row r="246" spans="2:16">
      <c r="B246" t="s">
        <v>277</v>
      </c>
      <c r="D246" t="s">
        <v>183</v>
      </c>
      <c r="F246" s="106">
        <f>SUM(G246:N246)</f>
        <v>658970.57593401696</v>
      </c>
      <c r="G246" s="24">
        <f>G223</f>
        <v>0</v>
      </c>
      <c r="H246" s="24">
        <f t="shared" ref="H246:N246" si="43">H223</f>
        <v>0</v>
      </c>
      <c r="I246" s="24">
        <f t="shared" si="43"/>
        <v>0</v>
      </c>
      <c r="J246" s="24">
        <f t="shared" si="43"/>
        <v>0</v>
      </c>
      <c r="K246" s="24">
        <f t="shared" si="43"/>
        <v>0</v>
      </c>
      <c r="L246" s="24">
        <f t="shared" si="43"/>
        <v>658970.57593401696</v>
      </c>
      <c r="M246" s="24">
        <f t="shared" si="43"/>
        <v>0</v>
      </c>
      <c r="N246" s="24">
        <f t="shared" si="43"/>
        <v>0</v>
      </c>
    </row>
    <row r="247" spans="2:16">
      <c r="B247" t="s">
        <v>305</v>
      </c>
      <c r="D247" t="s">
        <v>183</v>
      </c>
      <c r="F247" s="106">
        <f>SUM(G247:N247)</f>
        <v>3953823.4556040894</v>
      </c>
      <c r="G247" s="24">
        <f>G224</f>
        <v>-3.1470824857248278E-9</v>
      </c>
      <c r="H247" s="24">
        <f t="shared" ref="H247:N247" si="44">H224</f>
        <v>0</v>
      </c>
      <c r="I247" s="24">
        <f t="shared" si="44"/>
        <v>0</v>
      </c>
      <c r="J247" s="24">
        <f t="shared" si="44"/>
        <v>0</v>
      </c>
      <c r="K247" s="24">
        <f t="shared" si="44"/>
        <v>0</v>
      </c>
      <c r="L247" s="24">
        <f t="shared" si="44"/>
        <v>3953823.4556040927</v>
      </c>
      <c r="M247" s="24">
        <f t="shared" si="44"/>
        <v>0</v>
      </c>
      <c r="N247" s="24">
        <f t="shared" si="44"/>
        <v>0</v>
      </c>
    </row>
    <row r="248" spans="2:16">
      <c r="B248" t="s">
        <v>306</v>
      </c>
      <c r="D248" t="s">
        <v>183</v>
      </c>
      <c r="F248" s="106">
        <f>SUM(G248:N248)</f>
        <v>142337.64440174721</v>
      </c>
      <c r="G248" s="24">
        <f t="shared" ref="G248:N248" si="45">G247*$F$13</f>
        <v>-1.1329496948609379E-10</v>
      </c>
      <c r="H248" s="24">
        <f t="shared" si="45"/>
        <v>0</v>
      </c>
      <c r="I248" s="24">
        <f t="shared" si="45"/>
        <v>0</v>
      </c>
      <c r="J248" s="24">
        <f t="shared" si="45"/>
        <v>0</v>
      </c>
      <c r="K248" s="24">
        <f t="shared" si="45"/>
        <v>0</v>
      </c>
      <c r="L248" s="24">
        <f t="shared" si="45"/>
        <v>142337.64440174733</v>
      </c>
      <c r="M248" s="24">
        <f t="shared" si="45"/>
        <v>0</v>
      </c>
      <c r="N248" s="24">
        <f t="shared" si="45"/>
        <v>0</v>
      </c>
    </row>
    <row r="249" spans="2:16">
      <c r="B249" t="s">
        <v>310</v>
      </c>
      <c r="D249" t="s">
        <v>183</v>
      </c>
      <c r="F249" s="106">
        <f>SUM(G249:N249)</f>
        <v>801308.22033576423</v>
      </c>
      <c r="G249" s="21">
        <f t="shared" ref="G249:N249" si="46">G246+G248</f>
        <v>-1.1329496948609379E-10</v>
      </c>
      <c r="H249" s="21">
        <f t="shared" si="46"/>
        <v>0</v>
      </c>
      <c r="I249" s="21">
        <f t="shared" si="46"/>
        <v>0</v>
      </c>
      <c r="J249" s="21">
        <f t="shared" si="46"/>
        <v>0</v>
      </c>
      <c r="K249" s="21">
        <f t="shared" si="46"/>
        <v>0</v>
      </c>
      <c r="L249" s="21">
        <f t="shared" si="46"/>
        <v>801308.22033576434</v>
      </c>
      <c r="M249" s="21">
        <f t="shared" si="46"/>
        <v>0</v>
      </c>
      <c r="N249" s="21">
        <f t="shared" si="46"/>
        <v>0</v>
      </c>
    </row>
    <row r="250" spans="2:16">
      <c r="F250" s="46"/>
    </row>
    <row r="251" spans="2:16">
      <c r="F251" s="46"/>
    </row>
    <row r="252" spans="2:16">
      <c r="B252" s="3" t="s">
        <v>311</v>
      </c>
      <c r="F252" s="46"/>
    </row>
    <row r="253" spans="2:16">
      <c r="F253" s="46"/>
    </row>
    <row r="254" spans="2:16">
      <c r="B254" t="s">
        <v>315</v>
      </c>
      <c r="D254" t="s">
        <v>183</v>
      </c>
      <c r="F254" s="106">
        <f>SUM(G254:N254)</f>
        <v>10053076.363144638</v>
      </c>
      <c r="G254" s="115">
        <f>'PRD Ov.Opbrengsten (2009-2012)'!G189-'PRD Ov.Opbrengsten (2009-2012)'!G205</f>
        <v>0</v>
      </c>
      <c r="H254" s="115">
        <f>'PRD Ov.Opbrengsten (2009-2012)'!H189-'PRD Ov.Opbrengsten (2009-2012)'!H205</f>
        <v>912704.35809690319</v>
      </c>
      <c r="I254" s="115">
        <f>'PRD Ov.Opbrengsten (2009-2012)'!I189-'PRD Ov.Opbrengsten (2009-2012)'!I205</f>
        <v>0</v>
      </c>
      <c r="J254" s="115">
        <f>'PRD Ov.Opbrengsten (2009-2012)'!J189-'PRD Ov.Opbrengsten (2009-2012)'!J205</f>
        <v>2300100.2009999994</v>
      </c>
      <c r="K254" s="115">
        <f>'PRD Ov.Opbrengsten (2009-2012)'!K189-'PRD Ov.Opbrengsten (2009-2012)'!K205</f>
        <v>2967203.2099999972</v>
      </c>
      <c r="L254" s="115">
        <f>'PRD Ov.Opbrengsten (2009-2012)'!L189-'PRD Ov.Opbrengsten (2009-2012)'!L205</f>
        <v>0</v>
      </c>
      <c r="M254" s="115">
        <f>'PRD Ov.Opbrengsten (2009-2012)'!M189-'PRD Ov.Opbrengsten (2009-2012)'!M205</f>
        <v>3873068.5940477382</v>
      </c>
      <c r="N254" s="115">
        <f>'PRD Ov.Opbrengsten (2009-2012)'!N189-'PRD Ov.Opbrengsten (2009-2012)'!N205</f>
        <v>0</v>
      </c>
    </row>
    <row r="255" spans="2:16">
      <c r="B255" t="s">
        <v>316</v>
      </c>
      <c r="D255" t="s">
        <v>183</v>
      </c>
      <c r="F255" s="106">
        <f>SUM(G255:N255)</f>
        <v>0</v>
      </c>
      <c r="G255" s="8"/>
      <c r="H255" s="8"/>
      <c r="I255" s="8"/>
      <c r="J255" s="8"/>
      <c r="K255" s="8"/>
      <c r="L255" s="8"/>
      <c r="M255" s="8"/>
      <c r="N255" s="8"/>
    </row>
    <row r="256" spans="2:16">
      <c r="B256" t="s">
        <v>317</v>
      </c>
      <c r="D256" t="s">
        <v>183</v>
      </c>
      <c r="F256" s="106">
        <f>SUM(G256:N256)</f>
        <v>20520.099999999999</v>
      </c>
      <c r="G256" s="116">
        <f>'PRD Ov.Opbrengsten (2009-2012)'!G238</f>
        <v>0</v>
      </c>
      <c r="H256" s="116">
        <f>'PRD Ov.Opbrengsten (2009-2012)'!H238</f>
        <v>0</v>
      </c>
      <c r="I256" s="116">
        <f>'PRD Ov.Opbrengsten (2009-2012)'!I238</f>
        <v>0</v>
      </c>
      <c r="J256" s="116">
        <f>'PRD Ov.Opbrengsten (2009-2012)'!J238</f>
        <v>18200</v>
      </c>
      <c r="K256" s="116">
        <f>'PRD Ov.Opbrengsten (2009-2012)'!K238</f>
        <v>0</v>
      </c>
      <c r="L256" s="116">
        <f>'PRD Ov.Opbrengsten (2009-2012)'!L238</f>
        <v>2320.1</v>
      </c>
      <c r="M256" s="116">
        <f>'PRD Ov.Opbrengsten (2009-2012)'!M238</f>
        <v>0</v>
      </c>
      <c r="N256" s="116">
        <f>'PRD Ov.Opbrengsten (2009-2012)'!N238</f>
        <v>0</v>
      </c>
    </row>
    <row r="257" spans="2:16">
      <c r="B257" t="s">
        <v>537</v>
      </c>
      <c r="D257" t="s">
        <v>183</v>
      </c>
      <c r="F257" s="106">
        <f>SUM(G257:N257)</f>
        <v>0</v>
      </c>
      <c r="G257" s="8"/>
      <c r="H257" s="8"/>
      <c r="I257" s="8"/>
      <c r="J257" s="8"/>
      <c r="K257" s="8"/>
      <c r="L257" s="8"/>
      <c r="M257" s="8"/>
      <c r="N257" s="8"/>
    </row>
    <row r="258" spans="2:16">
      <c r="B258" s="13" t="s">
        <v>339</v>
      </c>
      <c r="D258" t="s">
        <v>183</v>
      </c>
      <c r="F258" s="106">
        <f>SUM(G258:N258)</f>
        <v>10073596.463144638</v>
      </c>
      <c r="G258" s="24">
        <f t="shared" ref="G258:N258" si="47">SUM(G254:G257)</f>
        <v>0</v>
      </c>
      <c r="H258" s="24">
        <f t="shared" si="47"/>
        <v>912704.35809690319</v>
      </c>
      <c r="I258" s="24">
        <f t="shared" si="47"/>
        <v>0</v>
      </c>
      <c r="J258" s="24">
        <f t="shared" si="47"/>
        <v>2318300.2009999994</v>
      </c>
      <c r="K258" s="24">
        <f t="shared" si="47"/>
        <v>2967203.2099999972</v>
      </c>
      <c r="L258" s="24">
        <f t="shared" si="47"/>
        <v>2320.1</v>
      </c>
      <c r="M258" s="24">
        <f t="shared" si="47"/>
        <v>3873068.5940477382</v>
      </c>
      <c r="N258" s="24">
        <f t="shared" si="47"/>
        <v>0</v>
      </c>
    </row>
    <row r="259" spans="2:16">
      <c r="F259" s="46"/>
    </row>
    <row r="260" spans="2:16">
      <c r="F260" s="46"/>
    </row>
    <row r="261" spans="2:16">
      <c r="B261" s="3" t="s">
        <v>318</v>
      </c>
      <c r="F261" s="46"/>
    </row>
    <row r="262" spans="2:16">
      <c r="F262" s="46"/>
    </row>
    <row r="263" spans="2:16">
      <c r="B263" t="s">
        <v>319</v>
      </c>
      <c r="D263" t="s">
        <v>183</v>
      </c>
      <c r="F263" s="107">
        <f>SUM(G263:N263)</f>
        <v>871762903.14733088</v>
      </c>
      <c r="G263" s="21">
        <f>G243-G258</f>
        <v>4972985.2906762436</v>
      </c>
      <c r="H263" s="21">
        <f t="shared" ref="H263:N263" si="48">H243-H258</f>
        <v>22899955.816808313</v>
      </c>
      <c r="I263" s="21">
        <f t="shared" si="48"/>
        <v>11028541.417239271</v>
      </c>
      <c r="J263" s="21">
        <f t="shared" si="48"/>
        <v>311511678.01516479</v>
      </c>
      <c r="K263" s="21">
        <f t="shared" si="48"/>
        <v>265343067.105957</v>
      </c>
      <c r="L263" s="21">
        <f t="shared" si="48"/>
        <v>3926523.3760872404</v>
      </c>
      <c r="M263" s="21">
        <f t="shared" si="48"/>
        <v>234751999.29607248</v>
      </c>
      <c r="N263" s="21">
        <f t="shared" si="48"/>
        <v>17328152.829325549</v>
      </c>
      <c r="P263" s="50" t="s">
        <v>440</v>
      </c>
    </row>
    <row r="264" spans="2:16">
      <c r="F264" s="68"/>
      <c r="G264" s="40"/>
      <c r="H264" s="40"/>
      <c r="I264" s="40"/>
      <c r="J264" s="40"/>
      <c r="K264" s="40"/>
      <c r="L264" s="40"/>
      <c r="M264" s="40"/>
      <c r="N264" s="40"/>
    </row>
    <row r="265" spans="2:16">
      <c r="B265" s="50" t="s">
        <v>475</v>
      </c>
      <c r="D265" t="s">
        <v>183</v>
      </c>
      <c r="F265" s="107">
        <f>SUM(G265:N265)</f>
        <v>1143768755.1168263</v>
      </c>
      <c r="G265" s="115">
        <f>G240+G241*$F$12-G258</f>
        <v>6386286.051110208</v>
      </c>
      <c r="H265" s="115">
        <f t="shared" ref="H265:N265" si="49">H240+H241*$F$12-H258</f>
        <v>29699423.50979428</v>
      </c>
      <c r="I265" s="115">
        <f t="shared" si="49"/>
        <v>13611702.131426454</v>
      </c>
      <c r="J265" s="115">
        <f t="shared" si="49"/>
        <v>401650307.50911701</v>
      </c>
      <c r="K265" s="115">
        <f t="shared" si="49"/>
        <v>354651153.66564083</v>
      </c>
      <c r="L265" s="115">
        <f t="shared" si="49"/>
        <v>4792173.9650580287</v>
      </c>
      <c r="M265" s="115">
        <f t="shared" si="49"/>
        <v>309300960.80024475</v>
      </c>
      <c r="N265" s="115">
        <f t="shared" si="49"/>
        <v>23676747.48443472</v>
      </c>
      <c r="O265" s="28"/>
      <c r="P265" s="27"/>
    </row>
    <row r="266" spans="2:16">
      <c r="F266" s="68"/>
      <c r="G266" s="40"/>
      <c r="H266" s="40"/>
      <c r="I266" s="40"/>
      <c r="J266" s="40"/>
      <c r="K266" s="40"/>
      <c r="L266" s="40"/>
      <c r="M266" s="40"/>
      <c r="N266" s="40"/>
    </row>
    <row r="267" spans="2:16">
      <c r="B267" s="80" t="s">
        <v>583</v>
      </c>
      <c r="D267" t="s">
        <v>183</v>
      </c>
      <c r="F267" s="107">
        <f>SUM(G267:N267)</f>
        <v>1143768755.1168263</v>
      </c>
      <c r="G267" s="180">
        <f>G240+G241*$F$12-G258</f>
        <v>6386286.051110208</v>
      </c>
      <c r="H267" s="180">
        <f t="shared" ref="H267:N267" si="50">H240+H241*$F$12-H258</f>
        <v>29699423.50979428</v>
      </c>
      <c r="I267" s="180">
        <f t="shared" si="50"/>
        <v>13611702.131426454</v>
      </c>
      <c r="J267" s="180">
        <f t="shared" si="50"/>
        <v>401650307.50911701</v>
      </c>
      <c r="K267" s="180">
        <f t="shared" si="50"/>
        <v>354651153.66564083</v>
      </c>
      <c r="L267" s="180">
        <f t="shared" si="50"/>
        <v>4792173.9650580287</v>
      </c>
      <c r="M267" s="180">
        <f t="shared" si="50"/>
        <v>309300960.80024475</v>
      </c>
      <c r="N267" s="180">
        <f t="shared" si="50"/>
        <v>23676747.48443472</v>
      </c>
    </row>
    <row r="268" spans="2:16">
      <c r="B268" s="80" t="s">
        <v>584</v>
      </c>
      <c r="D268" t="s">
        <v>181</v>
      </c>
      <c r="F268" s="107">
        <f>SUM(G268:N268)</f>
        <v>904107.63018147042</v>
      </c>
      <c r="G268" s="180">
        <f>G246+G247*$F$12</f>
        <v>-1.9511911411493932E-10</v>
      </c>
      <c r="H268" s="180">
        <f t="shared" ref="H268:N268" si="51">H246+H247*$F$12</f>
        <v>0</v>
      </c>
      <c r="I268" s="180">
        <f t="shared" si="51"/>
        <v>0</v>
      </c>
      <c r="J268" s="180">
        <f t="shared" si="51"/>
        <v>0</v>
      </c>
      <c r="K268" s="180">
        <f t="shared" si="51"/>
        <v>0</v>
      </c>
      <c r="L268" s="180">
        <f t="shared" si="51"/>
        <v>904107.63018147065</v>
      </c>
      <c r="M268" s="180">
        <f t="shared" si="51"/>
        <v>0</v>
      </c>
      <c r="N268" s="180">
        <f t="shared" si="51"/>
        <v>0</v>
      </c>
    </row>
    <row r="269" spans="2:16">
      <c r="F269" s="4"/>
    </row>
    <row r="270" spans="2:16">
      <c r="F270" s="4"/>
    </row>
    <row r="271" spans="2:16">
      <c r="F271" s="4"/>
    </row>
    <row r="272" spans="2:16">
      <c r="F272" s="4"/>
    </row>
    <row r="273" spans="6:6">
      <c r="F273" s="4"/>
    </row>
    <row r="274" spans="6:6">
      <c r="F274" s="4"/>
    </row>
    <row r="275" spans="6:6">
      <c r="F275" s="4"/>
    </row>
    <row r="276" spans="6:6">
      <c r="F276" s="4"/>
    </row>
    <row r="277" spans="6:6">
      <c r="F277" s="4"/>
    </row>
    <row r="278" spans="6:6">
      <c r="F278" s="4"/>
    </row>
    <row r="279" spans="6:6">
      <c r="F279" s="4"/>
    </row>
    <row r="280" spans="6:6">
      <c r="F280" s="4"/>
    </row>
    <row r="281" spans="6:6">
      <c r="F281" s="4"/>
    </row>
    <row r="282" spans="6:6">
      <c r="F282" s="4"/>
    </row>
    <row r="283" spans="6:6">
      <c r="F283" s="4"/>
    </row>
    <row r="284" spans="6:6">
      <c r="F284" s="4"/>
    </row>
    <row r="285" spans="6:6">
      <c r="F285" s="4"/>
    </row>
    <row r="286" spans="6:6">
      <c r="F286" s="4"/>
    </row>
    <row r="287" spans="6:6">
      <c r="F287" s="4"/>
    </row>
    <row r="288" spans="6:6">
      <c r="F288" s="4"/>
    </row>
    <row r="289" spans="6:6">
      <c r="F289" s="4"/>
    </row>
    <row r="290" spans="6:6">
      <c r="F290" s="4"/>
    </row>
    <row r="291" spans="6:6">
      <c r="F291" s="4"/>
    </row>
    <row r="292" spans="6:6">
      <c r="F292" s="4"/>
    </row>
    <row r="293" spans="6:6">
      <c r="F293" s="4"/>
    </row>
    <row r="294" spans="6:6">
      <c r="F294" s="4"/>
    </row>
    <row r="295" spans="6:6">
      <c r="F295" s="4"/>
    </row>
    <row r="296" spans="6:6">
      <c r="F296" s="4"/>
    </row>
    <row r="297" spans="6:6">
      <c r="F297" s="4"/>
    </row>
    <row r="298" spans="6:6">
      <c r="F298" s="4"/>
    </row>
    <row r="299" spans="6:6">
      <c r="F299" s="4"/>
    </row>
    <row r="300" spans="6:6">
      <c r="F300" s="4"/>
    </row>
    <row r="301" spans="6:6">
      <c r="F301" s="4"/>
    </row>
    <row r="302" spans="6:6">
      <c r="F302" s="4"/>
    </row>
    <row r="303" spans="6:6">
      <c r="F303" s="4"/>
    </row>
    <row r="304" spans="6:6">
      <c r="F304" s="4"/>
    </row>
    <row r="305" spans="6:6">
      <c r="F305" s="4"/>
    </row>
    <row r="306" spans="6:6">
      <c r="F306" s="4"/>
    </row>
    <row r="307" spans="6:6">
      <c r="F307" s="4"/>
    </row>
    <row r="308" spans="6:6">
      <c r="F308" s="4"/>
    </row>
    <row r="309" spans="6:6">
      <c r="F309" s="4"/>
    </row>
    <row r="310" spans="6:6">
      <c r="F310" s="4"/>
    </row>
    <row r="311" spans="6:6">
      <c r="F311" s="4"/>
    </row>
    <row r="312" spans="6:6">
      <c r="F312" s="4"/>
    </row>
    <row r="313" spans="6:6">
      <c r="F313" s="4"/>
    </row>
    <row r="314" spans="6:6">
      <c r="F314" s="4"/>
    </row>
    <row r="315" spans="6:6">
      <c r="F315" s="4"/>
    </row>
    <row r="316" spans="6:6">
      <c r="F316" s="4"/>
    </row>
    <row r="317" spans="6:6">
      <c r="F317" s="4"/>
    </row>
    <row r="318" spans="6:6">
      <c r="F318" s="4"/>
    </row>
    <row r="319" spans="6:6">
      <c r="F319" s="4"/>
    </row>
    <row r="320" spans="6:6">
      <c r="F320" s="4"/>
    </row>
    <row r="321" spans="6:6">
      <c r="F321" s="4"/>
    </row>
    <row r="322" spans="6:6">
      <c r="F322" s="4"/>
    </row>
    <row r="323" spans="6:6">
      <c r="F323" s="4"/>
    </row>
    <row r="324" spans="6:6">
      <c r="F324" s="4"/>
    </row>
    <row r="325" spans="6:6">
      <c r="F325" s="4"/>
    </row>
    <row r="326" spans="6:6">
      <c r="F326" s="4"/>
    </row>
    <row r="327" spans="6:6">
      <c r="F327" s="4"/>
    </row>
    <row r="328" spans="6:6">
      <c r="F328" s="4"/>
    </row>
    <row r="329" spans="6:6">
      <c r="F329" s="4"/>
    </row>
    <row r="330" spans="6:6">
      <c r="F330" s="4"/>
    </row>
    <row r="331" spans="6:6">
      <c r="F331" s="4"/>
    </row>
    <row r="332" spans="6:6">
      <c r="F332" s="4"/>
    </row>
    <row r="333" spans="6:6">
      <c r="F333" s="4"/>
    </row>
    <row r="334" spans="6:6">
      <c r="F334" s="4"/>
    </row>
    <row r="335" spans="6:6">
      <c r="F335" s="4"/>
    </row>
    <row r="336" spans="6:6">
      <c r="F336" s="4"/>
    </row>
    <row r="337" spans="6:6">
      <c r="F337" s="4"/>
    </row>
    <row r="338" spans="6:6">
      <c r="F338" s="4"/>
    </row>
    <row r="339" spans="6:6">
      <c r="F339" s="4"/>
    </row>
    <row r="340" spans="6:6">
      <c r="F340" s="4"/>
    </row>
    <row r="341" spans="6:6">
      <c r="F341" s="4"/>
    </row>
    <row r="342" spans="6:6">
      <c r="F342" s="4"/>
    </row>
    <row r="343" spans="6:6">
      <c r="F343" s="4"/>
    </row>
    <row r="344" spans="6:6">
      <c r="F344" s="4"/>
    </row>
    <row r="345" spans="6:6">
      <c r="F345" s="4"/>
    </row>
    <row r="346" spans="6:6">
      <c r="F346" s="4"/>
    </row>
    <row r="347" spans="6:6">
      <c r="F347" s="4"/>
    </row>
    <row r="348" spans="6:6">
      <c r="F348" s="4"/>
    </row>
    <row r="349" spans="6:6">
      <c r="F349" s="4"/>
    </row>
    <row r="350" spans="6:6">
      <c r="F350" s="4"/>
    </row>
    <row r="351" spans="6:6">
      <c r="F351" s="4"/>
    </row>
    <row r="352" spans="6:6">
      <c r="F352" s="4"/>
    </row>
    <row r="353" spans="6:6">
      <c r="F353" s="4"/>
    </row>
    <row r="354" spans="6:6">
      <c r="F354" s="4"/>
    </row>
    <row r="355" spans="6:6">
      <c r="F355" s="4"/>
    </row>
    <row r="356" spans="6:6">
      <c r="F356" s="4"/>
    </row>
    <row r="357" spans="6:6">
      <c r="F357" s="4"/>
    </row>
    <row r="358" spans="6:6">
      <c r="F358" s="4"/>
    </row>
    <row r="359" spans="6:6">
      <c r="F359" s="4"/>
    </row>
    <row r="360" spans="6:6">
      <c r="F360" s="4"/>
    </row>
    <row r="361" spans="6:6">
      <c r="F361" s="4"/>
    </row>
    <row r="362" spans="6:6">
      <c r="F362" s="4"/>
    </row>
    <row r="363" spans="6:6">
      <c r="F363" s="4"/>
    </row>
    <row r="364" spans="6:6">
      <c r="F364" s="4"/>
    </row>
    <row r="365" spans="6:6">
      <c r="F365" s="4"/>
    </row>
    <row r="366" spans="6:6">
      <c r="F366" s="4"/>
    </row>
    <row r="367" spans="6:6">
      <c r="F367" s="4"/>
    </row>
    <row r="368" spans="6:6">
      <c r="F368" s="4"/>
    </row>
    <row r="369" spans="6:6">
      <c r="F369" s="4"/>
    </row>
    <row r="370" spans="6:6">
      <c r="F370" s="4"/>
    </row>
    <row r="371" spans="6:6">
      <c r="F371" s="4"/>
    </row>
    <row r="372" spans="6:6">
      <c r="F372" s="4"/>
    </row>
    <row r="373" spans="6:6">
      <c r="F373" s="4"/>
    </row>
    <row r="374" spans="6:6">
      <c r="F374" s="4"/>
    </row>
    <row r="375" spans="6:6">
      <c r="F375" s="4"/>
    </row>
    <row r="376" spans="6:6">
      <c r="F376" s="4"/>
    </row>
    <row r="377" spans="6:6">
      <c r="F377" s="4"/>
    </row>
    <row r="378" spans="6:6">
      <c r="F378" s="4"/>
    </row>
    <row r="379" spans="6:6">
      <c r="F379" s="4"/>
    </row>
    <row r="380" spans="6:6">
      <c r="F380" s="4"/>
    </row>
    <row r="381" spans="6:6">
      <c r="F381" s="4"/>
    </row>
    <row r="382" spans="6:6">
      <c r="F382" s="4"/>
    </row>
    <row r="383" spans="6:6">
      <c r="F383" s="4"/>
    </row>
    <row r="384" spans="6:6">
      <c r="F384" s="4"/>
    </row>
    <row r="385" spans="6:6">
      <c r="F385" s="4"/>
    </row>
    <row r="386" spans="6:6">
      <c r="F386" s="4"/>
    </row>
    <row r="387" spans="6:6">
      <c r="F387" s="4"/>
    </row>
    <row r="388" spans="6:6">
      <c r="F388" s="4"/>
    </row>
    <row r="389" spans="6:6">
      <c r="F389" s="4"/>
    </row>
    <row r="390" spans="6:6">
      <c r="F390" s="4"/>
    </row>
    <row r="391" spans="6:6">
      <c r="F391" s="4"/>
    </row>
    <row r="392" spans="6:6">
      <c r="F392" s="4"/>
    </row>
    <row r="393" spans="6:6">
      <c r="F393" s="4"/>
    </row>
    <row r="394" spans="6:6">
      <c r="F394" s="4"/>
    </row>
    <row r="395" spans="6:6">
      <c r="F395" s="4"/>
    </row>
    <row r="396" spans="6:6">
      <c r="F396" s="4"/>
    </row>
    <row r="397" spans="6:6">
      <c r="F397" s="4"/>
    </row>
    <row r="398" spans="6:6">
      <c r="F398" s="4"/>
    </row>
    <row r="399" spans="6:6">
      <c r="F399" s="4"/>
    </row>
    <row r="400" spans="6:6">
      <c r="F400" s="4"/>
    </row>
    <row r="401" spans="6:6">
      <c r="F401" s="4"/>
    </row>
    <row r="402" spans="6:6">
      <c r="F402" s="4"/>
    </row>
    <row r="403" spans="6:6">
      <c r="F403" s="4"/>
    </row>
    <row r="404" spans="6:6">
      <c r="F404" s="4"/>
    </row>
    <row r="405" spans="6:6">
      <c r="F405" s="4"/>
    </row>
    <row r="406" spans="6:6">
      <c r="F406" s="4"/>
    </row>
    <row r="407" spans="6:6">
      <c r="F407" s="4"/>
    </row>
    <row r="408" spans="6:6">
      <c r="F408" s="4"/>
    </row>
    <row r="409" spans="6:6">
      <c r="F409" s="4"/>
    </row>
    <row r="410" spans="6:6">
      <c r="F410" s="4"/>
    </row>
    <row r="411" spans="6:6">
      <c r="F411" s="4"/>
    </row>
    <row r="412" spans="6:6">
      <c r="F412" s="4"/>
    </row>
    <row r="413" spans="6:6">
      <c r="F413" s="4"/>
    </row>
    <row r="414" spans="6:6">
      <c r="F414" s="4"/>
    </row>
    <row r="415" spans="6:6">
      <c r="F415" s="4"/>
    </row>
    <row r="416" spans="6:6">
      <c r="F416" s="4"/>
    </row>
    <row r="417" spans="6:6">
      <c r="F417" s="4"/>
    </row>
    <row r="418" spans="6:6">
      <c r="F418" s="4"/>
    </row>
    <row r="419" spans="6:6">
      <c r="F419" s="4"/>
    </row>
    <row r="420" spans="6:6">
      <c r="F420" s="4"/>
    </row>
    <row r="421" spans="6:6">
      <c r="F421" s="4"/>
    </row>
    <row r="422" spans="6:6">
      <c r="F422" s="4"/>
    </row>
    <row r="423" spans="6:6">
      <c r="F423" s="4"/>
    </row>
    <row r="424" spans="6:6">
      <c r="F424" s="4"/>
    </row>
    <row r="425" spans="6:6">
      <c r="F425" s="4"/>
    </row>
    <row r="426" spans="6:6">
      <c r="F426" s="4"/>
    </row>
    <row r="427" spans="6:6">
      <c r="F427" s="4"/>
    </row>
    <row r="428" spans="6:6">
      <c r="F428" s="4"/>
    </row>
    <row r="429" spans="6:6">
      <c r="F429" s="4"/>
    </row>
    <row r="430" spans="6:6">
      <c r="F430" s="4"/>
    </row>
    <row r="431" spans="6:6">
      <c r="F431" s="4"/>
    </row>
    <row r="432" spans="6:6">
      <c r="F432" s="4"/>
    </row>
    <row r="433" spans="6:16">
      <c r="F433" s="4"/>
    </row>
    <row r="434" spans="6:16">
      <c r="F434" s="4"/>
    </row>
    <row r="435" spans="6:16">
      <c r="F435" s="4"/>
    </row>
    <row r="436" spans="6:16">
      <c r="F436" s="4"/>
    </row>
    <row r="437" spans="6:16">
      <c r="F437" s="4"/>
    </row>
    <row r="438" spans="6:16">
      <c r="F438" s="4"/>
    </row>
    <row r="439" spans="6:16">
      <c r="F439" s="4"/>
    </row>
    <row r="440" spans="6:16">
      <c r="F440" s="4"/>
    </row>
    <row r="441" spans="6:16">
      <c r="F441" s="4"/>
    </row>
    <row r="442" spans="6:16">
      <c r="F442" s="4"/>
    </row>
    <row r="443" spans="6:16">
      <c r="F443" s="4"/>
    </row>
    <row r="444" spans="6:16">
      <c r="P444" s="26"/>
    </row>
    <row r="445" spans="6:16">
      <c r="P445" s="26"/>
    </row>
    <row r="446" spans="6:16">
      <c r="P446" s="26"/>
    </row>
    <row r="447" spans="6:16">
      <c r="P447" s="26"/>
    </row>
    <row r="448" spans="6:16">
      <c r="P448" s="26"/>
    </row>
    <row r="449" spans="16:16">
      <c r="P449" s="26"/>
    </row>
    <row r="450" spans="16:16">
      <c r="P450" s="26"/>
    </row>
    <row r="451" spans="16:16">
      <c r="P451" s="26"/>
    </row>
    <row r="452" spans="16:16">
      <c r="P452" s="26"/>
    </row>
    <row r="453" spans="16:16">
      <c r="P453" s="26"/>
    </row>
    <row r="454" spans="16:16">
      <c r="P454" s="26"/>
    </row>
    <row r="455" spans="16:16">
      <c r="P455" s="26"/>
    </row>
    <row r="456" spans="16:16">
      <c r="P456" s="26"/>
    </row>
    <row r="457" spans="16:16">
      <c r="P457" s="26"/>
    </row>
    <row r="458" spans="16:16">
      <c r="P458" s="26"/>
    </row>
    <row r="459" spans="16:16">
      <c r="P459" s="26"/>
    </row>
    <row r="460" spans="16:16">
      <c r="P460" s="26"/>
    </row>
    <row r="461" spans="16:16">
      <c r="P461" s="26"/>
    </row>
    <row r="462" spans="16:16">
      <c r="P462" s="26"/>
    </row>
    <row r="463" spans="16:16">
      <c r="P463" s="26"/>
    </row>
    <row r="464" spans="16:16">
      <c r="P464" s="26"/>
    </row>
    <row r="465" spans="16:16">
      <c r="P465" s="26"/>
    </row>
    <row r="466" spans="16:16">
      <c r="P466" s="26"/>
    </row>
    <row r="467" spans="16:16">
      <c r="P467" s="26"/>
    </row>
    <row r="468" spans="16:16">
      <c r="P468" s="26"/>
    </row>
  </sheetData>
  <phoneticPr fontId="3" type="noConversion"/>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enableFormatConditionsCalculation="0">
    <tabColor rgb="FFFFCC99"/>
  </sheetPr>
  <dimension ref="B1:P182"/>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51.5703125" customWidth="1"/>
    <col min="3" max="3" width="2.5703125" customWidth="1"/>
    <col min="4" max="4" width="14.5703125" customWidth="1"/>
    <col min="5" max="5" width="2.5703125" customWidth="1"/>
    <col min="6" max="6" width="21.42578125" customWidth="1"/>
    <col min="7" max="14" width="14.85546875" customWidth="1"/>
    <col min="15" max="15" width="9.140625" customWidth="1"/>
    <col min="16" max="16" width="20.28515625" customWidth="1"/>
  </cols>
  <sheetData>
    <row r="1" spans="2:16" ht="12" customHeight="1"/>
    <row r="2" spans="2:16" s="1" customFormat="1" ht="19.5" customHeight="1">
      <c r="B2" s="1" t="s">
        <v>69</v>
      </c>
      <c r="F2" s="5" t="s">
        <v>177</v>
      </c>
      <c r="G2" s="5" t="s">
        <v>168</v>
      </c>
      <c r="H2" s="5" t="s">
        <v>169</v>
      </c>
      <c r="I2" s="5" t="s">
        <v>170</v>
      </c>
      <c r="J2" s="5" t="s">
        <v>171</v>
      </c>
      <c r="K2" s="5" t="s">
        <v>172</v>
      </c>
      <c r="L2" s="5" t="s">
        <v>173</v>
      </c>
      <c r="M2" s="5" t="s">
        <v>174</v>
      </c>
      <c r="N2" s="5" t="s">
        <v>175</v>
      </c>
      <c r="P2" s="5" t="s">
        <v>438</v>
      </c>
    </row>
    <row r="4" spans="2:16">
      <c r="B4" s="50" t="s">
        <v>256</v>
      </c>
      <c r="F4" s="46"/>
    </row>
    <row r="5" spans="2:16">
      <c r="B5" s="27"/>
      <c r="F5" s="46"/>
    </row>
    <row r="6" spans="2:16">
      <c r="B6" s="1213"/>
      <c r="C6" s="1213"/>
      <c r="D6" s="1213"/>
      <c r="F6" s="46"/>
    </row>
    <row r="8" spans="2:16" s="2" customFormat="1">
      <c r="B8" s="2" t="s">
        <v>70</v>
      </c>
    </row>
    <row r="11" spans="2:16">
      <c r="B11" s="3" t="s">
        <v>49</v>
      </c>
      <c r="F11" s="46"/>
      <c r="G11" s="27"/>
    </row>
    <row r="12" spans="2:16">
      <c r="B12" s="3"/>
      <c r="F12" s="46"/>
    </row>
    <row r="13" spans="2:16">
      <c r="B13" s="3"/>
      <c r="F13" s="46"/>
    </row>
    <row r="14" spans="2:16">
      <c r="B14" s="85" t="s">
        <v>212</v>
      </c>
      <c r="F14" s="46"/>
    </row>
    <row r="15" spans="2:16">
      <c r="B15" t="s">
        <v>213</v>
      </c>
      <c r="D15" t="s">
        <v>164</v>
      </c>
      <c r="F15" s="82">
        <f>SUM(G15:N15)</f>
        <v>12.363656149632011</v>
      </c>
      <c r="G15" s="166">
        <f>AVERAGE('Standaardisatie volumes TD'!G321,'Standaardisatie volumes TD'!G421,'Standaardisatie volumes TD'!G521)</f>
        <v>0</v>
      </c>
      <c r="H15" s="166">
        <f>AVERAGE('Standaardisatie volumes TD'!H321,'Standaardisatie volumes TD'!H421,'Standaardisatie volumes TD'!H521)</f>
        <v>0</v>
      </c>
      <c r="I15" s="166">
        <f>AVERAGE('Standaardisatie volumes TD'!I321,'Standaardisatie volumes TD'!I421,'Standaardisatie volumes TD'!I521)</f>
        <v>0</v>
      </c>
      <c r="J15" s="166">
        <f>AVERAGE('Standaardisatie volumes TD'!J321,'Standaardisatie volumes TD'!J421,'Standaardisatie volumes TD'!J521)</f>
        <v>0</v>
      </c>
      <c r="K15" s="166">
        <f>AVERAGE('Standaardisatie volumes TD'!K321,'Standaardisatie volumes TD'!K421,'Standaardisatie volumes TD'!K521)</f>
        <v>9.0000196762020597</v>
      </c>
      <c r="L15" s="166">
        <f>AVERAGE('Standaardisatie volumes TD'!L321,'Standaardisatie volumes TD'!L421,'Standaardisatie volumes TD'!L521)</f>
        <v>0</v>
      </c>
      <c r="M15" s="166">
        <f>AVERAGE('Standaardisatie volumes TD'!M321,'Standaardisatie volumes TD'!M421,'Standaardisatie volumes TD'!M521)</f>
        <v>3.3636364734299513</v>
      </c>
      <c r="N15" s="166">
        <f>AVERAGE('Standaardisatie volumes TD'!N321,'Standaardisatie volumes TD'!N421,'Standaardisatie volumes TD'!N521)</f>
        <v>0</v>
      </c>
      <c r="P15" s="50" t="s">
        <v>1095</v>
      </c>
    </row>
    <row r="16" spans="2:16">
      <c r="B16" t="s">
        <v>214</v>
      </c>
      <c r="D16" t="s">
        <v>164</v>
      </c>
      <c r="F16" s="82">
        <f>SUM(G16:N16)</f>
        <v>741644.25505979266</v>
      </c>
      <c r="G16" s="166">
        <f>AVERAGE('Standaardisatie volumes TD'!G322,'Standaardisatie volumes TD'!G422,'Standaardisatie volumes TD'!G522)</f>
        <v>0</v>
      </c>
      <c r="H16" s="166">
        <f>AVERAGE('Standaardisatie volumes TD'!H322,'Standaardisatie volumes TD'!H422,'Standaardisatie volumes TD'!H522)</f>
        <v>0</v>
      </c>
      <c r="I16" s="166">
        <f>AVERAGE('Standaardisatie volumes TD'!I322,'Standaardisatie volumes TD'!I422,'Standaardisatie volumes TD'!I522)</f>
        <v>0</v>
      </c>
      <c r="J16" s="166">
        <f>AVERAGE('Standaardisatie volumes TD'!J322,'Standaardisatie volumes TD'!J422,'Standaardisatie volumes TD'!J522)</f>
        <v>0</v>
      </c>
      <c r="K16" s="166">
        <f>AVERAGE('Standaardisatie volumes TD'!K322,'Standaardisatie volumes TD'!K422,'Standaardisatie volumes TD'!K522)</f>
        <v>471155.73990827746</v>
      </c>
      <c r="L16" s="166">
        <f>AVERAGE('Standaardisatie volumes TD'!L322,'Standaardisatie volumes TD'!L422,'Standaardisatie volumes TD'!L522)</f>
        <v>0</v>
      </c>
      <c r="M16" s="166">
        <f>AVERAGE('Standaardisatie volumes TD'!M322,'Standaardisatie volumes TD'!M422,'Standaardisatie volumes TD'!M522)</f>
        <v>270488.51515151514</v>
      </c>
      <c r="N16" s="166">
        <f>AVERAGE('Standaardisatie volumes TD'!N322,'Standaardisatie volumes TD'!N422,'Standaardisatie volumes TD'!N522)</f>
        <v>0</v>
      </c>
    </row>
    <row r="17" spans="2:14">
      <c r="B17" t="s">
        <v>215</v>
      </c>
      <c r="D17" t="s">
        <v>164</v>
      </c>
      <c r="F17" s="82">
        <f>SUM(G17:N17)</f>
        <v>7554254.1805117428</v>
      </c>
      <c r="G17" s="166">
        <f>AVERAGE('Standaardisatie volumes TD'!G323,'Standaardisatie volumes TD'!G423,'Standaardisatie volumes TD'!G523)</f>
        <v>0</v>
      </c>
      <c r="H17" s="166">
        <f>AVERAGE('Standaardisatie volumes TD'!H323,'Standaardisatie volumes TD'!H423,'Standaardisatie volumes TD'!H523)</f>
        <v>0</v>
      </c>
      <c r="I17" s="166">
        <f>AVERAGE('Standaardisatie volumes TD'!I323,'Standaardisatie volumes TD'!I423,'Standaardisatie volumes TD'!I523)</f>
        <v>0</v>
      </c>
      <c r="J17" s="166">
        <f>AVERAGE('Standaardisatie volumes TD'!J323,'Standaardisatie volumes TD'!J423,'Standaardisatie volumes TD'!J523)</f>
        <v>0</v>
      </c>
      <c r="K17" s="166">
        <f>AVERAGE('Standaardisatie volumes TD'!K323,'Standaardisatie volumes TD'!K423,'Standaardisatie volumes TD'!K523)</f>
        <v>4781828.363687682</v>
      </c>
      <c r="L17" s="166">
        <f>AVERAGE('Standaardisatie volumes TD'!L323,'Standaardisatie volumes TD'!L423,'Standaardisatie volumes TD'!L523)</f>
        <v>0</v>
      </c>
      <c r="M17" s="166">
        <f>AVERAGE('Standaardisatie volumes TD'!M323,'Standaardisatie volumes TD'!M423,'Standaardisatie volumes TD'!M523)</f>
        <v>2772425.8168240604</v>
      </c>
      <c r="N17" s="166">
        <f>AVERAGE('Standaardisatie volumes TD'!N323,'Standaardisatie volumes TD'!N423,'Standaardisatie volumes TD'!N523)</f>
        <v>0</v>
      </c>
    </row>
    <row r="18" spans="2:14">
      <c r="F18" s="46"/>
    </row>
    <row r="19" spans="2:14">
      <c r="B19" s="3" t="s">
        <v>216</v>
      </c>
      <c r="F19" s="46"/>
    </row>
    <row r="20" spans="2:14">
      <c r="B20" t="s">
        <v>213</v>
      </c>
      <c r="D20" t="s">
        <v>164</v>
      </c>
      <c r="F20" s="82">
        <f>SUM(G20:N20)</f>
        <v>6</v>
      </c>
      <c r="G20" s="166">
        <f>AVERAGE('Standaardisatie volumes TD'!G326,'Standaardisatie volumes TD'!G426,'Standaardisatie volumes TD'!G526)</f>
        <v>0</v>
      </c>
      <c r="H20" s="166">
        <f>AVERAGE('Standaardisatie volumes TD'!H326,'Standaardisatie volumes TD'!H426,'Standaardisatie volumes TD'!H526)</f>
        <v>0</v>
      </c>
      <c r="I20" s="166">
        <f>AVERAGE('Standaardisatie volumes TD'!I326,'Standaardisatie volumes TD'!I426,'Standaardisatie volumes TD'!I526)</f>
        <v>0</v>
      </c>
      <c r="J20" s="166">
        <f>AVERAGE('Standaardisatie volumes TD'!J326,'Standaardisatie volumes TD'!J426,'Standaardisatie volumes TD'!J526)</f>
        <v>0</v>
      </c>
      <c r="K20" s="166">
        <f>AVERAGE('Standaardisatie volumes TD'!K326,'Standaardisatie volumes TD'!K426,'Standaardisatie volumes TD'!K526)</f>
        <v>0</v>
      </c>
      <c r="L20" s="166">
        <f>AVERAGE('Standaardisatie volumes TD'!L326,'Standaardisatie volumes TD'!L426,'Standaardisatie volumes TD'!L526)</f>
        <v>0</v>
      </c>
      <c r="M20" s="166">
        <f>AVERAGE('Standaardisatie volumes TD'!M326,'Standaardisatie volumes TD'!M426,'Standaardisatie volumes TD'!M526)</f>
        <v>6</v>
      </c>
      <c r="N20" s="166">
        <f>AVERAGE('Standaardisatie volumes TD'!N326,'Standaardisatie volumes TD'!N426,'Standaardisatie volumes TD'!N526)</f>
        <v>0</v>
      </c>
    </row>
    <row r="21" spans="2:14">
      <c r="B21" t="s">
        <v>214</v>
      </c>
      <c r="D21" t="s">
        <v>164</v>
      </c>
      <c r="F21" s="82">
        <f>SUM(G21:N21)</f>
        <v>29204.60606060606</v>
      </c>
      <c r="G21" s="166">
        <f>AVERAGE('Standaardisatie volumes TD'!G327,'Standaardisatie volumes TD'!G427,'Standaardisatie volumes TD'!G527)</f>
        <v>0</v>
      </c>
      <c r="H21" s="166">
        <f>AVERAGE('Standaardisatie volumes TD'!H327,'Standaardisatie volumes TD'!H427,'Standaardisatie volumes TD'!H527)</f>
        <v>0</v>
      </c>
      <c r="I21" s="166">
        <f>AVERAGE('Standaardisatie volumes TD'!I327,'Standaardisatie volumes TD'!I427,'Standaardisatie volumes TD'!I527)</f>
        <v>0</v>
      </c>
      <c r="J21" s="166">
        <f>AVERAGE('Standaardisatie volumes TD'!J327,'Standaardisatie volumes TD'!J427,'Standaardisatie volumes TD'!J527)</f>
        <v>0</v>
      </c>
      <c r="K21" s="166">
        <f>AVERAGE('Standaardisatie volumes TD'!K327,'Standaardisatie volumes TD'!K427,'Standaardisatie volumes TD'!K527)</f>
        <v>0</v>
      </c>
      <c r="L21" s="166">
        <f>AVERAGE('Standaardisatie volumes TD'!L327,'Standaardisatie volumes TD'!L427,'Standaardisatie volumes TD'!L527)</f>
        <v>0</v>
      </c>
      <c r="M21" s="166">
        <f>AVERAGE('Standaardisatie volumes TD'!M327,'Standaardisatie volumes TD'!M427,'Standaardisatie volumes TD'!M527)</f>
        <v>29204.60606060606</v>
      </c>
      <c r="N21" s="166">
        <f>AVERAGE('Standaardisatie volumes TD'!N327,'Standaardisatie volumes TD'!N427,'Standaardisatie volumes TD'!N527)</f>
        <v>0</v>
      </c>
    </row>
    <row r="22" spans="2:14">
      <c r="B22" t="s">
        <v>217</v>
      </c>
      <c r="D22" t="s">
        <v>164</v>
      </c>
      <c r="F22" s="82">
        <f>SUM(G22:N22)</f>
        <v>225368.36268939392</v>
      </c>
      <c r="G22" s="166">
        <f>AVERAGE('Standaardisatie volumes TD'!G328,'Standaardisatie volumes TD'!G428,'Standaardisatie volumes TD'!G528)</f>
        <v>0</v>
      </c>
      <c r="H22" s="166">
        <f>AVERAGE('Standaardisatie volumes TD'!H328,'Standaardisatie volumes TD'!H428,'Standaardisatie volumes TD'!H528)</f>
        <v>0</v>
      </c>
      <c r="I22" s="166">
        <f>AVERAGE('Standaardisatie volumes TD'!I328,'Standaardisatie volumes TD'!I428,'Standaardisatie volumes TD'!I528)</f>
        <v>0</v>
      </c>
      <c r="J22" s="166">
        <f>AVERAGE('Standaardisatie volumes TD'!J328,'Standaardisatie volumes TD'!J428,'Standaardisatie volumes TD'!J528)</f>
        <v>0</v>
      </c>
      <c r="K22" s="166">
        <f>AVERAGE('Standaardisatie volumes TD'!K328,'Standaardisatie volumes TD'!K428,'Standaardisatie volumes TD'!K528)</f>
        <v>0</v>
      </c>
      <c r="L22" s="166">
        <f>AVERAGE('Standaardisatie volumes TD'!L328,'Standaardisatie volumes TD'!L428,'Standaardisatie volumes TD'!L528)</f>
        <v>0</v>
      </c>
      <c r="M22" s="166">
        <f>AVERAGE('Standaardisatie volumes TD'!M328,'Standaardisatie volumes TD'!M428,'Standaardisatie volumes TD'!M528)</f>
        <v>225368.36268939392</v>
      </c>
      <c r="N22" s="166">
        <f>AVERAGE('Standaardisatie volumes TD'!N328,'Standaardisatie volumes TD'!N428,'Standaardisatie volumes TD'!N528)</f>
        <v>0</v>
      </c>
    </row>
    <row r="23" spans="2:14">
      <c r="F23" s="46"/>
    </row>
    <row r="24" spans="2:14">
      <c r="B24" s="3" t="s">
        <v>218</v>
      </c>
      <c r="F24" s="46"/>
    </row>
    <row r="25" spans="2:14">
      <c r="B25" t="s">
        <v>213</v>
      </c>
      <c r="D25" t="s">
        <v>164</v>
      </c>
      <c r="F25" s="82">
        <f>SUM(G25:N25)</f>
        <v>88.566770059458321</v>
      </c>
      <c r="G25" s="166">
        <f>AVERAGE('Standaardisatie volumes TD'!G331,'Standaardisatie volumes TD'!G431,'Standaardisatie volumes TD'!G531)</f>
        <v>0</v>
      </c>
      <c r="H25" s="166">
        <f>AVERAGE('Standaardisatie volumes TD'!H331,'Standaardisatie volumes TD'!H431,'Standaardisatie volumes TD'!H531)</f>
        <v>1.9074070048309177</v>
      </c>
      <c r="I25" s="166">
        <f>AVERAGE('Standaardisatie volumes TD'!I331,'Standaardisatie volumes TD'!I431,'Standaardisatie volumes TD'!I531)</f>
        <v>0</v>
      </c>
      <c r="J25" s="166">
        <f>AVERAGE('Standaardisatie volumes TD'!J331,'Standaardisatie volumes TD'!J431,'Standaardisatie volumes TD'!J531)</f>
        <v>3.5455070448257615</v>
      </c>
      <c r="K25" s="166">
        <f>AVERAGE('Standaardisatie volumes TD'!K331,'Standaardisatie volumes TD'!K431,'Standaardisatie volumes TD'!K531)</f>
        <v>18.477492044057254</v>
      </c>
      <c r="L25" s="166">
        <f>AVERAGE('Standaardisatie volumes TD'!L331,'Standaardisatie volumes TD'!L431,'Standaardisatie volumes TD'!L531)</f>
        <v>0</v>
      </c>
      <c r="M25" s="166">
        <f>AVERAGE('Standaardisatie volumes TD'!M331,'Standaardisatie volumes TD'!M431,'Standaardisatie volumes TD'!M531)</f>
        <v>64.636363965744394</v>
      </c>
      <c r="N25" s="166">
        <f>AVERAGE('Standaardisatie volumes TD'!N331,'Standaardisatie volumes TD'!N431,'Standaardisatie volumes TD'!N531)</f>
        <v>0</v>
      </c>
    </row>
    <row r="26" spans="2:14">
      <c r="B26" t="s">
        <v>214</v>
      </c>
      <c r="D26" t="s">
        <v>164</v>
      </c>
      <c r="F26" s="82">
        <f>SUM(G26:N26)</f>
        <v>865638.79371497559</v>
      </c>
      <c r="G26" s="166">
        <f>AVERAGE('Standaardisatie volumes TD'!G332,'Standaardisatie volumes TD'!G432,'Standaardisatie volumes TD'!G532)</f>
        <v>0</v>
      </c>
      <c r="H26" s="166">
        <f>AVERAGE('Standaardisatie volumes TD'!H332,'Standaardisatie volumes TD'!H432,'Standaardisatie volumes TD'!H532)</f>
        <v>25570.620370370369</v>
      </c>
      <c r="I26" s="166">
        <f>AVERAGE('Standaardisatie volumes TD'!I332,'Standaardisatie volumes TD'!I432,'Standaardisatie volumes TD'!I532)</f>
        <v>0</v>
      </c>
      <c r="J26" s="166">
        <f>AVERAGE('Standaardisatie volumes TD'!J332,'Standaardisatie volumes TD'!J432,'Standaardisatie volumes TD'!J532)</f>
        <v>65246.509240481479</v>
      </c>
      <c r="K26" s="166">
        <f>AVERAGE('Standaardisatie volumes TD'!K332,'Standaardisatie volumes TD'!K432,'Standaardisatie volumes TD'!K532)</f>
        <v>123410.08821814531</v>
      </c>
      <c r="L26" s="166">
        <f>AVERAGE('Standaardisatie volumes TD'!L332,'Standaardisatie volumes TD'!L432,'Standaardisatie volumes TD'!L532)</f>
        <v>0</v>
      </c>
      <c r="M26" s="166">
        <f>AVERAGE('Standaardisatie volumes TD'!M332,'Standaardisatie volumes TD'!M432,'Standaardisatie volumes TD'!M532)</f>
        <v>651411.57588597841</v>
      </c>
      <c r="N26" s="166">
        <f>AVERAGE('Standaardisatie volumes TD'!N332,'Standaardisatie volumes TD'!N432,'Standaardisatie volumes TD'!N532)</f>
        <v>0</v>
      </c>
    </row>
    <row r="27" spans="2:14">
      <c r="B27" t="s">
        <v>215</v>
      </c>
      <c r="D27" t="s">
        <v>164</v>
      </c>
      <c r="F27" s="82">
        <f>SUM(G27:N27)</f>
        <v>7847816.440094904</v>
      </c>
      <c r="G27" s="166">
        <f>AVERAGE('Standaardisatie volumes TD'!G333,'Standaardisatie volumes TD'!G433,'Standaardisatie volumes TD'!G533)</f>
        <v>0</v>
      </c>
      <c r="H27" s="166">
        <f>AVERAGE('Standaardisatie volumes TD'!H333,'Standaardisatie volumes TD'!H433,'Standaardisatie volumes TD'!H533)</f>
        <v>273820.66503267974</v>
      </c>
      <c r="I27" s="166">
        <f>AVERAGE('Standaardisatie volumes TD'!I333,'Standaardisatie volumes TD'!I433,'Standaardisatie volumes TD'!I533)</f>
        <v>0</v>
      </c>
      <c r="J27" s="166">
        <f>AVERAGE('Standaardisatie volumes TD'!J333,'Standaardisatie volumes TD'!J433,'Standaardisatie volumes TD'!J533)</f>
        <v>620960.00738594739</v>
      </c>
      <c r="K27" s="166">
        <f>AVERAGE('Standaardisatie volumes TD'!K333,'Standaardisatie volumes TD'!K433,'Standaardisatie volumes TD'!K533)</f>
        <v>1202933.8280905464</v>
      </c>
      <c r="L27" s="166">
        <f>AVERAGE('Standaardisatie volumes TD'!L333,'Standaardisatie volumes TD'!L433,'Standaardisatie volumes TD'!L533)</f>
        <v>0</v>
      </c>
      <c r="M27" s="166">
        <f>AVERAGE('Standaardisatie volumes TD'!M333,'Standaardisatie volumes TD'!M433,'Standaardisatie volumes TD'!M533)</f>
        <v>5750101.9395857304</v>
      </c>
      <c r="N27" s="166">
        <f>AVERAGE('Standaardisatie volumes TD'!N333,'Standaardisatie volumes TD'!N433,'Standaardisatie volumes TD'!N533)</f>
        <v>0</v>
      </c>
    </row>
    <row r="28" spans="2:14">
      <c r="F28" s="46"/>
    </row>
    <row r="29" spans="2:14">
      <c r="B29" s="3" t="s">
        <v>219</v>
      </c>
      <c r="F29" s="46"/>
    </row>
    <row r="30" spans="2:14">
      <c r="B30" t="s">
        <v>213</v>
      </c>
      <c r="D30" t="s">
        <v>164</v>
      </c>
      <c r="F30" s="82">
        <f>SUM(G30:N30)</f>
        <v>25.00240921159094</v>
      </c>
      <c r="G30" s="166">
        <f>AVERAGE('Standaardisatie volumes TD'!G336,'Standaardisatie volumes TD'!G436,'Standaardisatie volumes TD'!G536)</f>
        <v>0</v>
      </c>
      <c r="H30" s="166">
        <f>AVERAGE('Standaardisatie volumes TD'!H336,'Standaardisatie volumes TD'!H436,'Standaardisatie volumes TD'!H536)</f>
        <v>0</v>
      </c>
      <c r="I30" s="166">
        <f>AVERAGE('Standaardisatie volumes TD'!I336,'Standaardisatie volumes TD'!I436,'Standaardisatie volumes TD'!I536)</f>
        <v>0</v>
      </c>
      <c r="J30" s="166">
        <f>AVERAGE('Standaardisatie volumes TD'!J336,'Standaardisatie volumes TD'!J436,'Standaardisatie volumes TD'!J536)</f>
        <v>1.6363898860492447</v>
      </c>
      <c r="K30" s="166">
        <f>AVERAGE('Standaardisatie volumes TD'!K336,'Standaardisatie volumes TD'!K436,'Standaardisatie volumes TD'!K536)</f>
        <v>12.002382852111745</v>
      </c>
      <c r="L30" s="166">
        <f>AVERAGE('Standaardisatie volumes TD'!L336,'Standaardisatie volumes TD'!L436,'Standaardisatie volumes TD'!L536)</f>
        <v>0</v>
      </c>
      <c r="M30" s="166">
        <f>AVERAGE('Standaardisatie volumes TD'!M336,'Standaardisatie volumes TD'!M436,'Standaardisatie volumes TD'!M536)</f>
        <v>11.363636473429951</v>
      </c>
      <c r="N30" s="166">
        <f>AVERAGE('Standaardisatie volumes TD'!N336,'Standaardisatie volumes TD'!N436,'Standaardisatie volumes TD'!N536)</f>
        <v>0</v>
      </c>
    </row>
    <row r="31" spans="2:14">
      <c r="B31" t="s">
        <v>214</v>
      </c>
      <c r="D31" t="s">
        <v>164</v>
      </c>
      <c r="F31" s="82">
        <f>SUM(G31:N31)</f>
        <v>351237.13555039908</v>
      </c>
      <c r="G31" s="166">
        <f>AVERAGE('Standaardisatie volumes TD'!G337,'Standaardisatie volumes TD'!G437,'Standaardisatie volumes TD'!G537)</f>
        <v>0</v>
      </c>
      <c r="H31" s="166">
        <f>AVERAGE('Standaardisatie volumes TD'!H337,'Standaardisatie volumes TD'!H437,'Standaardisatie volumes TD'!H537)</f>
        <v>0</v>
      </c>
      <c r="I31" s="166">
        <f>AVERAGE('Standaardisatie volumes TD'!I337,'Standaardisatie volumes TD'!I437,'Standaardisatie volumes TD'!I537)</f>
        <v>0</v>
      </c>
      <c r="J31" s="166">
        <f>AVERAGE('Standaardisatie volumes TD'!J337,'Standaardisatie volumes TD'!J437,'Standaardisatie volumes TD'!J537)</f>
        <v>9471.7609484006243</v>
      </c>
      <c r="K31" s="166">
        <f>AVERAGE('Standaardisatie volumes TD'!K337,'Standaardisatie volumes TD'!K437,'Standaardisatie volumes TD'!K537)</f>
        <v>72674.708063734477</v>
      </c>
      <c r="L31" s="166">
        <f>AVERAGE('Standaardisatie volumes TD'!L337,'Standaardisatie volumes TD'!L437,'Standaardisatie volumes TD'!L537)</f>
        <v>0</v>
      </c>
      <c r="M31" s="166">
        <f>AVERAGE('Standaardisatie volumes TD'!M337,'Standaardisatie volumes TD'!M437,'Standaardisatie volumes TD'!M537)</f>
        <v>269090.66653826396</v>
      </c>
      <c r="N31" s="166">
        <f>AVERAGE('Standaardisatie volumes TD'!N337,'Standaardisatie volumes TD'!N437,'Standaardisatie volumes TD'!N537)</f>
        <v>0</v>
      </c>
    </row>
    <row r="32" spans="2:14">
      <c r="B32" t="s">
        <v>217</v>
      </c>
      <c r="D32" t="s">
        <v>164</v>
      </c>
      <c r="F32" s="82">
        <f>SUM(G32:N32)</f>
        <v>4714837.5043022633</v>
      </c>
      <c r="G32" s="166">
        <f>AVERAGE('Standaardisatie volumes TD'!G338,'Standaardisatie volumes TD'!G438,'Standaardisatie volumes TD'!G538)</f>
        <v>0</v>
      </c>
      <c r="H32" s="166">
        <f>AVERAGE('Standaardisatie volumes TD'!H338,'Standaardisatie volumes TD'!H438,'Standaardisatie volumes TD'!H538)</f>
        <v>0</v>
      </c>
      <c r="I32" s="166">
        <f>AVERAGE('Standaardisatie volumes TD'!I338,'Standaardisatie volumes TD'!I438,'Standaardisatie volumes TD'!I538)</f>
        <v>0</v>
      </c>
      <c r="J32" s="166">
        <f>AVERAGE('Standaardisatie volumes TD'!J338,'Standaardisatie volumes TD'!J438,'Standaardisatie volumes TD'!J538)</f>
        <v>83121.452813852826</v>
      </c>
      <c r="K32" s="166">
        <f>AVERAGE('Standaardisatie volumes TD'!K338,'Standaardisatie volumes TD'!K438,'Standaardisatie volumes TD'!K538)</f>
        <v>1121269.1414039603</v>
      </c>
      <c r="L32" s="166">
        <f>AVERAGE('Standaardisatie volumes TD'!L338,'Standaardisatie volumes TD'!L438,'Standaardisatie volumes TD'!L538)</f>
        <v>0</v>
      </c>
      <c r="M32" s="166">
        <f>AVERAGE('Standaardisatie volumes TD'!M338,'Standaardisatie volumes TD'!M438,'Standaardisatie volumes TD'!M538)</f>
        <v>3510446.9100844506</v>
      </c>
      <c r="N32" s="166">
        <f>AVERAGE('Standaardisatie volumes TD'!N338,'Standaardisatie volumes TD'!N438,'Standaardisatie volumes TD'!N538)</f>
        <v>0</v>
      </c>
    </row>
    <row r="33" spans="2:14">
      <c r="F33" s="46"/>
    </row>
    <row r="34" spans="2:14">
      <c r="B34" s="3" t="s">
        <v>220</v>
      </c>
      <c r="F34" s="46"/>
    </row>
    <row r="35" spans="2:14">
      <c r="B35" t="s">
        <v>213</v>
      </c>
      <c r="D35" t="s">
        <v>164</v>
      </c>
      <c r="F35" s="82">
        <f>SUM(G35:N35)</f>
        <v>683.8591889261869</v>
      </c>
      <c r="G35" s="166">
        <f>AVERAGE('Standaardisatie volumes TD'!G341,'Standaardisatie volumes TD'!G441,'Standaardisatie volumes TD'!G541)</f>
        <v>0</v>
      </c>
      <c r="H35" s="166">
        <f>AVERAGE('Standaardisatie volumes TD'!H341,'Standaardisatie volumes TD'!H441,'Standaardisatie volumes TD'!H541)</f>
        <v>44.25</v>
      </c>
      <c r="I35" s="166">
        <f>AVERAGE('Standaardisatie volumes TD'!I341,'Standaardisatie volumes TD'!I441,'Standaardisatie volumes TD'!I541)</f>
        <v>1</v>
      </c>
      <c r="J35" s="166">
        <f>AVERAGE('Standaardisatie volumes TD'!J341,'Standaardisatie volumes TD'!J441,'Standaardisatie volumes TD'!J541)</f>
        <v>182.93615437156924</v>
      </c>
      <c r="K35" s="166">
        <f>AVERAGE('Standaardisatie volumes TD'!K341,'Standaardisatie volumes TD'!K441,'Standaardisatie volumes TD'!K541)</f>
        <v>321.79677258711655</v>
      </c>
      <c r="L35" s="166">
        <f>AVERAGE('Standaardisatie volumes TD'!L341,'Standaardisatie volumes TD'!L441,'Standaardisatie volumes TD'!L541)</f>
        <v>0</v>
      </c>
      <c r="M35" s="166">
        <f>AVERAGE('Standaardisatie volumes TD'!M341,'Standaardisatie volumes TD'!M441,'Standaardisatie volumes TD'!M541)</f>
        <v>128.84848418972334</v>
      </c>
      <c r="N35" s="166">
        <f>AVERAGE('Standaardisatie volumes TD'!N341,'Standaardisatie volumes TD'!N441,'Standaardisatie volumes TD'!N541)</f>
        <v>5.0277777777777777</v>
      </c>
    </row>
    <row r="36" spans="2:14">
      <c r="B36" t="s">
        <v>214</v>
      </c>
      <c r="D36" t="s">
        <v>164</v>
      </c>
      <c r="F36" s="82">
        <f>SUM(G36:N36)</f>
        <v>3029266.615022325</v>
      </c>
      <c r="G36" s="166">
        <f>AVERAGE('Standaardisatie volumes TD'!G342,'Standaardisatie volumes TD'!G442,'Standaardisatie volumes TD'!G542)</f>
        <v>0</v>
      </c>
      <c r="H36" s="166">
        <f>AVERAGE('Standaardisatie volumes TD'!H342,'Standaardisatie volumes TD'!H442,'Standaardisatie volumes TD'!H542)</f>
        <v>87302.888888888891</v>
      </c>
      <c r="I36" s="166">
        <f>AVERAGE('Standaardisatie volumes TD'!I342,'Standaardisatie volumes TD'!I442,'Standaardisatie volumes TD'!I542)</f>
        <v>14864.26815717665</v>
      </c>
      <c r="J36" s="166">
        <f>AVERAGE('Standaardisatie volumes TD'!J342,'Standaardisatie volumes TD'!J442,'Standaardisatie volumes TD'!J542)</f>
        <v>1355587.1943745094</v>
      </c>
      <c r="K36" s="166">
        <f>AVERAGE('Standaardisatie volumes TD'!K342,'Standaardisatie volumes TD'!K442,'Standaardisatie volumes TD'!K542)</f>
        <v>1086166.1947839276</v>
      </c>
      <c r="L36" s="166">
        <f>AVERAGE('Standaardisatie volumes TD'!L342,'Standaardisatie volumes TD'!L442,'Standaardisatie volumes TD'!L542)</f>
        <v>0</v>
      </c>
      <c r="M36" s="166">
        <f>AVERAGE('Standaardisatie volumes TD'!M342,'Standaardisatie volumes TD'!M442,'Standaardisatie volumes TD'!M542)</f>
        <v>453573.45463878807</v>
      </c>
      <c r="N36" s="166">
        <f>AVERAGE('Standaardisatie volumes TD'!N342,'Standaardisatie volumes TD'!N442,'Standaardisatie volumes TD'!N542)</f>
        <v>31772.614179034095</v>
      </c>
    </row>
    <row r="37" spans="2:14">
      <c r="B37" t="s">
        <v>215</v>
      </c>
      <c r="D37" t="s">
        <v>164</v>
      </c>
      <c r="F37" s="82">
        <f>SUM(G37:N37)</f>
        <v>28668613.047782127</v>
      </c>
      <c r="G37" s="166">
        <f>AVERAGE('Standaardisatie volumes TD'!G343,'Standaardisatie volumes TD'!G443,'Standaardisatie volumes TD'!G543)</f>
        <v>0</v>
      </c>
      <c r="H37" s="166">
        <f>AVERAGE('Standaardisatie volumes TD'!H343,'Standaardisatie volumes TD'!H443,'Standaardisatie volumes TD'!H543)</f>
        <v>690124.52380952379</v>
      </c>
      <c r="I37" s="166">
        <f>AVERAGE('Standaardisatie volumes TD'!I343,'Standaardisatie volumes TD'!I443,'Standaardisatie volumes TD'!I543)</f>
        <v>166831.79892515155</v>
      </c>
      <c r="J37" s="166">
        <f>AVERAGE('Standaardisatie volumes TD'!J343,'Standaardisatie volumes TD'!J443,'Standaardisatie volumes TD'!J543)</f>
        <v>13434268.934637122</v>
      </c>
      <c r="K37" s="166">
        <f>AVERAGE('Standaardisatie volumes TD'!K343,'Standaardisatie volumes TD'!K443,'Standaardisatie volumes TD'!K543)</f>
        <v>9985956.5413381048</v>
      </c>
      <c r="L37" s="166">
        <f>AVERAGE('Standaardisatie volumes TD'!L343,'Standaardisatie volumes TD'!L443,'Standaardisatie volumes TD'!L543)</f>
        <v>0</v>
      </c>
      <c r="M37" s="166">
        <f>AVERAGE('Standaardisatie volumes TD'!M343,'Standaardisatie volumes TD'!M443,'Standaardisatie volumes TD'!M543)</f>
        <v>4098437.0925608738</v>
      </c>
      <c r="N37" s="166">
        <f>AVERAGE('Standaardisatie volumes TD'!N343,'Standaardisatie volumes TD'!N443,'Standaardisatie volumes TD'!N543)</f>
        <v>292994.15651135007</v>
      </c>
    </row>
    <row r="38" spans="2:14">
      <c r="F38" s="46"/>
    </row>
    <row r="39" spans="2:14">
      <c r="B39" s="3" t="s">
        <v>221</v>
      </c>
      <c r="F39" s="46"/>
    </row>
    <row r="40" spans="2:14">
      <c r="B40" t="s">
        <v>213</v>
      </c>
      <c r="D40" t="s">
        <v>164</v>
      </c>
      <c r="F40" s="82">
        <f>SUM(G40:N40)</f>
        <v>30.124744912274966</v>
      </c>
      <c r="G40" s="166">
        <f>AVERAGE('Standaardisatie volumes TD'!G346,'Standaardisatie volumes TD'!G446,'Standaardisatie volumes TD'!G546)</f>
        <v>0</v>
      </c>
      <c r="H40" s="166">
        <f>AVERAGE('Standaardisatie volumes TD'!H346,'Standaardisatie volumes TD'!H446,'Standaardisatie volumes TD'!H546)</f>
        <v>1</v>
      </c>
      <c r="I40" s="166">
        <f>AVERAGE('Standaardisatie volumes TD'!I346,'Standaardisatie volumes TD'!I446,'Standaardisatie volumes TD'!I546)</f>
        <v>0</v>
      </c>
      <c r="J40" s="166">
        <f>AVERAGE('Standaardisatie volumes TD'!J346,'Standaardisatie volumes TD'!J446,'Standaardisatie volumes TD'!J546)</f>
        <v>10.096436133613892</v>
      </c>
      <c r="K40" s="166">
        <f>AVERAGE('Standaardisatie volumes TD'!K346,'Standaardisatie volumes TD'!K446,'Standaardisatie volumes TD'!K546)</f>
        <v>15.391945252091025</v>
      </c>
      <c r="L40" s="166">
        <f>AVERAGE('Standaardisatie volumes TD'!L346,'Standaardisatie volumes TD'!L446,'Standaardisatie volumes TD'!L546)</f>
        <v>0</v>
      </c>
      <c r="M40" s="166">
        <f>AVERAGE('Standaardisatie volumes TD'!M346,'Standaardisatie volumes TD'!M446,'Standaardisatie volumes TD'!M546)</f>
        <v>3.6363635265700487</v>
      </c>
      <c r="N40" s="166">
        <f>AVERAGE('Standaardisatie volumes TD'!N346,'Standaardisatie volumes TD'!N446,'Standaardisatie volumes TD'!N546)</f>
        <v>0</v>
      </c>
    </row>
    <row r="41" spans="2:14">
      <c r="B41" t="s">
        <v>214</v>
      </c>
      <c r="D41" t="s">
        <v>164</v>
      </c>
      <c r="F41" s="82">
        <f>SUM(G41:N41)</f>
        <v>129537.20687426408</v>
      </c>
      <c r="G41" s="166">
        <f>AVERAGE('Standaardisatie volumes TD'!G347,'Standaardisatie volumes TD'!G447,'Standaardisatie volumes TD'!G547)</f>
        <v>0</v>
      </c>
      <c r="H41" s="166">
        <f>AVERAGE('Standaardisatie volumes TD'!H347,'Standaardisatie volumes TD'!H447,'Standaardisatie volumes TD'!H547)</f>
        <v>9116</v>
      </c>
      <c r="I41" s="166">
        <f>AVERAGE('Standaardisatie volumes TD'!I347,'Standaardisatie volumes TD'!I447,'Standaardisatie volumes TD'!I547)</f>
        <v>0</v>
      </c>
      <c r="J41" s="166">
        <f>AVERAGE('Standaardisatie volumes TD'!J347,'Standaardisatie volumes TD'!J447,'Standaardisatie volumes TD'!J547)</f>
        <v>63623.429487925016</v>
      </c>
      <c r="K41" s="166">
        <f>AVERAGE('Standaardisatie volumes TD'!K347,'Standaardisatie volumes TD'!K447,'Standaardisatie volumes TD'!K547)</f>
        <v>41462.746936917305</v>
      </c>
      <c r="L41" s="166">
        <f>AVERAGE('Standaardisatie volumes TD'!L347,'Standaardisatie volumes TD'!L447,'Standaardisatie volumes TD'!L547)</f>
        <v>0</v>
      </c>
      <c r="M41" s="166">
        <f>AVERAGE('Standaardisatie volumes TD'!M347,'Standaardisatie volumes TD'!M447,'Standaardisatie volumes TD'!M547)</f>
        <v>15335.030449421756</v>
      </c>
      <c r="N41" s="166">
        <f>AVERAGE('Standaardisatie volumes TD'!N347,'Standaardisatie volumes TD'!N447,'Standaardisatie volumes TD'!N547)</f>
        <v>0</v>
      </c>
    </row>
    <row r="42" spans="2:14">
      <c r="B42" t="s">
        <v>217</v>
      </c>
      <c r="D42" t="s">
        <v>164</v>
      </c>
      <c r="F42" s="82">
        <f>SUM(G42:N42)</f>
        <v>1988337.0941490501</v>
      </c>
      <c r="G42" s="166">
        <f>AVERAGE('Standaardisatie volumes TD'!G348,'Standaardisatie volumes TD'!G448,'Standaardisatie volumes TD'!G548)</f>
        <v>0</v>
      </c>
      <c r="H42" s="166">
        <f>AVERAGE('Standaardisatie volumes TD'!H348,'Standaardisatie volumes TD'!H448,'Standaardisatie volumes TD'!H548)</f>
        <v>166372.38095238095</v>
      </c>
      <c r="I42" s="166">
        <f>AVERAGE('Standaardisatie volumes TD'!I348,'Standaardisatie volumes TD'!I448,'Standaardisatie volumes TD'!I548)</f>
        <v>0</v>
      </c>
      <c r="J42" s="166">
        <f>AVERAGE('Standaardisatie volumes TD'!J348,'Standaardisatie volumes TD'!J448,'Standaardisatie volumes TD'!J548)</f>
        <v>1005191.4048389882</v>
      </c>
      <c r="K42" s="166">
        <f>AVERAGE('Standaardisatie volumes TD'!K348,'Standaardisatie volumes TD'!K448,'Standaardisatie volumes TD'!K548)</f>
        <v>626175.4901758628</v>
      </c>
      <c r="L42" s="166">
        <f>AVERAGE('Standaardisatie volumes TD'!L348,'Standaardisatie volumes TD'!L448,'Standaardisatie volumes TD'!L548)</f>
        <v>0</v>
      </c>
      <c r="M42" s="166">
        <f>AVERAGE('Standaardisatie volumes TD'!M348,'Standaardisatie volumes TD'!M448,'Standaardisatie volumes TD'!M548)</f>
        <v>190597.81818181821</v>
      </c>
      <c r="N42" s="166">
        <f>AVERAGE('Standaardisatie volumes TD'!N348,'Standaardisatie volumes TD'!N448,'Standaardisatie volumes TD'!N548)</f>
        <v>0</v>
      </c>
    </row>
    <row r="43" spans="2:14">
      <c r="F43" s="46"/>
    </row>
    <row r="44" spans="2:14">
      <c r="F44" s="46"/>
    </row>
    <row r="45" spans="2:14">
      <c r="F45" s="46"/>
    </row>
    <row r="46" spans="2:14">
      <c r="F46" s="46"/>
    </row>
    <row r="47" spans="2:14">
      <c r="F47" s="46"/>
    </row>
    <row r="48" spans="2:14">
      <c r="B48" s="3" t="s">
        <v>50</v>
      </c>
      <c r="F48" s="46"/>
    </row>
    <row r="49" spans="2:14">
      <c r="F49" s="46"/>
    </row>
    <row r="50" spans="2:14">
      <c r="F50" s="46"/>
    </row>
    <row r="51" spans="2:14">
      <c r="B51" s="3" t="s">
        <v>222</v>
      </c>
      <c r="F51" s="46"/>
    </row>
    <row r="52" spans="2:14">
      <c r="B52" t="s">
        <v>213</v>
      </c>
      <c r="D52" t="s">
        <v>164</v>
      </c>
      <c r="F52" s="82">
        <f>SUM(G52:N52)</f>
        <v>268.58188690336686</v>
      </c>
      <c r="G52" s="166">
        <f>AVERAGE('Standaardisatie volumes TD'!G358,'Standaardisatie volumes TD'!G458,'Standaardisatie volumes TD'!G558)</f>
        <v>0</v>
      </c>
      <c r="H52" s="166">
        <f>AVERAGE('Standaardisatie volumes TD'!H358,'Standaardisatie volumes TD'!H458,'Standaardisatie volumes TD'!H558)</f>
        <v>0</v>
      </c>
      <c r="I52" s="166">
        <f>AVERAGE('Standaardisatie volumes TD'!I358,'Standaardisatie volumes TD'!I458,'Standaardisatie volumes TD'!I558)</f>
        <v>4</v>
      </c>
      <c r="J52" s="166">
        <f>AVERAGE('Standaardisatie volumes TD'!J358,'Standaardisatie volumes TD'!J458,'Standaardisatie volumes TD'!J558)</f>
        <v>262.66522023670018</v>
      </c>
      <c r="K52" s="166">
        <f>AVERAGE('Standaardisatie volumes TD'!K358,'Standaardisatie volumes TD'!K458,'Standaardisatie volumes TD'!K558)</f>
        <v>0</v>
      </c>
      <c r="L52" s="166">
        <f>AVERAGE('Standaardisatie volumes TD'!L358,'Standaardisatie volumes TD'!L458,'Standaardisatie volumes TD'!L558)</f>
        <v>1.9166666666666667</v>
      </c>
      <c r="M52" s="166">
        <f>AVERAGE('Standaardisatie volumes TD'!M358,'Standaardisatie volumes TD'!M458,'Standaardisatie volumes TD'!M558)</f>
        <v>0</v>
      </c>
      <c r="N52" s="166">
        <f>AVERAGE('Standaardisatie volumes TD'!N358,'Standaardisatie volumes TD'!N458,'Standaardisatie volumes TD'!N558)</f>
        <v>0</v>
      </c>
    </row>
    <row r="53" spans="2:14">
      <c r="B53" t="s">
        <v>223</v>
      </c>
      <c r="D53" t="s">
        <v>164</v>
      </c>
      <c r="F53" s="82">
        <f>SUM(G53:N53)</f>
        <v>772761.00368837151</v>
      </c>
      <c r="G53" s="166">
        <f>AVERAGE('Standaardisatie volumes TD'!G359,'Standaardisatie volumes TD'!G459,'Standaardisatie volumes TD'!G559)</f>
        <v>0</v>
      </c>
      <c r="H53" s="166">
        <f>AVERAGE('Standaardisatie volumes TD'!H359,'Standaardisatie volumes TD'!H459,'Standaardisatie volumes TD'!H559)</f>
        <v>0</v>
      </c>
      <c r="I53" s="166">
        <f>AVERAGE('Standaardisatie volumes TD'!I359,'Standaardisatie volumes TD'!I459,'Standaardisatie volumes TD'!I559)</f>
        <v>23095.342988819899</v>
      </c>
      <c r="J53" s="166">
        <f>AVERAGE('Standaardisatie volumes TD'!J359,'Standaardisatie volumes TD'!J459,'Standaardisatie volumes TD'!J559)</f>
        <v>738066.99403288495</v>
      </c>
      <c r="K53" s="166">
        <f>AVERAGE('Standaardisatie volumes TD'!K359,'Standaardisatie volumes TD'!K459,'Standaardisatie volumes TD'!K559)</f>
        <v>0</v>
      </c>
      <c r="L53" s="166">
        <f>AVERAGE('Standaardisatie volumes TD'!L359,'Standaardisatie volumes TD'!L459,'Standaardisatie volumes TD'!L559)</f>
        <v>11598.666666666666</v>
      </c>
      <c r="M53" s="166">
        <f>AVERAGE('Standaardisatie volumes TD'!M359,'Standaardisatie volumes TD'!M459,'Standaardisatie volumes TD'!M559)</f>
        <v>0</v>
      </c>
      <c r="N53" s="166">
        <f>AVERAGE('Standaardisatie volumes TD'!N359,'Standaardisatie volumes TD'!N459,'Standaardisatie volumes TD'!N559)</f>
        <v>0</v>
      </c>
    </row>
    <row r="54" spans="2:14">
      <c r="B54" t="s">
        <v>215</v>
      </c>
      <c r="D54" t="s">
        <v>164</v>
      </c>
      <c r="F54" s="82">
        <f>SUM(G54:N54)</f>
        <v>7451785.2381564947</v>
      </c>
      <c r="G54" s="166">
        <f>AVERAGE('Standaardisatie volumes TD'!G360,'Standaardisatie volumes TD'!G460,'Standaardisatie volumes TD'!G560)</f>
        <v>0</v>
      </c>
      <c r="H54" s="166">
        <f>AVERAGE('Standaardisatie volumes TD'!H360,'Standaardisatie volumes TD'!H460,'Standaardisatie volumes TD'!H560)</f>
        <v>0</v>
      </c>
      <c r="I54" s="166">
        <f>AVERAGE('Standaardisatie volumes TD'!I360,'Standaardisatie volumes TD'!I460,'Standaardisatie volumes TD'!I560)</f>
        <v>247535.59175073914</v>
      </c>
      <c r="J54" s="166">
        <f>AVERAGE('Standaardisatie volumes TD'!J360,'Standaardisatie volumes TD'!J460,'Standaardisatie volumes TD'!J560)</f>
        <v>7095795.9797390886</v>
      </c>
      <c r="K54" s="166">
        <f>AVERAGE('Standaardisatie volumes TD'!K360,'Standaardisatie volumes TD'!K460,'Standaardisatie volumes TD'!K560)</f>
        <v>0</v>
      </c>
      <c r="L54" s="166">
        <f>AVERAGE('Standaardisatie volumes TD'!L360,'Standaardisatie volumes TD'!L460,'Standaardisatie volumes TD'!L560)</f>
        <v>108453.66666666667</v>
      </c>
      <c r="M54" s="166">
        <f>AVERAGE('Standaardisatie volumes TD'!M360,'Standaardisatie volumes TD'!M460,'Standaardisatie volumes TD'!M560)</f>
        <v>0</v>
      </c>
      <c r="N54" s="166">
        <f>AVERAGE('Standaardisatie volumes TD'!N360,'Standaardisatie volumes TD'!N460,'Standaardisatie volumes TD'!N560)</f>
        <v>0</v>
      </c>
    </row>
    <row r="55" spans="2:14">
      <c r="B55" t="s">
        <v>224</v>
      </c>
      <c r="D55" t="s">
        <v>164</v>
      </c>
      <c r="F55" s="82">
        <f>SUM(G55:N55)</f>
        <v>2976939831.5859709</v>
      </c>
      <c r="G55" s="166">
        <f>AVERAGE('Standaardisatie volumes TD'!G361,'Standaardisatie volumes TD'!G461,'Standaardisatie volumes TD'!G561)</f>
        <v>0</v>
      </c>
      <c r="H55" s="166">
        <f>AVERAGE('Standaardisatie volumes TD'!H361,'Standaardisatie volumes TD'!H461,'Standaardisatie volumes TD'!H561)</f>
        <v>0</v>
      </c>
      <c r="I55" s="166">
        <f>AVERAGE('Standaardisatie volumes TD'!I361,'Standaardisatie volumes TD'!I461,'Standaardisatie volumes TD'!I561)</f>
        <v>90817212.524660364</v>
      </c>
      <c r="J55" s="166">
        <f>AVERAGE('Standaardisatie volumes TD'!J361,'Standaardisatie volumes TD'!J461,'Standaardisatie volumes TD'!J561)</f>
        <v>2863757785.3946438</v>
      </c>
      <c r="K55" s="166">
        <f>AVERAGE('Standaardisatie volumes TD'!K361,'Standaardisatie volumes TD'!K461,'Standaardisatie volumes TD'!K561)</f>
        <v>0</v>
      </c>
      <c r="L55" s="166">
        <f>AVERAGE('Standaardisatie volumes TD'!L361,'Standaardisatie volumes TD'!L461,'Standaardisatie volumes TD'!L561)</f>
        <v>22364833.666666668</v>
      </c>
      <c r="M55" s="166">
        <f>AVERAGE('Standaardisatie volumes TD'!M361,'Standaardisatie volumes TD'!M461,'Standaardisatie volumes TD'!M561)</f>
        <v>0</v>
      </c>
      <c r="N55" s="166">
        <f>AVERAGE('Standaardisatie volumes TD'!N361,'Standaardisatie volumes TD'!N461,'Standaardisatie volumes TD'!N561)</f>
        <v>0</v>
      </c>
    </row>
    <row r="56" spans="2:14">
      <c r="F56" s="46"/>
    </row>
    <row r="57" spans="2:14">
      <c r="B57" s="3" t="s">
        <v>225</v>
      </c>
      <c r="F57" s="46"/>
    </row>
    <row r="58" spans="2:14">
      <c r="B58" t="s">
        <v>213</v>
      </c>
      <c r="D58" t="s">
        <v>164</v>
      </c>
      <c r="F58" s="82">
        <f>SUM(G58:N58)</f>
        <v>23726.728475280099</v>
      </c>
      <c r="G58" s="166">
        <f>AVERAGE('Standaardisatie volumes TD'!G364,'Standaardisatie volumes TD'!G464,'Standaardisatie volumes TD'!G564)</f>
        <v>29.461538461538463</v>
      </c>
      <c r="H58" s="166">
        <f>AVERAGE('Standaardisatie volumes TD'!H364,'Standaardisatie volumes TD'!H464,'Standaardisatie volumes TD'!H564)</f>
        <v>428.61111111111109</v>
      </c>
      <c r="I58" s="166">
        <f>AVERAGE('Standaardisatie volumes TD'!I364,'Standaardisatie volumes TD'!I464,'Standaardisatie volumes TD'!I564)</f>
        <v>571</v>
      </c>
      <c r="J58" s="166">
        <f>AVERAGE('Standaardisatie volumes TD'!J364,'Standaardisatie volumes TD'!J464,'Standaardisatie volumes TD'!J564)</f>
        <v>9688.2809347966813</v>
      </c>
      <c r="K58" s="166">
        <f>AVERAGE('Standaardisatie volumes TD'!K364,'Standaardisatie volumes TD'!K464,'Standaardisatie volumes TD'!K564)</f>
        <v>9236.5035049422386</v>
      </c>
      <c r="L58" s="166">
        <f>AVERAGE('Standaardisatie volumes TD'!L364,'Standaardisatie volumes TD'!L464,'Standaardisatie volumes TD'!L564)</f>
        <v>16.056666666666668</v>
      </c>
      <c r="M58" s="166">
        <f>AVERAGE('Standaardisatie volumes TD'!M364,'Standaardisatie volumes TD'!M464,'Standaardisatie volumes TD'!M564)</f>
        <v>3208.5874857417716</v>
      </c>
      <c r="N58" s="166">
        <f>AVERAGE('Standaardisatie volumes TD'!N364,'Standaardisatie volumes TD'!N464,'Standaardisatie volumes TD'!N564)</f>
        <v>548.22723356009067</v>
      </c>
    </row>
    <row r="59" spans="2:14">
      <c r="B59" t="s">
        <v>223</v>
      </c>
      <c r="D59" t="s">
        <v>164</v>
      </c>
      <c r="F59" s="82">
        <f>SUM(G59:N59)</f>
        <v>8590339.9680287428</v>
      </c>
      <c r="G59" s="166">
        <f>AVERAGE('Standaardisatie volumes TD'!G365,'Standaardisatie volumes TD'!G465,'Standaardisatie volumes TD'!G565)</f>
        <v>34721.25</v>
      </c>
      <c r="H59" s="166">
        <f>AVERAGE('Standaardisatie volumes TD'!H365,'Standaardisatie volumes TD'!H465,'Standaardisatie volumes TD'!H565)</f>
        <v>189767.63888888891</v>
      </c>
      <c r="I59" s="166">
        <f>AVERAGE('Standaardisatie volumes TD'!I365,'Standaardisatie volumes TD'!I465,'Standaardisatie volumes TD'!I565)</f>
        <v>145204.52111372154</v>
      </c>
      <c r="J59" s="166">
        <f>AVERAGE('Standaardisatie volumes TD'!J365,'Standaardisatie volumes TD'!J465,'Standaardisatie volumes TD'!J565)</f>
        <v>2966855.5120938788</v>
      </c>
      <c r="K59" s="166">
        <f>AVERAGE('Standaardisatie volumes TD'!K365,'Standaardisatie volumes TD'!K465,'Standaardisatie volumes TD'!K565)</f>
        <v>3170992.7259910661</v>
      </c>
      <c r="L59" s="166">
        <f>AVERAGE('Standaardisatie volumes TD'!L365,'Standaardisatie volumes TD'!L465,'Standaardisatie volumes TD'!L565)</f>
        <v>17691.666666666668</v>
      </c>
      <c r="M59" s="166">
        <f>AVERAGE('Standaardisatie volumes TD'!M365,'Standaardisatie volumes TD'!M465,'Standaardisatie volumes TD'!M565)</f>
        <v>1840447.7877570887</v>
      </c>
      <c r="N59" s="166">
        <f>AVERAGE('Standaardisatie volumes TD'!N365,'Standaardisatie volumes TD'!N465,'Standaardisatie volumes TD'!N565)</f>
        <v>224658.86551743236</v>
      </c>
    </row>
    <row r="60" spans="2:14">
      <c r="B60" t="s">
        <v>215</v>
      </c>
      <c r="D60" t="s">
        <v>164</v>
      </c>
      <c r="F60" s="82">
        <f>SUM(G60:N60)</f>
        <v>71996779.742324501</v>
      </c>
      <c r="G60" s="166">
        <f>AVERAGE('Standaardisatie volumes TD'!G366,'Standaardisatie volumes TD'!G466,'Standaardisatie volumes TD'!G566)</f>
        <v>320935.33333333331</v>
      </c>
      <c r="H60" s="166">
        <f>AVERAGE('Standaardisatie volumes TD'!H366,'Standaardisatie volumes TD'!H466,'Standaardisatie volumes TD'!H566)</f>
        <v>1567660.111111111</v>
      </c>
      <c r="I60" s="166">
        <f>AVERAGE('Standaardisatie volumes TD'!I366,'Standaardisatie volumes TD'!I466,'Standaardisatie volumes TD'!I566)</f>
        <v>1148239.9146794514</v>
      </c>
      <c r="J60" s="166">
        <f>AVERAGE('Standaardisatie volumes TD'!J366,'Standaardisatie volumes TD'!J466,'Standaardisatie volumes TD'!J566)</f>
        <v>26106939.69247644</v>
      </c>
      <c r="K60" s="166">
        <f>AVERAGE('Standaardisatie volumes TD'!K366,'Standaardisatie volumes TD'!K466,'Standaardisatie volumes TD'!K566)</f>
        <v>26834434.225580771</v>
      </c>
      <c r="L60" s="166">
        <f>AVERAGE('Standaardisatie volumes TD'!L366,'Standaardisatie volumes TD'!L466,'Standaardisatie volumes TD'!L566)</f>
        <v>180289.92333333334</v>
      </c>
      <c r="M60" s="166">
        <f>AVERAGE('Standaardisatie volumes TD'!M366,'Standaardisatie volumes TD'!M466,'Standaardisatie volumes TD'!M566)</f>
        <v>14051126.66406285</v>
      </c>
      <c r="N60" s="166">
        <f>AVERAGE('Standaardisatie volumes TD'!N366,'Standaardisatie volumes TD'!N466,'Standaardisatie volumes TD'!N566)</f>
        <v>1787153.8777472128</v>
      </c>
    </row>
    <row r="61" spans="2:14">
      <c r="B61" t="s">
        <v>224</v>
      </c>
      <c r="D61" t="s">
        <v>164</v>
      </c>
      <c r="F61" s="82">
        <f>SUM(G61:N61)</f>
        <v>22995158370.942596</v>
      </c>
      <c r="G61" s="166">
        <f>AVERAGE('Standaardisatie volumes TD'!G367,'Standaardisatie volumes TD'!G467,'Standaardisatie volumes TD'!G567)</f>
        <v>110373377.66666667</v>
      </c>
      <c r="H61" s="166">
        <f>AVERAGE('Standaardisatie volumes TD'!H367,'Standaardisatie volumes TD'!H467,'Standaardisatie volumes TD'!H567)</f>
        <v>478601104.70968658</v>
      </c>
      <c r="I61" s="166">
        <f>AVERAGE('Standaardisatie volumes TD'!I367,'Standaardisatie volumes TD'!I467,'Standaardisatie volumes TD'!I567)</f>
        <v>388427939.12372059</v>
      </c>
      <c r="J61" s="166">
        <f>AVERAGE('Standaardisatie volumes TD'!J367,'Standaardisatie volumes TD'!J467,'Standaardisatie volumes TD'!J567)</f>
        <v>8034768554.2295141</v>
      </c>
      <c r="K61" s="166">
        <f>AVERAGE('Standaardisatie volumes TD'!K367,'Standaardisatie volumes TD'!K467,'Standaardisatie volumes TD'!K567)</f>
        <v>8777478028.1547451</v>
      </c>
      <c r="L61" s="166">
        <f>AVERAGE('Standaardisatie volumes TD'!L367,'Standaardisatie volumes TD'!L467,'Standaardisatie volumes TD'!L567)</f>
        <v>62714232.333333336</v>
      </c>
      <c r="M61" s="166">
        <f>AVERAGE('Standaardisatie volumes TD'!M367,'Standaardisatie volumes TD'!M467,'Standaardisatie volumes TD'!M567)</f>
        <v>4688119243.8037682</v>
      </c>
      <c r="N61" s="166">
        <f>AVERAGE('Standaardisatie volumes TD'!N367,'Standaardisatie volumes TD'!N467,'Standaardisatie volumes TD'!N567)</f>
        <v>454675890.92116576</v>
      </c>
    </row>
    <row r="62" spans="2:14">
      <c r="F62" s="46"/>
    </row>
    <row r="63" spans="2:14">
      <c r="B63" s="3" t="s">
        <v>226</v>
      </c>
      <c r="F63" s="46"/>
    </row>
    <row r="64" spans="2:14">
      <c r="B64" t="s">
        <v>213</v>
      </c>
      <c r="D64" t="s">
        <v>164</v>
      </c>
      <c r="F64" s="82">
        <f>SUM(G64:N64)</f>
        <v>41537.154477431934</v>
      </c>
      <c r="G64" s="166">
        <f>AVERAGE('Standaardisatie volumes TD'!G370,'Standaardisatie volumes TD'!G470,'Standaardisatie volumes TD'!G570)</f>
        <v>217.69230769230771</v>
      </c>
      <c r="H64" s="166">
        <f>AVERAGE('Standaardisatie volumes TD'!H370,'Standaardisatie volumes TD'!H470,'Standaardisatie volumes TD'!H570)</f>
        <v>1532.75</v>
      </c>
      <c r="I64" s="166">
        <f>AVERAGE('Standaardisatie volumes TD'!I370,'Standaardisatie volumes TD'!I470,'Standaardisatie volumes TD'!I570)</f>
        <v>692</v>
      </c>
      <c r="J64" s="166">
        <f>AVERAGE('Standaardisatie volumes TD'!J370,'Standaardisatie volumes TD'!J470,'Standaardisatie volumes TD'!J570)</f>
        <v>14613.038714865668</v>
      </c>
      <c r="K64" s="166">
        <f>AVERAGE('Standaardisatie volumes TD'!K370,'Standaardisatie volumes TD'!K470,'Standaardisatie volumes TD'!K570)</f>
        <v>13919.157078181866</v>
      </c>
      <c r="L64" s="166">
        <f>AVERAGE('Standaardisatie volumes TD'!L370,'Standaardisatie volumes TD'!L470,'Standaardisatie volumes TD'!L570)</f>
        <v>132.4</v>
      </c>
      <c r="M64" s="166">
        <f>AVERAGE('Standaardisatie volumes TD'!M370,'Standaardisatie volumes TD'!M470,'Standaardisatie volumes TD'!M570)</f>
        <v>9426.4848423005551</v>
      </c>
      <c r="N64" s="166">
        <f>AVERAGE('Standaardisatie volumes TD'!N370,'Standaardisatie volumes TD'!N470,'Standaardisatie volumes TD'!N570)</f>
        <v>1003.6315343915343</v>
      </c>
    </row>
    <row r="65" spans="2:14">
      <c r="B65" t="s">
        <v>223</v>
      </c>
      <c r="D65" t="s">
        <v>164</v>
      </c>
      <c r="F65" s="82">
        <f>SUM(G65:N65)</f>
        <v>3882406.3041436691</v>
      </c>
      <c r="G65" s="166">
        <f>AVERAGE('Standaardisatie volumes TD'!G371,'Standaardisatie volumes TD'!G471,'Standaardisatie volumes TD'!G571)</f>
        <v>42159.027777777781</v>
      </c>
      <c r="H65" s="166">
        <f>AVERAGE('Standaardisatie volumes TD'!H371,'Standaardisatie volumes TD'!H471,'Standaardisatie volumes TD'!H571)</f>
        <v>145507</v>
      </c>
      <c r="I65" s="166">
        <f>AVERAGE('Standaardisatie volumes TD'!I371,'Standaardisatie volumes TD'!I471,'Standaardisatie volumes TD'!I571)</f>
        <v>43148.053908278096</v>
      </c>
      <c r="J65" s="166">
        <f>AVERAGE('Standaardisatie volumes TD'!J371,'Standaardisatie volumes TD'!J471,'Standaardisatie volumes TD'!J571)</f>
        <v>1060364.4309226701</v>
      </c>
      <c r="K65" s="166">
        <f>AVERAGE('Standaardisatie volumes TD'!K371,'Standaardisatie volumes TD'!K471,'Standaardisatie volumes TD'!K571)</f>
        <v>1221001.8635716394</v>
      </c>
      <c r="L65" s="166">
        <f>AVERAGE('Standaardisatie volumes TD'!L371,'Standaardisatie volumes TD'!L471,'Standaardisatie volumes TD'!L571)</f>
        <v>23168.366666666669</v>
      </c>
      <c r="M65" s="166">
        <f>AVERAGE('Standaardisatie volumes TD'!M371,'Standaardisatie volumes TD'!M471,'Standaardisatie volumes TD'!M571)</f>
        <v>1149539.3636457163</v>
      </c>
      <c r="N65" s="166">
        <f>AVERAGE('Standaardisatie volumes TD'!N371,'Standaardisatie volumes TD'!N471,'Standaardisatie volumes TD'!N571)</f>
        <v>197518.19765092045</v>
      </c>
    </row>
    <row r="66" spans="2:14">
      <c r="B66" t="s">
        <v>215</v>
      </c>
      <c r="D66" t="s">
        <v>164</v>
      </c>
      <c r="F66" s="82">
        <f>SUM(G66:N66)</f>
        <v>29017578.28290822</v>
      </c>
      <c r="G66" s="166">
        <f>AVERAGE('Standaardisatie volumes TD'!G372,'Standaardisatie volumes TD'!G472,'Standaardisatie volumes TD'!G572)</f>
        <v>372992</v>
      </c>
      <c r="H66" s="166">
        <f>AVERAGE('Standaardisatie volumes TD'!H372,'Standaardisatie volumes TD'!H472,'Standaardisatie volumes TD'!H572)</f>
        <v>1113537.42</v>
      </c>
      <c r="I66" s="166">
        <f>AVERAGE('Standaardisatie volumes TD'!I372,'Standaardisatie volumes TD'!I472,'Standaardisatie volumes TD'!I572)</f>
        <v>282330.99912649975</v>
      </c>
      <c r="J66" s="166">
        <f>AVERAGE('Standaardisatie volumes TD'!J372,'Standaardisatie volumes TD'!J472,'Standaardisatie volumes TD'!J572)</f>
        <v>8301833.4831808507</v>
      </c>
      <c r="K66" s="166">
        <f>AVERAGE('Standaardisatie volumes TD'!K372,'Standaardisatie volumes TD'!K472,'Standaardisatie volumes TD'!K572)</f>
        <v>9254668.3084617928</v>
      </c>
      <c r="L66" s="166">
        <f>AVERAGE('Standaardisatie volumes TD'!L372,'Standaardisatie volumes TD'!L472,'Standaardisatie volumes TD'!L572)</f>
        <v>213062.02333333335</v>
      </c>
      <c r="M66" s="166">
        <f>AVERAGE('Standaardisatie volumes TD'!M372,'Standaardisatie volumes TD'!M472,'Standaardisatie volumes TD'!M572)</f>
        <v>7954017.0934006721</v>
      </c>
      <c r="N66" s="166">
        <f>AVERAGE('Standaardisatie volumes TD'!N372,'Standaardisatie volumes TD'!N472,'Standaardisatie volumes TD'!N572)</f>
        <v>1525136.9554050723</v>
      </c>
    </row>
    <row r="67" spans="2:14">
      <c r="B67" t="s">
        <v>224</v>
      </c>
      <c r="D67" t="s">
        <v>164</v>
      </c>
      <c r="F67" s="82">
        <f>SUM(G67:N67)</f>
        <v>7929719972.9250908</v>
      </c>
      <c r="G67" s="166">
        <f>AVERAGE('Standaardisatie volumes TD'!G373,'Standaardisatie volumes TD'!G473,'Standaardisatie volumes TD'!G573)</f>
        <v>103948925</v>
      </c>
      <c r="H67" s="166">
        <f>AVERAGE('Standaardisatie volumes TD'!H373,'Standaardisatie volumes TD'!H473,'Standaardisatie volumes TD'!H573)</f>
        <v>285067629.17407411</v>
      </c>
      <c r="I67" s="166">
        <f>AVERAGE('Standaardisatie volumes TD'!I373,'Standaardisatie volumes TD'!I473,'Standaardisatie volumes TD'!I573)</f>
        <v>71762585.471251354</v>
      </c>
      <c r="J67" s="166">
        <f>AVERAGE('Standaardisatie volumes TD'!J373,'Standaardisatie volumes TD'!J473,'Standaardisatie volumes TD'!J573)</f>
        <v>2173614445.7117639</v>
      </c>
      <c r="K67" s="166">
        <f>AVERAGE('Standaardisatie volumes TD'!K373,'Standaardisatie volumes TD'!K473,'Standaardisatie volumes TD'!K573)</f>
        <v>2560211290.5485816</v>
      </c>
      <c r="L67" s="166">
        <f>AVERAGE('Standaardisatie volumes TD'!L373,'Standaardisatie volumes TD'!L473,'Standaardisatie volumes TD'!L573)</f>
        <v>56807758.666666664</v>
      </c>
      <c r="M67" s="166">
        <f>AVERAGE('Standaardisatie volumes TD'!M373,'Standaardisatie volumes TD'!M473,'Standaardisatie volumes TD'!M573)</f>
        <v>2263013768.8886456</v>
      </c>
      <c r="N67" s="166">
        <f>AVERAGE('Standaardisatie volumes TD'!N373,'Standaardisatie volumes TD'!N473,'Standaardisatie volumes TD'!N573)</f>
        <v>415293569.46410704</v>
      </c>
    </row>
    <row r="68" spans="2:14">
      <c r="F68" s="46"/>
    </row>
    <row r="69" spans="2:14">
      <c r="F69" s="46"/>
    </row>
    <row r="70" spans="2:14">
      <c r="F70" s="46"/>
    </row>
    <row r="71" spans="2:14">
      <c r="F71" s="46"/>
    </row>
    <row r="72" spans="2:14">
      <c r="F72" s="46"/>
    </row>
    <row r="73" spans="2:14">
      <c r="B73" s="3" t="s">
        <v>51</v>
      </c>
      <c r="F73" s="46"/>
    </row>
    <row r="74" spans="2:14">
      <c r="F74" s="46"/>
    </row>
    <row r="75" spans="2:14">
      <c r="F75" s="46"/>
    </row>
    <row r="76" spans="2:14">
      <c r="B76" s="3" t="s">
        <v>227</v>
      </c>
      <c r="F76" s="46"/>
    </row>
    <row r="77" spans="2:14">
      <c r="B77" t="s">
        <v>213</v>
      </c>
      <c r="D77" t="s">
        <v>164</v>
      </c>
      <c r="F77" s="82">
        <f>SUM(G77:N77)</f>
        <v>17591.05483437076</v>
      </c>
      <c r="G77" s="166">
        <f>AVERAGE('Standaardisatie volumes TD'!G383,'Standaardisatie volumes TD'!G483,'Standaardisatie volumes TD'!G583)</f>
        <v>309</v>
      </c>
      <c r="H77" s="166">
        <f>AVERAGE('Standaardisatie volumes TD'!H383,'Standaardisatie volumes TD'!H483,'Standaardisatie volumes TD'!H583)</f>
        <v>358.0555555555556</v>
      </c>
      <c r="I77" s="166">
        <f>AVERAGE('Standaardisatie volumes TD'!I383,'Standaardisatie volumes TD'!I483,'Standaardisatie volumes TD'!I583)</f>
        <v>0</v>
      </c>
      <c r="J77" s="166">
        <f>AVERAGE('Standaardisatie volumes TD'!J383,'Standaardisatie volumes TD'!J483,'Standaardisatie volumes TD'!J583)</f>
        <v>3402.5176536497424</v>
      </c>
      <c r="K77" s="166">
        <f>AVERAGE('Standaardisatie volumes TD'!K383,'Standaardisatie volumes TD'!K483,'Standaardisatie volumes TD'!K583)</f>
        <v>6065.2114399802767</v>
      </c>
      <c r="L77" s="166">
        <f>AVERAGE('Standaardisatie volumes TD'!L383,'Standaardisatie volumes TD'!L483,'Standaardisatie volumes TD'!L583)</f>
        <v>134.41666666666666</v>
      </c>
      <c r="M77" s="166">
        <f>AVERAGE('Standaardisatie volumes TD'!M383,'Standaardisatie volumes TD'!M483,'Standaardisatie volumes TD'!M583)</f>
        <v>7106.6061111111112</v>
      </c>
      <c r="N77" s="166">
        <f>AVERAGE('Standaardisatie volumes TD'!N383,'Standaardisatie volumes TD'!N483,'Standaardisatie volumes TD'!N583)</f>
        <v>215.24740740740739</v>
      </c>
    </row>
    <row r="78" spans="2:14">
      <c r="B78" t="s">
        <v>223</v>
      </c>
      <c r="D78" t="s">
        <v>164</v>
      </c>
      <c r="F78" s="82">
        <f>SUM(G78:N78)</f>
        <v>952385.10752306238</v>
      </c>
      <c r="G78" s="166">
        <f>AVERAGE('Standaardisatie volumes TD'!G384,'Standaardisatie volumes TD'!G484,'Standaardisatie volumes TD'!G584)</f>
        <v>24223.388888888887</v>
      </c>
      <c r="H78" s="166">
        <f>AVERAGE('Standaardisatie volumes TD'!H384,'Standaardisatie volumes TD'!H484,'Standaardisatie volumes TD'!H584)</f>
        <v>17651.444444444445</v>
      </c>
      <c r="I78" s="166">
        <f>AVERAGE('Standaardisatie volumes TD'!I384,'Standaardisatie volumes TD'!I484,'Standaardisatie volumes TD'!I584)</f>
        <v>0</v>
      </c>
      <c r="J78" s="166">
        <f>AVERAGE('Standaardisatie volumes TD'!J384,'Standaardisatie volumes TD'!J484,'Standaardisatie volumes TD'!J584)</f>
        <v>112737.48600977665</v>
      </c>
      <c r="K78" s="166">
        <f>AVERAGE('Standaardisatie volumes TD'!K384,'Standaardisatie volumes TD'!K484,'Standaardisatie volumes TD'!K584)</f>
        <v>219824.81518819407</v>
      </c>
      <c r="L78" s="166">
        <f>AVERAGE('Standaardisatie volumes TD'!L384,'Standaardisatie volumes TD'!L484,'Standaardisatie volumes TD'!L584)</f>
        <v>8441.4666666666672</v>
      </c>
      <c r="M78" s="166">
        <f>AVERAGE('Standaardisatie volumes TD'!M384,'Standaardisatie volumes TD'!M484,'Standaardisatie volumes TD'!M584)</f>
        <v>563227.2115571365</v>
      </c>
      <c r="N78" s="166">
        <f>AVERAGE('Standaardisatie volumes TD'!N384,'Standaardisatie volumes TD'!N484,'Standaardisatie volumes TD'!N584)</f>
        <v>6279.2947679552135</v>
      </c>
    </row>
    <row r="79" spans="2:14">
      <c r="B79" t="s">
        <v>228</v>
      </c>
      <c r="D79" t="s">
        <v>164</v>
      </c>
      <c r="F79" s="82">
        <f>SUM(G79:N79)</f>
        <v>605069617.5474894</v>
      </c>
      <c r="G79" s="166">
        <f>AVERAGE('Standaardisatie volumes TD'!G385,'Standaardisatie volumes TD'!G485,'Standaardisatie volumes TD'!G585)</f>
        <v>14508512</v>
      </c>
      <c r="H79" s="166">
        <f>AVERAGE('Standaardisatie volumes TD'!H385,'Standaardisatie volumes TD'!H485,'Standaardisatie volumes TD'!H585)</f>
        <v>7717334.4515989637</v>
      </c>
      <c r="I79" s="166">
        <f>AVERAGE('Standaardisatie volumes TD'!I385,'Standaardisatie volumes TD'!I485,'Standaardisatie volumes TD'!I585)</f>
        <v>0</v>
      </c>
      <c r="J79" s="166">
        <f>AVERAGE('Standaardisatie volumes TD'!J385,'Standaardisatie volumes TD'!J485,'Standaardisatie volumes TD'!J585)</f>
        <v>68348144.513242409</v>
      </c>
      <c r="K79" s="166">
        <f>AVERAGE('Standaardisatie volumes TD'!K385,'Standaardisatie volumes TD'!K485,'Standaardisatie volumes TD'!K585)</f>
        <v>157458312.75707</v>
      </c>
      <c r="L79" s="166">
        <f>AVERAGE('Standaardisatie volumes TD'!L385,'Standaardisatie volumes TD'!L485,'Standaardisatie volumes TD'!L585)</f>
        <v>6385917.666666667</v>
      </c>
      <c r="M79" s="166">
        <f>AVERAGE('Standaardisatie volumes TD'!M385,'Standaardisatie volumes TD'!M485,'Standaardisatie volumes TD'!M585)</f>
        <v>345177266.59740257</v>
      </c>
      <c r="N79" s="166">
        <f>AVERAGE('Standaardisatie volumes TD'!N385,'Standaardisatie volumes TD'!N485,'Standaardisatie volumes TD'!N585)</f>
        <v>5474129.5615087533</v>
      </c>
    </row>
    <row r="80" spans="2:14">
      <c r="B80" t="s">
        <v>224</v>
      </c>
      <c r="D80" t="s">
        <v>164</v>
      </c>
      <c r="F80" s="82">
        <f>SUM(G80:N80)</f>
        <v>955967491.68132675</v>
      </c>
      <c r="G80" s="166">
        <f>AVERAGE('Standaardisatie volumes TD'!G386,'Standaardisatie volumes TD'!G486,'Standaardisatie volumes TD'!G586)</f>
        <v>28424163</v>
      </c>
      <c r="H80" s="166">
        <f>AVERAGE('Standaardisatie volumes TD'!H386,'Standaardisatie volumes TD'!H486,'Standaardisatie volumes TD'!H586)</f>
        <v>10105588.11879169</v>
      </c>
      <c r="I80" s="166">
        <f>AVERAGE('Standaardisatie volumes TD'!I386,'Standaardisatie volumes TD'!I486,'Standaardisatie volumes TD'!I586)</f>
        <v>0</v>
      </c>
      <c r="J80" s="166">
        <f>AVERAGE('Standaardisatie volumes TD'!J386,'Standaardisatie volumes TD'!J486,'Standaardisatie volumes TD'!J586)</f>
        <v>106904342.78655021</v>
      </c>
      <c r="K80" s="166">
        <f>AVERAGE('Standaardisatie volumes TD'!K386,'Standaardisatie volumes TD'!K486,'Standaardisatie volumes TD'!K586)</f>
        <v>238544084.38004461</v>
      </c>
      <c r="L80" s="166">
        <f>AVERAGE('Standaardisatie volumes TD'!L386,'Standaardisatie volumes TD'!L486,'Standaardisatie volumes TD'!L586)</f>
        <v>12163289.333333334</v>
      </c>
      <c r="M80" s="166">
        <f>AVERAGE('Standaardisatie volumes TD'!M386,'Standaardisatie volumes TD'!M486,'Standaardisatie volumes TD'!M586)</f>
        <v>553023218.51226556</v>
      </c>
      <c r="N80" s="166">
        <f>AVERAGE('Standaardisatie volumes TD'!N386,'Standaardisatie volumes TD'!N486,'Standaardisatie volumes TD'!N586)</f>
        <v>6802805.5503414124</v>
      </c>
    </row>
    <row r="81" spans="2:14">
      <c r="F81" s="46"/>
    </row>
    <row r="82" spans="2:14">
      <c r="B82" s="3" t="s">
        <v>229</v>
      </c>
      <c r="F82" s="46"/>
    </row>
    <row r="83" spans="2:14">
      <c r="B83" t="s">
        <v>230</v>
      </c>
      <c r="D83" t="s">
        <v>164</v>
      </c>
      <c r="F83" s="82">
        <f>SUM(G83:N83)</f>
        <v>2637857.5649597058</v>
      </c>
      <c r="G83" s="166">
        <f>AVERAGE('Standaardisatie volumes TD'!G389,'Standaardisatie volumes TD'!G489,'Standaardisatie volumes TD'!G589)</f>
        <v>23252.333333333332</v>
      </c>
      <c r="H83" s="166">
        <f>AVERAGE('Standaardisatie volumes TD'!H389,'Standaardisatie volumes TD'!H489,'Standaardisatie volumes TD'!H589)</f>
        <v>86556.777777777796</v>
      </c>
      <c r="I83" s="166">
        <f>AVERAGE('Standaardisatie volumes TD'!I389,'Standaardisatie volumes TD'!I489,'Standaardisatie volumes TD'!I589)</f>
        <v>44664.666666666664</v>
      </c>
      <c r="J83" s="166">
        <f>AVERAGE('Standaardisatie volumes TD'!J389,'Standaardisatie volumes TD'!J489,'Standaardisatie volumes TD'!J589)</f>
        <v>1096825.0528899145</v>
      </c>
      <c r="K83" s="166">
        <f>AVERAGE('Standaardisatie volumes TD'!K389,'Standaardisatie volumes TD'!K489,'Standaardisatie volumes TD'!K589)</f>
        <v>757955.40346656984</v>
      </c>
      <c r="L83" s="166">
        <f>AVERAGE('Standaardisatie volumes TD'!L389,'Standaardisatie volumes TD'!L489,'Standaardisatie volumes TD'!L589)</f>
        <v>18684.833333333332</v>
      </c>
      <c r="M83" s="166">
        <f>AVERAGE('Standaardisatie volumes TD'!M389,'Standaardisatie volumes TD'!M489,'Standaardisatie volumes TD'!M589)</f>
        <v>585422.93225913309</v>
      </c>
      <c r="N83" s="166">
        <f>AVERAGE('Standaardisatie volumes TD'!N389,'Standaardisatie volumes TD'!N489,'Standaardisatie volumes TD'!N589)</f>
        <v>24495.565232977297</v>
      </c>
    </row>
    <row r="84" spans="2:14">
      <c r="B84" t="s">
        <v>231</v>
      </c>
      <c r="D84" t="s">
        <v>164</v>
      </c>
      <c r="F84" s="82">
        <f>SUM(G84:N84)</f>
        <v>7860325.7089242917</v>
      </c>
      <c r="G84" s="166">
        <f>AVERAGE('Standaardisatie volumes TD'!G390,'Standaardisatie volumes TD'!G490,'Standaardisatie volumes TD'!G590)</f>
        <v>52116.948717948719</v>
      </c>
      <c r="H84" s="166">
        <f>AVERAGE('Standaardisatie volumes TD'!H390,'Standaardisatie volumes TD'!H490,'Standaardisatie volumes TD'!H590)</f>
        <v>204916.55555555559</v>
      </c>
      <c r="I84" s="166">
        <f>AVERAGE('Standaardisatie volumes TD'!I390,'Standaardisatie volumes TD'!I490,'Standaardisatie volumes TD'!I590)</f>
        <v>104509.33333333333</v>
      </c>
      <c r="J84" s="166">
        <f>AVERAGE('Standaardisatie volumes TD'!J390,'Standaardisatie volumes TD'!J490,'Standaardisatie volumes TD'!J590)</f>
        <v>2564129.5448696087</v>
      </c>
      <c r="K84" s="166">
        <f>AVERAGE('Standaardisatie volumes TD'!K390,'Standaardisatie volumes TD'!K490,'Standaardisatie volumes TD'!K590)</f>
        <v>2880705.8158347351</v>
      </c>
      <c r="L84" s="166">
        <f>AVERAGE('Standaardisatie volumes TD'!L390,'Standaardisatie volumes TD'!L490,'Standaardisatie volumes TD'!L590)</f>
        <v>31353.400000000005</v>
      </c>
      <c r="M84" s="166">
        <f>AVERAGE('Standaardisatie volumes TD'!M390,'Standaardisatie volumes TD'!M490,'Standaardisatie volumes TD'!M590)</f>
        <v>1969170.910629293</v>
      </c>
      <c r="N84" s="166">
        <f>AVERAGE('Standaardisatie volumes TD'!N390,'Standaardisatie volumes TD'!N490,'Standaardisatie volumes TD'!N590)</f>
        <v>53423.199983816383</v>
      </c>
    </row>
    <row r="85" spans="2:14">
      <c r="F85" s="46"/>
    </row>
    <row r="86" spans="2:14">
      <c r="B86" s="3" t="s">
        <v>232</v>
      </c>
      <c r="F86" s="46"/>
    </row>
    <row r="87" spans="2:14">
      <c r="B87" t="s">
        <v>233</v>
      </c>
      <c r="D87" t="s">
        <v>164</v>
      </c>
      <c r="F87" s="82">
        <f t="shared" ref="F87:F92" si="0">SUM(G87:N87)</f>
        <v>46662.019524741649</v>
      </c>
      <c r="G87" s="166">
        <f>AVERAGE('Standaardisatie volumes TD'!G393,'Standaardisatie volumes TD'!G493,'Standaardisatie volumes TD'!G593)</f>
        <v>260.35897435897436</v>
      </c>
      <c r="H87" s="166">
        <f>AVERAGE('Standaardisatie volumes TD'!H393,'Standaardisatie volumes TD'!H493,'Standaardisatie volumes TD'!H593)</f>
        <v>1151.1944444444443</v>
      </c>
      <c r="I87" s="166">
        <f>AVERAGE('Standaardisatie volumes TD'!I393,'Standaardisatie volumes TD'!I493,'Standaardisatie volumes TD'!I593)</f>
        <v>143.33333333333334</v>
      </c>
      <c r="J87" s="166">
        <f>AVERAGE('Standaardisatie volumes TD'!J393,'Standaardisatie volumes TD'!J493,'Standaardisatie volumes TD'!J593)</f>
        <v>18106.634091573782</v>
      </c>
      <c r="K87" s="166">
        <f>AVERAGE('Standaardisatie volumes TD'!K393,'Standaardisatie volumes TD'!K493,'Standaardisatie volumes TD'!K593)</f>
        <v>17754.665302920581</v>
      </c>
      <c r="L87" s="166">
        <f>AVERAGE('Standaardisatie volumes TD'!L393,'Standaardisatie volumes TD'!L493,'Standaardisatie volumes TD'!L593)</f>
        <v>175.66666666666666</v>
      </c>
      <c r="M87" s="166">
        <f>AVERAGE('Standaardisatie volumes TD'!M393,'Standaardisatie volumes TD'!M493,'Standaardisatie volumes TD'!M593)</f>
        <v>8467.342719431761</v>
      </c>
      <c r="N87" s="166">
        <f>AVERAGE('Standaardisatie volumes TD'!N393,'Standaardisatie volumes TD'!N493,'Standaardisatie volumes TD'!N593)</f>
        <v>602.82399201211501</v>
      </c>
    </row>
    <row r="88" spans="2:14">
      <c r="B88" t="s">
        <v>234</v>
      </c>
      <c r="D88" t="s">
        <v>164</v>
      </c>
      <c r="F88" s="82">
        <f t="shared" si="0"/>
        <v>61697.290375691606</v>
      </c>
      <c r="G88" s="166">
        <f>AVERAGE('Standaardisatie volumes TD'!G394,'Standaardisatie volumes TD'!G494,'Standaardisatie volumes TD'!G594)</f>
        <v>265.58974358974359</v>
      </c>
      <c r="H88" s="166">
        <f>AVERAGE('Standaardisatie volumes TD'!H394,'Standaardisatie volumes TD'!H494,'Standaardisatie volumes TD'!H594)</f>
        <v>1242.0277777777781</v>
      </c>
      <c r="I88" s="166">
        <f>AVERAGE('Standaardisatie volumes TD'!I394,'Standaardisatie volumes TD'!I494,'Standaardisatie volumes TD'!I594)</f>
        <v>1264</v>
      </c>
      <c r="J88" s="166">
        <f>AVERAGE('Standaardisatie volumes TD'!J394,'Standaardisatie volumes TD'!J494,'Standaardisatie volumes TD'!J594)</f>
        <v>22525.967686870019</v>
      </c>
      <c r="K88" s="166">
        <f>AVERAGE('Standaardisatie volumes TD'!K394,'Standaardisatie volumes TD'!K494,'Standaardisatie volumes TD'!K594)</f>
        <v>20691.588056278411</v>
      </c>
      <c r="L88" s="166">
        <f>AVERAGE('Standaardisatie volumes TD'!L394,'Standaardisatie volumes TD'!L494,'Standaardisatie volumes TD'!L594)</f>
        <v>224.73333333333335</v>
      </c>
      <c r="M88" s="166">
        <f>AVERAGE('Standaardisatie volumes TD'!M394,'Standaardisatie volumes TD'!M494,'Standaardisatie volumes TD'!M594)</f>
        <v>14853.388889836939</v>
      </c>
      <c r="N88" s="166">
        <f>AVERAGE('Standaardisatie volumes TD'!N394,'Standaardisatie volumes TD'!N494,'Standaardisatie volumes TD'!N594)</f>
        <v>629.99488800538222</v>
      </c>
    </row>
    <row r="89" spans="2:14">
      <c r="B89" t="s">
        <v>235</v>
      </c>
      <c r="D89" t="s">
        <v>164</v>
      </c>
      <c r="F89" s="82">
        <f t="shared" si="0"/>
        <v>64908.005663142496</v>
      </c>
      <c r="G89" s="166">
        <f>AVERAGE('Standaardisatie volumes TD'!G395,'Standaardisatie volumes TD'!G495,'Standaardisatie volumes TD'!G595)</f>
        <v>292.02564102564105</v>
      </c>
      <c r="H89" s="166">
        <f>AVERAGE('Standaardisatie volumes TD'!H395,'Standaardisatie volumes TD'!H495,'Standaardisatie volumes TD'!H595)</f>
        <v>1803.3055555555557</v>
      </c>
      <c r="I89" s="166">
        <f>AVERAGE('Standaardisatie volumes TD'!I395,'Standaardisatie volumes TD'!I495,'Standaardisatie volumes TD'!I595)</f>
        <v>721</v>
      </c>
      <c r="J89" s="166">
        <f>AVERAGE('Standaardisatie volumes TD'!J395,'Standaardisatie volumes TD'!J495,'Standaardisatie volumes TD'!J595)</f>
        <v>24154.977839928975</v>
      </c>
      <c r="K89" s="166">
        <f>AVERAGE('Standaardisatie volumes TD'!K395,'Standaardisatie volumes TD'!K495,'Standaardisatie volumes TD'!K595)</f>
        <v>23719.774736970852</v>
      </c>
      <c r="L89" s="166">
        <f>AVERAGE('Standaardisatie volumes TD'!L395,'Standaardisatie volumes TD'!L495,'Standaardisatie volumes TD'!L595)</f>
        <v>288.86666666666662</v>
      </c>
      <c r="M89" s="166">
        <f>AVERAGE('Standaardisatie volumes TD'!M395,'Standaardisatie volumes TD'!M495,'Standaardisatie volumes TD'!M595)</f>
        <v>13148.472222222221</v>
      </c>
      <c r="N89" s="166">
        <f>AVERAGE('Standaardisatie volumes TD'!N395,'Standaardisatie volumes TD'!N495,'Standaardisatie volumes TD'!N595)</f>
        <v>779.58300077259071</v>
      </c>
    </row>
    <row r="90" spans="2:14">
      <c r="B90" t="s">
        <v>236</v>
      </c>
      <c r="D90" t="s">
        <v>164</v>
      </c>
      <c r="F90" s="82">
        <f t="shared" si="0"/>
        <v>161015.10721294835</v>
      </c>
      <c r="G90" s="166">
        <f>AVERAGE('Standaardisatie volumes TD'!G396,'Standaardisatie volumes TD'!G496,'Standaardisatie volumes TD'!G596)</f>
        <v>865.25641025641016</v>
      </c>
      <c r="H90" s="166">
        <f>AVERAGE('Standaardisatie volumes TD'!H396,'Standaardisatie volumes TD'!H496,'Standaardisatie volumes TD'!H596)</f>
        <v>3667.6388888888891</v>
      </c>
      <c r="I90" s="166">
        <f>AVERAGE('Standaardisatie volumes TD'!I396,'Standaardisatie volumes TD'!I496,'Standaardisatie volumes TD'!I596)</f>
        <v>1334.3333333333333</v>
      </c>
      <c r="J90" s="166">
        <f>AVERAGE('Standaardisatie volumes TD'!J396,'Standaardisatie volumes TD'!J496,'Standaardisatie volumes TD'!J596)</f>
        <v>60759.802105860173</v>
      </c>
      <c r="K90" s="166">
        <f>AVERAGE('Standaardisatie volumes TD'!K396,'Standaardisatie volumes TD'!K496,'Standaardisatie volumes TD'!K596)</f>
        <v>52700.413454374502</v>
      </c>
      <c r="L90" s="166">
        <f>AVERAGE('Standaardisatie volumes TD'!L396,'Standaardisatie volumes TD'!L496,'Standaardisatie volumes TD'!L596)</f>
        <v>531.19999999999993</v>
      </c>
      <c r="M90" s="166">
        <f>AVERAGE('Standaardisatie volumes TD'!M396,'Standaardisatie volumes TD'!M496,'Standaardisatie volumes TD'!M596)</f>
        <v>39763.502477850183</v>
      </c>
      <c r="N90" s="166">
        <f>AVERAGE('Standaardisatie volumes TD'!N396,'Standaardisatie volumes TD'!N496,'Standaardisatie volumes TD'!N596)</f>
        <v>1392.9605423848632</v>
      </c>
    </row>
    <row r="91" spans="2:14">
      <c r="B91" t="s">
        <v>237</v>
      </c>
      <c r="D91" t="s">
        <v>164</v>
      </c>
      <c r="F91" s="82">
        <f t="shared" si="0"/>
        <v>7527279.3081591865</v>
      </c>
      <c r="G91" s="166">
        <f>AVERAGE('Standaardisatie volumes TD'!G397,'Standaardisatie volumes TD'!G497,'Standaardisatie volumes TD'!G597)</f>
        <v>50433.717948717946</v>
      </c>
      <c r="H91" s="166">
        <f>AVERAGE('Standaardisatie volumes TD'!H397,'Standaardisatie volumes TD'!H497,'Standaardisatie volumes TD'!H597)</f>
        <v>197052.38888888891</v>
      </c>
      <c r="I91" s="166">
        <f>AVERAGE('Standaardisatie volumes TD'!I397,'Standaardisatie volumes TD'!I497,'Standaardisatie volumes TD'!I597)</f>
        <v>101046.66666666667</v>
      </c>
      <c r="J91" s="166">
        <f>AVERAGE('Standaardisatie volumes TD'!J397,'Standaardisatie volumes TD'!J497,'Standaardisatie volumes TD'!J597)</f>
        <v>2438250.2628558222</v>
      </c>
      <c r="K91" s="166">
        <f>AVERAGE('Standaardisatie volumes TD'!K397,'Standaardisatie volumes TD'!K497,'Standaardisatie volumes TD'!K597)</f>
        <v>2765387.0046706246</v>
      </c>
      <c r="L91" s="166">
        <f>AVERAGE('Standaardisatie volumes TD'!L397,'Standaardisatie volumes TD'!L497,'Standaardisatie volumes TD'!L597)</f>
        <v>30132.933333333331</v>
      </c>
      <c r="M91" s="166">
        <f>AVERAGE('Standaardisatie volumes TD'!M397,'Standaardisatie volumes TD'!M497,'Standaardisatie volumes TD'!M597)</f>
        <v>1894958.4962344917</v>
      </c>
      <c r="N91" s="166">
        <f>AVERAGE('Standaardisatie volumes TD'!N397,'Standaardisatie volumes TD'!N497,'Standaardisatie volumes TD'!N597)</f>
        <v>50017.837560641434</v>
      </c>
    </row>
    <row r="92" spans="2:14">
      <c r="B92" t="s">
        <v>238</v>
      </c>
      <c r="D92" t="s">
        <v>164</v>
      </c>
      <c r="F92" s="82">
        <f t="shared" si="0"/>
        <v>2637854.0154259913</v>
      </c>
      <c r="G92" s="166">
        <f>AVERAGE('Standaardisatie volumes TD'!G398,'Standaardisatie volumes TD'!G498,'Standaardisatie volumes TD'!G598)</f>
        <v>23252.333333333332</v>
      </c>
      <c r="H92" s="166">
        <f>AVERAGE('Standaardisatie volumes TD'!H398,'Standaardisatie volumes TD'!H498,'Standaardisatie volumes TD'!H598)</f>
        <v>86556.777777777796</v>
      </c>
      <c r="I92" s="166">
        <f>AVERAGE('Standaardisatie volumes TD'!I398,'Standaardisatie volumes TD'!I498,'Standaardisatie volumes TD'!I598)</f>
        <v>44664.666666666664</v>
      </c>
      <c r="J92" s="166">
        <f>AVERAGE('Standaardisatie volumes TD'!J398,'Standaardisatie volumes TD'!J498,'Standaardisatie volumes TD'!J598)</f>
        <v>1096825.0528899147</v>
      </c>
      <c r="K92" s="166">
        <f>AVERAGE('Standaardisatie volumes TD'!K398,'Standaardisatie volumes TD'!K498,'Standaardisatie volumes TD'!K598)</f>
        <v>757951.85393285507</v>
      </c>
      <c r="L92" s="166">
        <f>AVERAGE('Standaardisatie volumes TD'!L398,'Standaardisatie volumes TD'!L498,'Standaardisatie volumes TD'!L598)</f>
        <v>18684.833333333332</v>
      </c>
      <c r="M92" s="166">
        <f>AVERAGE('Standaardisatie volumes TD'!M398,'Standaardisatie volumes TD'!M498,'Standaardisatie volumes TD'!M598)</f>
        <v>585422.93225913309</v>
      </c>
      <c r="N92" s="166">
        <f>AVERAGE('Standaardisatie volumes TD'!N398,'Standaardisatie volumes TD'!N498,'Standaardisatie volumes TD'!N598)</f>
        <v>24495.565232977297</v>
      </c>
    </row>
    <row r="93" spans="2:14">
      <c r="F93" s="46"/>
    </row>
    <row r="94" spans="2:14">
      <c r="B94" t="s">
        <v>52</v>
      </c>
      <c r="F94" s="46"/>
    </row>
    <row r="95" spans="2:14">
      <c r="F95" s="46"/>
    </row>
    <row r="96" spans="2:14">
      <c r="F96" s="46"/>
    </row>
    <row r="97" spans="2:16">
      <c r="F97" s="46"/>
    </row>
    <row r="98" spans="2:16">
      <c r="F98" s="46"/>
    </row>
    <row r="99" spans="2:16">
      <c r="F99" s="46"/>
    </row>
    <row r="100" spans="2:16">
      <c r="B100" s="3" t="s">
        <v>53</v>
      </c>
      <c r="F100" s="46"/>
    </row>
    <row r="101" spans="2:16">
      <c r="F101" s="46"/>
    </row>
    <row r="102" spans="2:16">
      <c r="F102" s="46"/>
    </row>
    <row r="103" spans="2:16">
      <c r="B103" t="s">
        <v>239</v>
      </c>
      <c r="D103" t="s">
        <v>164</v>
      </c>
      <c r="F103" s="82">
        <f>SUM(G103:N103)</f>
        <v>648397883.75500751</v>
      </c>
      <c r="G103" s="166">
        <f>AVERAGE('Standaardisatie volumes TD'!G409,'Standaardisatie volumes TD'!G509,'Standaardisatie volumes TD'!G609)</f>
        <v>3789875</v>
      </c>
      <c r="H103" s="166">
        <f>AVERAGE('Standaardisatie volumes TD'!H409,'Standaardisatie volumes TD'!H509,'Standaardisatie volumes TD'!H609)</f>
        <v>0</v>
      </c>
      <c r="I103" s="166">
        <f>AVERAGE('Standaardisatie volumes TD'!I409,'Standaardisatie volumes TD'!I509,'Standaardisatie volumes TD'!I609)</f>
        <v>4078036.5645219549</v>
      </c>
      <c r="J103" s="166">
        <f>AVERAGE('Standaardisatie volumes TD'!J409,'Standaardisatie volumes TD'!J509,'Standaardisatie volumes TD'!J609)</f>
        <v>341783801.28543502</v>
      </c>
      <c r="K103" s="166">
        <f>AVERAGE('Standaardisatie volumes TD'!K409,'Standaardisatie volumes TD'!K509,'Standaardisatie volumes TD'!K609)</f>
        <v>86472334.733333334</v>
      </c>
      <c r="L103" s="166">
        <f>AVERAGE('Standaardisatie volumes TD'!L409,'Standaardisatie volumes TD'!L509,'Standaardisatie volumes TD'!L609)</f>
        <v>1993891.3333333333</v>
      </c>
      <c r="M103" s="166">
        <f>AVERAGE('Standaardisatie volumes TD'!M409,'Standaardisatie volumes TD'!M509,'Standaardisatie volumes TD'!M609)</f>
        <v>210279944.83838382</v>
      </c>
      <c r="N103" s="166">
        <f>AVERAGE('Standaardisatie volumes TD'!N409,'Standaardisatie volumes TD'!N509,'Standaardisatie volumes TD'!N609)</f>
        <v>0</v>
      </c>
    </row>
    <row r="104" spans="2:16">
      <c r="B104" t="s">
        <v>240</v>
      </c>
      <c r="D104" t="s">
        <v>164</v>
      </c>
      <c r="F104" s="82">
        <f>SUM(G104:N104)</f>
        <v>32485909.664646465</v>
      </c>
      <c r="G104" s="166">
        <f>AVERAGE('Standaardisatie volumes TD'!G410,'Standaardisatie volumes TD'!G510,'Standaardisatie volumes TD'!G610)</f>
        <v>785853.66666666663</v>
      </c>
      <c r="H104" s="166">
        <f>AVERAGE('Standaardisatie volumes TD'!H410,'Standaardisatie volumes TD'!H510,'Standaardisatie volumes TD'!H610)</f>
        <v>0</v>
      </c>
      <c r="I104" s="166">
        <f>AVERAGE('Standaardisatie volumes TD'!I410,'Standaardisatie volumes TD'!I510,'Standaardisatie volumes TD'!I610)</f>
        <v>0</v>
      </c>
      <c r="J104" s="166">
        <f>AVERAGE('Standaardisatie volumes TD'!J410,'Standaardisatie volumes TD'!J510,'Standaardisatie volumes TD'!J610)</f>
        <v>9315848.8888888899</v>
      </c>
      <c r="K104" s="166">
        <f>AVERAGE('Standaardisatie volumes TD'!K410,'Standaardisatie volumes TD'!K510,'Standaardisatie volumes TD'!K610)</f>
        <v>5045241.8666666662</v>
      </c>
      <c r="L104" s="166">
        <f>AVERAGE('Standaardisatie volumes TD'!L410,'Standaardisatie volumes TD'!L510,'Standaardisatie volumes TD'!L610)</f>
        <v>474107</v>
      </c>
      <c r="M104" s="166">
        <f>AVERAGE('Standaardisatie volumes TD'!M410,'Standaardisatie volumes TD'!M510,'Standaardisatie volumes TD'!M610)</f>
        <v>16864858.242424242</v>
      </c>
      <c r="N104" s="166">
        <f>AVERAGE('Standaardisatie volumes TD'!N410,'Standaardisatie volumes TD'!N510,'Standaardisatie volumes TD'!N610)</f>
        <v>0</v>
      </c>
    </row>
    <row r="108" spans="2:16" s="2" customFormat="1">
      <c r="B108" s="2" t="s">
        <v>925</v>
      </c>
    </row>
    <row r="111" spans="2:16">
      <c r="B111" s="60" t="s">
        <v>325</v>
      </c>
      <c r="C111" s="13"/>
      <c r="D111" s="13"/>
      <c r="E111" s="13"/>
      <c r="F111" s="13"/>
      <c r="G111" s="13"/>
      <c r="H111" s="13"/>
      <c r="I111" s="13"/>
      <c r="J111" s="13"/>
      <c r="K111" s="13"/>
      <c r="L111" s="13"/>
      <c r="M111" s="13"/>
      <c r="N111" s="13"/>
      <c r="O111" s="13"/>
    </row>
    <row r="112" spans="2:16">
      <c r="B112" s="59" t="s">
        <v>251</v>
      </c>
      <c r="C112" s="13"/>
      <c r="D112" s="13" t="s">
        <v>241</v>
      </c>
      <c r="E112" s="13"/>
      <c r="F112" s="82">
        <f>SUM(G112:N112)</f>
        <v>2638439.5400584475</v>
      </c>
      <c r="G112" s="877">
        <f>'Gestandaardiseerde PAV en EAV'!G263</f>
        <v>23252.333333333332</v>
      </c>
      <c r="H112" s="877">
        <f>'Gestandaardiseerde PAV en EAV'!H263</f>
        <v>86556.777777777796</v>
      </c>
      <c r="I112" s="877">
        <f>'Gestandaardiseerde PAV en EAV'!I263</f>
        <v>44664.666666666664</v>
      </c>
      <c r="J112" s="877">
        <f>'Gestandaardiseerde PAV en EAV'!J263</f>
        <v>1097407.0757186192</v>
      </c>
      <c r="K112" s="877">
        <f>'Gestandaardiseerde PAV en EAV'!K263</f>
        <v>757955.35573660675</v>
      </c>
      <c r="L112" s="877">
        <f>'Gestandaardiseerde PAV en EAV'!L263</f>
        <v>18684.833333333332</v>
      </c>
      <c r="M112" s="877">
        <f>'Gestandaardiseerde PAV en EAV'!M263</f>
        <v>585422.9322591332</v>
      </c>
      <c r="N112" s="877">
        <f>'Gestandaardiseerde PAV en EAV'!N263</f>
        <v>24495.565232977297</v>
      </c>
      <c r="O112" s="13"/>
      <c r="P112" s="50" t="s">
        <v>1095</v>
      </c>
    </row>
    <row r="113" spans="2:15">
      <c r="B113" s="59" t="s">
        <v>252</v>
      </c>
      <c r="C113" s="13"/>
      <c r="D113" s="13" t="s">
        <v>241</v>
      </c>
      <c r="E113" s="13"/>
      <c r="F113" s="82">
        <f t="shared" ref="F113:F119" si="1">SUM(G113:N113)</f>
        <v>7527688.5057244059</v>
      </c>
      <c r="G113" s="877">
        <f>'Gestandaardiseerde PAV en EAV'!G264</f>
        <v>50433.743589743586</v>
      </c>
      <c r="H113" s="877">
        <f>'Gestandaardiseerde PAV en EAV'!H264</f>
        <v>197052.38888888891</v>
      </c>
      <c r="I113" s="877">
        <f>'Gestandaardiseerde PAV en EAV'!I264</f>
        <v>101046.66666666667</v>
      </c>
      <c r="J113" s="877">
        <f>'Gestandaardiseerde PAV en EAV'!J264</f>
        <v>2438235.0180991953</v>
      </c>
      <c r="K113" s="877">
        <f>'Gestandaardiseerde PAV en EAV'!K264</f>
        <v>2765769.1496971273</v>
      </c>
      <c r="L113" s="877">
        <f>'Gestandaardiseerde PAV en EAV'!L264</f>
        <v>30132.933333333331</v>
      </c>
      <c r="M113" s="877">
        <f>'Gestandaardiseerde PAV en EAV'!M264</f>
        <v>1895009.4118550618</v>
      </c>
      <c r="N113" s="877">
        <f>'Gestandaardiseerde PAV en EAV'!N264</f>
        <v>50009.193594389937</v>
      </c>
      <c r="O113" s="13"/>
    </row>
    <row r="114" spans="2:15">
      <c r="B114" s="59" t="s">
        <v>253</v>
      </c>
      <c r="C114" s="13"/>
      <c r="D114" s="13" t="s">
        <v>241</v>
      </c>
      <c r="E114" s="13"/>
      <c r="F114" s="82">
        <f t="shared" si="1"/>
        <v>342349.5528141539</v>
      </c>
      <c r="G114" s="877">
        <f>'Gestandaardiseerde PAV en EAV'!G265</f>
        <v>1683.2564102564102</v>
      </c>
      <c r="H114" s="877">
        <f>'Gestandaardiseerde PAV en EAV'!H265</f>
        <v>8222.25</v>
      </c>
      <c r="I114" s="877">
        <f>'Gestandaardiseerde PAV en EAV'!I265</f>
        <v>3462.6666666666665</v>
      </c>
      <c r="J114" s="877">
        <f>'Gestandaardiseerde PAV en EAV'!J265</f>
        <v>125584.99373603147</v>
      </c>
      <c r="K114" s="877">
        <f>'Gestandaardiseerde PAV en EAV'!K265</f>
        <v>116312.70902675971</v>
      </c>
      <c r="L114" s="877">
        <f>'Gestandaardiseerde PAV en EAV'!L265</f>
        <v>1220.4666666666669</v>
      </c>
      <c r="M114" s="877">
        <f>'Gestandaardiseerde PAV en EAV'!M265</f>
        <v>82451.631432669485</v>
      </c>
      <c r="N114" s="877">
        <f>'Gestandaardiseerde PAV en EAV'!N265</f>
        <v>3411.5788751034988</v>
      </c>
      <c r="O114" s="13"/>
    </row>
    <row r="115" spans="2:15">
      <c r="B115" s="59" t="s">
        <v>255</v>
      </c>
      <c r="C115" s="13"/>
      <c r="D115" s="13" t="s">
        <v>241</v>
      </c>
      <c r="E115" s="13"/>
      <c r="F115" s="82">
        <f t="shared" si="1"/>
        <v>40954.832268082544</v>
      </c>
      <c r="G115" s="877">
        <f>'Gestandaardiseerde PAV en EAV'!G266</f>
        <v>309</v>
      </c>
      <c r="H115" s="877">
        <f>'Gestandaardiseerde PAV en EAV'!H266</f>
        <v>1532.75</v>
      </c>
      <c r="I115" s="877">
        <f>'Gestandaardiseerde PAV en EAV'!I266</f>
        <v>692</v>
      </c>
      <c r="J115" s="877">
        <f>'Gestandaardiseerde PAV en EAV'!J266</f>
        <v>13138.854708250414</v>
      </c>
      <c r="K115" s="877">
        <f>'Gestandaardiseerde PAV en EAV'!K266</f>
        <v>14151.977613911382</v>
      </c>
      <c r="L115" s="877">
        <f>'Gestandaardiseerde PAV en EAV'!L266</f>
        <v>134.41666666666666</v>
      </c>
      <c r="M115" s="877">
        <f>'Gestandaardiseerde PAV en EAV'!M266</f>
        <v>10029.616161616163</v>
      </c>
      <c r="N115" s="877">
        <f>'Gestandaardiseerde PAV en EAV'!N266</f>
        <v>966.21711763791507</v>
      </c>
      <c r="O115" s="13"/>
    </row>
    <row r="116" spans="2:15">
      <c r="B116" s="59" t="s">
        <v>261</v>
      </c>
      <c r="C116" s="13"/>
      <c r="D116" s="13" t="s">
        <v>241</v>
      </c>
      <c r="E116" s="13"/>
      <c r="F116" s="82">
        <f t="shared" si="1"/>
        <v>32274.697059674018</v>
      </c>
      <c r="G116" s="877">
        <f>'Gestandaardiseerde PAV en EAV'!G267</f>
        <v>247.15384615384616</v>
      </c>
      <c r="H116" s="877">
        <f>'Gestandaardiseerde PAV en EAV'!H267</f>
        <v>411.36111111111114</v>
      </c>
      <c r="I116" s="877">
        <f>'Gestandaardiseerde PAV en EAV'!I267</f>
        <v>571</v>
      </c>
      <c r="J116" s="877">
        <f>'Gestandaardiseerde PAV en EAV'!J267</f>
        <v>14198.338953071201</v>
      </c>
      <c r="K116" s="877">
        <f>'Gestandaardiseerde PAV en EAV'!K267</f>
        <v>12567.016104666061</v>
      </c>
      <c r="L116" s="877">
        <f>'Gestandaardiseerde PAV en EAV'!L267</f>
        <v>148.45666666666668</v>
      </c>
      <c r="M116" s="877">
        <f>'Gestandaardiseerde PAV en EAV'!M267</f>
        <v>3729.2777777777769</v>
      </c>
      <c r="N116" s="877">
        <f>'Gestandaardiseerde PAV en EAV'!N267</f>
        <v>402.09260022735668</v>
      </c>
      <c r="O116" s="13"/>
    </row>
    <row r="117" spans="2:15">
      <c r="B117" s="59" t="s">
        <v>262</v>
      </c>
      <c r="C117" s="13"/>
      <c r="D117" s="13"/>
      <c r="E117" s="13"/>
      <c r="F117" s="82">
        <f t="shared" si="1"/>
        <v>1222.3184235266795</v>
      </c>
      <c r="G117" s="877">
        <f>'Gestandaardiseerde PAV en EAV'!G268</f>
        <v>0</v>
      </c>
      <c r="H117" s="877">
        <f>'Gestandaardiseerde PAV en EAV'!H268</f>
        <v>10</v>
      </c>
      <c r="I117" s="877">
        <f>'Gestandaardiseerde PAV en EAV'!I268</f>
        <v>5</v>
      </c>
      <c r="J117" s="877">
        <f>'Gestandaardiseerde PAV en EAV'!J268</f>
        <v>861.25238750306903</v>
      </c>
      <c r="K117" s="877">
        <f>'Gestandaardiseerde PAV en EAV'!K268</f>
        <v>137.72459731723387</v>
      </c>
      <c r="L117" s="877">
        <f>'Gestandaardiseerde PAV en EAV'!L268</f>
        <v>1.9166666666666667</v>
      </c>
      <c r="M117" s="877">
        <f>'Gestandaardiseerde PAV en EAV'!M268</f>
        <v>175.41660301885881</v>
      </c>
      <c r="N117" s="877">
        <f>'Gestandaardiseerde PAV en EAV'!N268</f>
        <v>31.008169020850954</v>
      </c>
      <c r="O117" s="13"/>
    </row>
    <row r="118" spans="2:15">
      <c r="B118" s="59" t="s">
        <v>260</v>
      </c>
      <c r="C118" s="13"/>
      <c r="D118" s="13"/>
      <c r="E118" s="13"/>
      <c r="F118" s="13"/>
      <c r="G118" s="96"/>
      <c r="H118" s="96"/>
      <c r="I118" s="96"/>
      <c r="J118" s="96"/>
      <c r="K118" s="96"/>
      <c r="L118" s="96"/>
      <c r="M118" s="96"/>
      <c r="N118" s="96"/>
      <c r="O118" s="13"/>
    </row>
    <row r="119" spans="2:15">
      <c r="B119" s="984" t="s">
        <v>1096</v>
      </c>
      <c r="C119" s="13"/>
      <c r="D119" s="13" t="s">
        <v>241</v>
      </c>
      <c r="E119" s="13"/>
      <c r="F119" s="82">
        <f t="shared" si="1"/>
        <v>1257440.9699151672</v>
      </c>
      <c r="G119" s="877">
        <f>'Gestandaardiseerde PAV en EAV'!G270</f>
        <v>0</v>
      </c>
      <c r="H119" s="877">
        <f>'Gestandaardiseerde PAV en EAV'!H270</f>
        <v>23200</v>
      </c>
      <c r="I119" s="877">
        <f>'Gestandaardiseerde PAV en EAV'!I270</f>
        <v>2835</v>
      </c>
      <c r="J119" s="877">
        <f>'Gestandaardiseerde PAV en EAV'!J270</f>
        <v>210599.02193991194</v>
      </c>
      <c r="K119" s="877">
        <f>'Gestandaardiseerde PAV en EAV'!K270</f>
        <v>799535.61331670452</v>
      </c>
      <c r="L119" s="877">
        <f>'Gestandaardiseerde PAV en EAV'!L270</f>
        <v>8823.3333333333339</v>
      </c>
      <c r="M119" s="877">
        <f>'Gestandaardiseerde PAV en EAV'!M270</f>
        <v>207047.77742335352</v>
      </c>
      <c r="N119" s="877">
        <f>'Gestandaardiseerde PAV en EAV'!N270</f>
        <v>5400.2239018639511</v>
      </c>
      <c r="O119" s="13"/>
    </row>
    <row r="120" spans="2:15">
      <c r="B120" s="59" t="s">
        <v>260</v>
      </c>
      <c r="C120" s="13"/>
      <c r="D120" s="13"/>
      <c r="E120" s="13"/>
      <c r="F120" s="13"/>
      <c r="G120" s="96"/>
      <c r="H120" s="96"/>
      <c r="I120" s="96"/>
      <c r="J120" s="96"/>
      <c r="K120" s="96"/>
      <c r="L120" s="96"/>
      <c r="M120" s="96"/>
      <c r="N120" s="96"/>
      <c r="O120" s="13"/>
    </row>
    <row r="121" spans="2:15">
      <c r="B121" s="60" t="s">
        <v>327</v>
      </c>
      <c r="C121" s="13"/>
      <c r="D121" s="13"/>
      <c r="E121" s="13"/>
      <c r="F121" s="13"/>
      <c r="G121" s="96"/>
      <c r="H121" s="96"/>
      <c r="I121" s="96"/>
      <c r="J121" s="96"/>
      <c r="K121" s="96"/>
      <c r="L121" s="96"/>
      <c r="M121" s="96"/>
      <c r="N121" s="96"/>
      <c r="O121" s="13"/>
    </row>
    <row r="122" spans="2:15">
      <c r="B122" s="60" t="s">
        <v>328</v>
      </c>
      <c r="C122" s="13"/>
      <c r="D122" s="13"/>
      <c r="E122" s="13"/>
      <c r="F122" s="13"/>
      <c r="G122" s="96"/>
      <c r="H122" s="96"/>
      <c r="I122" s="96"/>
      <c r="J122" s="96"/>
      <c r="K122" s="96"/>
      <c r="L122" s="96"/>
      <c r="M122" s="96"/>
      <c r="N122" s="96"/>
      <c r="O122" s="13"/>
    </row>
    <row r="123" spans="2:15">
      <c r="B123" s="59" t="s">
        <v>251</v>
      </c>
      <c r="C123" s="13"/>
      <c r="D123" s="13" t="s">
        <v>241</v>
      </c>
      <c r="E123" s="13"/>
      <c r="F123" s="82">
        <f>SUM(G123:N123)</f>
        <v>43661.378608696919</v>
      </c>
      <c r="G123" s="877">
        <f>'Gestandaardiseerde PAV en EAV'!G274</f>
        <v>239.33333333333334</v>
      </c>
      <c r="H123" s="877">
        <f>'Gestandaardiseerde PAV en EAV'!H274</f>
        <v>1290</v>
      </c>
      <c r="I123" s="877">
        <f>'Gestandaardiseerde PAV en EAV'!I274</f>
        <v>744.53663683606328</v>
      </c>
      <c r="J123" s="877">
        <f>'Gestandaardiseerde PAV en EAV'!J274</f>
        <v>23978.365156737796</v>
      </c>
      <c r="K123" s="877">
        <f>'Gestandaardiseerde PAV en EAV'!K274</f>
        <v>9302</v>
      </c>
      <c r="L123" s="877">
        <f>'Gestandaardiseerde PAV en EAV'!L274</f>
        <v>441</v>
      </c>
      <c r="M123" s="877">
        <f>'Gestandaardiseerde PAV en EAV'!M274</f>
        <v>7218.8101484563858</v>
      </c>
      <c r="N123" s="877">
        <f>'Gestandaardiseerde PAV en EAV'!N274</f>
        <v>447.33333333333331</v>
      </c>
      <c r="O123" s="13"/>
    </row>
    <row r="124" spans="2:15">
      <c r="B124" s="59" t="s">
        <v>252</v>
      </c>
      <c r="C124" s="13"/>
      <c r="D124" s="13" t="s">
        <v>241</v>
      </c>
      <c r="E124" s="13"/>
      <c r="F124" s="82">
        <f>SUM(G124:N124)</f>
        <v>70635.056416203428</v>
      </c>
      <c r="G124" s="877">
        <f>'Gestandaardiseerde PAV en EAV'!G275</f>
        <v>222.66666666666666</v>
      </c>
      <c r="H124" s="877">
        <f>'Gestandaardiseerde PAV en EAV'!H275</f>
        <v>1750.6666666666667</v>
      </c>
      <c r="I124" s="877">
        <f>'Gestandaardiseerde PAV en EAV'!I275</f>
        <v>843.24900389512788</v>
      </c>
      <c r="J124" s="877">
        <f>'Gestandaardiseerde PAV en EAV'!J275</f>
        <v>21585.902037927353</v>
      </c>
      <c r="K124" s="877">
        <f>'Gestandaardiseerde PAV en EAV'!K275</f>
        <v>28544.590342052314</v>
      </c>
      <c r="L124" s="877">
        <f>'Gestandaardiseerde PAV en EAV'!L275</f>
        <v>234.66666666666666</v>
      </c>
      <c r="M124" s="877">
        <f>'Gestandaardiseerde PAV en EAV'!M275</f>
        <v>16455.64836566196</v>
      </c>
      <c r="N124" s="877">
        <f>'Gestandaardiseerde PAV en EAV'!N275</f>
        <v>997.66666666666663</v>
      </c>
      <c r="O124" s="13"/>
    </row>
    <row r="125" spans="2:15">
      <c r="B125" s="59" t="s">
        <v>253</v>
      </c>
      <c r="C125" s="13"/>
      <c r="D125" s="13" t="s">
        <v>241</v>
      </c>
      <c r="E125" s="13"/>
      <c r="F125" s="82">
        <f>SUM(G125:N125)</f>
        <v>8589.4289824406405</v>
      </c>
      <c r="G125" s="877">
        <f>'Gestandaardiseerde PAV en EAV'!G276</f>
        <v>23.666666666666664</v>
      </c>
      <c r="H125" s="877">
        <f>'Gestandaardiseerde PAV en EAV'!H276</f>
        <v>317.33333333333331</v>
      </c>
      <c r="I125" s="877">
        <f>'Gestandaardiseerde PAV en EAV'!I276</f>
        <v>97.473697737579812</v>
      </c>
      <c r="J125" s="877">
        <f>'Gestandaardiseerde PAV en EAV'!J276</f>
        <v>2298.2466467360064</v>
      </c>
      <c r="K125" s="877">
        <f>'Gestandaardiseerde PAV en EAV'!K276</f>
        <v>3655.6141999052179</v>
      </c>
      <c r="L125" s="877">
        <f>'Gestandaardiseerde PAV en EAV'!L276</f>
        <v>26.666666666666668</v>
      </c>
      <c r="M125" s="877">
        <f>'Gestandaardiseerde PAV en EAV'!M276</f>
        <v>2094.4277713951701</v>
      </c>
      <c r="N125" s="877">
        <f>'Gestandaardiseerde PAV en EAV'!N276</f>
        <v>76</v>
      </c>
      <c r="O125" s="13"/>
    </row>
    <row r="126" spans="2:15">
      <c r="B126" s="59" t="s">
        <v>255</v>
      </c>
      <c r="C126" s="13"/>
      <c r="D126" s="13" t="s">
        <v>241</v>
      </c>
      <c r="E126" s="13"/>
      <c r="F126" s="82">
        <f>SUM(G126:N126)</f>
        <v>2316.1351273600435</v>
      </c>
      <c r="G126" s="877">
        <f>'Gestandaardiseerde PAV en EAV'!G277</f>
        <v>12.333333333333334</v>
      </c>
      <c r="H126" s="877">
        <f>'Gestandaardiseerde PAV en EAV'!H277</f>
        <v>68.066666666666663</v>
      </c>
      <c r="I126" s="877">
        <f>'Gestandaardiseerde PAV en EAV'!I277</f>
        <v>24.678589347412554</v>
      </c>
      <c r="J126" s="877">
        <f>'Gestandaardiseerde PAV en EAV'!J277</f>
        <v>1008.7039834871424</v>
      </c>
      <c r="K126" s="877">
        <f>'Gestandaardiseerde PAV en EAV'!K277</f>
        <v>731.05800305308401</v>
      </c>
      <c r="L126" s="877">
        <f>'Gestandaardiseerde PAV en EAV'!L277</f>
        <v>7.333333333333333</v>
      </c>
      <c r="M126" s="877">
        <f>'Gestandaardiseerde PAV en EAV'!M277</f>
        <v>444.29455147240509</v>
      </c>
      <c r="N126" s="877">
        <f>'Gestandaardiseerde PAV en EAV'!N277</f>
        <v>19.666666666666664</v>
      </c>
      <c r="O126" s="13"/>
    </row>
    <row r="127" spans="2:15">
      <c r="B127" s="59" t="s">
        <v>254</v>
      </c>
      <c r="C127" s="13"/>
      <c r="D127" s="13" t="s">
        <v>241</v>
      </c>
      <c r="E127" s="13"/>
      <c r="F127" s="82">
        <f>SUM(G127:N127)</f>
        <v>254.97589848360025</v>
      </c>
      <c r="G127" s="877">
        <f>'Gestandaardiseerde PAV en EAV'!G278</f>
        <v>0.33333333333333331</v>
      </c>
      <c r="H127" s="877">
        <f>'Gestandaardiseerde PAV en EAV'!H278</f>
        <v>2</v>
      </c>
      <c r="I127" s="877">
        <f>'Gestandaardiseerde PAV en EAV'!I278</f>
        <v>2.4939880561719843</v>
      </c>
      <c r="J127" s="877">
        <f>'Gestandaardiseerde PAV en EAV'!J278</f>
        <v>108.02731041854648</v>
      </c>
      <c r="K127" s="877">
        <f>'Gestandaardiseerde PAV en EAV'!K278</f>
        <v>84.052543116467049</v>
      </c>
      <c r="L127" s="877">
        <f>'Gestandaardiseerde PAV en EAV'!L278</f>
        <v>0.33333333333333331</v>
      </c>
      <c r="M127" s="877">
        <f>'Gestandaardiseerde PAV en EAV'!M278</f>
        <v>51.735390225748048</v>
      </c>
      <c r="N127" s="877">
        <f>'Gestandaardiseerde PAV en EAV'!N278</f>
        <v>6</v>
      </c>
      <c r="O127" s="13"/>
    </row>
    <row r="128" spans="2:15">
      <c r="B128" s="59" t="s">
        <v>260</v>
      </c>
      <c r="C128" s="13"/>
      <c r="D128" s="13"/>
      <c r="E128" s="13"/>
      <c r="F128" s="13"/>
      <c r="G128" s="96"/>
      <c r="H128" s="96"/>
      <c r="I128" s="96"/>
      <c r="J128" s="96"/>
      <c r="K128" s="96"/>
      <c r="L128" s="96"/>
      <c r="M128" s="96"/>
      <c r="N128" s="96"/>
      <c r="O128" s="13"/>
    </row>
    <row r="129" spans="2:16">
      <c r="B129" s="60" t="s">
        <v>329</v>
      </c>
      <c r="C129" s="13"/>
      <c r="D129" s="13"/>
      <c r="E129" s="13"/>
      <c r="F129" s="13"/>
      <c r="G129" s="96"/>
      <c r="H129" s="96"/>
      <c r="I129" s="96"/>
      <c r="J129" s="96"/>
      <c r="K129" s="96"/>
      <c r="L129" s="96"/>
      <c r="M129" s="96"/>
      <c r="N129" s="96"/>
      <c r="O129" s="13"/>
    </row>
    <row r="130" spans="2:16">
      <c r="B130" s="59" t="s">
        <v>251</v>
      </c>
      <c r="C130" s="13"/>
      <c r="D130" s="13" t="s">
        <v>241</v>
      </c>
      <c r="E130" s="13"/>
      <c r="F130" s="82">
        <f>SUM(G130:N130)</f>
        <v>36513.230842630997</v>
      </c>
      <c r="G130" s="877">
        <f>'Gestandaardiseerde PAV en EAV'!G281</f>
        <v>364.66666666666669</v>
      </c>
      <c r="H130" s="877">
        <f>'Gestandaardiseerde PAV en EAV'!H281</f>
        <v>1887.6666666666667</v>
      </c>
      <c r="I130" s="877">
        <f>'Gestandaardiseerde PAV en EAV'!I281</f>
        <v>67.960258152173907</v>
      </c>
      <c r="J130" s="877">
        <f>'Gestandaardiseerde PAV en EAV'!J281</f>
        <v>18313.749474011827</v>
      </c>
      <c r="K130" s="877">
        <f>'Gestandaardiseerde PAV en EAV'!K281</f>
        <v>10918.5</v>
      </c>
      <c r="L130" s="877">
        <f>'Gestandaardiseerde PAV en EAV'!L281</f>
        <v>302</v>
      </c>
      <c r="M130" s="877">
        <f>'Gestandaardiseerde PAV en EAV'!M281</f>
        <v>4231.3544438003282</v>
      </c>
      <c r="N130" s="877">
        <f>'Gestandaardiseerde PAV en EAV'!N281</f>
        <v>427.33333333333331</v>
      </c>
      <c r="O130" s="13"/>
    </row>
    <row r="131" spans="2:16">
      <c r="B131" s="59" t="s">
        <v>252</v>
      </c>
      <c r="C131" s="13"/>
      <c r="D131" s="13" t="s">
        <v>241</v>
      </c>
      <c r="E131" s="13"/>
      <c r="F131" s="82">
        <f>SUM(G131:N131)</f>
        <v>123967.15281520667</v>
      </c>
      <c r="G131" s="877">
        <f>'Gestandaardiseerde PAV en EAV'!G282</f>
        <v>250</v>
      </c>
      <c r="H131" s="877">
        <f>'Gestandaardiseerde PAV en EAV'!H282</f>
        <v>4417.333333333333</v>
      </c>
      <c r="I131" s="877">
        <f>'Gestandaardiseerde PAV en EAV'!I282</f>
        <v>621.61926249311898</v>
      </c>
      <c r="J131" s="877">
        <f>'Gestandaardiseerde PAV en EAV'!J282</f>
        <v>69655.663219799419</v>
      </c>
      <c r="K131" s="877">
        <f>'Gestandaardiseerde PAV en EAV'!K282</f>
        <v>33369.666666666664</v>
      </c>
      <c r="L131" s="877">
        <f>'Gestandaardiseerde PAV en EAV'!L282</f>
        <v>451.33333333333331</v>
      </c>
      <c r="M131" s="877">
        <f>'Gestandaardiseerde PAV en EAV'!M282</f>
        <v>13814.53699958082</v>
      </c>
      <c r="N131" s="877">
        <f>'Gestandaardiseerde PAV en EAV'!N282</f>
        <v>1387</v>
      </c>
      <c r="O131" s="13"/>
    </row>
    <row r="132" spans="2:16">
      <c r="B132" s="59" t="s">
        <v>253</v>
      </c>
      <c r="C132" s="13"/>
      <c r="D132" s="13" t="s">
        <v>241</v>
      </c>
      <c r="E132" s="13"/>
      <c r="F132" s="82">
        <f>SUM(G132:N132)</f>
        <v>95700.933613496411</v>
      </c>
      <c r="G132" s="877">
        <f>'Gestandaardiseerde PAV en EAV'!G283</f>
        <v>256</v>
      </c>
      <c r="H132" s="877">
        <f>'Gestandaardiseerde PAV en EAV'!H283</f>
        <v>2653.333333333333</v>
      </c>
      <c r="I132" s="877">
        <f>'Gestandaardiseerde PAV en EAV'!I283</f>
        <v>554.3896266777291</v>
      </c>
      <c r="J132" s="877">
        <f>'Gestandaardiseerde PAV en EAV'!J283</f>
        <v>38145.544788359781</v>
      </c>
      <c r="K132" s="877">
        <f>'Gestandaardiseerde PAV en EAV'!K283</f>
        <v>30174.333333333336</v>
      </c>
      <c r="L132" s="877">
        <f>'Gestandaardiseerde PAV en EAV'!L283</f>
        <v>214</v>
      </c>
      <c r="M132" s="877">
        <f>'Gestandaardiseerde PAV en EAV'!M283</f>
        <v>22092.665865125575</v>
      </c>
      <c r="N132" s="877">
        <f>'Gestandaardiseerde PAV en EAV'!N283</f>
        <v>1610.6666666666667</v>
      </c>
      <c r="O132" s="13"/>
    </row>
    <row r="133" spans="2:16">
      <c r="B133" s="59" t="s">
        <v>255</v>
      </c>
      <c r="C133" s="13"/>
      <c r="D133" s="13" t="s">
        <v>241</v>
      </c>
      <c r="E133" s="13"/>
      <c r="F133" s="82">
        <f>SUM(G133:N133)</f>
        <v>275261.81926263531</v>
      </c>
      <c r="G133" s="877">
        <f>'Gestandaardiseerde PAV en EAV'!G284</f>
        <v>967.99999999999989</v>
      </c>
      <c r="H133" s="877">
        <f>'Gestandaardiseerde PAV en EAV'!H284</f>
        <v>8586.4700000000012</v>
      </c>
      <c r="I133" s="877">
        <f>'Gestandaardiseerde PAV en EAV'!I284</f>
        <v>1418.9349925679983</v>
      </c>
      <c r="J133" s="877">
        <f>'Gestandaardiseerde PAV en EAV'!J284</f>
        <v>133547.16333097886</v>
      </c>
      <c r="K133" s="877">
        <f>'Gestandaardiseerde PAV en EAV'!K284</f>
        <v>79472.994343405255</v>
      </c>
      <c r="L133" s="877">
        <f>'Gestandaardiseerde PAV en EAV'!L284</f>
        <v>955</v>
      </c>
      <c r="M133" s="877">
        <f>'Gestandaardiseerde PAV en EAV'!M284</f>
        <v>47798.423262349905</v>
      </c>
      <c r="N133" s="877">
        <f>'Gestandaardiseerde PAV en EAV'!N284</f>
        <v>2514.833333333333</v>
      </c>
      <c r="O133" s="13"/>
    </row>
    <row r="134" spans="2:16">
      <c r="B134" s="59" t="s">
        <v>254</v>
      </c>
      <c r="C134" s="13"/>
      <c r="D134" s="13" t="s">
        <v>241</v>
      </c>
      <c r="E134" s="13"/>
      <c r="F134" s="82">
        <f>SUM(G134:N134)</f>
        <v>54998.37468716719</v>
      </c>
      <c r="G134" s="877">
        <f>'Gestandaardiseerde PAV en EAV'!G285</f>
        <v>50</v>
      </c>
      <c r="H134" s="877">
        <f>'Gestandaardiseerde PAV en EAV'!H285</f>
        <v>338.33333333333331</v>
      </c>
      <c r="I134" s="877">
        <f>'Gestandaardiseerde PAV en EAV'!I285</f>
        <v>194.48679181080618</v>
      </c>
      <c r="J134" s="877">
        <f>'Gestandaardiseerde PAV en EAV'!J285</f>
        <v>10156.607388010605</v>
      </c>
      <c r="K134" s="877">
        <f>'Gestandaardiseerde PAV en EAV'!K285</f>
        <v>32192.83337286843</v>
      </c>
      <c r="L134" s="877">
        <f>'Gestandaardiseerde PAV en EAV'!L285</f>
        <v>466.66666666666669</v>
      </c>
      <c r="M134" s="877">
        <f>'Gestandaardiseerde PAV en EAV'!M285</f>
        <v>10783.447134477352</v>
      </c>
      <c r="N134" s="877">
        <f>'Gestandaardiseerde PAV en EAV'!N285</f>
        <v>816.00000000000011</v>
      </c>
      <c r="O134" s="13"/>
    </row>
    <row r="135" spans="2:16">
      <c r="B135" s="95"/>
      <c r="C135" s="13"/>
      <c r="D135" s="13"/>
      <c r="E135" s="13"/>
      <c r="F135" s="13"/>
      <c r="G135" s="11"/>
      <c r="H135" s="11"/>
      <c r="I135" s="11"/>
      <c r="J135" s="11"/>
      <c r="K135" s="11"/>
      <c r="L135" s="11"/>
      <c r="M135" s="11"/>
      <c r="N135" s="11"/>
      <c r="O135" s="13"/>
    </row>
    <row r="138" spans="2:16" s="2" customFormat="1">
      <c r="B138" s="2" t="s">
        <v>265</v>
      </c>
    </row>
    <row r="141" spans="2:16">
      <c r="B141" s="22" t="s">
        <v>242</v>
      </c>
    </row>
    <row r="142" spans="2:16">
      <c r="B142" s="23" t="s">
        <v>243</v>
      </c>
      <c r="D142" t="s">
        <v>241</v>
      </c>
      <c r="G142" s="24">
        <f>AVERAGE('PRD Volumes DCO (2009-2012)'!G50,'PRD Volumes DCO (2009-2012)'!G86,'PRD Volumes DCO (2009-2012)'!G122)</f>
        <v>0</v>
      </c>
      <c r="H142" s="24">
        <f>AVERAGE('PRD Volumes DCO (2009-2012)'!H50,'PRD Volumes DCO (2009-2012)'!H86,'PRD Volumes DCO (2009-2012)'!H122)</f>
        <v>76115880.666666672</v>
      </c>
      <c r="I142" s="24">
        <f>AVERAGE('PRD Volumes DCO (2009-2012)'!I50,'PRD Volumes DCO (2009-2012)'!I86,'PRD Volumes DCO (2009-2012)'!I122)</f>
        <v>0</v>
      </c>
      <c r="J142" s="24">
        <f>AVERAGE('PRD Volumes DCO (2009-2012)'!J50,'PRD Volumes DCO (2009-2012)'!J86,'PRD Volumes DCO (2009-2012)'!J122)</f>
        <v>419803119</v>
      </c>
      <c r="K142" s="24">
        <f>AVERAGE('PRD Volumes DCO (2009-2012)'!K50,'PRD Volumes DCO (2009-2012)'!K86,'PRD Volumes DCO (2009-2012)'!K122)</f>
        <v>1840235711.5882003</v>
      </c>
      <c r="L142" s="24">
        <f>AVERAGE('PRD Volumes DCO (2009-2012)'!L50,'PRD Volumes DCO (2009-2012)'!L86,'PRD Volumes DCO (2009-2012)'!L122)</f>
        <v>0</v>
      </c>
      <c r="M142" s="24">
        <f>AVERAGE('PRD Volumes DCO (2009-2012)'!M50,'PRD Volumes DCO (2009-2012)'!M86,'PRD Volumes DCO (2009-2012)'!M122)</f>
        <v>1613566302</v>
      </c>
      <c r="N142" s="24">
        <f>AVERAGE('PRD Volumes DCO (2009-2012)'!N50,'PRD Volumes DCO (2009-2012)'!N86,'PRD Volumes DCO (2009-2012)'!N122)</f>
        <v>0</v>
      </c>
      <c r="P142" s="50" t="s">
        <v>445</v>
      </c>
    </row>
    <row r="143" spans="2:16">
      <c r="B143" s="23" t="s">
        <v>244</v>
      </c>
      <c r="D143" t="s">
        <v>241</v>
      </c>
      <c r="G143" s="24">
        <f>AVERAGE('PRD Volumes DCO (2009-2012)'!G51,'PRD Volumes DCO (2009-2012)'!G87,'PRD Volumes DCO (2009-2012)'!G123)</f>
        <v>0</v>
      </c>
      <c r="H143" s="24">
        <f>AVERAGE('PRD Volumes DCO (2009-2012)'!H51,'PRD Volumes DCO (2009-2012)'!H87,'PRD Volumes DCO (2009-2012)'!H123)</f>
        <v>503617.33333333331</v>
      </c>
      <c r="I143" s="24">
        <f>AVERAGE('PRD Volumes DCO (2009-2012)'!I51,'PRD Volumes DCO (2009-2012)'!I87,'PRD Volumes DCO (2009-2012)'!I123)</f>
        <v>0</v>
      </c>
      <c r="J143" s="24">
        <f>AVERAGE('PRD Volumes DCO (2009-2012)'!J51,'PRD Volumes DCO (2009-2012)'!J87,'PRD Volumes DCO (2009-2012)'!J123)</f>
        <v>738265.33333333337</v>
      </c>
      <c r="K143" s="24">
        <f>AVERAGE('PRD Volumes DCO (2009-2012)'!K51,'PRD Volumes DCO (2009-2012)'!K87,'PRD Volumes DCO (2009-2012)'!K123)</f>
        <v>4246102.3465999998</v>
      </c>
      <c r="L143" s="24">
        <f>AVERAGE('PRD Volumes DCO (2009-2012)'!L51,'PRD Volumes DCO (2009-2012)'!L87,'PRD Volumes DCO (2009-2012)'!L123)</f>
        <v>0</v>
      </c>
      <c r="M143" s="24">
        <f>AVERAGE('PRD Volumes DCO (2009-2012)'!M51,'PRD Volumes DCO (2009-2012)'!M87,'PRD Volumes DCO (2009-2012)'!M123)</f>
        <v>4112412</v>
      </c>
      <c r="N143" s="24">
        <f>AVERAGE('PRD Volumes DCO (2009-2012)'!N51,'PRD Volumes DCO (2009-2012)'!N87,'PRD Volumes DCO (2009-2012)'!N123)</f>
        <v>0</v>
      </c>
    </row>
    <row r="144" spans="2:16">
      <c r="B144" s="23" t="s">
        <v>245</v>
      </c>
      <c r="D144" t="s">
        <v>241</v>
      </c>
      <c r="G144" s="24">
        <f>AVERAGE('PRD Volumes DCO (2009-2012)'!G52,'PRD Volumes DCO (2009-2012)'!G88,'PRD Volumes DCO (2009-2012)'!G124)</f>
        <v>0</v>
      </c>
      <c r="H144" s="24">
        <f>AVERAGE('PRD Volumes DCO (2009-2012)'!H52,'PRD Volumes DCO (2009-2012)'!H88,'PRD Volumes DCO (2009-2012)'!H124)</f>
        <v>46285.333333333336</v>
      </c>
      <c r="I144" s="24">
        <f>AVERAGE('PRD Volumes DCO (2009-2012)'!I52,'PRD Volumes DCO (2009-2012)'!I88,'PRD Volumes DCO (2009-2012)'!I124)</f>
        <v>0</v>
      </c>
      <c r="J144" s="24">
        <f>AVERAGE('PRD Volumes DCO (2009-2012)'!J52,'PRD Volumes DCO (2009-2012)'!J88,'PRD Volumes DCO (2009-2012)'!J124)</f>
        <v>64821.333333333336</v>
      </c>
      <c r="K144" s="24">
        <f>AVERAGE('PRD Volumes DCO (2009-2012)'!K52,'PRD Volumes DCO (2009-2012)'!K88,'PRD Volumes DCO (2009-2012)'!K124)</f>
        <v>497345.37253333331</v>
      </c>
      <c r="L144" s="24">
        <f>AVERAGE('PRD Volumes DCO (2009-2012)'!L52,'PRD Volumes DCO (2009-2012)'!L88,'PRD Volumes DCO (2009-2012)'!L124)</f>
        <v>0</v>
      </c>
      <c r="M144" s="24">
        <f>AVERAGE('PRD Volumes DCO (2009-2012)'!M52,'PRD Volumes DCO (2009-2012)'!M88,'PRD Volumes DCO (2009-2012)'!M124)</f>
        <v>367025.33333333331</v>
      </c>
      <c r="N144" s="24">
        <f>AVERAGE('PRD Volumes DCO (2009-2012)'!N52,'PRD Volumes DCO (2009-2012)'!N88,'PRD Volumes DCO (2009-2012)'!N124)</f>
        <v>0</v>
      </c>
    </row>
    <row r="145" spans="2:14">
      <c r="B145" s="23"/>
      <c r="G145" s="69"/>
      <c r="H145" s="69"/>
      <c r="I145" s="69"/>
      <c r="J145" s="69"/>
      <c r="K145" s="69"/>
      <c r="L145" s="69"/>
      <c r="M145" s="69"/>
      <c r="N145" s="69"/>
    </row>
    <row r="146" spans="2:14">
      <c r="B146" s="22" t="s">
        <v>246</v>
      </c>
      <c r="G146" s="69"/>
      <c r="H146" s="69"/>
      <c r="I146" s="69"/>
      <c r="J146" s="69"/>
      <c r="K146" s="69"/>
      <c r="L146" s="69"/>
      <c r="M146" s="69"/>
      <c r="N146" s="69"/>
    </row>
    <row r="147" spans="2:14">
      <c r="B147" s="23" t="s">
        <v>243</v>
      </c>
      <c r="D147" t="s">
        <v>241</v>
      </c>
      <c r="G147" s="24">
        <f>AVERAGE('PRD Volumes DCO (2009-2012)'!G55,'PRD Volumes DCO (2009-2012)'!G91,'PRD Volumes DCO (2009-2012)'!G127)</f>
        <v>0</v>
      </c>
      <c r="H147" s="24">
        <f>AVERAGE('PRD Volumes DCO (2009-2012)'!H55,'PRD Volumes DCO (2009-2012)'!H91,'PRD Volumes DCO (2009-2012)'!H127)</f>
        <v>564088783.33333337</v>
      </c>
      <c r="I147" s="24">
        <f>AVERAGE('PRD Volumes DCO (2009-2012)'!I55,'PRD Volumes DCO (2009-2012)'!I91,'PRD Volumes DCO (2009-2012)'!I127)</f>
        <v>0</v>
      </c>
      <c r="J147" s="24">
        <f>AVERAGE('PRD Volumes DCO (2009-2012)'!J55,'PRD Volumes DCO (2009-2012)'!J91,'PRD Volumes DCO (2009-2012)'!J127)</f>
        <v>552547979.66666663</v>
      </c>
      <c r="K147" s="24">
        <f>AVERAGE('PRD Volumes DCO (2009-2012)'!K55,'PRD Volumes DCO (2009-2012)'!K91,'PRD Volumes DCO (2009-2012)'!K127)</f>
        <v>2313863693.4000001</v>
      </c>
      <c r="L147" s="24">
        <f>AVERAGE('PRD Volumes DCO (2009-2012)'!L55,'PRD Volumes DCO (2009-2012)'!L91,'PRD Volumes DCO (2009-2012)'!L127)</f>
        <v>0</v>
      </c>
      <c r="M147" s="24">
        <f>AVERAGE('PRD Volumes DCO (2009-2012)'!M55,'PRD Volumes DCO (2009-2012)'!M91,'PRD Volumes DCO (2009-2012)'!M127)</f>
        <v>393381462</v>
      </c>
      <c r="N147" s="24">
        <f>AVERAGE('PRD Volumes DCO (2009-2012)'!N55,'PRD Volumes DCO (2009-2012)'!N91,'PRD Volumes DCO (2009-2012)'!N127)</f>
        <v>0</v>
      </c>
    </row>
    <row r="148" spans="2:14">
      <c r="B148" s="23" t="s">
        <v>244</v>
      </c>
      <c r="D148" t="s">
        <v>241</v>
      </c>
      <c r="G148" s="24">
        <f>AVERAGE('PRD Volumes DCO (2009-2012)'!G56,'PRD Volumes DCO (2009-2012)'!G92,'PRD Volumes DCO (2009-2012)'!G128)</f>
        <v>0</v>
      </c>
      <c r="H148" s="24">
        <f>AVERAGE('PRD Volumes DCO (2009-2012)'!H56,'PRD Volumes DCO (2009-2012)'!H92,'PRD Volumes DCO (2009-2012)'!H128)</f>
        <v>2134890.6666666665</v>
      </c>
      <c r="I148" s="24">
        <f>AVERAGE('PRD Volumes DCO (2009-2012)'!I56,'PRD Volumes DCO (2009-2012)'!I92,'PRD Volumes DCO (2009-2012)'!I128)</f>
        <v>0</v>
      </c>
      <c r="J148" s="24">
        <f>AVERAGE('PRD Volumes DCO (2009-2012)'!J56,'PRD Volumes DCO (2009-2012)'!J92,'PRD Volumes DCO (2009-2012)'!J128)</f>
        <v>1846375.3333333333</v>
      </c>
      <c r="K148" s="24">
        <f>AVERAGE('PRD Volumes DCO (2009-2012)'!K56,'PRD Volumes DCO (2009-2012)'!K92,'PRD Volumes DCO (2009-2012)'!K128)</f>
        <v>8422063.9626666661</v>
      </c>
      <c r="L148" s="24">
        <f>AVERAGE('PRD Volumes DCO (2009-2012)'!L56,'PRD Volumes DCO (2009-2012)'!L92,'PRD Volumes DCO (2009-2012)'!L128)</f>
        <v>0</v>
      </c>
      <c r="M148" s="24">
        <f>AVERAGE('PRD Volumes DCO (2009-2012)'!M56,'PRD Volumes DCO (2009-2012)'!M92,'PRD Volumes DCO (2009-2012)'!M128)</f>
        <v>1517637.3333333333</v>
      </c>
      <c r="N148" s="24">
        <f>AVERAGE('PRD Volumes DCO (2009-2012)'!N56,'PRD Volumes DCO (2009-2012)'!N92,'PRD Volumes DCO (2009-2012)'!N128)</f>
        <v>0</v>
      </c>
    </row>
    <row r="149" spans="2:14">
      <c r="B149" s="23" t="s">
        <v>245</v>
      </c>
      <c r="D149" t="s">
        <v>241</v>
      </c>
      <c r="G149" s="24">
        <f>AVERAGE('PRD Volumes DCO (2009-2012)'!G57,'PRD Volumes DCO (2009-2012)'!G93,'PRD Volumes DCO (2009-2012)'!G129)</f>
        <v>0</v>
      </c>
      <c r="H149" s="24">
        <f>AVERAGE('PRD Volumes DCO (2009-2012)'!H57,'PRD Volumes DCO (2009-2012)'!H93,'PRD Volumes DCO (2009-2012)'!H129)</f>
        <v>185472</v>
      </c>
      <c r="I149" s="24">
        <f>AVERAGE('PRD Volumes DCO (2009-2012)'!I57,'PRD Volumes DCO (2009-2012)'!I93,'PRD Volumes DCO (2009-2012)'!I129)</f>
        <v>0</v>
      </c>
      <c r="J149" s="24">
        <f>AVERAGE('PRD Volumes DCO (2009-2012)'!J57,'PRD Volumes DCO (2009-2012)'!J93,'PRD Volumes DCO (2009-2012)'!J129)</f>
        <v>176583.33333333334</v>
      </c>
      <c r="K149" s="24">
        <f>AVERAGE('PRD Volumes DCO (2009-2012)'!K57,'PRD Volumes DCO (2009-2012)'!K93,'PRD Volumes DCO (2009-2012)'!K129)</f>
        <v>762814</v>
      </c>
      <c r="L149" s="24">
        <f>AVERAGE('PRD Volumes DCO (2009-2012)'!L57,'PRD Volumes DCO (2009-2012)'!L93,'PRD Volumes DCO (2009-2012)'!L129)</f>
        <v>0</v>
      </c>
      <c r="M149" s="24">
        <f>AVERAGE('PRD Volumes DCO (2009-2012)'!M57,'PRD Volumes DCO (2009-2012)'!M93,'PRD Volumes DCO (2009-2012)'!M129)</f>
        <v>111418.66666666667</v>
      </c>
      <c r="N149" s="24">
        <f>AVERAGE('PRD Volumes DCO (2009-2012)'!N57,'PRD Volumes DCO (2009-2012)'!N93,'PRD Volumes DCO (2009-2012)'!N129)</f>
        <v>0</v>
      </c>
    </row>
    <row r="150" spans="2:14">
      <c r="B150" s="23"/>
      <c r="G150" s="69"/>
      <c r="H150" s="69"/>
      <c r="I150" s="69"/>
      <c r="J150" s="69"/>
      <c r="K150" s="69"/>
      <c r="L150" s="69"/>
      <c r="M150" s="69"/>
      <c r="N150" s="69"/>
    </row>
    <row r="151" spans="2:14">
      <c r="B151" s="22" t="s">
        <v>247</v>
      </c>
      <c r="G151" s="69"/>
      <c r="H151" s="69"/>
      <c r="I151" s="69"/>
      <c r="J151" s="69"/>
      <c r="K151" s="69"/>
      <c r="L151" s="69"/>
      <c r="M151" s="69"/>
      <c r="N151" s="69"/>
    </row>
    <row r="152" spans="2:14">
      <c r="B152" s="23" t="s">
        <v>243</v>
      </c>
      <c r="D152" t="s">
        <v>241</v>
      </c>
      <c r="G152" s="24">
        <f>AVERAGE('PRD Volumes DCO (2009-2012)'!G60,'PRD Volumes DCO (2009-2012)'!G96,'PRD Volumes DCO (2009-2012)'!G132)</f>
        <v>0</v>
      </c>
      <c r="H152" s="24">
        <f>AVERAGE('PRD Volumes DCO (2009-2012)'!H60,'PRD Volumes DCO (2009-2012)'!H96,'PRD Volumes DCO (2009-2012)'!H132)</f>
        <v>0</v>
      </c>
      <c r="I152" s="24">
        <f>AVERAGE('PRD Volumes DCO (2009-2012)'!I60,'PRD Volumes DCO (2009-2012)'!I96,'PRD Volumes DCO (2009-2012)'!I132)</f>
        <v>925524.20206666656</v>
      </c>
      <c r="J152" s="24">
        <f>AVERAGE('PRD Volumes DCO (2009-2012)'!J60,'PRD Volumes DCO (2009-2012)'!J96,'PRD Volumes DCO (2009-2012)'!J132)</f>
        <v>916766913</v>
      </c>
      <c r="K152" s="24">
        <f>AVERAGE('PRD Volumes DCO (2009-2012)'!K60,'PRD Volumes DCO (2009-2012)'!K96,'PRD Volumes DCO (2009-2012)'!K132)</f>
        <v>0</v>
      </c>
      <c r="L152" s="24">
        <f>AVERAGE('PRD Volumes DCO (2009-2012)'!L60,'PRD Volumes DCO (2009-2012)'!L96,'PRD Volumes DCO (2009-2012)'!L132)</f>
        <v>6005528.333333333</v>
      </c>
      <c r="M152" s="24">
        <f>AVERAGE('PRD Volumes DCO (2009-2012)'!M60,'PRD Volumes DCO (2009-2012)'!M96,'PRD Volumes DCO (2009-2012)'!M132)</f>
        <v>0</v>
      </c>
      <c r="N152" s="24">
        <f>AVERAGE('PRD Volumes DCO (2009-2012)'!N60,'PRD Volumes DCO (2009-2012)'!N96,'PRD Volumes DCO (2009-2012)'!N132)</f>
        <v>0</v>
      </c>
    </row>
    <row r="153" spans="2:14">
      <c r="B153" s="23" t="s">
        <v>244</v>
      </c>
      <c r="D153" t="s">
        <v>241</v>
      </c>
      <c r="G153" s="24">
        <f>AVERAGE('PRD Volumes DCO (2009-2012)'!G61,'PRD Volumes DCO (2009-2012)'!G97,'PRD Volumes DCO (2009-2012)'!G133)</f>
        <v>0</v>
      </c>
      <c r="H153" s="24">
        <f>AVERAGE('PRD Volumes DCO (2009-2012)'!H61,'PRD Volumes DCO (2009-2012)'!H97,'PRD Volumes DCO (2009-2012)'!H133)</f>
        <v>0</v>
      </c>
      <c r="I153" s="24">
        <f>AVERAGE('PRD Volumes DCO (2009-2012)'!I61,'PRD Volumes DCO (2009-2012)'!I97,'PRD Volumes DCO (2009-2012)'!I133)</f>
        <v>0</v>
      </c>
      <c r="J153" s="24">
        <f>AVERAGE('PRD Volumes DCO (2009-2012)'!J61,'PRD Volumes DCO (2009-2012)'!J97,'PRD Volumes DCO (2009-2012)'!J133)</f>
        <v>2869466.6666666665</v>
      </c>
      <c r="K153" s="24">
        <f>AVERAGE('PRD Volumes DCO (2009-2012)'!K61,'PRD Volumes DCO (2009-2012)'!K97,'PRD Volumes DCO (2009-2012)'!K133)</f>
        <v>0</v>
      </c>
      <c r="L153" s="24">
        <f>AVERAGE('PRD Volumes DCO (2009-2012)'!L61,'PRD Volumes DCO (2009-2012)'!L97,'PRD Volumes DCO (2009-2012)'!L133)</f>
        <v>2201.3333333333335</v>
      </c>
      <c r="M153" s="24">
        <f>AVERAGE('PRD Volumes DCO (2009-2012)'!M61,'PRD Volumes DCO (2009-2012)'!M97,'PRD Volumes DCO (2009-2012)'!M133)</f>
        <v>0</v>
      </c>
      <c r="N153" s="24">
        <f>AVERAGE('PRD Volumes DCO (2009-2012)'!N61,'PRD Volumes DCO (2009-2012)'!N97,'PRD Volumes DCO (2009-2012)'!N133)</f>
        <v>0</v>
      </c>
    </row>
    <row r="154" spans="2:14">
      <c r="B154" s="23" t="s">
        <v>245</v>
      </c>
      <c r="D154" t="s">
        <v>241</v>
      </c>
      <c r="G154" s="24">
        <f>AVERAGE('PRD Volumes DCO (2009-2012)'!G62,'PRD Volumes DCO (2009-2012)'!G98,'PRD Volumes DCO (2009-2012)'!G134)</f>
        <v>0</v>
      </c>
      <c r="H154" s="24">
        <f>AVERAGE('PRD Volumes DCO (2009-2012)'!H62,'PRD Volumes DCO (2009-2012)'!H98,'PRD Volumes DCO (2009-2012)'!H134)</f>
        <v>0</v>
      </c>
      <c r="I154" s="24">
        <f>AVERAGE('PRD Volumes DCO (2009-2012)'!I62,'PRD Volumes DCO (2009-2012)'!I98,'PRD Volumes DCO (2009-2012)'!I134)</f>
        <v>0</v>
      </c>
      <c r="J154" s="24">
        <f>AVERAGE('PRD Volumes DCO (2009-2012)'!J62,'PRD Volumes DCO (2009-2012)'!J98,'PRD Volumes DCO (2009-2012)'!J134)</f>
        <v>255410.66666666666</v>
      </c>
      <c r="K154" s="24">
        <f>AVERAGE('PRD Volumes DCO (2009-2012)'!K62,'PRD Volumes DCO (2009-2012)'!K98,'PRD Volumes DCO (2009-2012)'!K134)</f>
        <v>0</v>
      </c>
      <c r="L154" s="24">
        <f>AVERAGE('PRD Volumes DCO (2009-2012)'!L62,'PRD Volumes DCO (2009-2012)'!L98,'PRD Volumes DCO (2009-2012)'!L134)</f>
        <v>0</v>
      </c>
      <c r="M154" s="24">
        <f>AVERAGE('PRD Volumes DCO (2009-2012)'!M62,'PRD Volumes DCO (2009-2012)'!M98,'PRD Volumes DCO (2009-2012)'!M134)</f>
        <v>0</v>
      </c>
      <c r="N154" s="24">
        <f>AVERAGE('PRD Volumes DCO (2009-2012)'!N62,'PRD Volumes DCO (2009-2012)'!N98,'PRD Volumes DCO (2009-2012)'!N134)</f>
        <v>0</v>
      </c>
    </row>
    <row r="155" spans="2:14">
      <c r="B155" s="23"/>
      <c r="G155" s="69"/>
      <c r="H155" s="69"/>
      <c r="I155" s="69"/>
      <c r="J155" s="69"/>
      <c r="K155" s="69"/>
      <c r="L155" s="69"/>
      <c r="M155" s="69"/>
      <c r="N155" s="69"/>
    </row>
    <row r="156" spans="2:14">
      <c r="B156" s="22" t="s">
        <v>248</v>
      </c>
      <c r="G156" s="69"/>
      <c r="H156" s="69"/>
      <c r="I156" s="69"/>
      <c r="J156" s="69"/>
      <c r="K156" s="69"/>
      <c r="L156" s="69"/>
      <c r="M156" s="69"/>
      <c r="N156" s="69"/>
    </row>
    <row r="157" spans="2:14">
      <c r="B157" s="23" t="s">
        <v>243</v>
      </c>
      <c r="D157" t="s">
        <v>241</v>
      </c>
      <c r="G157" s="24">
        <f>AVERAGE('PRD Volumes DCO (2009-2012)'!G65,'PRD Volumes DCO (2009-2012)'!G101,'PRD Volumes DCO (2009-2012)'!G137)</f>
        <v>0</v>
      </c>
      <c r="H157" s="24">
        <f>AVERAGE('PRD Volumes DCO (2009-2012)'!H65,'PRD Volumes DCO (2009-2012)'!H101,'PRD Volumes DCO (2009-2012)'!H137)</f>
        <v>108676828.33333333</v>
      </c>
      <c r="I157" s="24">
        <f>AVERAGE('PRD Volumes DCO (2009-2012)'!I65,'PRD Volumes DCO (2009-2012)'!I101,'PRD Volumes DCO (2009-2012)'!I137)</f>
        <v>6650698.0250749998</v>
      </c>
      <c r="J157" s="24">
        <f>AVERAGE('PRD Volumes DCO (2009-2012)'!J65,'PRD Volumes DCO (2009-2012)'!J101,'PRD Volumes DCO (2009-2012)'!J137)</f>
        <v>2442303934.3333335</v>
      </c>
      <c r="K157" s="24">
        <f>AVERAGE('PRD Volumes DCO (2009-2012)'!K65,'PRD Volumes DCO (2009-2012)'!K101,'PRD Volumes DCO (2009-2012)'!K137)</f>
        <v>2175913819.8160024</v>
      </c>
      <c r="L157" s="24">
        <f>AVERAGE('PRD Volumes DCO (2009-2012)'!L65,'PRD Volumes DCO (2009-2012)'!L101,'PRD Volumes DCO (2009-2012)'!L137)</f>
        <v>6990481.666666667</v>
      </c>
      <c r="M157" s="24">
        <f>AVERAGE('PRD Volumes DCO (2009-2012)'!M65,'PRD Volumes DCO (2009-2012)'!M101,'PRD Volumes DCO (2009-2012)'!M137)</f>
        <v>2077824393.3333333</v>
      </c>
      <c r="N157" s="24">
        <f>AVERAGE('PRD Volumes DCO (2009-2012)'!N65,'PRD Volumes DCO (2009-2012)'!N101,'PRD Volumes DCO (2009-2012)'!N137)</f>
        <v>2148032135.1526666</v>
      </c>
    </row>
    <row r="158" spans="2:14">
      <c r="B158" s="23" t="s">
        <v>244</v>
      </c>
      <c r="D158" t="s">
        <v>241</v>
      </c>
      <c r="G158" s="24">
        <f>AVERAGE('PRD Volumes DCO (2009-2012)'!G66,'PRD Volumes DCO (2009-2012)'!G102,'PRD Volumes DCO (2009-2012)'!G138)</f>
        <v>0</v>
      </c>
      <c r="H158" s="24">
        <f>AVERAGE('PRD Volumes DCO (2009-2012)'!H66,'PRD Volumes DCO (2009-2012)'!H102,'PRD Volumes DCO (2009-2012)'!H138)</f>
        <v>357652</v>
      </c>
      <c r="I158" s="24">
        <f>AVERAGE('PRD Volumes DCO (2009-2012)'!I66,'PRD Volumes DCO (2009-2012)'!I102,'PRD Volumes DCO (2009-2012)'!I138)</f>
        <v>13488.366666666667</v>
      </c>
      <c r="J158" s="24">
        <f>AVERAGE('PRD Volumes DCO (2009-2012)'!J66,'PRD Volumes DCO (2009-2012)'!J102,'PRD Volumes DCO (2009-2012)'!J138)</f>
        <v>7848391</v>
      </c>
      <c r="K158" s="24">
        <f>AVERAGE('PRD Volumes DCO (2009-2012)'!K66,'PRD Volumes DCO (2009-2012)'!K102,'PRD Volumes DCO (2009-2012)'!K138)</f>
        <v>9502350.24826671</v>
      </c>
      <c r="L158" s="24">
        <f>AVERAGE('PRD Volumes DCO (2009-2012)'!L66,'PRD Volumes DCO (2009-2012)'!L102,'PRD Volumes DCO (2009-2012)'!L138)</f>
        <v>7893.333333333333</v>
      </c>
      <c r="M158" s="24">
        <f>AVERAGE('PRD Volumes DCO (2009-2012)'!M66,'PRD Volumes DCO (2009-2012)'!M102,'PRD Volumes DCO (2009-2012)'!M138)</f>
        <v>5963360</v>
      </c>
      <c r="N158" s="24">
        <f>AVERAGE('PRD Volumes DCO (2009-2012)'!N66,'PRD Volumes DCO (2009-2012)'!N102,'PRD Volumes DCO (2009-2012)'!N138)</f>
        <v>6692897.666666667</v>
      </c>
    </row>
    <row r="159" spans="2:14">
      <c r="B159" s="23" t="s">
        <v>245</v>
      </c>
      <c r="D159" t="s">
        <v>241</v>
      </c>
      <c r="G159" s="24">
        <f>AVERAGE('PRD Volumes DCO (2009-2012)'!G67,'PRD Volumes DCO (2009-2012)'!G103,'PRD Volumes DCO (2009-2012)'!G139)</f>
        <v>0</v>
      </c>
      <c r="H159" s="24">
        <f>AVERAGE('PRD Volumes DCO (2009-2012)'!H67,'PRD Volumes DCO (2009-2012)'!H103,'PRD Volumes DCO (2009-2012)'!H139)</f>
        <v>32501.333333333332</v>
      </c>
      <c r="I159" s="24">
        <f>AVERAGE('PRD Volumes DCO (2009-2012)'!I67,'PRD Volumes DCO (2009-2012)'!I103,'PRD Volumes DCO (2009-2012)'!I139)</f>
        <v>2030.8666666666668</v>
      </c>
      <c r="J159" s="24">
        <f>AVERAGE('PRD Volumes DCO (2009-2012)'!J67,'PRD Volumes DCO (2009-2012)'!J103,'PRD Volumes DCO (2009-2012)'!J139)</f>
        <v>677650.33333333337</v>
      </c>
      <c r="K159" s="24">
        <f>AVERAGE('PRD Volumes DCO (2009-2012)'!K67,'PRD Volumes DCO (2009-2012)'!K103,'PRD Volumes DCO (2009-2012)'!K139)</f>
        <v>931903.11800000072</v>
      </c>
      <c r="L159" s="24">
        <f>AVERAGE('PRD Volumes DCO (2009-2012)'!L67,'PRD Volumes DCO (2009-2012)'!L103,'PRD Volumes DCO (2009-2012)'!L139)</f>
        <v>738.66666666666663</v>
      </c>
      <c r="M159" s="24">
        <f>AVERAGE('PRD Volumes DCO (2009-2012)'!M67,'PRD Volumes DCO (2009-2012)'!M103,'PRD Volumes DCO (2009-2012)'!M139)</f>
        <v>497829.33333333331</v>
      </c>
      <c r="N159" s="24">
        <f>AVERAGE('PRD Volumes DCO (2009-2012)'!N67,'PRD Volumes DCO (2009-2012)'!N103,'PRD Volumes DCO (2009-2012)'!N139)</f>
        <v>525644.8666666667</v>
      </c>
    </row>
    <row r="160" spans="2:14">
      <c r="B160" s="23"/>
      <c r="G160" s="69"/>
      <c r="H160" s="69"/>
      <c r="I160" s="69"/>
      <c r="J160" s="69"/>
      <c r="K160" s="69"/>
      <c r="L160" s="69"/>
      <c r="M160" s="69"/>
      <c r="N160" s="69"/>
    </row>
    <row r="161" spans="2:16">
      <c r="B161" s="22" t="s">
        <v>249</v>
      </c>
      <c r="G161" s="69"/>
      <c r="H161" s="69"/>
      <c r="I161" s="69"/>
      <c r="J161" s="69"/>
      <c r="K161" s="69"/>
      <c r="L161" s="69"/>
      <c r="M161" s="69"/>
      <c r="N161" s="69"/>
    </row>
    <row r="162" spans="2:16">
      <c r="B162" s="23" t="s">
        <v>243</v>
      </c>
      <c r="D162" t="s">
        <v>241</v>
      </c>
      <c r="G162" s="24">
        <f>AVERAGE('PRD Volumes DCO (2009-2012)'!G70,'PRD Volumes DCO (2009-2012)'!G106,'PRD Volumes DCO (2009-2012)'!G142)</f>
        <v>6271644</v>
      </c>
      <c r="H162" s="24">
        <f>AVERAGE('PRD Volumes DCO (2009-2012)'!H70,'PRD Volumes DCO (2009-2012)'!H106,'PRD Volumes DCO (2009-2012)'!H142)</f>
        <v>65582791.333333336</v>
      </c>
      <c r="I162" s="24">
        <f>AVERAGE('PRD Volumes DCO (2009-2012)'!I70,'PRD Volumes DCO (2009-2012)'!I106,'PRD Volumes DCO (2009-2012)'!I142)</f>
        <v>14461692.333333334</v>
      </c>
      <c r="J162" s="24">
        <f>AVERAGE('PRD Volumes DCO (2009-2012)'!J70,'PRD Volumes DCO (2009-2012)'!J106,'PRD Volumes DCO (2009-2012)'!J142)</f>
        <v>15879215.333333334</v>
      </c>
      <c r="K162" s="24">
        <f>AVERAGE('PRD Volumes DCO (2009-2012)'!K70,'PRD Volumes DCO (2009-2012)'!K106,'PRD Volumes DCO (2009-2012)'!K142)</f>
        <v>15154047.624000005</v>
      </c>
      <c r="L162" s="24">
        <f>AVERAGE('PRD Volumes DCO (2009-2012)'!L70,'PRD Volumes DCO (2009-2012)'!L106,'PRD Volumes DCO (2009-2012)'!L142)</f>
        <v>556752.33333333337</v>
      </c>
      <c r="M162" s="24">
        <f>AVERAGE('PRD Volumes DCO (2009-2012)'!M70,'PRD Volumes DCO (2009-2012)'!M106,'PRD Volumes DCO (2009-2012)'!M142)</f>
        <v>55080900</v>
      </c>
      <c r="N162" s="24">
        <f>AVERAGE('PRD Volumes DCO (2009-2012)'!N70,'PRD Volumes DCO (2009-2012)'!N106,'PRD Volumes DCO (2009-2012)'!N142)</f>
        <v>117184232.66666667</v>
      </c>
    </row>
    <row r="163" spans="2:16">
      <c r="B163" s="23" t="s">
        <v>244</v>
      </c>
      <c r="D163" t="s">
        <v>241</v>
      </c>
      <c r="G163" s="24">
        <f>AVERAGE('PRD Volumes DCO (2009-2012)'!G71,'PRD Volumes DCO (2009-2012)'!G107,'PRD Volumes DCO (2009-2012)'!G143)</f>
        <v>1995.3333333333333</v>
      </c>
      <c r="H163" s="24">
        <f>AVERAGE('PRD Volumes DCO (2009-2012)'!H71,'PRD Volumes DCO (2009-2012)'!H107,'PRD Volumes DCO (2009-2012)'!H143)</f>
        <v>185966.66666666666</v>
      </c>
      <c r="I163" s="24">
        <f>AVERAGE('PRD Volumes DCO (2009-2012)'!I71,'PRD Volumes DCO (2009-2012)'!I107,'PRD Volumes DCO (2009-2012)'!I143)</f>
        <v>36084.333333333336</v>
      </c>
      <c r="J163" s="24">
        <f>AVERAGE('PRD Volumes DCO (2009-2012)'!J71,'PRD Volumes DCO (2009-2012)'!J107,'PRD Volumes DCO (2009-2012)'!J143)</f>
        <v>71214.333333333328</v>
      </c>
      <c r="K163" s="24">
        <f>AVERAGE('PRD Volumes DCO (2009-2012)'!K71,'PRD Volumes DCO (2009-2012)'!K107,'PRD Volumes DCO (2009-2012)'!K143)</f>
        <v>87384.799333333111</v>
      </c>
      <c r="L163" s="24">
        <f>AVERAGE('PRD Volumes DCO (2009-2012)'!L71,'PRD Volumes DCO (2009-2012)'!L107,'PRD Volumes DCO (2009-2012)'!L143)</f>
        <v>248</v>
      </c>
      <c r="M163" s="24">
        <f>AVERAGE('PRD Volumes DCO (2009-2012)'!M71,'PRD Volumes DCO (2009-2012)'!M107,'PRD Volumes DCO (2009-2012)'!M143)</f>
        <v>201009.33333333334</v>
      </c>
      <c r="N163" s="24">
        <f>AVERAGE('PRD Volumes DCO (2009-2012)'!N71,'PRD Volumes DCO (2009-2012)'!N107,'PRD Volumes DCO (2009-2012)'!N143)</f>
        <v>385097.33333333331</v>
      </c>
    </row>
    <row r="164" spans="2:16">
      <c r="B164" s="23" t="s">
        <v>245</v>
      </c>
      <c r="D164" t="s">
        <v>241</v>
      </c>
      <c r="G164" s="24">
        <f>AVERAGE('PRD Volumes DCO (2009-2012)'!G72,'PRD Volumes DCO (2009-2012)'!G108,'PRD Volumes DCO (2009-2012)'!G144)</f>
        <v>179.66666666666666</v>
      </c>
      <c r="H164" s="24">
        <f>AVERAGE('PRD Volumes DCO (2009-2012)'!H72,'PRD Volumes DCO (2009-2012)'!H108,'PRD Volumes DCO (2009-2012)'!H144)</f>
        <v>17905.333333333332</v>
      </c>
      <c r="I164" s="24">
        <f>AVERAGE('PRD Volumes DCO (2009-2012)'!I72,'PRD Volumes DCO (2009-2012)'!I108,'PRD Volumes DCO (2009-2012)'!I144)</f>
        <v>3350.6666666666665</v>
      </c>
      <c r="J164" s="24">
        <f>AVERAGE('PRD Volumes DCO (2009-2012)'!J72,'PRD Volumes DCO (2009-2012)'!J108,'PRD Volumes DCO (2009-2012)'!J144)</f>
        <v>7398.666666666667</v>
      </c>
      <c r="K164" s="24">
        <f>AVERAGE('PRD Volumes DCO (2009-2012)'!K72,'PRD Volumes DCO (2009-2012)'!K108,'PRD Volumes DCO (2009-2012)'!K144)</f>
        <v>9204.4879999999994</v>
      </c>
      <c r="L164" s="24">
        <f>AVERAGE('PRD Volumes DCO (2009-2012)'!L72,'PRD Volumes DCO (2009-2012)'!L108,'PRD Volumes DCO (2009-2012)'!L144)</f>
        <v>6.333333333333333</v>
      </c>
      <c r="M164" s="24">
        <f>AVERAGE('PRD Volumes DCO (2009-2012)'!M72,'PRD Volumes DCO (2009-2012)'!M108,'PRD Volumes DCO (2009-2012)'!M144)</f>
        <v>19993.333333333332</v>
      </c>
      <c r="N164" s="24">
        <f>AVERAGE('PRD Volumes DCO (2009-2012)'!N72,'PRD Volumes DCO (2009-2012)'!N108,'PRD Volumes DCO (2009-2012)'!N144)</f>
        <v>28912</v>
      </c>
    </row>
    <row r="166" spans="2:16">
      <c r="B166" s="3" t="s">
        <v>414</v>
      </c>
    </row>
    <row r="167" spans="2:16">
      <c r="B167" s="144" t="s">
        <v>218</v>
      </c>
      <c r="G167" s="112">
        <f>G144</f>
        <v>0</v>
      </c>
      <c r="H167" s="112">
        <f t="shared" ref="H167:N167" si="2">H144</f>
        <v>46285.333333333336</v>
      </c>
      <c r="I167" s="112">
        <f t="shared" si="2"/>
        <v>0</v>
      </c>
      <c r="J167" s="112">
        <f t="shared" si="2"/>
        <v>64821.333333333336</v>
      </c>
      <c r="K167" s="112">
        <f t="shared" si="2"/>
        <v>497345.37253333331</v>
      </c>
      <c r="L167" s="112">
        <f t="shared" si="2"/>
        <v>0</v>
      </c>
      <c r="M167" s="112">
        <f t="shared" si="2"/>
        <v>367025.33333333331</v>
      </c>
      <c r="N167" s="112">
        <f t="shared" si="2"/>
        <v>0</v>
      </c>
      <c r="P167" s="50" t="s">
        <v>1095</v>
      </c>
    </row>
    <row r="168" spans="2:16">
      <c r="B168" s="144" t="s">
        <v>220</v>
      </c>
      <c r="G168" s="112">
        <f>G149</f>
        <v>0</v>
      </c>
      <c r="H168" s="112">
        <f t="shared" ref="H168:N168" si="3">H149</f>
        <v>185472</v>
      </c>
      <c r="I168" s="112">
        <f t="shared" si="3"/>
        <v>0</v>
      </c>
      <c r="J168" s="112">
        <f t="shared" si="3"/>
        <v>176583.33333333334</v>
      </c>
      <c r="K168" s="112">
        <f t="shared" si="3"/>
        <v>762814</v>
      </c>
      <c r="L168" s="112">
        <f t="shared" si="3"/>
        <v>0</v>
      </c>
      <c r="M168" s="112">
        <f t="shared" si="3"/>
        <v>111418.66666666667</v>
      </c>
      <c r="N168" s="112">
        <f t="shared" si="3"/>
        <v>0</v>
      </c>
    </row>
    <row r="169" spans="2:16">
      <c r="B169" s="144" t="s">
        <v>210</v>
      </c>
      <c r="G169" s="112">
        <f>G154</f>
        <v>0</v>
      </c>
      <c r="H169" s="112">
        <f t="shared" ref="H169:N169" si="4">H154</f>
        <v>0</v>
      </c>
      <c r="I169" s="112">
        <f t="shared" si="4"/>
        <v>0</v>
      </c>
      <c r="J169" s="112">
        <f t="shared" si="4"/>
        <v>255410.66666666666</v>
      </c>
      <c r="K169" s="112">
        <f t="shared" si="4"/>
        <v>0</v>
      </c>
      <c r="L169" s="112">
        <f t="shared" si="4"/>
        <v>0</v>
      </c>
      <c r="M169" s="112">
        <f t="shared" si="4"/>
        <v>0</v>
      </c>
      <c r="N169" s="112">
        <f t="shared" si="4"/>
        <v>0</v>
      </c>
    </row>
    <row r="170" spans="2:16">
      <c r="B170" s="144" t="s">
        <v>211</v>
      </c>
      <c r="G170" s="112">
        <f>G159</f>
        <v>0</v>
      </c>
      <c r="H170" s="112">
        <f t="shared" ref="H170:N170" si="5">H159</f>
        <v>32501.333333333332</v>
      </c>
      <c r="I170" s="112">
        <f t="shared" si="5"/>
        <v>2030.8666666666668</v>
      </c>
      <c r="J170" s="112">
        <f t="shared" si="5"/>
        <v>677650.33333333337</v>
      </c>
      <c r="K170" s="112">
        <f t="shared" si="5"/>
        <v>931903.11800000072</v>
      </c>
      <c r="L170" s="112">
        <f t="shared" si="5"/>
        <v>738.66666666666663</v>
      </c>
      <c r="M170" s="112">
        <f t="shared" si="5"/>
        <v>497829.33333333331</v>
      </c>
      <c r="N170" s="112">
        <f t="shared" si="5"/>
        <v>525644.8666666667</v>
      </c>
    </row>
    <row r="171" spans="2:16">
      <c r="B171" s="144" t="s">
        <v>226</v>
      </c>
      <c r="G171" s="112">
        <f>G164</f>
        <v>179.66666666666666</v>
      </c>
      <c r="H171" s="112">
        <f t="shared" ref="H171:N171" si="6">H164</f>
        <v>17905.333333333332</v>
      </c>
      <c r="I171" s="112">
        <f t="shared" si="6"/>
        <v>3350.6666666666665</v>
      </c>
      <c r="J171" s="112">
        <f t="shared" si="6"/>
        <v>7398.666666666667</v>
      </c>
      <c r="K171" s="112">
        <f t="shared" si="6"/>
        <v>9204.4879999999994</v>
      </c>
      <c r="L171" s="112">
        <f t="shared" si="6"/>
        <v>6.333333333333333</v>
      </c>
      <c r="M171" s="112">
        <f t="shared" si="6"/>
        <v>19993.333333333332</v>
      </c>
      <c r="N171" s="112">
        <f t="shared" si="6"/>
        <v>28912</v>
      </c>
    </row>
    <row r="176" spans="2:16">
      <c r="B176" s="155"/>
    </row>
    <row r="177" spans="2:2">
      <c r="B177" s="144"/>
    </row>
    <row r="178" spans="2:2">
      <c r="B178" s="144"/>
    </row>
    <row r="179" spans="2:2">
      <c r="B179" s="144"/>
    </row>
    <row r="180" spans="2:2">
      <c r="B180" s="144"/>
    </row>
    <row r="181" spans="2:2">
      <c r="B181" s="144"/>
    </row>
    <row r="182" spans="2:2">
      <c r="B182" s="144"/>
    </row>
  </sheetData>
  <mergeCells count="1">
    <mergeCell ref="B6:D6"/>
  </mergeCells>
  <phoneticPr fontId="3" type="noConversion"/>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XFD122"/>
  <sheetViews>
    <sheetView showGridLines="0" zoomScale="85" zoomScaleNormal="85" workbookViewId="0">
      <pane ySplit="2" topLeftCell="A3" activePane="bottomLeft" state="frozen"/>
      <selection pane="bottomLeft" activeCell="A3" sqref="A3"/>
    </sheetView>
  </sheetViews>
  <sheetFormatPr defaultRowHeight="15"/>
  <cols>
    <col min="1" max="1" width="2.5703125" style="950" customWidth="1"/>
    <col min="2" max="2" width="62.85546875" style="905" customWidth="1"/>
    <col min="3" max="3" width="2.5703125" style="950" customWidth="1"/>
    <col min="4" max="4" width="14.5703125" style="950" customWidth="1"/>
    <col min="5" max="5" width="2.5703125" style="950" customWidth="1"/>
    <col min="6" max="6" width="21.42578125" style="951" customWidth="1"/>
    <col min="7" max="14" width="14.85546875" style="952" customWidth="1"/>
    <col min="15" max="15" width="11.42578125" style="952" customWidth="1"/>
    <col min="16" max="16" width="20.7109375" style="952" customWidth="1"/>
    <col min="17" max="16384" width="9.140625" style="950"/>
  </cols>
  <sheetData>
    <row r="1" spans="1:16" ht="12" customHeight="1"/>
    <row r="2" spans="1:16" s="909" customFormat="1" ht="18">
      <c r="B2" s="909" t="s">
        <v>956</v>
      </c>
      <c r="F2" s="910" t="s">
        <v>177</v>
      </c>
      <c r="G2" s="911" t="s">
        <v>168</v>
      </c>
      <c r="H2" s="911" t="s">
        <v>169</v>
      </c>
      <c r="I2" s="911" t="s">
        <v>170</v>
      </c>
      <c r="J2" s="911" t="s">
        <v>171</v>
      </c>
      <c r="K2" s="911" t="s">
        <v>172</v>
      </c>
      <c r="L2" s="911" t="s">
        <v>173</v>
      </c>
      <c r="M2" s="911" t="s">
        <v>174</v>
      </c>
      <c r="N2" s="911" t="s">
        <v>175</v>
      </c>
      <c r="O2" s="911"/>
      <c r="P2" s="911" t="s">
        <v>438</v>
      </c>
    </row>
    <row r="3" spans="1:16" s="987" customFormat="1" ht="15" customHeight="1">
      <c r="F3" s="959"/>
      <c r="G3" s="960"/>
      <c r="H3" s="960"/>
      <c r="I3" s="960"/>
      <c r="J3" s="960"/>
      <c r="K3" s="960"/>
      <c r="L3" s="960"/>
      <c r="M3" s="960"/>
      <c r="N3" s="960"/>
      <c r="O3" s="960"/>
      <c r="P3" s="960"/>
    </row>
    <row r="4" spans="1:16" s="987" customFormat="1" ht="15" customHeight="1">
      <c r="B4" s="80" t="s">
        <v>1112</v>
      </c>
      <c r="F4" s="959"/>
      <c r="G4" s="960"/>
      <c r="H4" s="960"/>
      <c r="I4" s="960"/>
      <c r="J4" s="960"/>
      <c r="K4" s="960"/>
      <c r="L4" s="960"/>
      <c r="M4" s="960"/>
      <c r="N4" s="960"/>
      <c r="O4" s="960"/>
      <c r="P4" s="960"/>
    </row>
    <row r="5" spans="1:16" s="988" customFormat="1" ht="15" customHeight="1">
      <c r="B5" s="928"/>
      <c r="F5" s="989"/>
      <c r="G5" s="990"/>
      <c r="H5" s="990"/>
      <c r="I5" s="990"/>
      <c r="J5" s="990"/>
      <c r="K5" s="990"/>
      <c r="L5" s="990"/>
      <c r="M5" s="990"/>
      <c r="N5" s="990"/>
      <c r="O5" s="990"/>
      <c r="P5" s="990"/>
    </row>
    <row r="6" spans="1:16" s="916" customFormat="1" ht="12.75">
      <c r="B6" s="917" t="s">
        <v>1025</v>
      </c>
      <c r="C6" s="917"/>
      <c r="D6" s="917"/>
      <c r="F6" s="917"/>
      <c r="G6" s="917"/>
      <c r="H6" s="917"/>
    </row>
    <row r="7" spans="1:16" s="905" customFormat="1" ht="14.25">
      <c r="A7" s="903"/>
      <c r="B7" s="50"/>
      <c r="C7" s="904"/>
      <c r="D7" s="904"/>
      <c r="F7" s="915"/>
      <c r="G7" s="903"/>
      <c r="H7" s="903"/>
      <c r="I7" s="903"/>
      <c r="J7" s="903"/>
      <c r="K7" s="903"/>
      <c r="L7" s="903"/>
      <c r="M7" s="903"/>
      <c r="N7" s="903"/>
    </row>
    <row r="8" spans="1:16" s="905" customFormat="1" ht="14.25">
      <c r="A8" s="903"/>
      <c r="B8" s="918" t="s">
        <v>1026</v>
      </c>
      <c r="C8" s="918"/>
      <c r="D8" s="918"/>
      <c r="F8" s="915"/>
      <c r="G8" s="903"/>
      <c r="H8" s="903"/>
      <c r="I8" s="903"/>
      <c r="J8" s="903"/>
      <c r="K8" s="903"/>
      <c r="L8" s="903"/>
      <c r="M8" s="903"/>
      <c r="N8" s="903"/>
    </row>
    <row r="9" spans="1:16" s="905" customFormat="1" ht="14.25">
      <c r="A9" s="903"/>
      <c r="B9" s="904" t="s">
        <v>970</v>
      </c>
      <c r="C9" s="904"/>
      <c r="D9" s="903" t="s">
        <v>335</v>
      </c>
      <c r="F9" s="919"/>
      <c r="G9" s="953">
        <f>'Data dubieuze debiteuren'!G19</f>
        <v>0</v>
      </c>
      <c r="H9" s="953">
        <f>'Data dubieuze debiteuren'!H19</f>
        <v>0</v>
      </c>
      <c r="I9" s="953">
        <f>'Data dubieuze debiteuren'!I19</f>
        <v>0</v>
      </c>
      <c r="J9" s="953">
        <f>'Data dubieuze debiteuren'!J19</f>
        <v>0</v>
      </c>
      <c r="K9" s="953">
        <f>'Data dubieuze debiteuren'!K19</f>
        <v>0</v>
      </c>
      <c r="L9" s="953">
        <f>'Data dubieuze debiteuren'!L19</f>
        <v>0</v>
      </c>
      <c r="M9" s="953">
        <f>'Data dubieuze debiteuren'!M19</f>
        <v>0</v>
      </c>
      <c r="N9" s="953">
        <f>'Data dubieuze debiteuren'!N19</f>
        <v>0</v>
      </c>
    </row>
    <row r="10" spans="1:16" s="905" customFormat="1" ht="14.25">
      <c r="A10" s="903"/>
      <c r="B10" s="904" t="s">
        <v>971</v>
      </c>
      <c r="C10" s="904"/>
      <c r="D10" s="903" t="s">
        <v>336</v>
      </c>
      <c r="F10" s="919"/>
      <c r="G10" s="953">
        <f>'Data dubieuze debiteuren'!G20</f>
        <v>0</v>
      </c>
      <c r="H10" s="953">
        <f>'Data dubieuze debiteuren'!H20</f>
        <v>0</v>
      </c>
      <c r="I10" s="953">
        <f>'Data dubieuze debiteuren'!I20</f>
        <v>0</v>
      </c>
      <c r="J10" s="953">
        <f>'Data dubieuze debiteuren'!J20</f>
        <v>0</v>
      </c>
      <c r="K10" s="953">
        <f>'Data dubieuze debiteuren'!K20</f>
        <v>0</v>
      </c>
      <c r="L10" s="953">
        <f>'Data dubieuze debiteuren'!L20</f>
        <v>0</v>
      </c>
      <c r="M10" s="953">
        <f>'Data dubieuze debiteuren'!M20</f>
        <v>0</v>
      </c>
      <c r="N10" s="953">
        <f>'Data dubieuze debiteuren'!N20</f>
        <v>0</v>
      </c>
    </row>
    <row r="11" spans="1:16" s="905" customFormat="1" ht="14.25">
      <c r="A11" s="903"/>
      <c r="B11" s="904" t="s">
        <v>972</v>
      </c>
      <c r="C11" s="904"/>
      <c r="D11" s="903" t="s">
        <v>337</v>
      </c>
      <c r="F11" s="919"/>
      <c r="G11" s="953">
        <f>'Data dubieuze debiteuren'!G21</f>
        <v>0</v>
      </c>
      <c r="H11" s="953">
        <f>'Data dubieuze debiteuren'!H21</f>
        <v>0</v>
      </c>
      <c r="I11" s="953">
        <f>'Data dubieuze debiteuren'!I21</f>
        <v>0</v>
      </c>
      <c r="J11" s="953">
        <f>'Data dubieuze debiteuren'!J21</f>
        <v>3647899</v>
      </c>
      <c r="K11" s="953">
        <f>'Data dubieuze debiteuren'!K21</f>
        <v>0</v>
      </c>
      <c r="L11" s="953">
        <f>'Data dubieuze debiteuren'!L21</f>
        <v>0</v>
      </c>
      <c r="M11" s="953">
        <f>'Data dubieuze debiteuren'!M21</f>
        <v>0</v>
      </c>
      <c r="N11" s="953">
        <f>'Data dubieuze debiteuren'!N21</f>
        <v>0</v>
      </c>
    </row>
    <row r="12" spans="1:16" s="905" customFormat="1" ht="14.25">
      <c r="A12" s="903"/>
      <c r="B12" s="922"/>
      <c r="C12" s="904"/>
      <c r="D12" s="904"/>
      <c r="F12" s="915"/>
      <c r="G12" s="923"/>
      <c r="H12" s="923"/>
      <c r="I12" s="923"/>
      <c r="J12" s="923"/>
      <c r="K12" s="923"/>
      <c r="L12" s="923"/>
      <c r="M12" s="923"/>
      <c r="N12" s="923"/>
    </row>
    <row r="13" spans="1:16" s="905" customFormat="1" ht="14.25">
      <c r="A13" s="903"/>
      <c r="B13" s="918" t="s">
        <v>1027</v>
      </c>
      <c r="C13" s="904"/>
      <c r="D13" s="904"/>
      <c r="F13" s="915"/>
      <c r="G13" s="903"/>
      <c r="H13" s="903"/>
      <c r="I13" s="903"/>
      <c r="J13" s="903"/>
      <c r="K13" s="903"/>
      <c r="L13" s="903"/>
      <c r="M13" s="903"/>
      <c r="N13" s="903"/>
    </row>
    <row r="14" spans="1:16" s="905" customFormat="1" ht="14.25">
      <c r="A14" s="903"/>
      <c r="B14" s="904" t="s">
        <v>970</v>
      </c>
      <c r="C14" s="904"/>
      <c r="D14" s="903" t="s">
        <v>335</v>
      </c>
      <c r="F14" s="919"/>
      <c r="G14" s="953">
        <f>'Data dubieuze debiteuren'!G30</f>
        <v>0</v>
      </c>
      <c r="H14" s="953">
        <f>'Data dubieuze debiteuren'!H30</f>
        <v>0</v>
      </c>
      <c r="I14" s="953">
        <f>'Data dubieuze debiteuren'!I30</f>
        <v>423000</v>
      </c>
      <c r="J14" s="953">
        <f>'Data dubieuze debiteuren'!J30</f>
        <v>0</v>
      </c>
      <c r="K14" s="953">
        <f>'Data dubieuze debiteuren'!K30</f>
        <v>66000</v>
      </c>
      <c r="L14" s="953">
        <f>'Data dubieuze debiteuren'!L30</f>
        <v>0</v>
      </c>
      <c r="M14" s="953">
        <f>'Data dubieuze debiteuren'!M30</f>
        <v>0</v>
      </c>
      <c r="N14" s="953">
        <f>'Data dubieuze debiteuren'!N30</f>
        <v>0</v>
      </c>
    </row>
    <row r="15" spans="1:16" s="905" customFormat="1" ht="14.25">
      <c r="A15" s="903"/>
      <c r="B15" s="904" t="s">
        <v>971</v>
      </c>
      <c r="C15" s="904"/>
      <c r="D15" s="903" t="s">
        <v>336</v>
      </c>
      <c r="F15" s="919"/>
      <c r="G15" s="953">
        <f>'Data dubieuze debiteuren'!G31</f>
        <v>0</v>
      </c>
      <c r="H15" s="953">
        <f>'Data dubieuze debiteuren'!H31</f>
        <v>0</v>
      </c>
      <c r="I15" s="953">
        <f>'Data dubieuze debiteuren'!I31</f>
        <v>459000</v>
      </c>
      <c r="J15" s="953">
        <f>'Data dubieuze debiteuren'!J31</f>
        <v>1138000</v>
      </c>
      <c r="K15" s="953">
        <f>'Data dubieuze debiteuren'!K31</f>
        <v>0</v>
      </c>
      <c r="L15" s="953">
        <f>'Data dubieuze debiteuren'!L31</f>
        <v>0</v>
      </c>
      <c r="M15" s="953">
        <f>'Data dubieuze debiteuren'!M31</f>
        <v>0</v>
      </c>
      <c r="N15" s="953">
        <f>'Data dubieuze debiteuren'!N31</f>
        <v>0</v>
      </c>
    </row>
    <row r="16" spans="1:16" s="905" customFormat="1" ht="14.25">
      <c r="A16" s="903"/>
      <c r="B16" s="904" t="s">
        <v>972</v>
      </c>
      <c r="C16" s="904"/>
      <c r="D16" s="903" t="s">
        <v>337</v>
      </c>
      <c r="F16" s="919"/>
      <c r="G16" s="953">
        <f>'Data dubieuze debiteuren'!G32</f>
        <v>0</v>
      </c>
      <c r="H16" s="953">
        <f>'Data dubieuze debiteuren'!H32</f>
        <v>0</v>
      </c>
      <c r="I16" s="953">
        <f>'Data dubieuze debiteuren'!I32</f>
        <v>494000</v>
      </c>
      <c r="J16" s="953">
        <f>'Data dubieuze debiteuren'!J32</f>
        <v>0</v>
      </c>
      <c r="K16" s="953">
        <f>'Data dubieuze debiteuren'!K32</f>
        <v>0</v>
      </c>
      <c r="L16" s="953">
        <f>'Data dubieuze debiteuren'!L32</f>
        <v>0</v>
      </c>
      <c r="M16" s="953">
        <f>'Data dubieuze debiteuren'!M32</f>
        <v>0</v>
      </c>
      <c r="N16" s="953">
        <f>'Data dubieuze debiteuren'!N32</f>
        <v>0</v>
      </c>
    </row>
    <row r="17" spans="1:14" s="905" customFormat="1" ht="14.25">
      <c r="A17" s="903"/>
      <c r="B17" s="922"/>
      <c r="C17" s="904"/>
      <c r="D17" s="904"/>
      <c r="F17" s="915"/>
      <c r="G17" s="923"/>
      <c r="H17" s="923"/>
      <c r="I17" s="923"/>
      <c r="J17" s="923"/>
      <c r="K17" s="923"/>
      <c r="L17" s="923"/>
      <c r="M17" s="923"/>
      <c r="N17" s="923"/>
    </row>
    <row r="18" spans="1:14" s="905" customFormat="1" ht="14.25">
      <c r="A18" s="903"/>
      <c r="B18" s="918" t="s">
        <v>1028</v>
      </c>
      <c r="C18" s="904"/>
      <c r="D18" s="904"/>
      <c r="F18" s="915"/>
      <c r="G18" s="903"/>
      <c r="H18" s="903"/>
      <c r="I18" s="903"/>
      <c r="J18" s="903"/>
      <c r="K18" s="903"/>
      <c r="L18" s="903"/>
      <c r="M18" s="903"/>
      <c r="N18" s="903"/>
    </row>
    <row r="19" spans="1:14" s="905" customFormat="1" ht="14.25">
      <c r="A19" s="903"/>
      <c r="B19" s="904" t="s">
        <v>970</v>
      </c>
      <c r="C19" s="904"/>
      <c r="D19" s="903" t="s">
        <v>335</v>
      </c>
      <c r="F19" s="919"/>
      <c r="G19" s="953">
        <f>'Data dubieuze debiteuren'!G41</f>
        <v>0</v>
      </c>
      <c r="H19" s="953">
        <f>'Data dubieuze debiteuren'!H41</f>
        <v>0</v>
      </c>
      <c r="I19" s="953">
        <f>'Data dubieuze debiteuren'!I41</f>
        <v>0</v>
      </c>
      <c r="J19" s="953">
        <f>'Data dubieuze debiteuren'!J41</f>
        <v>0</v>
      </c>
      <c r="K19" s="953">
        <f>'Data dubieuze debiteuren'!K41</f>
        <v>0</v>
      </c>
      <c r="L19" s="953">
        <f>'Data dubieuze debiteuren'!L41</f>
        <v>0</v>
      </c>
      <c r="M19" s="953">
        <f>'Data dubieuze debiteuren'!M41</f>
        <v>0</v>
      </c>
      <c r="N19" s="953">
        <f>'Data dubieuze debiteuren'!N41</f>
        <v>0</v>
      </c>
    </row>
    <row r="20" spans="1:14" s="905" customFormat="1" ht="14.25">
      <c r="A20" s="903"/>
      <c r="B20" s="904" t="s">
        <v>971</v>
      </c>
      <c r="C20" s="904"/>
      <c r="D20" s="903" t="s">
        <v>336</v>
      </c>
      <c r="F20" s="919"/>
      <c r="G20" s="953">
        <f>'Data dubieuze debiteuren'!G42</f>
        <v>0</v>
      </c>
      <c r="H20" s="953">
        <f>'Data dubieuze debiteuren'!H42</f>
        <v>0</v>
      </c>
      <c r="I20" s="953">
        <f>'Data dubieuze debiteuren'!I42</f>
        <v>0</v>
      </c>
      <c r="J20" s="953">
        <f>'Data dubieuze debiteuren'!J42</f>
        <v>0</v>
      </c>
      <c r="K20" s="953">
        <f>'Data dubieuze debiteuren'!K42</f>
        <v>0</v>
      </c>
      <c r="L20" s="953">
        <f>'Data dubieuze debiteuren'!L42</f>
        <v>0</v>
      </c>
      <c r="M20" s="953">
        <f>'Data dubieuze debiteuren'!M42</f>
        <v>0</v>
      </c>
      <c r="N20" s="953">
        <f>'Data dubieuze debiteuren'!N42</f>
        <v>103000</v>
      </c>
    </row>
    <row r="21" spans="1:14" s="905" customFormat="1" ht="14.25">
      <c r="A21" s="903"/>
      <c r="B21" s="904" t="s">
        <v>972</v>
      </c>
      <c r="C21" s="904"/>
      <c r="D21" s="903" t="s">
        <v>337</v>
      </c>
      <c r="F21" s="919"/>
      <c r="G21" s="953">
        <f>'Data dubieuze debiteuren'!G43</f>
        <v>0</v>
      </c>
      <c r="H21" s="953">
        <f>'Data dubieuze debiteuren'!H43</f>
        <v>0</v>
      </c>
      <c r="I21" s="953">
        <f>'Data dubieuze debiteuren'!I43</f>
        <v>0</v>
      </c>
      <c r="J21" s="953">
        <f>'Data dubieuze debiteuren'!J43</f>
        <v>0</v>
      </c>
      <c r="K21" s="953">
        <f>'Data dubieuze debiteuren'!K43</f>
        <v>0</v>
      </c>
      <c r="L21" s="953">
        <f>'Data dubieuze debiteuren'!L43</f>
        <v>0</v>
      </c>
      <c r="M21" s="953">
        <f>'Data dubieuze debiteuren'!M43</f>
        <v>0</v>
      </c>
      <c r="N21" s="953">
        <f>'Data dubieuze debiteuren'!N43</f>
        <v>0</v>
      </c>
    </row>
    <row r="22" spans="1:14" s="905" customFormat="1" ht="14.25">
      <c r="A22" s="903"/>
      <c r="B22" s="922"/>
      <c r="C22" s="904"/>
      <c r="D22" s="904"/>
      <c r="F22" s="915"/>
      <c r="G22" s="924"/>
      <c r="H22" s="924"/>
      <c r="I22" s="924"/>
      <c r="J22" s="924"/>
      <c r="K22" s="924"/>
      <c r="L22" s="924"/>
      <c r="M22" s="924"/>
      <c r="N22" s="923"/>
    </row>
    <row r="23" spans="1:14" s="905" customFormat="1" ht="14.25">
      <c r="A23" s="903"/>
      <c r="B23" s="918" t="s">
        <v>1029</v>
      </c>
      <c r="C23" s="904"/>
      <c r="D23" s="904"/>
      <c r="F23" s="915"/>
      <c r="G23" s="903"/>
      <c r="H23" s="903"/>
      <c r="I23" s="903"/>
      <c r="J23" s="903"/>
      <c r="K23" s="903"/>
      <c r="L23" s="903"/>
      <c r="M23" s="903"/>
      <c r="N23" s="903"/>
    </row>
    <row r="24" spans="1:14" s="905" customFormat="1" ht="14.25">
      <c r="A24" s="903"/>
      <c r="B24" s="904" t="s">
        <v>1030</v>
      </c>
      <c r="C24" s="904"/>
      <c r="D24" s="903" t="s">
        <v>335</v>
      </c>
      <c r="F24" s="919"/>
      <c r="G24" s="953">
        <f>'Data dubieuze debiteuren'!G52</f>
        <v>119000</v>
      </c>
      <c r="H24" s="953">
        <f>'Data dubieuze debiteuren'!H52</f>
        <v>130000</v>
      </c>
      <c r="I24" s="953">
        <f>'Data dubieuze debiteuren'!I52</f>
        <v>0</v>
      </c>
      <c r="J24" s="953">
        <f>'Data dubieuze debiteuren'!J52</f>
        <v>2006000</v>
      </c>
      <c r="K24" s="953">
        <f>'Data dubieuze debiteuren'!K52</f>
        <v>4095000</v>
      </c>
      <c r="L24" s="953">
        <f>'Data dubieuze debiteuren'!L52</f>
        <v>44046</v>
      </c>
      <c r="M24" s="953">
        <f>'Data dubieuze debiteuren'!M52</f>
        <v>6592000</v>
      </c>
      <c r="N24" s="953">
        <f>'Data dubieuze debiteuren'!N52</f>
        <v>0</v>
      </c>
    </row>
    <row r="25" spans="1:14" s="905" customFormat="1" ht="14.25">
      <c r="A25" s="903"/>
      <c r="B25" s="904" t="s">
        <v>1031</v>
      </c>
      <c r="C25" s="904"/>
      <c r="D25" s="903" t="s">
        <v>336</v>
      </c>
      <c r="F25" s="919"/>
      <c r="G25" s="953">
        <f>'Data dubieuze debiteuren'!G53</f>
        <v>116392</v>
      </c>
      <c r="H25" s="953">
        <f>'Data dubieuze debiteuren'!H53</f>
        <v>307300</v>
      </c>
      <c r="I25" s="953">
        <f>'Data dubieuze debiteuren'!I53</f>
        <v>0</v>
      </c>
      <c r="J25" s="953">
        <f>'Data dubieuze debiteuren'!J53</f>
        <v>0</v>
      </c>
      <c r="K25" s="953">
        <f>'Data dubieuze debiteuren'!K53</f>
        <v>3506307.5553520401</v>
      </c>
      <c r="L25" s="953">
        <f>'Data dubieuze debiteuren'!L53</f>
        <v>35346</v>
      </c>
      <c r="M25" s="953">
        <f>'Data dubieuze debiteuren'!M53</f>
        <v>5217000</v>
      </c>
      <c r="N25" s="953">
        <f>'Data dubieuze debiteuren'!N53</f>
        <v>0</v>
      </c>
    </row>
    <row r="26" spans="1:14" s="905" customFormat="1" ht="14.25">
      <c r="A26" s="903"/>
      <c r="B26" s="904" t="s">
        <v>1032</v>
      </c>
      <c r="C26" s="904"/>
      <c r="D26" s="903" t="s">
        <v>337</v>
      </c>
      <c r="F26" s="919"/>
      <c r="G26" s="953">
        <f>'Data dubieuze debiteuren'!G54</f>
        <v>-9612</v>
      </c>
      <c r="H26" s="953">
        <f>'Data dubieuze debiteuren'!H54</f>
        <v>0</v>
      </c>
      <c r="I26" s="953">
        <f>'Data dubieuze debiteuren'!I54</f>
        <v>0</v>
      </c>
      <c r="J26" s="953">
        <f>'Data dubieuze debiteuren'!J54</f>
        <v>0</v>
      </c>
      <c r="K26" s="953">
        <f>'Data dubieuze debiteuren'!K54</f>
        <v>0</v>
      </c>
      <c r="L26" s="953">
        <f>'Data dubieuze debiteuren'!L54</f>
        <v>28104</v>
      </c>
      <c r="M26" s="953">
        <f>'Data dubieuze debiteuren'!M54</f>
        <v>0</v>
      </c>
      <c r="N26" s="953">
        <f>'Data dubieuze debiteuren'!N54</f>
        <v>105500</v>
      </c>
    </row>
    <row r="27" spans="1:14" s="905" customFormat="1" ht="14.25">
      <c r="A27" s="903"/>
      <c r="B27" s="922"/>
      <c r="C27" s="904"/>
      <c r="D27" s="904"/>
      <c r="F27" s="915"/>
      <c r="G27" s="924"/>
      <c r="H27" s="924"/>
      <c r="I27" s="924"/>
      <c r="J27" s="924"/>
      <c r="K27" s="924"/>
      <c r="L27" s="924"/>
      <c r="M27" s="924"/>
      <c r="N27" s="923"/>
    </row>
    <row r="28" spans="1:14" s="905" customFormat="1" ht="14.25">
      <c r="A28" s="903"/>
      <c r="B28" s="904" t="s">
        <v>1033</v>
      </c>
      <c r="C28" s="904"/>
      <c r="D28" s="903" t="s">
        <v>335</v>
      </c>
      <c r="F28" s="919"/>
      <c r="G28" s="953">
        <f>'Data dubieuze debiteuren'!G59</f>
        <v>160000</v>
      </c>
      <c r="H28" s="953">
        <f>'Data dubieuze debiteuren'!H59</f>
        <v>62000</v>
      </c>
      <c r="I28" s="953">
        <f>'Data dubieuze debiteuren'!I59</f>
        <v>45000</v>
      </c>
      <c r="J28" s="953">
        <f>'Data dubieuze debiteuren'!J59</f>
        <v>837000</v>
      </c>
      <c r="K28" s="953">
        <f>'Data dubieuze debiteuren'!K59</f>
        <v>1565000</v>
      </c>
      <c r="L28" s="953">
        <f>'Data dubieuze debiteuren'!L59</f>
        <v>51086.58</v>
      </c>
      <c r="M28" s="953">
        <f>'Data dubieuze debiteuren'!M59</f>
        <v>2721000</v>
      </c>
      <c r="N28" s="953">
        <f>'Data dubieuze debiteuren'!N59</f>
        <v>0</v>
      </c>
    </row>
    <row r="29" spans="1:14" s="905" customFormat="1" ht="14.25">
      <c r="A29" s="903"/>
      <c r="B29" s="904" t="s">
        <v>1034</v>
      </c>
      <c r="C29" s="904"/>
      <c r="D29" s="903" t="s">
        <v>336</v>
      </c>
      <c r="F29" s="919"/>
      <c r="G29" s="953">
        <f>'Data dubieuze debiteuren'!G62</f>
        <v>143353</v>
      </c>
      <c r="H29" s="953">
        <f>'Data dubieuze debiteuren'!H62</f>
        <v>131700</v>
      </c>
      <c r="I29" s="953">
        <f>'Data dubieuze debiteuren'!I62</f>
        <v>0</v>
      </c>
      <c r="J29" s="953">
        <f>'Data dubieuze debiteuren'!J62</f>
        <v>178000</v>
      </c>
      <c r="K29" s="953">
        <f>'Data dubieuze debiteuren'!K62</f>
        <v>1213830</v>
      </c>
      <c r="L29" s="953">
        <f>'Data dubieuze debiteuren'!L62</f>
        <v>59420</v>
      </c>
      <c r="M29" s="953">
        <f>'Data dubieuze debiteuren'!M62</f>
        <v>2123000</v>
      </c>
      <c r="N29" s="953">
        <f>'Data dubieuze debiteuren'!N62</f>
        <v>0</v>
      </c>
    </row>
    <row r="30" spans="1:14" s="905" customFormat="1" ht="14.25">
      <c r="A30" s="903"/>
      <c r="B30" s="904" t="s">
        <v>1035</v>
      </c>
      <c r="C30" s="904"/>
      <c r="D30" s="903" t="s">
        <v>337</v>
      </c>
      <c r="F30" s="919"/>
      <c r="G30" s="953">
        <f>'Data dubieuze debiteuren'!G65</f>
        <v>62365</v>
      </c>
      <c r="H30" s="953">
        <f>'Data dubieuze debiteuren'!H65</f>
        <v>0</v>
      </c>
      <c r="I30" s="953">
        <f>'Data dubieuze debiteuren'!I65</f>
        <v>0</v>
      </c>
      <c r="J30" s="953">
        <f>'Data dubieuze debiteuren'!J65</f>
        <v>0</v>
      </c>
      <c r="K30" s="953">
        <f>'Data dubieuze debiteuren'!K65</f>
        <v>1011023</v>
      </c>
      <c r="L30" s="953">
        <f>'Data dubieuze debiteuren'!L65</f>
        <v>38631</v>
      </c>
      <c r="M30" s="953">
        <f>'Data dubieuze debiteuren'!M65</f>
        <v>2388348</v>
      </c>
      <c r="N30" s="953">
        <f>'Data dubieuze debiteuren'!N65</f>
        <v>63300</v>
      </c>
    </row>
    <row r="31" spans="1:14" s="905" customFormat="1" ht="14.25">
      <c r="A31" s="903"/>
      <c r="B31" s="922"/>
      <c r="C31" s="904"/>
      <c r="D31" s="904"/>
      <c r="F31" s="915"/>
      <c r="G31" s="924"/>
      <c r="H31" s="924"/>
      <c r="I31" s="924"/>
      <c r="J31" s="924"/>
      <c r="K31" s="924"/>
      <c r="L31" s="924"/>
      <c r="M31" s="924"/>
      <c r="N31" s="923"/>
    </row>
    <row r="32" spans="1:14" s="905" customFormat="1" ht="14.25">
      <c r="A32" s="903"/>
      <c r="B32" s="918" t="s">
        <v>1074</v>
      </c>
      <c r="C32" s="904"/>
      <c r="D32" s="904"/>
      <c r="F32" s="915"/>
      <c r="G32" s="903"/>
      <c r="H32" s="903"/>
      <c r="I32" s="903"/>
      <c r="J32" s="903"/>
      <c r="K32" s="903"/>
      <c r="L32" s="903"/>
      <c r="M32" s="903"/>
      <c r="N32" s="903"/>
    </row>
    <row r="33" spans="1:16" s="905" customFormat="1" ht="14.25">
      <c r="A33" s="903"/>
      <c r="B33" s="904" t="s">
        <v>1030</v>
      </c>
      <c r="C33" s="904"/>
      <c r="D33" s="903" t="s">
        <v>335</v>
      </c>
      <c r="F33" s="919"/>
      <c r="G33" s="953">
        <f>'Data dubieuze debiteuren'!G75</f>
        <v>0</v>
      </c>
      <c r="H33" s="953">
        <f>'Data dubieuze debiteuren'!H75</f>
        <v>0</v>
      </c>
      <c r="I33" s="953">
        <f>'Data dubieuze debiteuren'!I75</f>
        <v>0</v>
      </c>
      <c r="J33" s="953">
        <f>'Data dubieuze debiteuren'!J75</f>
        <v>0</v>
      </c>
      <c r="K33" s="953">
        <f>'Data dubieuze debiteuren'!K75</f>
        <v>0</v>
      </c>
      <c r="L33" s="953">
        <f>'Data dubieuze debiteuren'!L75</f>
        <v>0</v>
      </c>
      <c r="M33" s="953">
        <f>'Data dubieuze debiteuren'!M75</f>
        <v>0</v>
      </c>
      <c r="N33" s="953">
        <f>'Data dubieuze debiteuren'!N75</f>
        <v>182858.68439422306</v>
      </c>
    </row>
    <row r="34" spans="1:16" s="905" customFormat="1" ht="14.25">
      <c r="A34" s="903"/>
      <c r="B34" s="904" t="s">
        <v>1031</v>
      </c>
      <c r="C34" s="904"/>
      <c r="D34" s="903" t="s">
        <v>336</v>
      </c>
      <c r="F34" s="919"/>
      <c r="G34" s="953">
        <f>'Data dubieuze debiteuren'!G76</f>
        <v>0</v>
      </c>
      <c r="H34" s="953">
        <f>'Data dubieuze debiteuren'!H76</f>
        <v>0</v>
      </c>
      <c r="I34" s="953">
        <f>'Data dubieuze debiteuren'!I76</f>
        <v>0</v>
      </c>
      <c r="J34" s="953">
        <f>'Data dubieuze debiteuren'!J76</f>
        <v>0</v>
      </c>
      <c r="K34" s="953">
        <f>'Data dubieuze debiteuren'!K76</f>
        <v>0</v>
      </c>
      <c r="L34" s="953">
        <f>'Data dubieuze debiteuren'!L76</f>
        <v>0</v>
      </c>
      <c r="M34" s="953">
        <f>'Data dubieuze debiteuren'!M76</f>
        <v>0</v>
      </c>
      <c r="N34" s="953">
        <f>'Data dubieuze debiteuren'!N76</f>
        <v>0</v>
      </c>
    </row>
    <row r="35" spans="1:16" s="905" customFormat="1" ht="14.25">
      <c r="A35" s="903"/>
      <c r="B35" s="904" t="s">
        <v>1032</v>
      </c>
      <c r="C35" s="904"/>
      <c r="D35" s="903" t="s">
        <v>337</v>
      </c>
      <c r="F35" s="919"/>
      <c r="G35" s="953">
        <f>'Data dubieuze debiteuren'!G77</f>
        <v>0</v>
      </c>
      <c r="H35" s="953">
        <f>'Data dubieuze debiteuren'!H77</f>
        <v>1000</v>
      </c>
      <c r="I35" s="953">
        <f>'Data dubieuze debiteuren'!I77</f>
        <v>0</v>
      </c>
      <c r="J35" s="953">
        <f>'Data dubieuze debiteuren'!J77</f>
        <v>0</v>
      </c>
      <c r="K35" s="953">
        <f>'Data dubieuze debiteuren'!K77</f>
        <v>1905310</v>
      </c>
      <c r="L35" s="953">
        <f>'Data dubieuze debiteuren'!L77</f>
        <v>0</v>
      </c>
      <c r="M35" s="953">
        <f>'Data dubieuze debiteuren'!M77</f>
        <v>2127868</v>
      </c>
      <c r="N35" s="953">
        <f>'Data dubieuze debiteuren'!N77</f>
        <v>0</v>
      </c>
    </row>
    <row r="36" spans="1:16" s="905" customFormat="1" ht="14.25">
      <c r="A36" s="903"/>
      <c r="B36" s="922"/>
      <c r="C36" s="904"/>
      <c r="D36" s="904"/>
      <c r="F36" s="915"/>
      <c r="G36" s="924"/>
      <c r="H36" s="924"/>
      <c r="I36" s="924"/>
      <c r="J36" s="924"/>
      <c r="K36" s="924"/>
      <c r="L36" s="924"/>
      <c r="M36" s="924"/>
      <c r="N36" s="923"/>
    </row>
    <row r="37" spans="1:16" s="905" customFormat="1" ht="14.25">
      <c r="A37" s="903"/>
      <c r="B37" s="904" t="s">
        <v>1033</v>
      </c>
      <c r="C37" s="904"/>
      <c r="D37" s="903" t="s">
        <v>335</v>
      </c>
      <c r="F37" s="919"/>
      <c r="G37" s="953">
        <f>'Data dubieuze debiteuren'!G80</f>
        <v>0</v>
      </c>
      <c r="H37" s="953">
        <f>'Data dubieuze debiteuren'!H80</f>
        <v>0</v>
      </c>
      <c r="I37" s="953">
        <f>'Data dubieuze debiteuren'!I80</f>
        <v>0</v>
      </c>
      <c r="J37" s="953">
        <f>'Data dubieuze debiteuren'!J80</f>
        <v>0</v>
      </c>
      <c r="K37" s="953">
        <f>'Data dubieuze debiteuren'!K80</f>
        <v>0</v>
      </c>
      <c r="L37" s="953">
        <f>'Data dubieuze debiteuren'!L80</f>
        <v>0</v>
      </c>
      <c r="M37" s="953">
        <f>'Data dubieuze debiteuren'!M80</f>
        <v>0</v>
      </c>
      <c r="N37" s="953">
        <f>'Data dubieuze debiteuren'!N80</f>
        <v>72833.819896062705</v>
      </c>
    </row>
    <row r="38" spans="1:16" s="905" customFormat="1" ht="14.25">
      <c r="A38" s="903"/>
      <c r="B38" s="904" t="s">
        <v>1034</v>
      </c>
      <c r="C38" s="904"/>
      <c r="D38" s="903" t="s">
        <v>336</v>
      </c>
      <c r="F38" s="919"/>
      <c r="G38" s="953">
        <f>'Data dubieuze debiteuren'!G81</f>
        <v>0</v>
      </c>
      <c r="H38" s="953">
        <f>'Data dubieuze debiteuren'!H81</f>
        <v>0</v>
      </c>
      <c r="I38" s="953">
        <f>'Data dubieuze debiteuren'!I81</f>
        <v>0</v>
      </c>
      <c r="J38" s="953">
        <f>'Data dubieuze debiteuren'!J81</f>
        <v>0</v>
      </c>
      <c r="K38" s="953">
        <f>'Data dubieuze debiteuren'!K81</f>
        <v>0</v>
      </c>
      <c r="L38" s="953">
        <f>'Data dubieuze debiteuren'!L81</f>
        <v>0</v>
      </c>
      <c r="M38" s="953">
        <f>'Data dubieuze debiteuren'!M81</f>
        <v>0</v>
      </c>
      <c r="N38" s="953">
        <f>'Data dubieuze debiteuren'!N81</f>
        <v>0</v>
      </c>
    </row>
    <row r="39" spans="1:16" s="905" customFormat="1" ht="14.25">
      <c r="A39" s="903"/>
      <c r="B39" s="904" t="s">
        <v>1035</v>
      </c>
      <c r="C39" s="904"/>
      <c r="D39" s="903" t="s">
        <v>337</v>
      </c>
      <c r="F39" s="919"/>
      <c r="G39" s="953">
        <f>'Data dubieuze debiteuren'!G82</f>
        <v>0</v>
      </c>
      <c r="H39" s="953">
        <f>'Data dubieuze debiteuren'!H82</f>
        <v>0</v>
      </c>
      <c r="I39" s="953">
        <f>'Data dubieuze debiteuren'!I82</f>
        <v>0</v>
      </c>
      <c r="J39" s="953">
        <f>'Data dubieuze debiteuren'!J82</f>
        <v>0</v>
      </c>
      <c r="K39" s="953">
        <f>'Data dubieuze debiteuren'!K82</f>
        <v>0</v>
      </c>
      <c r="L39" s="953">
        <f>'Data dubieuze debiteuren'!L82</f>
        <v>0</v>
      </c>
      <c r="M39" s="953">
        <f>'Data dubieuze debiteuren'!M82</f>
        <v>0</v>
      </c>
      <c r="N39" s="953">
        <f>'Data dubieuze debiteuren'!N82</f>
        <v>0</v>
      </c>
    </row>
    <row r="40" spans="1:16" s="905" customFormat="1" ht="14.25">
      <c r="A40" s="903"/>
      <c r="B40" s="922"/>
      <c r="C40" s="904"/>
      <c r="D40" s="904"/>
      <c r="F40" s="915"/>
      <c r="G40" s="924"/>
      <c r="H40" s="924"/>
      <c r="I40" s="924"/>
      <c r="J40" s="924"/>
      <c r="K40" s="924"/>
      <c r="L40" s="924"/>
      <c r="M40" s="924"/>
      <c r="N40" s="923"/>
    </row>
    <row r="41" spans="1:16" s="905" customFormat="1" ht="14.25">
      <c r="A41" s="903"/>
      <c r="B41" s="936" t="s">
        <v>990</v>
      </c>
      <c r="C41" s="904"/>
      <c r="D41" s="904"/>
      <c r="F41" s="933"/>
      <c r="G41" s="934"/>
      <c r="H41" s="934"/>
      <c r="I41" s="934"/>
      <c r="J41" s="934"/>
      <c r="K41" s="934"/>
      <c r="L41" s="934"/>
      <c r="M41" s="934"/>
      <c r="N41" s="934"/>
      <c r="P41" s="935"/>
    </row>
    <row r="42" spans="1:16" s="905" customFormat="1" ht="14.25">
      <c r="A42" s="903"/>
      <c r="B42" s="912" t="s">
        <v>1036</v>
      </c>
      <c r="C42" s="904"/>
      <c r="D42" s="903" t="s">
        <v>335</v>
      </c>
      <c r="F42" s="933"/>
      <c r="G42" s="953">
        <f>'Data dubieuze debiteuren'!G90</f>
        <v>0</v>
      </c>
      <c r="H42" s="953">
        <f>'Data dubieuze debiteuren'!H90</f>
        <v>0</v>
      </c>
      <c r="I42" s="953">
        <f>'Data dubieuze debiteuren'!I90</f>
        <v>28786864.449999999</v>
      </c>
      <c r="J42" s="953">
        <f>'Data dubieuze debiteuren'!J90</f>
        <v>753072242.77796042</v>
      </c>
      <c r="K42" s="953">
        <f>'Data dubieuze debiteuren'!K90</f>
        <v>766387951.72691607</v>
      </c>
      <c r="L42" s="953">
        <f>'Data dubieuze debiteuren'!L90</f>
        <v>0</v>
      </c>
      <c r="M42" s="953">
        <f>'Data dubieuze debiteuren'!M90</f>
        <v>0</v>
      </c>
      <c r="N42" s="953">
        <f>'Data dubieuze debiteuren'!N90</f>
        <v>36571736.878844611</v>
      </c>
    </row>
    <row r="43" spans="1:16" s="905" customFormat="1" ht="14.25">
      <c r="A43" s="903"/>
      <c r="B43" s="912" t="s">
        <v>1037</v>
      </c>
      <c r="C43" s="904"/>
      <c r="D43" s="903" t="s">
        <v>336</v>
      </c>
      <c r="E43" s="928"/>
      <c r="F43" s="944"/>
      <c r="G43" s="953">
        <f>'Data dubieuze debiteuren'!G101</f>
        <v>0</v>
      </c>
      <c r="H43" s="953">
        <f>'Data dubieuze debiteuren'!H101</f>
        <v>0</v>
      </c>
      <c r="I43" s="953">
        <f>'Data dubieuze debiteuren'!I101</f>
        <v>30557632.167827144</v>
      </c>
      <c r="J43" s="953">
        <f>'Data dubieuze debiteuren'!J101</f>
        <v>816360765.08744276</v>
      </c>
      <c r="K43" s="953">
        <f>'Data dubieuze debiteuren'!K101</f>
        <v>0</v>
      </c>
      <c r="L43" s="953">
        <f>'Data dubieuze debiteuren'!L101</f>
        <v>0</v>
      </c>
      <c r="M43" s="953">
        <f>'Data dubieuze debiteuren'!M101</f>
        <v>0</v>
      </c>
      <c r="N43" s="953">
        <f>'Data dubieuze debiteuren'!N101</f>
        <v>40231319.584581949</v>
      </c>
      <c r="P43" s="928"/>
    </row>
    <row r="44" spans="1:16" s="905" customFormat="1" ht="14.25">
      <c r="A44" s="903"/>
      <c r="B44" s="912" t="s">
        <v>1038</v>
      </c>
      <c r="C44" s="904"/>
      <c r="D44" s="903" t="s">
        <v>337</v>
      </c>
      <c r="E44" s="928"/>
      <c r="F44" s="944"/>
      <c r="G44" s="953">
        <f>'Data dubieuze debiteuren'!G112</f>
        <v>0</v>
      </c>
      <c r="H44" s="953">
        <f>'Data dubieuze debiteuren'!H112</f>
        <v>0</v>
      </c>
      <c r="I44" s="953">
        <f>'Data dubieuze debiteuren'!I112</f>
        <v>33698995.002435952</v>
      </c>
      <c r="J44" s="953">
        <f>'Data dubieuze debiteuren'!J112</f>
        <v>842673177.20785224</v>
      </c>
      <c r="K44" s="953">
        <f>'Data dubieuze debiteuren'!K112</f>
        <v>0</v>
      </c>
      <c r="L44" s="953">
        <f>'Data dubieuze debiteuren'!L112</f>
        <v>0</v>
      </c>
      <c r="M44" s="953">
        <f>'Data dubieuze debiteuren'!M112</f>
        <v>0</v>
      </c>
      <c r="N44" s="953">
        <f>'Data dubieuze debiteuren'!N112</f>
        <v>46876680.192322016</v>
      </c>
      <c r="P44" s="928"/>
    </row>
    <row r="45" spans="1:16" s="905" customFormat="1" ht="14.25">
      <c r="A45" s="903"/>
      <c r="B45" s="912"/>
      <c r="C45" s="904"/>
      <c r="D45" s="927"/>
      <c r="E45" s="928"/>
      <c r="F45" s="944"/>
      <c r="G45" s="954"/>
      <c r="H45" s="954"/>
      <c r="I45" s="954"/>
      <c r="J45" s="954"/>
      <c r="K45" s="954"/>
      <c r="L45" s="954"/>
      <c r="M45" s="954"/>
      <c r="N45" s="954"/>
      <c r="P45" s="928"/>
    </row>
    <row r="46" spans="1:16" s="905" customFormat="1" ht="14.25">
      <c r="A46" s="903"/>
      <c r="B46" s="912" t="s">
        <v>1039</v>
      </c>
      <c r="C46" s="904"/>
      <c r="D46" s="903" t="s">
        <v>335</v>
      </c>
      <c r="F46" s="933"/>
      <c r="G46" s="953">
        <f>'Data dubieuze debiteuren'!G95</f>
        <v>0</v>
      </c>
      <c r="H46" s="953">
        <f>'Data dubieuze debiteuren'!H95</f>
        <v>0</v>
      </c>
      <c r="I46" s="953">
        <f>'Data dubieuze debiteuren'!I95</f>
        <v>54183593.321451686</v>
      </c>
      <c r="J46" s="953">
        <f>'Data dubieuze debiteuren'!J95</f>
        <v>264472101.83264732</v>
      </c>
      <c r="K46" s="953">
        <f>'Data dubieuze debiteuren'!K95</f>
        <v>296197719.36315197</v>
      </c>
      <c r="L46" s="953">
        <f>'Data dubieuze debiteuren'!L95</f>
        <v>0</v>
      </c>
      <c r="M46" s="953">
        <f>'Data dubieuze debiteuren'!M95</f>
        <v>0</v>
      </c>
      <c r="N46" s="953">
        <f>'Data dubieuze debiteuren'!N95</f>
        <v>14566763.979212539</v>
      </c>
    </row>
    <row r="47" spans="1:16" s="905" customFormat="1" ht="14.25">
      <c r="A47" s="903"/>
      <c r="B47" s="912" t="s">
        <v>1040</v>
      </c>
      <c r="C47" s="904"/>
      <c r="D47" s="903" t="s">
        <v>336</v>
      </c>
      <c r="E47" s="928"/>
      <c r="F47" s="944"/>
      <c r="G47" s="953">
        <f>'Data dubieuze debiteuren'!G106</f>
        <v>0</v>
      </c>
      <c r="H47" s="953">
        <f>'Data dubieuze debiteuren'!H106</f>
        <v>0</v>
      </c>
      <c r="I47" s="953">
        <f>'Data dubieuze debiteuren'!I106</f>
        <v>54847172.711100906</v>
      </c>
      <c r="J47" s="953">
        <f>'Data dubieuze debiteuren'!J106</f>
        <v>277299137.48293287</v>
      </c>
      <c r="K47" s="953">
        <f>'Data dubieuze debiteuren'!K106</f>
        <v>0</v>
      </c>
      <c r="L47" s="953">
        <f>'Data dubieuze debiteuren'!L106</f>
        <v>0</v>
      </c>
      <c r="M47" s="953">
        <f>'Data dubieuze debiteuren'!M106</f>
        <v>0</v>
      </c>
      <c r="N47" s="953">
        <f>'Data dubieuze debiteuren'!N106</f>
        <v>15106400.032221416</v>
      </c>
      <c r="P47" s="928"/>
    </row>
    <row r="48" spans="1:16" s="905" customFormat="1" ht="14.25">
      <c r="A48" s="903"/>
      <c r="B48" s="912" t="s">
        <v>1041</v>
      </c>
      <c r="C48" s="904"/>
      <c r="D48" s="903" t="s">
        <v>337</v>
      </c>
      <c r="E48" s="928"/>
      <c r="F48" s="944"/>
      <c r="G48" s="953">
        <f>'Data dubieuze debiteuren'!G117</f>
        <v>0</v>
      </c>
      <c r="H48" s="953">
        <f>'Data dubieuze debiteuren'!H117</f>
        <v>0</v>
      </c>
      <c r="I48" s="953">
        <f>'Data dubieuze debiteuren'!I117</f>
        <v>57664525.465200007</v>
      </c>
      <c r="J48" s="953">
        <f>'Data dubieuze debiteuren'!J117</f>
        <v>280288386.00375819</v>
      </c>
      <c r="K48" s="953">
        <f>'Data dubieuze debiteuren'!K117</f>
        <v>0</v>
      </c>
      <c r="L48" s="953">
        <f>'Data dubieuze debiteuren'!L117</f>
        <v>0</v>
      </c>
      <c r="M48" s="953">
        <f>'Data dubieuze debiteuren'!M117</f>
        <v>0</v>
      </c>
      <c r="N48" s="953">
        <f>'Data dubieuze debiteuren'!N117</f>
        <v>16120715.526722372</v>
      </c>
      <c r="P48" s="928"/>
    </row>
    <row r="49" spans="1:16384" s="905" customFormat="1" ht="14.25">
      <c r="A49" s="903"/>
      <c r="C49" s="904"/>
      <c r="D49" s="927"/>
      <c r="E49" s="928"/>
      <c r="F49" s="944"/>
      <c r="G49" s="944"/>
      <c r="H49" s="944"/>
      <c r="I49" s="944"/>
      <c r="J49" s="944"/>
      <c r="K49" s="944"/>
      <c r="L49" s="944"/>
      <c r="M49" s="944"/>
      <c r="N49" s="944"/>
      <c r="P49" s="928"/>
    </row>
    <row r="50" spans="1:16384" s="905" customFormat="1" ht="14.25">
      <c r="A50" s="903"/>
      <c r="B50" s="936" t="s">
        <v>1042</v>
      </c>
      <c r="C50" s="904"/>
      <c r="D50" s="904"/>
      <c r="F50" s="933"/>
      <c r="G50" s="934"/>
      <c r="H50" s="934"/>
      <c r="I50" s="934"/>
      <c r="J50" s="934"/>
      <c r="K50" s="934"/>
      <c r="L50" s="934"/>
      <c r="M50" s="934"/>
      <c r="N50" s="934"/>
      <c r="P50" s="935"/>
    </row>
    <row r="51" spans="1:16384" s="905" customFormat="1" ht="14.25">
      <c r="A51" s="903"/>
      <c r="B51" s="904" t="s">
        <v>1068</v>
      </c>
      <c r="C51" s="904"/>
      <c r="D51" s="903" t="s">
        <v>335</v>
      </c>
      <c r="F51" s="933"/>
      <c r="G51" s="953">
        <f>'Data dubieuze debiteuren'!G131</f>
        <v>0</v>
      </c>
      <c r="H51" s="953">
        <f>'Data dubieuze debiteuren'!H131</f>
        <v>0</v>
      </c>
      <c r="I51" s="953">
        <f>'Data dubieuze debiteuren'!I131</f>
        <v>10209417.793951429</v>
      </c>
      <c r="J51" s="953">
        <f>'Data dubieuze debiteuren'!J131</f>
        <v>97167704.837913767</v>
      </c>
      <c r="K51" s="953">
        <f>'Data dubieuze debiteuren'!K131</f>
        <v>0</v>
      </c>
      <c r="L51" s="953">
        <f>'Data dubieuze debiteuren'!L131</f>
        <v>0</v>
      </c>
      <c r="M51" s="953">
        <f>'Data dubieuze debiteuren'!M131</f>
        <v>0</v>
      </c>
      <c r="N51" s="953">
        <f>'Data dubieuze debiteuren'!N131</f>
        <v>0</v>
      </c>
    </row>
    <row r="52" spans="1:16384" s="905" customFormat="1" ht="14.25">
      <c r="A52" s="903"/>
      <c r="B52" s="904" t="s">
        <v>1069</v>
      </c>
      <c r="C52" s="904"/>
      <c r="D52" s="903" t="s">
        <v>336</v>
      </c>
      <c r="E52" s="928"/>
      <c r="F52" s="944"/>
      <c r="G52" s="953">
        <f>'Data dubieuze debiteuren'!G137</f>
        <v>0</v>
      </c>
      <c r="H52" s="953">
        <f>'Data dubieuze debiteuren'!H137</f>
        <v>0</v>
      </c>
      <c r="I52" s="953">
        <f>'Data dubieuze debiteuren'!I137</f>
        <v>10362559.060860701</v>
      </c>
      <c r="J52" s="953">
        <f>'Data dubieuze debiteuren'!J137</f>
        <v>99543513.74141717</v>
      </c>
      <c r="K52" s="953">
        <f>'Data dubieuze debiteuren'!K137</f>
        <v>0</v>
      </c>
      <c r="L52" s="953">
        <f>'Data dubieuze debiteuren'!L137</f>
        <v>0</v>
      </c>
      <c r="M52" s="953">
        <f>'Data dubieuze debiteuren'!M137</f>
        <v>0</v>
      </c>
      <c r="N52" s="953">
        <f>'Data dubieuze debiteuren'!N137</f>
        <v>0</v>
      </c>
      <c r="P52" s="928"/>
    </row>
    <row r="53" spans="1:16384" s="905" customFormat="1" ht="14.25">
      <c r="A53" s="903"/>
      <c r="B53" s="904" t="s">
        <v>1070</v>
      </c>
      <c r="C53" s="904"/>
      <c r="D53" s="903" t="s">
        <v>337</v>
      </c>
      <c r="E53" s="928"/>
      <c r="F53" s="944"/>
      <c r="G53" s="953">
        <f>'Data dubieuze debiteuren'!G144</f>
        <v>0</v>
      </c>
      <c r="H53" s="953">
        <f>'Data dubieuze debiteuren'!H144</f>
        <v>0</v>
      </c>
      <c r="I53" s="953">
        <f>'Data dubieuze debiteuren'!I144</f>
        <v>10690823.089072069</v>
      </c>
      <c r="J53" s="953">
        <f>'Data dubieuze debiteuren'!J144</f>
        <v>102545542.44047996</v>
      </c>
      <c r="K53" s="953">
        <f>'Data dubieuze debiteuren'!K144</f>
        <v>0</v>
      </c>
      <c r="L53" s="953">
        <f>'Data dubieuze debiteuren'!L144</f>
        <v>0</v>
      </c>
      <c r="M53" s="953">
        <f>'Data dubieuze debiteuren'!M144</f>
        <v>0</v>
      </c>
      <c r="N53" s="953">
        <f>'Data dubieuze debiteuren'!N144</f>
        <v>0</v>
      </c>
      <c r="P53" s="928"/>
    </row>
    <row r="54" spans="1:16384" s="905" customFormat="1" ht="14.25">
      <c r="A54" s="903"/>
      <c r="B54" s="912"/>
      <c r="C54" s="904"/>
      <c r="D54" s="927"/>
      <c r="E54" s="928"/>
      <c r="F54" s="944"/>
      <c r="G54" s="954"/>
      <c r="H54" s="954"/>
      <c r="I54" s="954"/>
      <c r="J54" s="954"/>
      <c r="K54" s="954"/>
      <c r="L54" s="954"/>
      <c r="M54" s="954"/>
      <c r="N54" s="954"/>
      <c r="P54" s="928"/>
    </row>
    <row r="55" spans="1:16384" s="905" customFormat="1" ht="14.25">
      <c r="A55" s="936"/>
      <c r="B55" s="936" t="s">
        <v>1071</v>
      </c>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936"/>
      <c r="AA55" s="936"/>
      <c r="AB55" s="936"/>
      <c r="AC55" s="936"/>
      <c r="AD55" s="936"/>
      <c r="AE55" s="936"/>
      <c r="AF55" s="936"/>
      <c r="AG55" s="936"/>
      <c r="AH55" s="936"/>
      <c r="AI55" s="936"/>
      <c r="AJ55" s="936"/>
      <c r="AK55" s="936"/>
      <c r="AL55" s="936"/>
      <c r="AM55" s="936"/>
      <c r="AN55" s="936"/>
      <c r="AO55" s="936"/>
      <c r="AP55" s="936"/>
      <c r="AQ55" s="936"/>
      <c r="AR55" s="936"/>
      <c r="AS55" s="936"/>
      <c r="AT55" s="936"/>
      <c r="AU55" s="936"/>
      <c r="AV55" s="936"/>
      <c r="AW55" s="936"/>
      <c r="AX55" s="936"/>
      <c r="AY55" s="936"/>
      <c r="AZ55" s="936"/>
      <c r="BA55" s="936"/>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36"/>
      <c r="CP55" s="936"/>
      <c r="CQ55" s="936"/>
      <c r="CR55" s="936"/>
      <c r="CS55" s="936"/>
      <c r="CT55" s="936"/>
      <c r="CU55" s="936"/>
      <c r="CV55" s="936"/>
      <c r="CW55" s="936"/>
      <c r="CX55" s="936"/>
      <c r="CY55" s="936"/>
      <c r="CZ55" s="936"/>
      <c r="DA55" s="936"/>
      <c r="DB55" s="936"/>
      <c r="DC55" s="936"/>
      <c r="DD55" s="936"/>
      <c r="DE55" s="936"/>
      <c r="DF55" s="936"/>
      <c r="DG55" s="936"/>
      <c r="DH55" s="936"/>
      <c r="DI55" s="936"/>
      <c r="DJ55" s="936"/>
      <c r="DK55" s="936"/>
      <c r="DL55" s="936"/>
      <c r="DM55" s="936"/>
      <c r="DN55" s="936"/>
      <c r="DO55" s="936"/>
      <c r="DP55" s="936"/>
      <c r="DQ55" s="936"/>
      <c r="DR55" s="936"/>
      <c r="DS55" s="936"/>
      <c r="DT55" s="936"/>
      <c r="DU55" s="936"/>
      <c r="DV55" s="936"/>
      <c r="DW55" s="936"/>
      <c r="DX55" s="936"/>
      <c r="DY55" s="936"/>
      <c r="DZ55" s="936"/>
      <c r="EA55" s="936"/>
      <c r="EB55" s="936"/>
      <c r="EC55" s="936"/>
      <c r="ED55" s="936"/>
      <c r="EE55" s="936"/>
      <c r="EF55" s="936"/>
      <c r="EG55" s="936"/>
      <c r="EH55" s="936"/>
      <c r="EI55" s="936"/>
      <c r="EJ55" s="936"/>
      <c r="EK55" s="936"/>
      <c r="EL55" s="936"/>
      <c r="EM55" s="936"/>
      <c r="EN55" s="936"/>
      <c r="EO55" s="936"/>
      <c r="EP55" s="936"/>
      <c r="EQ55" s="936"/>
      <c r="ER55" s="936"/>
      <c r="ES55" s="936"/>
      <c r="ET55" s="936"/>
      <c r="EU55" s="936"/>
      <c r="EV55" s="936"/>
      <c r="EW55" s="936"/>
      <c r="EX55" s="936"/>
      <c r="EY55" s="936"/>
      <c r="EZ55" s="936"/>
      <c r="FA55" s="936"/>
      <c r="FB55" s="936"/>
      <c r="FC55" s="936"/>
      <c r="FD55" s="936"/>
      <c r="FE55" s="936"/>
      <c r="FF55" s="936"/>
      <c r="FG55" s="936"/>
      <c r="FH55" s="936"/>
      <c r="FI55" s="936"/>
      <c r="FJ55" s="936"/>
      <c r="FK55" s="936"/>
      <c r="FL55" s="936"/>
      <c r="FM55" s="936"/>
      <c r="FN55" s="936"/>
      <c r="FO55" s="936"/>
      <c r="FP55" s="936"/>
      <c r="FQ55" s="936"/>
      <c r="FR55" s="936"/>
      <c r="FS55" s="936"/>
      <c r="FT55" s="936"/>
      <c r="FU55" s="936"/>
      <c r="FV55" s="936"/>
      <c r="FW55" s="936"/>
      <c r="FX55" s="936"/>
      <c r="FY55" s="936"/>
      <c r="FZ55" s="936"/>
      <c r="GA55" s="936"/>
      <c r="GB55" s="936"/>
      <c r="GC55" s="936"/>
      <c r="GD55" s="936"/>
      <c r="GE55" s="936"/>
      <c r="GF55" s="936"/>
      <c r="GG55" s="936"/>
      <c r="GH55" s="936"/>
      <c r="GI55" s="936"/>
      <c r="GJ55" s="936"/>
      <c r="GK55" s="936"/>
      <c r="GL55" s="936"/>
      <c r="GM55" s="936"/>
      <c r="GN55" s="936"/>
      <c r="GO55" s="936"/>
      <c r="GP55" s="936"/>
      <c r="GQ55" s="936"/>
      <c r="GR55" s="936"/>
      <c r="GS55" s="936"/>
      <c r="GT55" s="936"/>
      <c r="GU55" s="936"/>
      <c r="GV55" s="936"/>
      <c r="GW55" s="936"/>
      <c r="GX55" s="936"/>
      <c r="GY55" s="936"/>
      <c r="GZ55" s="936"/>
      <c r="HA55" s="936"/>
      <c r="HB55" s="936"/>
      <c r="HC55" s="936"/>
      <c r="HD55" s="936"/>
      <c r="HE55" s="936"/>
      <c r="HF55" s="936"/>
      <c r="HG55" s="936"/>
      <c r="HH55" s="936"/>
      <c r="HI55" s="936"/>
      <c r="HJ55" s="936"/>
      <c r="HK55" s="936"/>
      <c r="HL55" s="936"/>
      <c r="HM55" s="936"/>
      <c r="HN55" s="936"/>
      <c r="HO55" s="936"/>
      <c r="HP55" s="936"/>
      <c r="HQ55" s="936"/>
      <c r="HR55" s="936"/>
      <c r="HS55" s="936"/>
      <c r="HT55" s="936"/>
      <c r="HU55" s="936"/>
      <c r="HV55" s="936"/>
      <c r="HW55" s="936"/>
      <c r="HX55" s="936"/>
      <c r="HY55" s="936"/>
      <c r="HZ55" s="936"/>
      <c r="IA55" s="936"/>
      <c r="IB55" s="936"/>
      <c r="IC55" s="936"/>
      <c r="ID55" s="936"/>
      <c r="IE55" s="936"/>
      <c r="IF55" s="936"/>
      <c r="IG55" s="936"/>
      <c r="IH55" s="936"/>
      <c r="II55" s="936"/>
      <c r="IJ55" s="936"/>
      <c r="IK55" s="936"/>
      <c r="IL55" s="936"/>
      <c r="IM55" s="936"/>
      <c r="IN55" s="936"/>
      <c r="IO55" s="936"/>
      <c r="IP55" s="936"/>
      <c r="IQ55" s="936"/>
      <c r="IR55" s="936"/>
      <c r="IS55" s="936"/>
      <c r="IT55" s="936"/>
      <c r="IU55" s="936"/>
      <c r="IV55" s="936"/>
      <c r="IW55" s="936"/>
      <c r="IX55" s="936"/>
      <c r="IY55" s="936"/>
      <c r="IZ55" s="936"/>
      <c r="JA55" s="936"/>
      <c r="JB55" s="936"/>
      <c r="JC55" s="936"/>
      <c r="JD55" s="936"/>
      <c r="JE55" s="936"/>
      <c r="JF55" s="936"/>
      <c r="JG55" s="936"/>
      <c r="JH55" s="936"/>
      <c r="JI55" s="936"/>
      <c r="JJ55" s="936"/>
      <c r="JK55" s="936"/>
      <c r="JL55" s="936"/>
      <c r="JM55" s="936"/>
      <c r="JN55" s="936"/>
      <c r="JO55" s="936"/>
      <c r="JP55" s="936"/>
      <c r="JQ55" s="936"/>
      <c r="JR55" s="936"/>
      <c r="JS55" s="936"/>
      <c r="JT55" s="936"/>
      <c r="JU55" s="936"/>
      <c r="JV55" s="936"/>
      <c r="JW55" s="936"/>
      <c r="JX55" s="936"/>
      <c r="JY55" s="936"/>
      <c r="JZ55" s="936"/>
      <c r="KA55" s="936"/>
      <c r="KB55" s="936"/>
      <c r="KC55" s="936"/>
      <c r="KD55" s="936"/>
      <c r="KE55" s="936"/>
      <c r="KF55" s="936"/>
      <c r="KG55" s="936"/>
      <c r="KH55" s="936"/>
      <c r="KI55" s="936"/>
      <c r="KJ55" s="936"/>
      <c r="KK55" s="936"/>
      <c r="KL55" s="936"/>
      <c r="KM55" s="936"/>
      <c r="KN55" s="936"/>
      <c r="KO55" s="936"/>
      <c r="KP55" s="936"/>
      <c r="KQ55" s="936"/>
      <c r="KR55" s="936"/>
      <c r="KS55" s="936"/>
      <c r="KT55" s="936"/>
      <c r="KU55" s="936"/>
      <c r="KV55" s="936"/>
      <c r="KW55" s="936"/>
      <c r="KX55" s="936"/>
      <c r="KY55" s="936"/>
      <c r="KZ55" s="936"/>
      <c r="LA55" s="936"/>
      <c r="LB55" s="936"/>
      <c r="LC55" s="936"/>
      <c r="LD55" s="936"/>
      <c r="LE55" s="936"/>
      <c r="LF55" s="936"/>
      <c r="LG55" s="936"/>
      <c r="LH55" s="936"/>
      <c r="LI55" s="936"/>
      <c r="LJ55" s="936"/>
      <c r="LK55" s="936"/>
      <c r="LL55" s="936"/>
      <c r="LM55" s="936"/>
      <c r="LN55" s="936"/>
      <c r="LO55" s="936"/>
      <c r="LP55" s="936"/>
      <c r="LQ55" s="936"/>
      <c r="LR55" s="936"/>
      <c r="LS55" s="936"/>
      <c r="LT55" s="936"/>
      <c r="LU55" s="936"/>
      <c r="LV55" s="936"/>
      <c r="LW55" s="936"/>
      <c r="LX55" s="936"/>
      <c r="LY55" s="936"/>
      <c r="LZ55" s="936"/>
      <c r="MA55" s="936"/>
      <c r="MB55" s="936"/>
      <c r="MC55" s="936"/>
      <c r="MD55" s="936"/>
      <c r="ME55" s="936"/>
      <c r="MF55" s="936"/>
      <c r="MG55" s="936"/>
      <c r="MH55" s="936"/>
      <c r="MI55" s="936"/>
      <c r="MJ55" s="936"/>
      <c r="MK55" s="936"/>
      <c r="ML55" s="936"/>
      <c r="MM55" s="936"/>
      <c r="MN55" s="936"/>
      <c r="MO55" s="936"/>
      <c r="MP55" s="936"/>
      <c r="MQ55" s="936"/>
      <c r="MR55" s="936"/>
      <c r="MS55" s="936"/>
      <c r="MT55" s="936"/>
      <c r="MU55" s="936"/>
      <c r="MV55" s="936"/>
      <c r="MW55" s="936"/>
      <c r="MX55" s="936"/>
      <c r="MY55" s="936"/>
      <c r="MZ55" s="936"/>
      <c r="NA55" s="936"/>
      <c r="NB55" s="936"/>
      <c r="NC55" s="936"/>
      <c r="ND55" s="936"/>
      <c r="NE55" s="936"/>
      <c r="NF55" s="936"/>
      <c r="NG55" s="936"/>
      <c r="NH55" s="936"/>
      <c r="NI55" s="936"/>
      <c r="NJ55" s="936"/>
      <c r="NK55" s="936"/>
      <c r="NL55" s="936"/>
      <c r="NM55" s="936"/>
      <c r="NN55" s="936"/>
      <c r="NO55" s="936"/>
      <c r="NP55" s="936"/>
      <c r="NQ55" s="936"/>
      <c r="NR55" s="936"/>
      <c r="NS55" s="936"/>
      <c r="NT55" s="936"/>
      <c r="NU55" s="936"/>
      <c r="NV55" s="936"/>
      <c r="NW55" s="936"/>
      <c r="NX55" s="936"/>
      <c r="NY55" s="936"/>
      <c r="NZ55" s="936"/>
      <c r="OA55" s="936"/>
      <c r="OB55" s="936"/>
      <c r="OC55" s="936"/>
      <c r="OD55" s="936"/>
      <c r="OE55" s="936"/>
      <c r="OF55" s="936"/>
      <c r="OG55" s="936"/>
      <c r="OH55" s="936"/>
      <c r="OI55" s="936"/>
      <c r="OJ55" s="936"/>
      <c r="OK55" s="936"/>
      <c r="OL55" s="936"/>
      <c r="OM55" s="936"/>
      <c r="ON55" s="936"/>
      <c r="OO55" s="936"/>
      <c r="OP55" s="936"/>
      <c r="OQ55" s="936"/>
      <c r="OR55" s="936"/>
      <c r="OS55" s="936"/>
      <c r="OT55" s="936"/>
      <c r="OU55" s="936"/>
      <c r="OV55" s="936"/>
      <c r="OW55" s="936"/>
      <c r="OX55" s="936"/>
      <c r="OY55" s="936"/>
      <c r="OZ55" s="936"/>
      <c r="PA55" s="936"/>
      <c r="PB55" s="936"/>
      <c r="PC55" s="936"/>
      <c r="PD55" s="936"/>
      <c r="PE55" s="936"/>
      <c r="PF55" s="936"/>
      <c r="PG55" s="936"/>
      <c r="PH55" s="936"/>
      <c r="PI55" s="936"/>
      <c r="PJ55" s="936"/>
      <c r="PK55" s="936"/>
      <c r="PL55" s="936"/>
      <c r="PM55" s="936"/>
      <c r="PN55" s="936"/>
      <c r="PO55" s="936"/>
      <c r="PP55" s="936"/>
      <c r="PQ55" s="936"/>
      <c r="PR55" s="936"/>
      <c r="PS55" s="936"/>
      <c r="PT55" s="936"/>
      <c r="PU55" s="936"/>
      <c r="PV55" s="936"/>
      <c r="PW55" s="936"/>
      <c r="PX55" s="936"/>
      <c r="PY55" s="936"/>
      <c r="PZ55" s="936"/>
      <c r="QA55" s="936"/>
      <c r="QB55" s="936"/>
      <c r="QC55" s="936"/>
      <c r="QD55" s="936"/>
      <c r="QE55" s="936"/>
      <c r="QF55" s="936"/>
      <c r="QG55" s="936"/>
      <c r="QH55" s="936"/>
      <c r="QI55" s="936"/>
      <c r="QJ55" s="936"/>
      <c r="QK55" s="936"/>
      <c r="QL55" s="936"/>
      <c r="QM55" s="936"/>
      <c r="QN55" s="936"/>
      <c r="QO55" s="936"/>
      <c r="QP55" s="936"/>
      <c r="QQ55" s="936"/>
      <c r="QR55" s="936"/>
      <c r="QS55" s="936"/>
      <c r="QT55" s="936"/>
      <c r="QU55" s="936"/>
      <c r="QV55" s="936"/>
      <c r="QW55" s="936"/>
      <c r="QX55" s="936"/>
      <c r="QY55" s="936"/>
      <c r="QZ55" s="936"/>
      <c r="RA55" s="936"/>
      <c r="RB55" s="936"/>
      <c r="RC55" s="936"/>
      <c r="RD55" s="936"/>
      <c r="RE55" s="936"/>
      <c r="RF55" s="936"/>
      <c r="RG55" s="936"/>
      <c r="RH55" s="936"/>
      <c r="RI55" s="936"/>
      <c r="RJ55" s="936"/>
      <c r="RK55" s="936"/>
      <c r="RL55" s="936"/>
      <c r="RM55" s="936"/>
      <c r="RN55" s="936"/>
      <c r="RO55" s="936"/>
      <c r="RP55" s="936"/>
      <c r="RQ55" s="936"/>
      <c r="RR55" s="936"/>
      <c r="RS55" s="936"/>
      <c r="RT55" s="936"/>
      <c r="RU55" s="936"/>
      <c r="RV55" s="936"/>
      <c r="RW55" s="936"/>
      <c r="RX55" s="936"/>
      <c r="RY55" s="936"/>
      <c r="RZ55" s="936"/>
      <c r="SA55" s="936"/>
      <c r="SB55" s="936"/>
      <c r="SC55" s="936"/>
      <c r="SD55" s="936"/>
      <c r="SE55" s="936"/>
      <c r="SF55" s="936"/>
      <c r="SG55" s="936"/>
      <c r="SH55" s="936"/>
      <c r="SI55" s="936"/>
      <c r="SJ55" s="936"/>
      <c r="SK55" s="936"/>
      <c r="SL55" s="936"/>
      <c r="SM55" s="936"/>
      <c r="SN55" s="936"/>
      <c r="SO55" s="936"/>
      <c r="SP55" s="936"/>
      <c r="SQ55" s="936"/>
      <c r="SR55" s="936"/>
      <c r="SS55" s="936"/>
      <c r="ST55" s="936"/>
      <c r="SU55" s="936"/>
      <c r="SV55" s="936"/>
      <c r="SW55" s="936"/>
      <c r="SX55" s="936"/>
      <c r="SY55" s="936"/>
      <c r="SZ55" s="936"/>
      <c r="TA55" s="936"/>
      <c r="TB55" s="936"/>
      <c r="TC55" s="936"/>
      <c r="TD55" s="936"/>
      <c r="TE55" s="936"/>
      <c r="TF55" s="936"/>
      <c r="TG55" s="936"/>
      <c r="TH55" s="936"/>
      <c r="TI55" s="936"/>
      <c r="TJ55" s="936"/>
      <c r="TK55" s="936"/>
      <c r="TL55" s="936"/>
      <c r="TM55" s="936"/>
      <c r="TN55" s="936"/>
      <c r="TO55" s="936"/>
      <c r="TP55" s="936"/>
      <c r="TQ55" s="936"/>
      <c r="TR55" s="936"/>
      <c r="TS55" s="936"/>
      <c r="TT55" s="936"/>
      <c r="TU55" s="936"/>
      <c r="TV55" s="936"/>
      <c r="TW55" s="936"/>
      <c r="TX55" s="936"/>
      <c r="TY55" s="936"/>
      <c r="TZ55" s="936"/>
      <c r="UA55" s="936"/>
      <c r="UB55" s="936"/>
      <c r="UC55" s="936"/>
      <c r="UD55" s="936"/>
      <c r="UE55" s="936"/>
      <c r="UF55" s="936"/>
      <c r="UG55" s="936"/>
      <c r="UH55" s="936"/>
      <c r="UI55" s="936"/>
      <c r="UJ55" s="936"/>
      <c r="UK55" s="936"/>
      <c r="UL55" s="936"/>
      <c r="UM55" s="936"/>
      <c r="UN55" s="936"/>
      <c r="UO55" s="936"/>
      <c r="UP55" s="936"/>
      <c r="UQ55" s="936"/>
      <c r="UR55" s="936"/>
      <c r="US55" s="936"/>
      <c r="UT55" s="936"/>
      <c r="UU55" s="936"/>
      <c r="UV55" s="936"/>
      <c r="UW55" s="936"/>
      <c r="UX55" s="936"/>
      <c r="UY55" s="936"/>
      <c r="UZ55" s="936"/>
      <c r="VA55" s="936"/>
      <c r="VB55" s="936"/>
      <c r="VC55" s="936"/>
      <c r="VD55" s="936"/>
      <c r="VE55" s="936"/>
      <c r="VF55" s="936"/>
      <c r="VG55" s="936"/>
      <c r="VH55" s="936"/>
      <c r="VI55" s="936"/>
      <c r="VJ55" s="936"/>
      <c r="VK55" s="936"/>
      <c r="VL55" s="936"/>
      <c r="VM55" s="936"/>
      <c r="VN55" s="936"/>
      <c r="VO55" s="936"/>
      <c r="VP55" s="936"/>
      <c r="VQ55" s="936"/>
      <c r="VR55" s="936"/>
      <c r="VS55" s="936"/>
      <c r="VT55" s="936"/>
      <c r="VU55" s="936"/>
      <c r="VV55" s="936"/>
      <c r="VW55" s="936"/>
      <c r="VX55" s="936"/>
      <c r="VY55" s="936"/>
      <c r="VZ55" s="936"/>
      <c r="WA55" s="936"/>
      <c r="WB55" s="936"/>
      <c r="WC55" s="936"/>
      <c r="WD55" s="936"/>
      <c r="WE55" s="936"/>
      <c r="WF55" s="936"/>
      <c r="WG55" s="936"/>
      <c r="WH55" s="936"/>
      <c r="WI55" s="936"/>
      <c r="WJ55" s="936"/>
      <c r="WK55" s="936"/>
      <c r="WL55" s="936"/>
      <c r="WM55" s="936"/>
      <c r="WN55" s="936"/>
      <c r="WO55" s="936"/>
      <c r="WP55" s="936"/>
      <c r="WQ55" s="936"/>
      <c r="WR55" s="936"/>
      <c r="WS55" s="936"/>
      <c r="WT55" s="936"/>
      <c r="WU55" s="936"/>
      <c r="WV55" s="936"/>
      <c r="WW55" s="936"/>
      <c r="WX55" s="936"/>
      <c r="WY55" s="936"/>
      <c r="WZ55" s="936"/>
      <c r="XA55" s="936"/>
      <c r="XB55" s="936"/>
      <c r="XC55" s="936"/>
      <c r="XD55" s="936"/>
      <c r="XE55" s="936"/>
      <c r="XF55" s="936"/>
      <c r="XG55" s="936"/>
      <c r="XH55" s="936"/>
      <c r="XI55" s="936"/>
      <c r="XJ55" s="936"/>
      <c r="XK55" s="936"/>
      <c r="XL55" s="936"/>
      <c r="XM55" s="936"/>
      <c r="XN55" s="936"/>
      <c r="XO55" s="936"/>
      <c r="XP55" s="936"/>
      <c r="XQ55" s="936"/>
      <c r="XR55" s="936"/>
      <c r="XS55" s="936"/>
      <c r="XT55" s="936"/>
      <c r="XU55" s="936"/>
      <c r="XV55" s="936"/>
      <c r="XW55" s="936"/>
      <c r="XX55" s="936"/>
      <c r="XY55" s="936"/>
      <c r="XZ55" s="936"/>
      <c r="YA55" s="936"/>
      <c r="YB55" s="936"/>
      <c r="YC55" s="936"/>
      <c r="YD55" s="936"/>
      <c r="YE55" s="936"/>
      <c r="YF55" s="936"/>
      <c r="YG55" s="936"/>
      <c r="YH55" s="936"/>
      <c r="YI55" s="936"/>
      <c r="YJ55" s="936"/>
      <c r="YK55" s="936"/>
      <c r="YL55" s="936"/>
      <c r="YM55" s="936"/>
      <c r="YN55" s="936"/>
      <c r="YO55" s="936"/>
      <c r="YP55" s="936"/>
      <c r="YQ55" s="936"/>
      <c r="YR55" s="936"/>
      <c r="YS55" s="936"/>
      <c r="YT55" s="936"/>
      <c r="YU55" s="936"/>
      <c r="YV55" s="936"/>
      <c r="YW55" s="936"/>
      <c r="YX55" s="936"/>
      <c r="YY55" s="936"/>
      <c r="YZ55" s="936"/>
      <c r="ZA55" s="936"/>
      <c r="ZB55" s="936"/>
      <c r="ZC55" s="936"/>
      <c r="ZD55" s="936"/>
      <c r="ZE55" s="936"/>
      <c r="ZF55" s="936"/>
      <c r="ZG55" s="936"/>
      <c r="ZH55" s="936"/>
      <c r="ZI55" s="936"/>
      <c r="ZJ55" s="936"/>
      <c r="ZK55" s="936"/>
      <c r="ZL55" s="936"/>
      <c r="ZM55" s="936"/>
      <c r="ZN55" s="936"/>
      <c r="ZO55" s="936"/>
      <c r="ZP55" s="936"/>
      <c r="ZQ55" s="936"/>
      <c r="ZR55" s="936"/>
      <c r="ZS55" s="936"/>
      <c r="ZT55" s="936"/>
      <c r="ZU55" s="936"/>
      <c r="ZV55" s="936"/>
      <c r="ZW55" s="936"/>
      <c r="ZX55" s="936"/>
      <c r="ZY55" s="936"/>
      <c r="ZZ55" s="936"/>
      <c r="AAA55" s="936"/>
      <c r="AAB55" s="936"/>
      <c r="AAC55" s="936"/>
      <c r="AAD55" s="936"/>
      <c r="AAE55" s="936"/>
      <c r="AAF55" s="936"/>
      <c r="AAG55" s="936"/>
      <c r="AAH55" s="936"/>
      <c r="AAI55" s="936"/>
      <c r="AAJ55" s="936"/>
      <c r="AAK55" s="936"/>
      <c r="AAL55" s="936"/>
      <c r="AAM55" s="936"/>
      <c r="AAN55" s="936"/>
      <c r="AAO55" s="936"/>
      <c r="AAP55" s="936"/>
      <c r="AAQ55" s="936"/>
      <c r="AAR55" s="936"/>
      <c r="AAS55" s="936"/>
      <c r="AAT55" s="936"/>
      <c r="AAU55" s="936"/>
      <c r="AAV55" s="936"/>
      <c r="AAW55" s="936"/>
      <c r="AAX55" s="936"/>
      <c r="AAY55" s="936"/>
      <c r="AAZ55" s="936"/>
      <c r="ABA55" s="936"/>
      <c r="ABB55" s="936"/>
      <c r="ABC55" s="936"/>
      <c r="ABD55" s="936"/>
      <c r="ABE55" s="936"/>
      <c r="ABF55" s="936"/>
      <c r="ABG55" s="936"/>
      <c r="ABH55" s="936"/>
      <c r="ABI55" s="936"/>
      <c r="ABJ55" s="936"/>
      <c r="ABK55" s="936"/>
      <c r="ABL55" s="936"/>
      <c r="ABM55" s="936"/>
      <c r="ABN55" s="936"/>
      <c r="ABO55" s="936"/>
      <c r="ABP55" s="936"/>
      <c r="ABQ55" s="936"/>
      <c r="ABR55" s="936"/>
      <c r="ABS55" s="936"/>
      <c r="ABT55" s="936"/>
      <c r="ABU55" s="936"/>
      <c r="ABV55" s="936"/>
      <c r="ABW55" s="936"/>
      <c r="ABX55" s="936"/>
      <c r="ABY55" s="936"/>
      <c r="ABZ55" s="936"/>
      <c r="ACA55" s="936"/>
      <c r="ACB55" s="936"/>
      <c r="ACC55" s="936"/>
      <c r="ACD55" s="936"/>
      <c r="ACE55" s="936"/>
      <c r="ACF55" s="936"/>
      <c r="ACG55" s="936"/>
      <c r="ACH55" s="936"/>
      <c r="ACI55" s="936"/>
      <c r="ACJ55" s="936"/>
      <c r="ACK55" s="936"/>
      <c r="ACL55" s="936"/>
      <c r="ACM55" s="936"/>
      <c r="ACN55" s="936"/>
      <c r="ACO55" s="936"/>
      <c r="ACP55" s="936"/>
      <c r="ACQ55" s="936"/>
      <c r="ACR55" s="936"/>
      <c r="ACS55" s="936"/>
      <c r="ACT55" s="936"/>
      <c r="ACU55" s="936"/>
      <c r="ACV55" s="936"/>
      <c r="ACW55" s="936"/>
      <c r="ACX55" s="936"/>
      <c r="ACY55" s="936"/>
      <c r="ACZ55" s="936"/>
      <c r="ADA55" s="936"/>
      <c r="ADB55" s="936"/>
      <c r="ADC55" s="936"/>
      <c r="ADD55" s="936"/>
      <c r="ADE55" s="936"/>
      <c r="ADF55" s="936"/>
      <c r="ADG55" s="936"/>
      <c r="ADH55" s="936"/>
      <c r="ADI55" s="936"/>
      <c r="ADJ55" s="936"/>
      <c r="ADK55" s="936"/>
      <c r="ADL55" s="936"/>
      <c r="ADM55" s="936"/>
      <c r="ADN55" s="936"/>
      <c r="ADO55" s="936"/>
      <c r="ADP55" s="936"/>
      <c r="ADQ55" s="936"/>
      <c r="ADR55" s="936"/>
      <c r="ADS55" s="936"/>
      <c r="ADT55" s="936"/>
      <c r="ADU55" s="936"/>
      <c r="ADV55" s="936"/>
      <c r="ADW55" s="936"/>
      <c r="ADX55" s="936"/>
      <c r="ADY55" s="936"/>
      <c r="ADZ55" s="936"/>
      <c r="AEA55" s="936"/>
      <c r="AEB55" s="936"/>
      <c r="AEC55" s="936"/>
      <c r="AED55" s="936"/>
      <c r="AEE55" s="936"/>
      <c r="AEF55" s="936"/>
      <c r="AEG55" s="936"/>
      <c r="AEH55" s="936"/>
      <c r="AEI55" s="936"/>
      <c r="AEJ55" s="936"/>
      <c r="AEK55" s="936"/>
      <c r="AEL55" s="936"/>
      <c r="AEM55" s="936"/>
      <c r="AEN55" s="936"/>
      <c r="AEO55" s="936"/>
      <c r="AEP55" s="936"/>
      <c r="AEQ55" s="936"/>
      <c r="AER55" s="936"/>
      <c r="AES55" s="936"/>
      <c r="AET55" s="936"/>
      <c r="AEU55" s="936"/>
      <c r="AEV55" s="936"/>
      <c r="AEW55" s="936"/>
      <c r="AEX55" s="936"/>
      <c r="AEY55" s="936"/>
      <c r="AEZ55" s="936"/>
      <c r="AFA55" s="936"/>
      <c r="AFB55" s="936"/>
      <c r="AFC55" s="936"/>
      <c r="AFD55" s="936"/>
      <c r="AFE55" s="936"/>
      <c r="AFF55" s="936"/>
      <c r="AFG55" s="936"/>
      <c r="AFH55" s="936"/>
      <c r="AFI55" s="936"/>
      <c r="AFJ55" s="936"/>
      <c r="AFK55" s="936"/>
      <c r="AFL55" s="936"/>
      <c r="AFM55" s="936"/>
      <c r="AFN55" s="936"/>
      <c r="AFO55" s="936"/>
      <c r="AFP55" s="936"/>
      <c r="AFQ55" s="936"/>
      <c r="AFR55" s="936"/>
      <c r="AFS55" s="936"/>
      <c r="AFT55" s="936"/>
      <c r="AFU55" s="936"/>
      <c r="AFV55" s="936"/>
      <c r="AFW55" s="936"/>
      <c r="AFX55" s="936"/>
      <c r="AFY55" s="936"/>
      <c r="AFZ55" s="936"/>
      <c r="AGA55" s="936"/>
      <c r="AGB55" s="936"/>
      <c r="AGC55" s="936"/>
      <c r="AGD55" s="936"/>
      <c r="AGE55" s="936"/>
      <c r="AGF55" s="936"/>
      <c r="AGG55" s="936"/>
      <c r="AGH55" s="936"/>
      <c r="AGI55" s="936"/>
      <c r="AGJ55" s="936"/>
      <c r="AGK55" s="936"/>
      <c r="AGL55" s="936"/>
      <c r="AGM55" s="936"/>
      <c r="AGN55" s="936"/>
      <c r="AGO55" s="936"/>
      <c r="AGP55" s="936"/>
      <c r="AGQ55" s="936"/>
      <c r="AGR55" s="936"/>
      <c r="AGS55" s="936"/>
      <c r="AGT55" s="936"/>
      <c r="AGU55" s="936"/>
      <c r="AGV55" s="936"/>
      <c r="AGW55" s="936"/>
      <c r="AGX55" s="936"/>
      <c r="AGY55" s="936"/>
      <c r="AGZ55" s="936"/>
      <c r="AHA55" s="936"/>
      <c r="AHB55" s="936"/>
      <c r="AHC55" s="936"/>
      <c r="AHD55" s="936"/>
      <c r="AHE55" s="936"/>
      <c r="AHF55" s="936"/>
      <c r="AHG55" s="936"/>
      <c r="AHH55" s="936"/>
      <c r="AHI55" s="936"/>
      <c r="AHJ55" s="936"/>
      <c r="AHK55" s="936"/>
      <c r="AHL55" s="936"/>
      <c r="AHM55" s="936"/>
      <c r="AHN55" s="936"/>
      <c r="AHO55" s="936"/>
      <c r="AHP55" s="936"/>
      <c r="AHQ55" s="936"/>
      <c r="AHR55" s="936"/>
      <c r="AHS55" s="936"/>
      <c r="AHT55" s="936"/>
      <c r="AHU55" s="936"/>
      <c r="AHV55" s="936"/>
      <c r="AHW55" s="936"/>
      <c r="AHX55" s="936"/>
      <c r="AHY55" s="936"/>
      <c r="AHZ55" s="936"/>
      <c r="AIA55" s="936"/>
      <c r="AIB55" s="936"/>
      <c r="AIC55" s="936"/>
      <c r="AID55" s="936"/>
      <c r="AIE55" s="936"/>
      <c r="AIF55" s="936"/>
      <c r="AIG55" s="936"/>
      <c r="AIH55" s="936"/>
      <c r="AII55" s="936"/>
      <c r="AIJ55" s="936"/>
      <c r="AIK55" s="936"/>
      <c r="AIL55" s="936"/>
      <c r="AIM55" s="936"/>
      <c r="AIN55" s="936"/>
      <c r="AIO55" s="936"/>
      <c r="AIP55" s="936"/>
      <c r="AIQ55" s="936"/>
      <c r="AIR55" s="936"/>
      <c r="AIS55" s="936"/>
      <c r="AIT55" s="936"/>
      <c r="AIU55" s="936"/>
      <c r="AIV55" s="936"/>
      <c r="AIW55" s="936"/>
      <c r="AIX55" s="936"/>
      <c r="AIY55" s="936"/>
      <c r="AIZ55" s="936"/>
      <c r="AJA55" s="936"/>
      <c r="AJB55" s="936"/>
      <c r="AJC55" s="936"/>
      <c r="AJD55" s="936"/>
      <c r="AJE55" s="936"/>
      <c r="AJF55" s="936"/>
      <c r="AJG55" s="936"/>
      <c r="AJH55" s="936"/>
      <c r="AJI55" s="936"/>
      <c r="AJJ55" s="936"/>
      <c r="AJK55" s="936"/>
      <c r="AJL55" s="936"/>
      <c r="AJM55" s="936"/>
      <c r="AJN55" s="936"/>
      <c r="AJO55" s="936"/>
      <c r="AJP55" s="936"/>
      <c r="AJQ55" s="936"/>
      <c r="AJR55" s="936"/>
      <c r="AJS55" s="936"/>
      <c r="AJT55" s="936"/>
      <c r="AJU55" s="936"/>
      <c r="AJV55" s="936"/>
      <c r="AJW55" s="936"/>
      <c r="AJX55" s="936"/>
      <c r="AJY55" s="936"/>
      <c r="AJZ55" s="936"/>
      <c r="AKA55" s="936"/>
      <c r="AKB55" s="936"/>
      <c r="AKC55" s="936"/>
      <c r="AKD55" s="936"/>
      <c r="AKE55" s="936"/>
      <c r="AKF55" s="936"/>
      <c r="AKG55" s="936"/>
      <c r="AKH55" s="936"/>
      <c r="AKI55" s="936"/>
      <c r="AKJ55" s="936"/>
      <c r="AKK55" s="936"/>
      <c r="AKL55" s="936"/>
      <c r="AKM55" s="936"/>
      <c r="AKN55" s="936"/>
      <c r="AKO55" s="936"/>
      <c r="AKP55" s="936"/>
      <c r="AKQ55" s="936"/>
      <c r="AKR55" s="936"/>
      <c r="AKS55" s="936"/>
      <c r="AKT55" s="936"/>
      <c r="AKU55" s="936"/>
      <c r="AKV55" s="936"/>
      <c r="AKW55" s="936"/>
      <c r="AKX55" s="936"/>
      <c r="AKY55" s="936"/>
      <c r="AKZ55" s="936"/>
      <c r="ALA55" s="936"/>
      <c r="ALB55" s="936"/>
      <c r="ALC55" s="936"/>
      <c r="ALD55" s="936"/>
      <c r="ALE55" s="936"/>
      <c r="ALF55" s="936"/>
      <c r="ALG55" s="936"/>
      <c r="ALH55" s="936"/>
      <c r="ALI55" s="936"/>
      <c r="ALJ55" s="936"/>
      <c r="ALK55" s="936"/>
      <c r="ALL55" s="936"/>
      <c r="ALM55" s="936"/>
      <c r="ALN55" s="936"/>
      <c r="ALO55" s="936"/>
      <c r="ALP55" s="936"/>
      <c r="ALQ55" s="936"/>
      <c r="ALR55" s="936"/>
      <c r="ALS55" s="936"/>
      <c r="ALT55" s="936"/>
      <c r="ALU55" s="936"/>
      <c r="ALV55" s="936"/>
      <c r="ALW55" s="936"/>
      <c r="ALX55" s="936"/>
      <c r="ALY55" s="936"/>
      <c r="ALZ55" s="936"/>
      <c r="AMA55" s="936"/>
      <c r="AMB55" s="936"/>
      <c r="AMC55" s="936"/>
      <c r="AMD55" s="936"/>
      <c r="AME55" s="936"/>
      <c r="AMF55" s="936"/>
      <c r="AMG55" s="936"/>
      <c r="AMH55" s="936"/>
      <c r="AMI55" s="936"/>
      <c r="AMJ55" s="936"/>
      <c r="AMK55" s="936"/>
      <c r="AML55" s="936"/>
      <c r="AMM55" s="936"/>
      <c r="AMN55" s="936"/>
      <c r="AMO55" s="936"/>
      <c r="AMP55" s="936"/>
      <c r="AMQ55" s="936"/>
      <c r="AMR55" s="936"/>
      <c r="AMS55" s="936"/>
      <c r="AMT55" s="936"/>
      <c r="AMU55" s="936"/>
      <c r="AMV55" s="936"/>
      <c r="AMW55" s="936"/>
      <c r="AMX55" s="936"/>
      <c r="AMY55" s="936"/>
      <c r="AMZ55" s="936"/>
      <c r="ANA55" s="936"/>
      <c r="ANB55" s="936"/>
      <c r="ANC55" s="936"/>
      <c r="AND55" s="936"/>
      <c r="ANE55" s="936"/>
      <c r="ANF55" s="936"/>
      <c r="ANG55" s="936"/>
      <c r="ANH55" s="936"/>
      <c r="ANI55" s="936"/>
      <c r="ANJ55" s="936"/>
      <c r="ANK55" s="936"/>
      <c r="ANL55" s="936"/>
      <c r="ANM55" s="936"/>
      <c r="ANN55" s="936"/>
      <c r="ANO55" s="936"/>
      <c r="ANP55" s="936"/>
      <c r="ANQ55" s="936"/>
      <c r="ANR55" s="936"/>
      <c r="ANS55" s="936"/>
      <c r="ANT55" s="936"/>
      <c r="ANU55" s="936"/>
      <c r="ANV55" s="936"/>
      <c r="ANW55" s="936"/>
      <c r="ANX55" s="936"/>
      <c r="ANY55" s="936"/>
      <c r="ANZ55" s="936"/>
      <c r="AOA55" s="936"/>
      <c r="AOB55" s="936"/>
      <c r="AOC55" s="936"/>
      <c r="AOD55" s="936"/>
      <c r="AOE55" s="936"/>
      <c r="AOF55" s="936"/>
      <c r="AOG55" s="936"/>
      <c r="AOH55" s="936"/>
      <c r="AOI55" s="936"/>
      <c r="AOJ55" s="936"/>
      <c r="AOK55" s="936"/>
      <c r="AOL55" s="936"/>
      <c r="AOM55" s="936"/>
      <c r="AON55" s="936"/>
      <c r="AOO55" s="936"/>
      <c r="AOP55" s="936"/>
      <c r="AOQ55" s="936"/>
      <c r="AOR55" s="936"/>
      <c r="AOS55" s="936"/>
      <c r="AOT55" s="936"/>
      <c r="AOU55" s="936"/>
      <c r="AOV55" s="936"/>
      <c r="AOW55" s="936"/>
      <c r="AOX55" s="936"/>
      <c r="AOY55" s="936"/>
      <c r="AOZ55" s="936"/>
      <c r="APA55" s="936"/>
      <c r="APB55" s="936"/>
      <c r="APC55" s="936"/>
      <c r="APD55" s="936"/>
      <c r="APE55" s="936"/>
      <c r="APF55" s="936"/>
      <c r="APG55" s="936"/>
      <c r="APH55" s="936"/>
      <c r="API55" s="936"/>
      <c r="APJ55" s="936"/>
      <c r="APK55" s="936"/>
      <c r="APL55" s="936"/>
      <c r="APM55" s="936"/>
      <c r="APN55" s="936"/>
      <c r="APO55" s="936"/>
      <c r="APP55" s="936"/>
      <c r="APQ55" s="936"/>
      <c r="APR55" s="936"/>
      <c r="APS55" s="936"/>
      <c r="APT55" s="936"/>
      <c r="APU55" s="936"/>
      <c r="APV55" s="936"/>
      <c r="APW55" s="936"/>
      <c r="APX55" s="936"/>
      <c r="APY55" s="936"/>
      <c r="APZ55" s="936"/>
      <c r="AQA55" s="936"/>
      <c r="AQB55" s="936"/>
      <c r="AQC55" s="936"/>
      <c r="AQD55" s="936"/>
      <c r="AQE55" s="936"/>
      <c r="AQF55" s="936"/>
      <c r="AQG55" s="936"/>
      <c r="AQH55" s="936"/>
      <c r="AQI55" s="936"/>
      <c r="AQJ55" s="936"/>
      <c r="AQK55" s="936"/>
      <c r="AQL55" s="936"/>
      <c r="AQM55" s="936"/>
      <c r="AQN55" s="936"/>
      <c r="AQO55" s="936"/>
      <c r="AQP55" s="936"/>
      <c r="AQQ55" s="936"/>
      <c r="AQR55" s="936"/>
      <c r="AQS55" s="936"/>
      <c r="AQT55" s="936"/>
      <c r="AQU55" s="936"/>
      <c r="AQV55" s="936"/>
      <c r="AQW55" s="936"/>
      <c r="AQX55" s="936"/>
      <c r="AQY55" s="936"/>
      <c r="AQZ55" s="936"/>
      <c r="ARA55" s="936"/>
      <c r="ARB55" s="936"/>
      <c r="ARC55" s="936"/>
      <c r="ARD55" s="936"/>
      <c r="ARE55" s="936"/>
      <c r="ARF55" s="936"/>
      <c r="ARG55" s="936"/>
      <c r="ARH55" s="936"/>
      <c r="ARI55" s="936"/>
      <c r="ARJ55" s="936"/>
      <c r="ARK55" s="936"/>
      <c r="ARL55" s="936"/>
      <c r="ARM55" s="936"/>
      <c r="ARN55" s="936"/>
      <c r="ARO55" s="936"/>
      <c r="ARP55" s="936"/>
      <c r="ARQ55" s="936"/>
      <c r="ARR55" s="936"/>
      <c r="ARS55" s="936"/>
      <c r="ART55" s="936"/>
      <c r="ARU55" s="936"/>
      <c r="ARV55" s="936"/>
      <c r="ARW55" s="936"/>
      <c r="ARX55" s="936"/>
      <c r="ARY55" s="936"/>
      <c r="ARZ55" s="936"/>
      <c r="ASA55" s="936"/>
      <c r="ASB55" s="936"/>
      <c r="ASC55" s="936"/>
      <c r="ASD55" s="936"/>
      <c r="ASE55" s="936"/>
      <c r="ASF55" s="936"/>
      <c r="ASG55" s="936"/>
      <c r="ASH55" s="936"/>
      <c r="ASI55" s="936"/>
      <c r="ASJ55" s="936"/>
      <c r="ASK55" s="936"/>
      <c r="ASL55" s="936"/>
      <c r="ASM55" s="936"/>
      <c r="ASN55" s="936"/>
      <c r="ASO55" s="936"/>
      <c r="ASP55" s="936"/>
      <c r="ASQ55" s="936"/>
      <c r="ASR55" s="936"/>
      <c r="ASS55" s="936"/>
      <c r="AST55" s="936"/>
      <c r="ASU55" s="936"/>
      <c r="ASV55" s="936"/>
      <c r="ASW55" s="936"/>
      <c r="ASX55" s="936"/>
      <c r="ASY55" s="936"/>
      <c r="ASZ55" s="936"/>
      <c r="ATA55" s="936"/>
      <c r="ATB55" s="936"/>
      <c r="ATC55" s="936"/>
      <c r="ATD55" s="936"/>
      <c r="ATE55" s="936"/>
      <c r="ATF55" s="936"/>
      <c r="ATG55" s="936"/>
      <c r="ATH55" s="936"/>
      <c r="ATI55" s="936"/>
      <c r="ATJ55" s="936"/>
      <c r="ATK55" s="936"/>
      <c r="ATL55" s="936"/>
      <c r="ATM55" s="936"/>
      <c r="ATN55" s="936"/>
      <c r="ATO55" s="936"/>
      <c r="ATP55" s="936"/>
      <c r="ATQ55" s="936"/>
      <c r="ATR55" s="936"/>
      <c r="ATS55" s="936"/>
      <c r="ATT55" s="936"/>
      <c r="ATU55" s="936"/>
      <c r="ATV55" s="936"/>
      <c r="ATW55" s="936"/>
      <c r="ATX55" s="936"/>
      <c r="ATY55" s="936"/>
      <c r="ATZ55" s="936"/>
      <c r="AUA55" s="936"/>
      <c r="AUB55" s="936"/>
      <c r="AUC55" s="936"/>
      <c r="AUD55" s="936"/>
      <c r="AUE55" s="936"/>
      <c r="AUF55" s="936"/>
      <c r="AUG55" s="936"/>
      <c r="AUH55" s="936"/>
      <c r="AUI55" s="936"/>
      <c r="AUJ55" s="936"/>
      <c r="AUK55" s="936"/>
      <c r="AUL55" s="936"/>
      <c r="AUM55" s="936"/>
      <c r="AUN55" s="936"/>
      <c r="AUO55" s="936"/>
      <c r="AUP55" s="936"/>
      <c r="AUQ55" s="936"/>
      <c r="AUR55" s="936"/>
      <c r="AUS55" s="936"/>
      <c r="AUT55" s="936"/>
      <c r="AUU55" s="936"/>
      <c r="AUV55" s="936"/>
      <c r="AUW55" s="936"/>
      <c r="AUX55" s="936"/>
      <c r="AUY55" s="936"/>
      <c r="AUZ55" s="936"/>
      <c r="AVA55" s="936"/>
      <c r="AVB55" s="936"/>
      <c r="AVC55" s="936"/>
      <c r="AVD55" s="936"/>
      <c r="AVE55" s="936"/>
      <c r="AVF55" s="936"/>
      <c r="AVG55" s="936"/>
      <c r="AVH55" s="936"/>
      <c r="AVI55" s="936"/>
      <c r="AVJ55" s="936"/>
      <c r="AVK55" s="936"/>
      <c r="AVL55" s="936"/>
      <c r="AVM55" s="936"/>
      <c r="AVN55" s="936"/>
      <c r="AVO55" s="936"/>
      <c r="AVP55" s="936"/>
      <c r="AVQ55" s="936"/>
      <c r="AVR55" s="936"/>
      <c r="AVS55" s="936"/>
      <c r="AVT55" s="936"/>
      <c r="AVU55" s="936"/>
      <c r="AVV55" s="936"/>
      <c r="AVW55" s="936"/>
      <c r="AVX55" s="936"/>
      <c r="AVY55" s="936"/>
      <c r="AVZ55" s="936"/>
      <c r="AWA55" s="936"/>
      <c r="AWB55" s="936"/>
      <c r="AWC55" s="936"/>
      <c r="AWD55" s="936"/>
      <c r="AWE55" s="936"/>
      <c r="AWF55" s="936"/>
      <c r="AWG55" s="936"/>
      <c r="AWH55" s="936"/>
      <c r="AWI55" s="936"/>
      <c r="AWJ55" s="936"/>
      <c r="AWK55" s="936"/>
      <c r="AWL55" s="936"/>
      <c r="AWM55" s="936"/>
      <c r="AWN55" s="936"/>
      <c r="AWO55" s="936"/>
      <c r="AWP55" s="936"/>
      <c r="AWQ55" s="936"/>
      <c r="AWR55" s="936"/>
      <c r="AWS55" s="936"/>
      <c r="AWT55" s="936"/>
      <c r="AWU55" s="936"/>
      <c r="AWV55" s="936"/>
      <c r="AWW55" s="936"/>
      <c r="AWX55" s="936"/>
      <c r="AWY55" s="936"/>
      <c r="AWZ55" s="936"/>
      <c r="AXA55" s="936"/>
      <c r="AXB55" s="936"/>
      <c r="AXC55" s="936"/>
      <c r="AXD55" s="936"/>
      <c r="AXE55" s="936"/>
      <c r="AXF55" s="936"/>
      <c r="AXG55" s="936"/>
      <c r="AXH55" s="936"/>
      <c r="AXI55" s="936"/>
      <c r="AXJ55" s="936"/>
      <c r="AXK55" s="936"/>
      <c r="AXL55" s="936"/>
      <c r="AXM55" s="936"/>
      <c r="AXN55" s="936"/>
      <c r="AXO55" s="936"/>
      <c r="AXP55" s="936"/>
      <c r="AXQ55" s="936"/>
      <c r="AXR55" s="936"/>
      <c r="AXS55" s="936"/>
      <c r="AXT55" s="936"/>
      <c r="AXU55" s="936"/>
      <c r="AXV55" s="936"/>
      <c r="AXW55" s="936"/>
      <c r="AXX55" s="936"/>
      <c r="AXY55" s="936"/>
      <c r="AXZ55" s="936"/>
      <c r="AYA55" s="936"/>
      <c r="AYB55" s="936"/>
      <c r="AYC55" s="936"/>
      <c r="AYD55" s="936"/>
      <c r="AYE55" s="936"/>
      <c r="AYF55" s="936"/>
      <c r="AYG55" s="936"/>
      <c r="AYH55" s="936"/>
      <c r="AYI55" s="936"/>
      <c r="AYJ55" s="936"/>
      <c r="AYK55" s="936"/>
      <c r="AYL55" s="936"/>
      <c r="AYM55" s="936"/>
      <c r="AYN55" s="936"/>
      <c r="AYO55" s="936"/>
      <c r="AYP55" s="936"/>
      <c r="AYQ55" s="936"/>
      <c r="AYR55" s="936"/>
      <c r="AYS55" s="936"/>
      <c r="AYT55" s="936"/>
      <c r="AYU55" s="936"/>
      <c r="AYV55" s="936"/>
      <c r="AYW55" s="936"/>
      <c r="AYX55" s="936"/>
      <c r="AYY55" s="936"/>
      <c r="AYZ55" s="936"/>
      <c r="AZA55" s="936"/>
      <c r="AZB55" s="936"/>
      <c r="AZC55" s="936"/>
      <c r="AZD55" s="936"/>
      <c r="AZE55" s="936"/>
      <c r="AZF55" s="936"/>
      <c r="AZG55" s="936"/>
      <c r="AZH55" s="936"/>
      <c r="AZI55" s="936"/>
      <c r="AZJ55" s="936"/>
      <c r="AZK55" s="936"/>
      <c r="AZL55" s="936"/>
      <c r="AZM55" s="936"/>
      <c r="AZN55" s="936"/>
      <c r="AZO55" s="936"/>
      <c r="AZP55" s="936"/>
      <c r="AZQ55" s="936"/>
      <c r="AZR55" s="936"/>
      <c r="AZS55" s="936"/>
      <c r="AZT55" s="936"/>
      <c r="AZU55" s="936"/>
      <c r="AZV55" s="936"/>
      <c r="AZW55" s="936"/>
      <c r="AZX55" s="936"/>
      <c r="AZY55" s="936"/>
      <c r="AZZ55" s="936"/>
      <c r="BAA55" s="936"/>
      <c r="BAB55" s="936"/>
      <c r="BAC55" s="936"/>
      <c r="BAD55" s="936"/>
      <c r="BAE55" s="936"/>
      <c r="BAF55" s="936"/>
      <c r="BAG55" s="936"/>
      <c r="BAH55" s="936"/>
      <c r="BAI55" s="936"/>
      <c r="BAJ55" s="936"/>
      <c r="BAK55" s="936"/>
      <c r="BAL55" s="936"/>
      <c r="BAM55" s="936"/>
      <c r="BAN55" s="936"/>
      <c r="BAO55" s="936"/>
      <c r="BAP55" s="936"/>
      <c r="BAQ55" s="936"/>
      <c r="BAR55" s="936"/>
      <c r="BAS55" s="936"/>
      <c r="BAT55" s="936"/>
      <c r="BAU55" s="936"/>
      <c r="BAV55" s="936"/>
      <c r="BAW55" s="936"/>
      <c r="BAX55" s="936"/>
      <c r="BAY55" s="936"/>
      <c r="BAZ55" s="936"/>
      <c r="BBA55" s="936"/>
      <c r="BBB55" s="936"/>
      <c r="BBC55" s="936"/>
      <c r="BBD55" s="936"/>
      <c r="BBE55" s="936"/>
      <c r="BBF55" s="936"/>
      <c r="BBG55" s="936"/>
      <c r="BBH55" s="936"/>
      <c r="BBI55" s="936"/>
      <c r="BBJ55" s="936"/>
      <c r="BBK55" s="936"/>
      <c r="BBL55" s="936"/>
      <c r="BBM55" s="936"/>
      <c r="BBN55" s="936"/>
      <c r="BBO55" s="936"/>
      <c r="BBP55" s="936"/>
      <c r="BBQ55" s="936"/>
      <c r="BBR55" s="936"/>
      <c r="BBS55" s="936"/>
      <c r="BBT55" s="936"/>
      <c r="BBU55" s="936"/>
      <c r="BBV55" s="936"/>
      <c r="BBW55" s="936"/>
      <c r="BBX55" s="936"/>
      <c r="BBY55" s="936"/>
      <c r="BBZ55" s="936"/>
      <c r="BCA55" s="936"/>
      <c r="BCB55" s="936"/>
      <c r="BCC55" s="936"/>
      <c r="BCD55" s="936"/>
      <c r="BCE55" s="936"/>
      <c r="BCF55" s="936"/>
      <c r="BCG55" s="936"/>
      <c r="BCH55" s="936"/>
      <c r="BCI55" s="936"/>
      <c r="BCJ55" s="936"/>
      <c r="BCK55" s="936"/>
      <c r="BCL55" s="936"/>
      <c r="BCM55" s="936"/>
      <c r="BCN55" s="936"/>
      <c r="BCO55" s="936"/>
      <c r="BCP55" s="936"/>
      <c r="BCQ55" s="936"/>
      <c r="BCR55" s="936"/>
      <c r="BCS55" s="936"/>
      <c r="BCT55" s="936"/>
      <c r="BCU55" s="936"/>
      <c r="BCV55" s="936"/>
      <c r="BCW55" s="936"/>
      <c r="BCX55" s="936"/>
      <c r="BCY55" s="936"/>
      <c r="BCZ55" s="936"/>
      <c r="BDA55" s="936"/>
      <c r="BDB55" s="936"/>
      <c r="BDC55" s="936"/>
      <c r="BDD55" s="936"/>
      <c r="BDE55" s="936"/>
      <c r="BDF55" s="936"/>
      <c r="BDG55" s="936"/>
      <c r="BDH55" s="936"/>
      <c r="BDI55" s="936"/>
      <c r="BDJ55" s="936"/>
      <c r="BDK55" s="936"/>
      <c r="BDL55" s="936"/>
      <c r="BDM55" s="936"/>
      <c r="BDN55" s="936"/>
      <c r="BDO55" s="936"/>
      <c r="BDP55" s="936"/>
      <c r="BDQ55" s="936"/>
      <c r="BDR55" s="936"/>
      <c r="BDS55" s="936"/>
      <c r="BDT55" s="936"/>
      <c r="BDU55" s="936"/>
      <c r="BDV55" s="936"/>
      <c r="BDW55" s="936"/>
      <c r="BDX55" s="936"/>
      <c r="BDY55" s="936"/>
      <c r="BDZ55" s="936"/>
      <c r="BEA55" s="936"/>
      <c r="BEB55" s="936"/>
      <c r="BEC55" s="936"/>
      <c r="BED55" s="936"/>
      <c r="BEE55" s="936"/>
      <c r="BEF55" s="936"/>
      <c r="BEG55" s="936"/>
      <c r="BEH55" s="936"/>
      <c r="BEI55" s="936"/>
      <c r="BEJ55" s="936"/>
      <c r="BEK55" s="936"/>
      <c r="BEL55" s="936"/>
      <c r="BEM55" s="936"/>
      <c r="BEN55" s="936"/>
      <c r="BEO55" s="936"/>
      <c r="BEP55" s="936"/>
      <c r="BEQ55" s="936"/>
      <c r="BER55" s="936"/>
      <c r="BES55" s="936"/>
      <c r="BET55" s="936"/>
      <c r="BEU55" s="936"/>
      <c r="BEV55" s="936"/>
      <c r="BEW55" s="936"/>
      <c r="BEX55" s="936"/>
      <c r="BEY55" s="936"/>
      <c r="BEZ55" s="936"/>
      <c r="BFA55" s="936"/>
      <c r="BFB55" s="936"/>
      <c r="BFC55" s="936"/>
      <c r="BFD55" s="936"/>
      <c r="BFE55" s="936"/>
      <c r="BFF55" s="936"/>
      <c r="BFG55" s="936"/>
      <c r="BFH55" s="936"/>
      <c r="BFI55" s="936"/>
      <c r="BFJ55" s="936"/>
      <c r="BFK55" s="936"/>
      <c r="BFL55" s="936"/>
      <c r="BFM55" s="936"/>
      <c r="BFN55" s="936"/>
      <c r="BFO55" s="936"/>
      <c r="BFP55" s="936"/>
      <c r="BFQ55" s="936"/>
      <c r="BFR55" s="936"/>
      <c r="BFS55" s="936"/>
      <c r="BFT55" s="936"/>
      <c r="BFU55" s="936"/>
      <c r="BFV55" s="936"/>
      <c r="BFW55" s="936"/>
      <c r="BFX55" s="936"/>
      <c r="BFY55" s="936"/>
      <c r="BFZ55" s="936"/>
      <c r="BGA55" s="936"/>
      <c r="BGB55" s="936"/>
      <c r="BGC55" s="936"/>
      <c r="BGD55" s="936"/>
      <c r="BGE55" s="936"/>
      <c r="BGF55" s="936"/>
      <c r="BGG55" s="936"/>
      <c r="BGH55" s="936"/>
      <c r="BGI55" s="936"/>
      <c r="BGJ55" s="936"/>
      <c r="BGK55" s="936"/>
      <c r="BGL55" s="936"/>
      <c r="BGM55" s="936"/>
      <c r="BGN55" s="936"/>
      <c r="BGO55" s="936"/>
      <c r="BGP55" s="936"/>
      <c r="BGQ55" s="936"/>
      <c r="BGR55" s="936"/>
      <c r="BGS55" s="936"/>
      <c r="BGT55" s="936"/>
      <c r="BGU55" s="936"/>
      <c r="BGV55" s="936"/>
      <c r="BGW55" s="936"/>
      <c r="BGX55" s="936"/>
      <c r="BGY55" s="936"/>
      <c r="BGZ55" s="936"/>
      <c r="BHA55" s="936"/>
      <c r="BHB55" s="936"/>
      <c r="BHC55" s="936"/>
      <c r="BHD55" s="936"/>
      <c r="BHE55" s="936"/>
      <c r="BHF55" s="936"/>
      <c r="BHG55" s="936"/>
      <c r="BHH55" s="936"/>
      <c r="BHI55" s="936"/>
      <c r="BHJ55" s="936"/>
      <c r="BHK55" s="936"/>
      <c r="BHL55" s="936"/>
      <c r="BHM55" s="936"/>
      <c r="BHN55" s="936"/>
      <c r="BHO55" s="936"/>
      <c r="BHP55" s="936"/>
      <c r="BHQ55" s="936"/>
      <c r="BHR55" s="936"/>
      <c r="BHS55" s="936"/>
      <c r="BHT55" s="936"/>
      <c r="BHU55" s="936"/>
      <c r="BHV55" s="936"/>
      <c r="BHW55" s="936"/>
      <c r="BHX55" s="936"/>
      <c r="BHY55" s="936"/>
      <c r="BHZ55" s="936"/>
      <c r="BIA55" s="936"/>
      <c r="BIB55" s="936"/>
      <c r="BIC55" s="936"/>
      <c r="BID55" s="936"/>
      <c r="BIE55" s="936"/>
      <c r="BIF55" s="936"/>
      <c r="BIG55" s="936"/>
      <c r="BIH55" s="936"/>
      <c r="BII55" s="936"/>
      <c r="BIJ55" s="936"/>
      <c r="BIK55" s="936"/>
      <c r="BIL55" s="936"/>
      <c r="BIM55" s="936"/>
      <c r="BIN55" s="936"/>
      <c r="BIO55" s="936"/>
      <c r="BIP55" s="936"/>
      <c r="BIQ55" s="936"/>
      <c r="BIR55" s="936"/>
      <c r="BIS55" s="936"/>
      <c r="BIT55" s="936"/>
      <c r="BIU55" s="936"/>
      <c r="BIV55" s="936"/>
      <c r="BIW55" s="936"/>
      <c r="BIX55" s="936"/>
      <c r="BIY55" s="936"/>
      <c r="BIZ55" s="936"/>
      <c r="BJA55" s="936"/>
      <c r="BJB55" s="936"/>
      <c r="BJC55" s="936"/>
      <c r="BJD55" s="936"/>
      <c r="BJE55" s="936"/>
      <c r="BJF55" s="936"/>
      <c r="BJG55" s="936"/>
      <c r="BJH55" s="936"/>
      <c r="BJI55" s="936"/>
      <c r="BJJ55" s="936"/>
      <c r="BJK55" s="936"/>
      <c r="BJL55" s="936"/>
      <c r="BJM55" s="936"/>
      <c r="BJN55" s="936"/>
      <c r="BJO55" s="936"/>
      <c r="BJP55" s="936"/>
      <c r="BJQ55" s="936"/>
      <c r="BJR55" s="936"/>
      <c r="BJS55" s="936"/>
      <c r="BJT55" s="936"/>
      <c r="BJU55" s="936"/>
      <c r="BJV55" s="936"/>
      <c r="BJW55" s="936"/>
      <c r="BJX55" s="936"/>
      <c r="BJY55" s="936"/>
      <c r="BJZ55" s="936"/>
      <c r="BKA55" s="936"/>
      <c r="BKB55" s="936"/>
      <c r="BKC55" s="936"/>
      <c r="BKD55" s="936"/>
      <c r="BKE55" s="936"/>
      <c r="BKF55" s="936"/>
      <c r="BKG55" s="936"/>
      <c r="BKH55" s="936"/>
      <c r="BKI55" s="936"/>
      <c r="BKJ55" s="936"/>
      <c r="BKK55" s="936"/>
      <c r="BKL55" s="936"/>
      <c r="BKM55" s="936"/>
      <c r="BKN55" s="936"/>
      <c r="BKO55" s="936"/>
      <c r="BKP55" s="936"/>
      <c r="BKQ55" s="936"/>
      <c r="BKR55" s="936"/>
      <c r="BKS55" s="936"/>
      <c r="BKT55" s="936"/>
      <c r="BKU55" s="936"/>
      <c r="BKV55" s="936"/>
      <c r="BKW55" s="936"/>
      <c r="BKX55" s="936"/>
      <c r="BKY55" s="936"/>
      <c r="BKZ55" s="936"/>
      <c r="BLA55" s="936"/>
      <c r="BLB55" s="936"/>
      <c r="BLC55" s="936"/>
      <c r="BLD55" s="936"/>
      <c r="BLE55" s="936"/>
      <c r="BLF55" s="936"/>
      <c r="BLG55" s="936"/>
      <c r="BLH55" s="936"/>
      <c r="BLI55" s="936"/>
      <c r="BLJ55" s="936"/>
      <c r="BLK55" s="936"/>
      <c r="BLL55" s="936"/>
      <c r="BLM55" s="936"/>
      <c r="BLN55" s="936"/>
      <c r="BLO55" s="936"/>
      <c r="BLP55" s="936"/>
      <c r="BLQ55" s="936"/>
      <c r="BLR55" s="936"/>
      <c r="BLS55" s="936"/>
      <c r="BLT55" s="936"/>
      <c r="BLU55" s="936"/>
      <c r="BLV55" s="936"/>
      <c r="BLW55" s="936"/>
      <c r="BLX55" s="936"/>
      <c r="BLY55" s="936"/>
      <c r="BLZ55" s="936"/>
      <c r="BMA55" s="936"/>
      <c r="BMB55" s="936"/>
      <c r="BMC55" s="936"/>
      <c r="BMD55" s="936"/>
      <c r="BME55" s="936"/>
      <c r="BMF55" s="936"/>
      <c r="BMG55" s="936"/>
      <c r="BMH55" s="936"/>
      <c r="BMI55" s="936"/>
      <c r="BMJ55" s="936"/>
      <c r="BMK55" s="936"/>
      <c r="BML55" s="936"/>
      <c r="BMM55" s="936"/>
      <c r="BMN55" s="936"/>
      <c r="BMO55" s="936"/>
      <c r="BMP55" s="936"/>
      <c r="BMQ55" s="936"/>
      <c r="BMR55" s="936"/>
      <c r="BMS55" s="936"/>
      <c r="BMT55" s="936"/>
      <c r="BMU55" s="936"/>
      <c r="BMV55" s="936"/>
      <c r="BMW55" s="936"/>
      <c r="BMX55" s="936"/>
      <c r="BMY55" s="936"/>
      <c r="BMZ55" s="936"/>
      <c r="BNA55" s="936"/>
      <c r="BNB55" s="936"/>
      <c r="BNC55" s="936"/>
      <c r="BND55" s="936"/>
      <c r="BNE55" s="936"/>
      <c r="BNF55" s="936"/>
      <c r="BNG55" s="936"/>
      <c r="BNH55" s="936"/>
      <c r="BNI55" s="936"/>
      <c r="BNJ55" s="936"/>
      <c r="BNK55" s="936"/>
      <c r="BNL55" s="936"/>
      <c r="BNM55" s="936"/>
      <c r="BNN55" s="936"/>
      <c r="BNO55" s="936"/>
      <c r="BNP55" s="936"/>
      <c r="BNQ55" s="936"/>
      <c r="BNR55" s="936"/>
      <c r="BNS55" s="936"/>
      <c r="BNT55" s="936"/>
      <c r="BNU55" s="936"/>
      <c r="BNV55" s="936"/>
      <c r="BNW55" s="936"/>
      <c r="BNX55" s="936"/>
      <c r="BNY55" s="936"/>
      <c r="BNZ55" s="936"/>
      <c r="BOA55" s="936"/>
      <c r="BOB55" s="936"/>
      <c r="BOC55" s="936"/>
      <c r="BOD55" s="936"/>
      <c r="BOE55" s="936"/>
      <c r="BOF55" s="936"/>
      <c r="BOG55" s="936"/>
      <c r="BOH55" s="936"/>
      <c r="BOI55" s="936"/>
      <c r="BOJ55" s="936"/>
      <c r="BOK55" s="936"/>
      <c r="BOL55" s="936"/>
      <c r="BOM55" s="936"/>
      <c r="BON55" s="936"/>
      <c r="BOO55" s="936"/>
      <c r="BOP55" s="936"/>
      <c r="BOQ55" s="936"/>
      <c r="BOR55" s="936"/>
      <c r="BOS55" s="936"/>
      <c r="BOT55" s="936"/>
      <c r="BOU55" s="936"/>
      <c r="BOV55" s="936"/>
      <c r="BOW55" s="936"/>
      <c r="BOX55" s="936"/>
      <c r="BOY55" s="936"/>
      <c r="BOZ55" s="936"/>
      <c r="BPA55" s="936"/>
      <c r="BPB55" s="936"/>
      <c r="BPC55" s="936"/>
      <c r="BPD55" s="936"/>
      <c r="BPE55" s="936"/>
      <c r="BPF55" s="936"/>
      <c r="BPG55" s="936"/>
      <c r="BPH55" s="936"/>
      <c r="BPI55" s="936"/>
      <c r="BPJ55" s="936"/>
      <c r="BPK55" s="936"/>
      <c r="BPL55" s="936"/>
      <c r="BPM55" s="936"/>
      <c r="BPN55" s="936"/>
      <c r="BPO55" s="936"/>
      <c r="BPP55" s="936"/>
      <c r="BPQ55" s="936"/>
      <c r="BPR55" s="936"/>
      <c r="BPS55" s="936"/>
      <c r="BPT55" s="936"/>
      <c r="BPU55" s="936"/>
      <c r="BPV55" s="936"/>
      <c r="BPW55" s="936"/>
      <c r="BPX55" s="936"/>
      <c r="BPY55" s="936"/>
      <c r="BPZ55" s="936"/>
      <c r="BQA55" s="936"/>
      <c r="BQB55" s="936"/>
      <c r="BQC55" s="936"/>
      <c r="BQD55" s="936"/>
      <c r="BQE55" s="936"/>
      <c r="BQF55" s="936"/>
      <c r="BQG55" s="936"/>
      <c r="BQH55" s="936"/>
      <c r="BQI55" s="936"/>
      <c r="BQJ55" s="936"/>
      <c r="BQK55" s="936"/>
      <c r="BQL55" s="936"/>
      <c r="BQM55" s="936"/>
      <c r="BQN55" s="936"/>
      <c r="BQO55" s="936"/>
      <c r="BQP55" s="936"/>
      <c r="BQQ55" s="936"/>
      <c r="BQR55" s="936"/>
      <c r="BQS55" s="936"/>
      <c r="BQT55" s="936"/>
      <c r="BQU55" s="936"/>
      <c r="BQV55" s="936"/>
      <c r="BQW55" s="936"/>
      <c r="BQX55" s="936"/>
      <c r="BQY55" s="936"/>
      <c r="BQZ55" s="936"/>
      <c r="BRA55" s="936"/>
      <c r="BRB55" s="936"/>
      <c r="BRC55" s="936"/>
      <c r="BRD55" s="936"/>
      <c r="BRE55" s="936"/>
      <c r="BRF55" s="936"/>
      <c r="BRG55" s="936"/>
      <c r="BRH55" s="936"/>
      <c r="BRI55" s="936"/>
      <c r="BRJ55" s="936"/>
      <c r="BRK55" s="936"/>
      <c r="BRL55" s="936"/>
      <c r="BRM55" s="936"/>
      <c r="BRN55" s="936"/>
      <c r="BRO55" s="936"/>
      <c r="BRP55" s="936"/>
      <c r="BRQ55" s="936"/>
      <c r="BRR55" s="936"/>
      <c r="BRS55" s="936"/>
      <c r="BRT55" s="936"/>
      <c r="BRU55" s="936"/>
      <c r="BRV55" s="936"/>
      <c r="BRW55" s="936"/>
      <c r="BRX55" s="936"/>
      <c r="BRY55" s="936"/>
      <c r="BRZ55" s="936"/>
      <c r="BSA55" s="936"/>
      <c r="BSB55" s="936"/>
      <c r="BSC55" s="936"/>
      <c r="BSD55" s="936"/>
      <c r="BSE55" s="936"/>
      <c r="BSF55" s="936"/>
      <c r="BSG55" s="936"/>
      <c r="BSH55" s="936"/>
      <c r="BSI55" s="936"/>
      <c r="BSJ55" s="936"/>
      <c r="BSK55" s="936"/>
      <c r="BSL55" s="936"/>
      <c r="BSM55" s="936"/>
      <c r="BSN55" s="936"/>
      <c r="BSO55" s="936"/>
      <c r="BSP55" s="936"/>
      <c r="BSQ55" s="936"/>
      <c r="BSR55" s="936"/>
      <c r="BSS55" s="936"/>
      <c r="BST55" s="936"/>
      <c r="BSU55" s="936"/>
      <c r="BSV55" s="936"/>
      <c r="BSW55" s="936"/>
      <c r="BSX55" s="936"/>
      <c r="BSY55" s="936"/>
      <c r="BSZ55" s="936"/>
      <c r="BTA55" s="936"/>
      <c r="BTB55" s="936"/>
      <c r="BTC55" s="936"/>
      <c r="BTD55" s="936"/>
      <c r="BTE55" s="936"/>
      <c r="BTF55" s="936"/>
      <c r="BTG55" s="936"/>
      <c r="BTH55" s="936"/>
      <c r="BTI55" s="936"/>
      <c r="BTJ55" s="936"/>
      <c r="BTK55" s="936"/>
      <c r="BTL55" s="936"/>
      <c r="BTM55" s="936"/>
      <c r="BTN55" s="936"/>
      <c r="BTO55" s="936"/>
      <c r="BTP55" s="936"/>
      <c r="BTQ55" s="936"/>
      <c r="BTR55" s="936"/>
      <c r="BTS55" s="936"/>
      <c r="BTT55" s="936"/>
      <c r="BTU55" s="936"/>
      <c r="BTV55" s="936"/>
      <c r="BTW55" s="936"/>
      <c r="BTX55" s="936"/>
      <c r="BTY55" s="936"/>
      <c r="BTZ55" s="936"/>
      <c r="BUA55" s="936"/>
      <c r="BUB55" s="936"/>
      <c r="BUC55" s="936"/>
      <c r="BUD55" s="936"/>
      <c r="BUE55" s="936"/>
      <c r="BUF55" s="936"/>
      <c r="BUG55" s="936"/>
      <c r="BUH55" s="936"/>
      <c r="BUI55" s="936"/>
      <c r="BUJ55" s="936"/>
      <c r="BUK55" s="936"/>
      <c r="BUL55" s="936"/>
      <c r="BUM55" s="936"/>
      <c r="BUN55" s="936"/>
      <c r="BUO55" s="936"/>
      <c r="BUP55" s="936"/>
      <c r="BUQ55" s="936"/>
      <c r="BUR55" s="936"/>
      <c r="BUS55" s="936"/>
      <c r="BUT55" s="936"/>
      <c r="BUU55" s="936"/>
      <c r="BUV55" s="936"/>
      <c r="BUW55" s="936"/>
      <c r="BUX55" s="936"/>
      <c r="BUY55" s="936"/>
      <c r="BUZ55" s="936"/>
      <c r="BVA55" s="936"/>
      <c r="BVB55" s="936"/>
      <c r="BVC55" s="936"/>
      <c r="BVD55" s="936"/>
      <c r="BVE55" s="936"/>
      <c r="BVF55" s="936"/>
      <c r="BVG55" s="936"/>
      <c r="BVH55" s="936"/>
      <c r="BVI55" s="936"/>
      <c r="BVJ55" s="936"/>
      <c r="BVK55" s="936"/>
      <c r="BVL55" s="936"/>
      <c r="BVM55" s="936"/>
      <c r="BVN55" s="936"/>
      <c r="BVO55" s="936"/>
      <c r="BVP55" s="936"/>
      <c r="BVQ55" s="936"/>
      <c r="BVR55" s="936"/>
      <c r="BVS55" s="936"/>
      <c r="BVT55" s="936"/>
      <c r="BVU55" s="936"/>
      <c r="BVV55" s="936"/>
      <c r="BVW55" s="936"/>
      <c r="BVX55" s="936"/>
      <c r="BVY55" s="936"/>
      <c r="BVZ55" s="936"/>
      <c r="BWA55" s="936"/>
      <c r="BWB55" s="936"/>
      <c r="BWC55" s="936"/>
      <c r="BWD55" s="936"/>
      <c r="BWE55" s="936"/>
      <c r="BWF55" s="936"/>
      <c r="BWG55" s="936"/>
      <c r="BWH55" s="936"/>
      <c r="BWI55" s="936"/>
      <c r="BWJ55" s="936"/>
      <c r="BWK55" s="936"/>
      <c r="BWL55" s="936"/>
      <c r="BWM55" s="936"/>
      <c r="BWN55" s="936"/>
      <c r="BWO55" s="936"/>
      <c r="BWP55" s="936"/>
      <c r="BWQ55" s="936"/>
      <c r="BWR55" s="936"/>
      <c r="BWS55" s="936"/>
      <c r="BWT55" s="936"/>
      <c r="BWU55" s="936"/>
      <c r="BWV55" s="936"/>
      <c r="BWW55" s="936"/>
      <c r="BWX55" s="936"/>
      <c r="BWY55" s="936"/>
      <c r="BWZ55" s="936"/>
      <c r="BXA55" s="936"/>
      <c r="BXB55" s="936"/>
      <c r="BXC55" s="936"/>
      <c r="BXD55" s="936"/>
      <c r="BXE55" s="936"/>
      <c r="BXF55" s="936"/>
      <c r="BXG55" s="936"/>
      <c r="BXH55" s="936"/>
      <c r="BXI55" s="936"/>
      <c r="BXJ55" s="936"/>
      <c r="BXK55" s="936"/>
      <c r="BXL55" s="936"/>
      <c r="BXM55" s="936"/>
      <c r="BXN55" s="936"/>
      <c r="BXO55" s="936"/>
      <c r="BXP55" s="936"/>
      <c r="BXQ55" s="936"/>
      <c r="BXR55" s="936"/>
      <c r="BXS55" s="936"/>
      <c r="BXT55" s="936"/>
      <c r="BXU55" s="936"/>
      <c r="BXV55" s="936"/>
      <c r="BXW55" s="936"/>
      <c r="BXX55" s="936"/>
      <c r="BXY55" s="936"/>
      <c r="BXZ55" s="936"/>
      <c r="BYA55" s="936"/>
      <c r="BYB55" s="936"/>
      <c r="BYC55" s="936"/>
      <c r="BYD55" s="936"/>
      <c r="BYE55" s="936"/>
      <c r="BYF55" s="936"/>
      <c r="BYG55" s="936"/>
      <c r="BYH55" s="936"/>
      <c r="BYI55" s="936"/>
      <c r="BYJ55" s="936"/>
      <c r="BYK55" s="936"/>
      <c r="BYL55" s="936"/>
      <c r="BYM55" s="936"/>
      <c r="BYN55" s="936"/>
      <c r="BYO55" s="936"/>
      <c r="BYP55" s="936"/>
      <c r="BYQ55" s="936"/>
      <c r="BYR55" s="936"/>
      <c r="BYS55" s="936"/>
      <c r="BYT55" s="936"/>
      <c r="BYU55" s="936"/>
      <c r="BYV55" s="936"/>
      <c r="BYW55" s="936"/>
      <c r="BYX55" s="936"/>
      <c r="BYY55" s="936"/>
      <c r="BYZ55" s="936"/>
      <c r="BZA55" s="936"/>
      <c r="BZB55" s="936"/>
      <c r="BZC55" s="936"/>
      <c r="BZD55" s="936"/>
      <c r="BZE55" s="936"/>
      <c r="BZF55" s="936"/>
      <c r="BZG55" s="936"/>
      <c r="BZH55" s="936"/>
      <c r="BZI55" s="936"/>
      <c r="BZJ55" s="936"/>
      <c r="BZK55" s="936"/>
      <c r="BZL55" s="936"/>
      <c r="BZM55" s="936"/>
      <c r="BZN55" s="936"/>
      <c r="BZO55" s="936"/>
      <c r="BZP55" s="936"/>
      <c r="BZQ55" s="936"/>
      <c r="BZR55" s="936"/>
      <c r="BZS55" s="936"/>
      <c r="BZT55" s="936"/>
      <c r="BZU55" s="936"/>
      <c r="BZV55" s="936"/>
      <c r="BZW55" s="936"/>
      <c r="BZX55" s="936"/>
      <c r="BZY55" s="936"/>
      <c r="BZZ55" s="936"/>
      <c r="CAA55" s="936"/>
      <c r="CAB55" s="936"/>
      <c r="CAC55" s="936"/>
      <c r="CAD55" s="936"/>
      <c r="CAE55" s="936"/>
      <c r="CAF55" s="936"/>
      <c r="CAG55" s="936"/>
      <c r="CAH55" s="936"/>
      <c r="CAI55" s="936"/>
      <c r="CAJ55" s="936"/>
      <c r="CAK55" s="936"/>
      <c r="CAL55" s="936"/>
      <c r="CAM55" s="936"/>
      <c r="CAN55" s="936"/>
      <c r="CAO55" s="936"/>
      <c r="CAP55" s="936"/>
      <c r="CAQ55" s="936"/>
      <c r="CAR55" s="936"/>
      <c r="CAS55" s="936"/>
      <c r="CAT55" s="936"/>
      <c r="CAU55" s="936"/>
      <c r="CAV55" s="936"/>
      <c r="CAW55" s="936"/>
      <c r="CAX55" s="936"/>
      <c r="CAY55" s="936"/>
      <c r="CAZ55" s="936"/>
      <c r="CBA55" s="936"/>
      <c r="CBB55" s="936"/>
      <c r="CBC55" s="936"/>
      <c r="CBD55" s="936"/>
      <c r="CBE55" s="936"/>
      <c r="CBF55" s="936"/>
      <c r="CBG55" s="936"/>
      <c r="CBH55" s="936"/>
      <c r="CBI55" s="936"/>
      <c r="CBJ55" s="936"/>
      <c r="CBK55" s="936"/>
      <c r="CBL55" s="936"/>
      <c r="CBM55" s="936"/>
      <c r="CBN55" s="936"/>
      <c r="CBO55" s="936"/>
      <c r="CBP55" s="936"/>
      <c r="CBQ55" s="936"/>
      <c r="CBR55" s="936"/>
      <c r="CBS55" s="936"/>
      <c r="CBT55" s="936"/>
      <c r="CBU55" s="936"/>
      <c r="CBV55" s="936"/>
      <c r="CBW55" s="936"/>
      <c r="CBX55" s="936"/>
      <c r="CBY55" s="936"/>
      <c r="CBZ55" s="936"/>
      <c r="CCA55" s="936"/>
      <c r="CCB55" s="936"/>
      <c r="CCC55" s="936"/>
      <c r="CCD55" s="936"/>
      <c r="CCE55" s="936"/>
      <c r="CCF55" s="936"/>
      <c r="CCG55" s="936"/>
      <c r="CCH55" s="936"/>
      <c r="CCI55" s="936"/>
      <c r="CCJ55" s="936"/>
      <c r="CCK55" s="936"/>
      <c r="CCL55" s="936"/>
      <c r="CCM55" s="936"/>
      <c r="CCN55" s="936"/>
      <c r="CCO55" s="936"/>
      <c r="CCP55" s="936"/>
      <c r="CCQ55" s="936"/>
      <c r="CCR55" s="936"/>
      <c r="CCS55" s="936"/>
      <c r="CCT55" s="936"/>
      <c r="CCU55" s="936"/>
      <c r="CCV55" s="936"/>
      <c r="CCW55" s="936"/>
      <c r="CCX55" s="936"/>
      <c r="CCY55" s="936"/>
      <c r="CCZ55" s="936"/>
      <c r="CDA55" s="936"/>
      <c r="CDB55" s="936"/>
      <c r="CDC55" s="936"/>
      <c r="CDD55" s="936"/>
      <c r="CDE55" s="936"/>
      <c r="CDF55" s="936"/>
      <c r="CDG55" s="936"/>
      <c r="CDH55" s="936"/>
      <c r="CDI55" s="936"/>
      <c r="CDJ55" s="936"/>
      <c r="CDK55" s="936"/>
      <c r="CDL55" s="936"/>
      <c r="CDM55" s="936"/>
      <c r="CDN55" s="936"/>
      <c r="CDO55" s="936"/>
      <c r="CDP55" s="936"/>
      <c r="CDQ55" s="936"/>
      <c r="CDR55" s="936"/>
      <c r="CDS55" s="936"/>
      <c r="CDT55" s="936"/>
      <c r="CDU55" s="936"/>
      <c r="CDV55" s="936"/>
      <c r="CDW55" s="936"/>
      <c r="CDX55" s="936"/>
      <c r="CDY55" s="936"/>
      <c r="CDZ55" s="936"/>
      <c r="CEA55" s="936"/>
      <c r="CEB55" s="936"/>
      <c r="CEC55" s="936"/>
      <c r="CED55" s="936"/>
      <c r="CEE55" s="936"/>
      <c r="CEF55" s="936"/>
      <c r="CEG55" s="936"/>
      <c r="CEH55" s="936"/>
      <c r="CEI55" s="936"/>
      <c r="CEJ55" s="936"/>
      <c r="CEK55" s="936"/>
      <c r="CEL55" s="936"/>
      <c r="CEM55" s="936"/>
      <c r="CEN55" s="936"/>
      <c r="CEO55" s="936"/>
      <c r="CEP55" s="936"/>
      <c r="CEQ55" s="936"/>
      <c r="CER55" s="936"/>
      <c r="CES55" s="936"/>
      <c r="CET55" s="936"/>
      <c r="CEU55" s="936"/>
      <c r="CEV55" s="936"/>
      <c r="CEW55" s="936"/>
      <c r="CEX55" s="936"/>
      <c r="CEY55" s="936"/>
      <c r="CEZ55" s="936"/>
      <c r="CFA55" s="936"/>
      <c r="CFB55" s="936"/>
      <c r="CFC55" s="936"/>
      <c r="CFD55" s="936"/>
      <c r="CFE55" s="936"/>
      <c r="CFF55" s="936"/>
      <c r="CFG55" s="936"/>
      <c r="CFH55" s="936"/>
      <c r="CFI55" s="936"/>
      <c r="CFJ55" s="936"/>
      <c r="CFK55" s="936"/>
      <c r="CFL55" s="936"/>
      <c r="CFM55" s="936"/>
      <c r="CFN55" s="936"/>
      <c r="CFO55" s="936"/>
      <c r="CFP55" s="936"/>
      <c r="CFQ55" s="936"/>
      <c r="CFR55" s="936"/>
      <c r="CFS55" s="936"/>
      <c r="CFT55" s="936"/>
      <c r="CFU55" s="936"/>
      <c r="CFV55" s="936"/>
      <c r="CFW55" s="936"/>
      <c r="CFX55" s="936"/>
      <c r="CFY55" s="936"/>
      <c r="CFZ55" s="936"/>
      <c r="CGA55" s="936"/>
      <c r="CGB55" s="936"/>
      <c r="CGC55" s="936"/>
      <c r="CGD55" s="936"/>
      <c r="CGE55" s="936"/>
      <c r="CGF55" s="936"/>
      <c r="CGG55" s="936"/>
      <c r="CGH55" s="936"/>
      <c r="CGI55" s="936"/>
      <c r="CGJ55" s="936"/>
      <c r="CGK55" s="936"/>
      <c r="CGL55" s="936"/>
      <c r="CGM55" s="936"/>
      <c r="CGN55" s="936"/>
      <c r="CGO55" s="936"/>
      <c r="CGP55" s="936"/>
      <c r="CGQ55" s="936"/>
      <c r="CGR55" s="936"/>
      <c r="CGS55" s="936"/>
      <c r="CGT55" s="936"/>
      <c r="CGU55" s="936"/>
      <c r="CGV55" s="936"/>
      <c r="CGW55" s="936"/>
      <c r="CGX55" s="936"/>
      <c r="CGY55" s="936"/>
      <c r="CGZ55" s="936"/>
      <c r="CHA55" s="936"/>
      <c r="CHB55" s="936"/>
      <c r="CHC55" s="936"/>
      <c r="CHD55" s="936"/>
      <c r="CHE55" s="936"/>
      <c r="CHF55" s="936"/>
      <c r="CHG55" s="936"/>
      <c r="CHH55" s="936"/>
      <c r="CHI55" s="936"/>
      <c r="CHJ55" s="936"/>
      <c r="CHK55" s="936"/>
      <c r="CHL55" s="936"/>
      <c r="CHM55" s="936"/>
      <c r="CHN55" s="936"/>
      <c r="CHO55" s="936"/>
      <c r="CHP55" s="936"/>
      <c r="CHQ55" s="936"/>
      <c r="CHR55" s="936"/>
      <c r="CHS55" s="936"/>
      <c r="CHT55" s="936"/>
      <c r="CHU55" s="936"/>
      <c r="CHV55" s="936"/>
      <c r="CHW55" s="936"/>
      <c r="CHX55" s="936"/>
      <c r="CHY55" s="936"/>
      <c r="CHZ55" s="936"/>
      <c r="CIA55" s="936"/>
      <c r="CIB55" s="936"/>
      <c r="CIC55" s="936"/>
      <c r="CID55" s="936"/>
      <c r="CIE55" s="936"/>
      <c r="CIF55" s="936"/>
      <c r="CIG55" s="936"/>
      <c r="CIH55" s="936"/>
      <c r="CII55" s="936"/>
      <c r="CIJ55" s="936"/>
      <c r="CIK55" s="936"/>
      <c r="CIL55" s="936"/>
      <c r="CIM55" s="936"/>
      <c r="CIN55" s="936"/>
      <c r="CIO55" s="936"/>
      <c r="CIP55" s="936"/>
      <c r="CIQ55" s="936"/>
      <c r="CIR55" s="936"/>
      <c r="CIS55" s="936"/>
      <c r="CIT55" s="936"/>
      <c r="CIU55" s="936"/>
      <c r="CIV55" s="936"/>
      <c r="CIW55" s="936"/>
      <c r="CIX55" s="936"/>
      <c r="CIY55" s="936"/>
      <c r="CIZ55" s="936"/>
      <c r="CJA55" s="936"/>
      <c r="CJB55" s="936"/>
      <c r="CJC55" s="936"/>
      <c r="CJD55" s="936"/>
      <c r="CJE55" s="936"/>
      <c r="CJF55" s="936"/>
      <c r="CJG55" s="936"/>
      <c r="CJH55" s="936"/>
      <c r="CJI55" s="936"/>
      <c r="CJJ55" s="936"/>
      <c r="CJK55" s="936"/>
      <c r="CJL55" s="936"/>
      <c r="CJM55" s="936"/>
      <c r="CJN55" s="936"/>
      <c r="CJO55" s="936"/>
      <c r="CJP55" s="936"/>
      <c r="CJQ55" s="936"/>
      <c r="CJR55" s="936"/>
      <c r="CJS55" s="936"/>
      <c r="CJT55" s="936"/>
      <c r="CJU55" s="936"/>
      <c r="CJV55" s="936"/>
      <c r="CJW55" s="936"/>
      <c r="CJX55" s="936"/>
      <c r="CJY55" s="936"/>
      <c r="CJZ55" s="936"/>
      <c r="CKA55" s="936"/>
      <c r="CKB55" s="936"/>
      <c r="CKC55" s="936"/>
      <c r="CKD55" s="936"/>
      <c r="CKE55" s="936"/>
      <c r="CKF55" s="936"/>
      <c r="CKG55" s="936"/>
      <c r="CKH55" s="936"/>
      <c r="CKI55" s="936"/>
      <c r="CKJ55" s="936"/>
      <c r="CKK55" s="936"/>
      <c r="CKL55" s="936"/>
      <c r="CKM55" s="936"/>
      <c r="CKN55" s="936"/>
      <c r="CKO55" s="936"/>
      <c r="CKP55" s="936"/>
      <c r="CKQ55" s="936"/>
      <c r="CKR55" s="936"/>
      <c r="CKS55" s="936"/>
      <c r="CKT55" s="936"/>
      <c r="CKU55" s="936"/>
      <c r="CKV55" s="936"/>
      <c r="CKW55" s="936"/>
      <c r="CKX55" s="936"/>
      <c r="CKY55" s="936"/>
      <c r="CKZ55" s="936"/>
      <c r="CLA55" s="936"/>
      <c r="CLB55" s="936"/>
      <c r="CLC55" s="936"/>
      <c r="CLD55" s="936"/>
      <c r="CLE55" s="936"/>
      <c r="CLF55" s="936"/>
      <c r="CLG55" s="936"/>
      <c r="CLH55" s="936"/>
      <c r="CLI55" s="936"/>
      <c r="CLJ55" s="936"/>
      <c r="CLK55" s="936"/>
      <c r="CLL55" s="936"/>
      <c r="CLM55" s="936"/>
      <c r="CLN55" s="936"/>
      <c r="CLO55" s="936"/>
      <c r="CLP55" s="936"/>
      <c r="CLQ55" s="936"/>
      <c r="CLR55" s="936"/>
      <c r="CLS55" s="936"/>
      <c r="CLT55" s="936"/>
      <c r="CLU55" s="936"/>
      <c r="CLV55" s="936"/>
      <c r="CLW55" s="936"/>
      <c r="CLX55" s="936"/>
      <c r="CLY55" s="936"/>
      <c r="CLZ55" s="936"/>
      <c r="CMA55" s="936"/>
      <c r="CMB55" s="936"/>
      <c r="CMC55" s="936"/>
      <c r="CMD55" s="936"/>
      <c r="CME55" s="936"/>
      <c r="CMF55" s="936"/>
      <c r="CMG55" s="936"/>
      <c r="CMH55" s="936"/>
      <c r="CMI55" s="936"/>
      <c r="CMJ55" s="936"/>
      <c r="CMK55" s="936"/>
      <c r="CML55" s="936"/>
      <c r="CMM55" s="936"/>
      <c r="CMN55" s="936"/>
      <c r="CMO55" s="936"/>
      <c r="CMP55" s="936"/>
      <c r="CMQ55" s="936"/>
      <c r="CMR55" s="936"/>
      <c r="CMS55" s="936"/>
      <c r="CMT55" s="936"/>
      <c r="CMU55" s="936"/>
      <c r="CMV55" s="936"/>
      <c r="CMW55" s="936"/>
      <c r="CMX55" s="936"/>
      <c r="CMY55" s="936"/>
      <c r="CMZ55" s="936"/>
      <c r="CNA55" s="936"/>
      <c r="CNB55" s="936"/>
      <c r="CNC55" s="936"/>
      <c r="CND55" s="936"/>
      <c r="CNE55" s="936"/>
      <c r="CNF55" s="936"/>
      <c r="CNG55" s="936"/>
      <c r="CNH55" s="936"/>
      <c r="CNI55" s="936"/>
      <c r="CNJ55" s="936"/>
      <c r="CNK55" s="936"/>
      <c r="CNL55" s="936"/>
      <c r="CNM55" s="936"/>
      <c r="CNN55" s="936"/>
      <c r="CNO55" s="936"/>
      <c r="CNP55" s="936"/>
      <c r="CNQ55" s="936"/>
      <c r="CNR55" s="936"/>
      <c r="CNS55" s="936"/>
      <c r="CNT55" s="936"/>
      <c r="CNU55" s="936"/>
      <c r="CNV55" s="936"/>
      <c r="CNW55" s="936"/>
      <c r="CNX55" s="936"/>
      <c r="CNY55" s="936"/>
      <c r="CNZ55" s="936"/>
      <c r="COA55" s="936"/>
      <c r="COB55" s="936"/>
      <c r="COC55" s="936"/>
      <c r="COD55" s="936"/>
      <c r="COE55" s="936"/>
      <c r="COF55" s="936"/>
      <c r="COG55" s="936"/>
      <c r="COH55" s="936"/>
      <c r="COI55" s="936"/>
      <c r="COJ55" s="936"/>
      <c r="COK55" s="936"/>
      <c r="COL55" s="936"/>
      <c r="COM55" s="936"/>
      <c r="CON55" s="936"/>
      <c r="COO55" s="936"/>
      <c r="COP55" s="936"/>
      <c r="COQ55" s="936"/>
      <c r="COR55" s="936"/>
      <c r="COS55" s="936"/>
      <c r="COT55" s="936"/>
      <c r="COU55" s="936"/>
      <c r="COV55" s="936"/>
      <c r="COW55" s="936"/>
      <c r="COX55" s="936"/>
      <c r="COY55" s="936"/>
      <c r="COZ55" s="936"/>
      <c r="CPA55" s="936"/>
      <c r="CPB55" s="936"/>
      <c r="CPC55" s="936"/>
      <c r="CPD55" s="936"/>
      <c r="CPE55" s="936"/>
      <c r="CPF55" s="936"/>
      <c r="CPG55" s="936"/>
      <c r="CPH55" s="936"/>
      <c r="CPI55" s="936"/>
      <c r="CPJ55" s="936"/>
      <c r="CPK55" s="936"/>
      <c r="CPL55" s="936"/>
      <c r="CPM55" s="936"/>
      <c r="CPN55" s="936"/>
      <c r="CPO55" s="936"/>
      <c r="CPP55" s="936"/>
      <c r="CPQ55" s="936"/>
      <c r="CPR55" s="936"/>
      <c r="CPS55" s="936"/>
      <c r="CPT55" s="936"/>
      <c r="CPU55" s="936"/>
      <c r="CPV55" s="936"/>
      <c r="CPW55" s="936"/>
      <c r="CPX55" s="936"/>
      <c r="CPY55" s="936"/>
      <c r="CPZ55" s="936"/>
      <c r="CQA55" s="936"/>
      <c r="CQB55" s="936"/>
      <c r="CQC55" s="936"/>
      <c r="CQD55" s="936"/>
      <c r="CQE55" s="936"/>
      <c r="CQF55" s="936"/>
      <c r="CQG55" s="936"/>
      <c r="CQH55" s="936"/>
      <c r="CQI55" s="936"/>
      <c r="CQJ55" s="936"/>
      <c r="CQK55" s="936"/>
      <c r="CQL55" s="936"/>
      <c r="CQM55" s="936"/>
      <c r="CQN55" s="936"/>
      <c r="CQO55" s="936"/>
      <c r="CQP55" s="936"/>
      <c r="CQQ55" s="936"/>
      <c r="CQR55" s="936"/>
      <c r="CQS55" s="936"/>
      <c r="CQT55" s="936"/>
      <c r="CQU55" s="936"/>
      <c r="CQV55" s="936"/>
      <c r="CQW55" s="936"/>
      <c r="CQX55" s="936"/>
      <c r="CQY55" s="936"/>
      <c r="CQZ55" s="936"/>
      <c r="CRA55" s="936"/>
      <c r="CRB55" s="936"/>
      <c r="CRC55" s="936"/>
      <c r="CRD55" s="936"/>
      <c r="CRE55" s="936"/>
      <c r="CRF55" s="936"/>
      <c r="CRG55" s="936"/>
      <c r="CRH55" s="936"/>
      <c r="CRI55" s="936"/>
      <c r="CRJ55" s="936"/>
      <c r="CRK55" s="936"/>
      <c r="CRL55" s="936"/>
      <c r="CRM55" s="936"/>
      <c r="CRN55" s="936"/>
      <c r="CRO55" s="936"/>
      <c r="CRP55" s="936"/>
      <c r="CRQ55" s="936"/>
      <c r="CRR55" s="936"/>
      <c r="CRS55" s="936"/>
      <c r="CRT55" s="936"/>
      <c r="CRU55" s="936"/>
      <c r="CRV55" s="936"/>
      <c r="CRW55" s="936"/>
      <c r="CRX55" s="936"/>
      <c r="CRY55" s="936"/>
      <c r="CRZ55" s="936"/>
      <c r="CSA55" s="936"/>
      <c r="CSB55" s="936"/>
      <c r="CSC55" s="936"/>
      <c r="CSD55" s="936"/>
      <c r="CSE55" s="936"/>
      <c r="CSF55" s="936"/>
      <c r="CSG55" s="936"/>
      <c r="CSH55" s="936"/>
      <c r="CSI55" s="936"/>
      <c r="CSJ55" s="936"/>
      <c r="CSK55" s="936"/>
      <c r="CSL55" s="936"/>
      <c r="CSM55" s="936"/>
      <c r="CSN55" s="936"/>
      <c r="CSO55" s="936"/>
      <c r="CSP55" s="936"/>
      <c r="CSQ55" s="936"/>
      <c r="CSR55" s="936"/>
      <c r="CSS55" s="936"/>
      <c r="CST55" s="936"/>
      <c r="CSU55" s="936"/>
      <c r="CSV55" s="936"/>
      <c r="CSW55" s="936"/>
      <c r="CSX55" s="936"/>
      <c r="CSY55" s="936"/>
      <c r="CSZ55" s="936"/>
      <c r="CTA55" s="936"/>
      <c r="CTB55" s="936"/>
      <c r="CTC55" s="936"/>
      <c r="CTD55" s="936"/>
      <c r="CTE55" s="936"/>
      <c r="CTF55" s="936"/>
      <c r="CTG55" s="936"/>
      <c r="CTH55" s="936"/>
      <c r="CTI55" s="936"/>
      <c r="CTJ55" s="936"/>
      <c r="CTK55" s="936"/>
      <c r="CTL55" s="936"/>
      <c r="CTM55" s="936"/>
      <c r="CTN55" s="936"/>
      <c r="CTO55" s="936"/>
      <c r="CTP55" s="936"/>
      <c r="CTQ55" s="936"/>
      <c r="CTR55" s="936"/>
      <c r="CTS55" s="936"/>
      <c r="CTT55" s="936"/>
      <c r="CTU55" s="936"/>
      <c r="CTV55" s="936"/>
      <c r="CTW55" s="936"/>
      <c r="CTX55" s="936"/>
      <c r="CTY55" s="936"/>
      <c r="CTZ55" s="936"/>
      <c r="CUA55" s="936"/>
      <c r="CUB55" s="936"/>
      <c r="CUC55" s="936"/>
      <c r="CUD55" s="936"/>
      <c r="CUE55" s="936"/>
      <c r="CUF55" s="936"/>
      <c r="CUG55" s="936"/>
      <c r="CUH55" s="936"/>
      <c r="CUI55" s="936"/>
      <c r="CUJ55" s="936"/>
      <c r="CUK55" s="936"/>
      <c r="CUL55" s="936"/>
      <c r="CUM55" s="936"/>
      <c r="CUN55" s="936"/>
      <c r="CUO55" s="936"/>
      <c r="CUP55" s="936"/>
      <c r="CUQ55" s="936"/>
      <c r="CUR55" s="936"/>
      <c r="CUS55" s="936"/>
      <c r="CUT55" s="936"/>
      <c r="CUU55" s="936"/>
      <c r="CUV55" s="936"/>
      <c r="CUW55" s="936"/>
      <c r="CUX55" s="936"/>
      <c r="CUY55" s="936"/>
      <c r="CUZ55" s="936"/>
      <c r="CVA55" s="936"/>
      <c r="CVB55" s="936"/>
      <c r="CVC55" s="936"/>
      <c r="CVD55" s="936"/>
      <c r="CVE55" s="936"/>
      <c r="CVF55" s="936"/>
      <c r="CVG55" s="936"/>
      <c r="CVH55" s="936"/>
      <c r="CVI55" s="936"/>
      <c r="CVJ55" s="936"/>
      <c r="CVK55" s="936"/>
      <c r="CVL55" s="936"/>
      <c r="CVM55" s="936"/>
      <c r="CVN55" s="936"/>
      <c r="CVO55" s="936"/>
      <c r="CVP55" s="936"/>
      <c r="CVQ55" s="936"/>
      <c r="CVR55" s="936"/>
      <c r="CVS55" s="936"/>
      <c r="CVT55" s="936"/>
      <c r="CVU55" s="936"/>
      <c r="CVV55" s="936"/>
      <c r="CVW55" s="936"/>
      <c r="CVX55" s="936"/>
      <c r="CVY55" s="936"/>
      <c r="CVZ55" s="936"/>
      <c r="CWA55" s="936"/>
      <c r="CWB55" s="936"/>
      <c r="CWC55" s="936"/>
      <c r="CWD55" s="936"/>
      <c r="CWE55" s="936"/>
      <c r="CWF55" s="936"/>
      <c r="CWG55" s="936"/>
      <c r="CWH55" s="936"/>
      <c r="CWI55" s="936"/>
      <c r="CWJ55" s="936"/>
      <c r="CWK55" s="936"/>
      <c r="CWL55" s="936"/>
      <c r="CWM55" s="936"/>
      <c r="CWN55" s="936"/>
      <c r="CWO55" s="936"/>
      <c r="CWP55" s="936"/>
      <c r="CWQ55" s="936"/>
      <c r="CWR55" s="936"/>
      <c r="CWS55" s="936"/>
      <c r="CWT55" s="936"/>
      <c r="CWU55" s="936"/>
      <c r="CWV55" s="936"/>
      <c r="CWW55" s="936"/>
      <c r="CWX55" s="936"/>
      <c r="CWY55" s="936"/>
      <c r="CWZ55" s="936"/>
      <c r="CXA55" s="936"/>
      <c r="CXB55" s="936"/>
      <c r="CXC55" s="936"/>
      <c r="CXD55" s="936"/>
      <c r="CXE55" s="936"/>
      <c r="CXF55" s="936"/>
      <c r="CXG55" s="936"/>
      <c r="CXH55" s="936"/>
      <c r="CXI55" s="936"/>
      <c r="CXJ55" s="936"/>
      <c r="CXK55" s="936"/>
      <c r="CXL55" s="936"/>
      <c r="CXM55" s="936"/>
      <c r="CXN55" s="936"/>
      <c r="CXO55" s="936"/>
      <c r="CXP55" s="936"/>
      <c r="CXQ55" s="936"/>
      <c r="CXR55" s="936"/>
      <c r="CXS55" s="936"/>
      <c r="CXT55" s="936"/>
      <c r="CXU55" s="936"/>
      <c r="CXV55" s="936"/>
      <c r="CXW55" s="936"/>
      <c r="CXX55" s="936"/>
      <c r="CXY55" s="936"/>
      <c r="CXZ55" s="936"/>
      <c r="CYA55" s="936"/>
      <c r="CYB55" s="936"/>
      <c r="CYC55" s="936"/>
      <c r="CYD55" s="936"/>
      <c r="CYE55" s="936"/>
      <c r="CYF55" s="936"/>
      <c r="CYG55" s="936"/>
      <c r="CYH55" s="936"/>
      <c r="CYI55" s="936"/>
      <c r="CYJ55" s="936"/>
      <c r="CYK55" s="936"/>
      <c r="CYL55" s="936"/>
      <c r="CYM55" s="936"/>
      <c r="CYN55" s="936"/>
      <c r="CYO55" s="936"/>
      <c r="CYP55" s="936"/>
      <c r="CYQ55" s="936"/>
      <c r="CYR55" s="936"/>
      <c r="CYS55" s="936"/>
      <c r="CYT55" s="936"/>
      <c r="CYU55" s="936"/>
      <c r="CYV55" s="936"/>
      <c r="CYW55" s="936"/>
      <c r="CYX55" s="936"/>
      <c r="CYY55" s="936"/>
      <c r="CYZ55" s="936"/>
      <c r="CZA55" s="936"/>
      <c r="CZB55" s="936"/>
      <c r="CZC55" s="936"/>
      <c r="CZD55" s="936"/>
      <c r="CZE55" s="936"/>
      <c r="CZF55" s="936"/>
      <c r="CZG55" s="936"/>
      <c r="CZH55" s="936"/>
      <c r="CZI55" s="936"/>
      <c r="CZJ55" s="936"/>
      <c r="CZK55" s="936"/>
      <c r="CZL55" s="936"/>
      <c r="CZM55" s="936"/>
      <c r="CZN55" s="936"/>
      <c r="CZO55" s="936"/>
      <c r="CZP55" s="936"/>
      <c r="CZQ55" s="936"/>
      <c r="CZR55" s="936"/>
      <c r="CZS55" s="936"/>
      <c r="CZT55" s="936"/>
      <c r="CZU55" s="936"/>
      <c r="CZV55" s="936"/>
      <c r="CZW55" s="936"/>
      <c r="CZX55" s="936"/>
      <c r="CZY55" s="936"/>
      <c r="CZZ55" s="936"/>
      <c r="DAA55" s="936"/>
      <c r="DAB55" s="936"/>
      <c r="DAC55" s="936"/>
      <c r="DAD55" s="936"/>
      <c r="DAE55" s="936"/>
      <c r="DAF55" s="936"/>
      <c r="DAG55" s="936"/>
      <c r="DAH55" s="936"/>
      <c r="DAI55" s="936"/>
      <c r="DAJ55" s="936"/>
      <c r="DAK55" s="936"/>
      <c r="DAL55" s="936"/>
      <c r="DAM55" s="936"/>
      <c r="DAN55" s="936"/>
      <c r="DAO55" s="936"/>
      <c r="DAP55" s="936"/>
      <c r="DAQ55" s="936"/>
      <c r="DAR55" s="936"/>
      <c r="DAS55" s="936"/>
      <c r="DAT55" s="936"/>
      <c r="DAU55" s="936"/>
      <c r="DAV55" s="936"/>
      <c r="DAW55" s="936"/>
      <c r="DAX55" s="936"/>
      <c r="DAY55" s="936"/>
      <c r="DAZ55" s="936"/>
      <c r="DBA55" s="936"/>
      <c r="DBB55" s="936"/>
      <c r="DBC55" s="936"/>
      <c r="DBD55" s="936"/>
      <c r="DBE55" s="936"/>
      <c r="DBF55" s="936"/>
      <c r="DBG55" s="936"/>
      <c r="DBH55" s="936"/>
      <c r="DBI55" s="936"/>
      <c r="DBJ55" s="936"/>
      <c r="DBK55" s="936"/>
      <c r="DBL55" s="936"/>
      <c r="DBM55" s="936"/>
      <c r="DBN55" s="936"/>
      <c r="DBO55" s="936"/>
      <c r="DBP55" s="936"/>
      <c r="DBQ55" s="936"/>
      <c r="DBR55" s="936"/>
      <c r="DBS55" s="936"/>
      <c r="DBT55" s="936"/>
      <c r="DBU55" s="936"/>
      <c r="DBV55" s="936"/>
      <c r="DBW55" s="936"/>
      <c r="DBX55" s="936"/>
      <c r="DBY55" s="936"/>
      <c r="DBZ55" s="936"/>
      <c r="DCA55" s="936"/>
      <c r="DCB55" s="936"/>
      <c r="DCC55" s="936"/>
      <c r="DCD55" s="936"/>
      <c r="DCE55" s="936"/>
      <c r="DCF55" s="936"/>
      <c r="DCG55" s="936"/>
      <c r="DCH55" s="936"/>
      <c r="DCI55" s="936"/>
      <c r="DCJ55" s="936"/>
      <c r="DCK55" s="936"/>
      <c r="DCL55" s="936"/>
      <c r="DCM55" s="936"/>
      <c r="DCN55" s="936"/>
      <c r="DCO55" s="936"/>
      <c r="DCP55" s="936"/>
      <c r="DCQ55" s="936"/>
      <c r="DCR55" s="936"/>
      <c r="DCS55" s="936"/>
      <c r="DCT55" s="936"/>
      <c r="DCU55" s="936"/>
      <c r="DCV55" s="936"/>
      <c r="DCW55" s="936"/>
      <c r="DCX55" s="936"/>
      <c r="DCY55" s="936"/>
      <c r="DCZ55" s="936"/>
      <c r="DDA55" s="936"/>
      <c r="DDB55" s="936"/>
      <c r="DDC55" s="936"/>
      <c r="DDD55" s="936"/>
      <c r="DDE55" s="936"/>
      <c r="DDF55" s="936"/>
      <c r="DDG55" s="936"/>
      <c r="DDH55" s="936"/>
      <c r="DDI55" s="936"/>
      <c r="DDJ55" s="936"/>
      <c r="DDK55" s="936"/>
      <c r="DDL55" s="936"/>
      <c r="DDM55" s="936"/>
      <c r="DDN55" s="936"/>
      <c r="DDO55" s="936"/>
      <c r="DDP55" s="936"/>
      <c r="DDQ55" s="936"/>
      <c r="DDR55" s="936"/>
      <c r="DDS55" s="936"/>
      <c r="DDT55" s="936"/>
      <c r="DDU55" s="936"/>
      <c r="DDV55" s="936"/>
      <c r="DDW55" s="936"/>
      <c r="DDX55" s="936"/>
      <c r="DDY55" s="936"/>
      <c r="DDZ55" s="936"/>
      <c r="DEA55" s="936"/>
      <c r="DEB55" s="936"/>
      <c r="DEC55" s="936"/>
      <c r="DED55" s="936"/>
      <c r="DEE55" s="936"/>
      <c r="DEF55" s="936"/>
      <c r="DEG55" s="936"/>
      <c r="DEH55" s="936"/>
      <c r="DEI55" s="936"/>
      <c r="DEJ55" s="936"/>
      <c r="DEK55" s="936"/>
      <c r="DEL55" s="936"/>
      <c r="DEM55" s="936"/>
      <c r="DEN55" s="936"/>
      <c r="DEO55" s="936"/>
      <c r="DEP55" s="936"/>
      <c r="DEQ55" s="936"/>
      <c r="DER55" s="936"/>
      <c r="DES55" s="936"/>
      <c r="DET55" s="936"/>
      <c r="DEU55" s="936"/>
      <c r="DEV55" s="936"/>
      <c r="DEW55" s="936"/>
      <c r="DEX55" s="936"/>
      <c r="DEY55" s="936"/>
      <c r="DEZ55" s="936"/>
      <c r="DFA55" s="936"/>
      <c r="DFB55" s="936"/>
      <c r="DFC55" s="936"/>
      <c r="DFD55" s="936"/>
      <c r="DFE55" s="936"/>
      <c r="DFF55" s="936"/>
      <c r="DFG55" s="936"/>
      <c r="DFH55" s="936"/>
      <c r="DFI55" s="936"/>
      <c r="DFJ55" s="936"/>
      <c r="DFK55" s="936"/>
      <c r="DFL55" s="936"/>
      <c r="DFM55" s="936"/>
      <c r="DFN55" s="936"/>
      <c r="DFO55" s="936"/>
      <c r="DFP55" s="936"/>
      <c r="DFQ55" s="936"/>
      <c r="DFR55" s="936"/>
      <c r="DFS55" s="936"/>
      <c r="DFT55" s="936"/>
      <c r="DFU55" s="936"/>
      <c r="DFV55" s="936"/>
      <c r="DFW55" s="936"/>
      <c r="DFX55" s="936"/>
      <c r="DFY55" s="936"/>
      <c r="DFZ55" s="936"/>
      <c r="DGA55" s="936"/>
      <c r="DGB55" s="936"/>
      <c r="DGC55" s="936"/>
      <c r="DGD55" s="936"/>
      <c r="DGE55" s="936"/>
      <c r="DGF55" s="936"/>
      <c r="DGG55" s="936"/>
      <c r="DGH55" s="936"/>
      <c r="DGI55" s="936"/>
      <c r="DGJ55" s="936"/>
      <c r="DGK55" s="936"/>
      <c r="DGL55" s="936"/>
      <c r="DGM55" s="936"/>
      <c r="DGN55" s="936"/>
      <c r="DGO55" s="936"/>
      <c r="DGP55" s="936"/>
      <c r="DGQ55" s="936"/>
      <c r="DGR55" s="936"/>
      <c r="DGS55" s="936"/>
      <c r="DGT55" s="936"/>
      <c r="DGU55" s="936"/>
      <c r="DGV55" s="936"/>
      <c r="DGW55" s="936"/>
      <c r="DGX55" s="936"/>
      <c r="DGY55" s="936"/>
      <c r="DGZ55" s="936"/>
      <c r="DHA55" s="936"/>
      <c r="DHB55" s="936"/>
      <c r="DHC55" s="936"/>
      <c r="DHD55" s="936"/>
      <c r="DHE55" s="936"/>
      <c r="DHF55" s="936"/>
      <c r="DHG55" s="936"/>
      <c r="DHH55" s="936"/>
      <c r="DHI55" s="936"/>
      <c r="DHJ55" s="936"/>
      <c r="DHK55" s="936"/>
      <c r="DHL55" s="936"/>
      <c r="DHM55" s="936"/>
      <c r="DHN55" s="936"/>
      <c r="DHO55" s="936"/>
      <c r="DHP55" s="936"/>
      <c r="DHQ55" s="936"/>
      <c r="DHR55" s="936"/>
      <c r="DHS55" s="936"/>
      <c r="DHT55" s="936"/>
      <c r="DHU55" s="936"/>
      <c r="DHV55" s="936"/>
      <c r="DHW55" s="936"/>
      <c r="DHX55" s="936"/>
      <c r="DHY55" s="936"/>
      <c r="DHZ55" s="936"/>
      <c r="DIA55" s="936"/>
      <c r="DIB55" s="936"/>
      <c r="DIC55" s="936"/>
      <c r="DID55" s="936"/>
      <c r="DIE55" s="936"/>
      <c r="DIF55" s="936"/>
      <c r="DIG55" s="936"/>
      <c r="DIH55" s="936"/>
      <c r="DII55" s="936"/>
      <c r="DIJ55" s="936"/>
      <c r="DIK55" s="936"/>
      <c r="DIL55" s="936"/>
      <c r="DIM55" s="936"/>
      <c r="DIN55" s="936"/>
      <c r="DIO55" s="936"/>
      <c r="DIP55" s="936"/>
      <c r="DIQ55" s="936"/>
      <c r="DIR55" s="936"/>
      <c r="DIS55" s="936"/>
      <c r="DIT55" s="936"/>
      <c r="DIU55" s="936"/>
      <c r="DIV55" s="936"/>
      <c r="DIW55" s="936"/>
      <c r="DIX55" s="936"/>
      <c r="DIY55" s="936"/>
      <c r="DIZ55" s="936"/>
      <c r="DJA55" s="936"/>
      <c r="DJB55" s="936"/>
      <c r="DJC55" s="936"/>
      <c r="DJD55" s="936"/>
      <c r="DJE55" s="936"/>
      <c r="DJF55" s="936"/>
      <c r="DJG55" s="936"/>
      <c r="DJH55" s="936"/>
      <c r="DJI55" s="936"/>
      <c r="DJJ55" s="936"/>
      <c r="DJK55" s="936"/>
      <c r="DJL55" s="936"/>
      <c r="DJM55" s="936"/>
      <c r="DJN55" s="936"/>
      <c r="DJO55" s="936"/>
      <c r="DJP55" s="936"/>
      <c r="DJQ55" s="936"/>
      <c r="DJR55" s="936"/>
      <c r="DJS55" s="936"/>
      <c r="DJT55" s="936"/>
      <c r="DJU55" s="936"/>
      <c r="DJV55" s="936"/>
      <c r="DJW55" s="936"/>
      <c r="DJX55" s="936"/>
      <c r="DJY55" s="936"/>
      <c r="DJZ55" s="936"/>
      <c r="DKA55" s="936"/>
      <c r="DKB55" s="936"/>
      <c r="DKC55" s="936"/>
      <c r="DKD55" s="936"/>
      <c r="DKE55" s="936"/>
      <c r="DKF55" s="936"/>
      <c r="DKG55" s="936"/>
      <c r="DKH55" s="936"/>
      <c r="DKI55" s="936"/>
      <c r="DKJ55" s="936"/>
      <c r="DKK55" s="936"/>
      <c r="DKL55" s="936"/>
      <c r="DKM55" s="936"/>
      <c r="DKN55" s="936"/>
      <c r="DKO55" s="936"/>
      <c r="DKP55" s="936"/>
      <c r="DKQ55" s="936"/>
      <c r="DKR55" s="936"/>
      <c r="DKS55" s="936"/>
      <c r="DKT55" s="936"/>
      <c r="DKU55" s="936"/>
      <c r="DKV55" s="936"/>
      <c r="DKW55" s="936"/>
      <c r="DKX55" s="936"/>
      <c r="DKY55" s="936"/>
      <c r="DKZ55" s="936"/>
      <c r="DLA55" s="936"/>
      <c r="DLB55" s="936"/>
      <c r="DLC55" s="936"/>
      <c r="DLD55" s="936"/>
      <c r="DLE55" s="936"/>
      <c r="DLF55" s="936"/>
      <c r="DLG55" s="936"/>
      <c r="DLH55" s="936"/>
      <c r="DLI55" s="936"/>
      <c r="DLJ55" s="936"/>
      <c r="DLK55" s="936"/>
      <c r="DLL55" s="936"/>
      <c r="DLM55" s="936"/>
      <c r="DLN55" s="936"/>
      <c r="DLO55" s="936"/>
      <c r="DLP55" s="936"/>
      <c r="DLQ55" s="936"/>
      <c r="DLR55" s="936"/>
      <c r="DLS55" s="936"/>
      <c r="DLT55" s="936"/>
      <c r="DLU55" s="936"/>
      <c r="DLV55" s="936"/>
      <c r="DLW55" s="936"/>
      <c r="DLX55" s="936"/>
      <c r="DLY55" s="936"/>
      <c r="DLZ55" s="936"/>
      <c r="DMA55" s="936"/>
      <c r="DMB55" s="936"/>
      <c r="DMC55" s="936"/>
      <c r="DMD55" s="936"/>
      <c r="DME55" s="936"/>
      <c r="DMF55" s="936"/>
      <c r="DMG55" s="936"/>
      <c r="DMH55" s="936"/>
      <c r="DMI55" s="936"/>
      <c r="DMJ55" s="936"/>
      <c r="DMK55" s="936"/>
      <c r="DML55" s="936"/>
      <c r="DMM55" s="936"/>
      <c r="DMN55" s="936"/>
      <c r="DMO55" s="936"/>
      <c r="DMP55" s="936"/>
      <c r="DMQ55" s="936"/>
      <c r="DMR55" s="936"/>
      <c r="DMS55" s="936"/>
      <c r="DMT55" s="936"/>
      <c r="DMU55" s="936"/>
      <c r="DMV55" s="936"/>
      <c r="DMW55" s="936"/>
      <c r="DMX55" s="936"/>
      <c r="DMY55" s="936"/>
      <c r="DMZ55" s="936"/>
      <c r="DNA55" s="936"/>
      <c r="DNB55" s="936"/>
      <c r="DNC55" s="936"/>
      <c r="DND55" s="936"/>
      <c r="DNE55" s="936"/>
      <c r="DNF55" s="936"/>
      <c r="DNG55" s="936"/>
      <c r="DNH55" s="936"/>
      <c r="DNI55" s="936"/>
      <c r="DNJ55" s="936"/>
      <c r="DNK55" s="936"/>
      <c r="DNL55" s="936"/>
      <c r="DNM55" s="936"/>
      <c r="DNN55" s="936"/>
      <c r="DNO55" s="936"/>
      <c r="DNP55" s="936"/>
      <c r="DNQ55" s="936"/>
      <c r="DNR55" s="936"/>
      <c r="DNS55" s="936"/>
      <c r="DNT55" s="936"/>
      <c r="DNU55" s="936"/>
      <c r="DNV55" s="936"/>
      <c r="DNW55" s="936"/>
      <c r="DNX55" s="936"/>
      <c r="DNY55" s="936"/>
      <c r="DNZ55" s="936"/>
      <c r="DOA55" s="936"/>
      <c r="DOB55" s="936"/>
      <c r="DOC55" s="936"/>
      <c r="DOD55" s="936"/>
      <c r="DOE55" s="936"/>
      <c r="DOF55" s="936"/>
      <c r="DOG55" s="936"/>
      <c r="DOH55" s="936"/>
      <c r="DOI55" s="936"/>
      <c r="DOJ55" s="936"/>
      <c r="DOK55" s="936"/>
      <c r="DOL55" s="936"/>
      <c r="DOM55" s="936"/>
      <c r="DON55" s="936"/>
      <c r="DOO55" s="936"/>
      <c r="DOP55" s="936"/>
      <c r="DOQ55" s="936"/>
      <c r="DOR55" s="936"/>
      <c r="DOS55" s="936"/>
      <c r="DOT55" s="936"/>
      <c r="DOU55" s="936"/>
      <c r="DOV55" s="936"/>
      <c r="DOW55" s="936"/>
      <c r="DOX55" s="936"/>
      <c r="DOY55" s="936"/>
      <c r="DOZ55" s="936"/>
      <c r="DPA55" s="936"/>
      <c r="DPB55" s="936"/>
      <c r="DPC55" s="936"/>
      <c r="DPD55" s="936"/>
      <c r="DPE55" s="936"/>
      <c r="DPF55" s="936"/>
      <c r="DPG55" s="936"/>
      <c r="DPH55" s="936"/>
      <c r="DPI55" s="936"/>
      <c r="DPJ55" s="936"/>
      <c r="DPK55" s="936"/>
      <c r="DPL55" s="936"/>
      <c r="DPM55" s="936"/>
      <c r="DPN55" s="936"/>
      <c r="DPO55" s="936"/>
      <c r="DPP55" s="936"/>
      <c r="DPQ55" s="936"/>
      <c r="DPR55" s="936"/>
      <c r="DPS55" s="936"/>
      <c r="DPT55" s="936"/>
      <c r="DPU55" s="936"/>
      <c r="DPV55" s="936"/>
      <c r="DPW55" s="936"/>
      <c r="DPX55" s="936"/>
      <c r="DPY55" s="936"/>
      <c r="DPZ55" s="936"/>
      <c r="DQA55" s="936"/>
      <c r="DQB55" s="936"/>
      <c r="DQC55" s="936"/>
      <c r="DQD55" s="936"/>
      <c r="DQE55" s="936"/>
      <c r="DQF55" s="936"/>
      <c r="DQG55" s="936"/>
      <c r="DQH55" s="936"/>
      <c r="DQI55" s="936"/>
      <c r="DQJ55" s="936"/>
      <c r="DQK55" s="936"/>
      <c r="DQL55" s="936"/>
      <c r="DQM55" s="936"/>
      <c r="DQN55" s="936"/>
      <c r="DQO55" s="936"/>
      <c r="DQP55" s="936"/>
      <c r="DQQ55" s="936"/>
      <c r="DQR55" s="936"/>
      <c r="DQS55" s="936"/>
      <c r="DQT55" s="936"/>
      <c r="DQU55" s="936"/>
      <c r="DQV55" s="936"/>
      <c r="DQW55" s="936"/>
      <c r="DQX55" s="936"/>
      <c r="DQY55" s="936"/>
      <c r="DQZ55" s="936"/>
      <c r="DRA55" s="936"/>
      <c r="DRB55" s="936"/>
      <c r="DRC55" s="936"/>
      <c r="DRD55" s="936"/>
      <c r="DRE55" s="936"/>
      <c r="DRF55" s="936"/>
      <c r="DRG55" s="936"/>
      <c r="DRH55" s="936"/>
      <c r="DRI55" s="936"/>
      <c r="DRJ55" s="936"/>
      <c r="DRK55" s="936"/>
      <c r="DRL55" s="936"/>
      <c r="DRM55" s="936"/>
      <c r="DRN55" s="936"/>
      <c r="DRO55" s="936"/>
      <c r="DRP55" s="936"/>
      <c r="DRQ55" s="936"/>
      <c r="DRR55" s="936"/>
      <c r="DRS55" s="936"/>
      <c r="DRT55" s="936"/>
      <c r="DRU55" s="936"/>
      <c r="DRV55" s="936"/>
      <c r="DRW55" s="936"/>
      <c r="DRX55" s="936"/>
      <c r="DRY55" s="936"/>
      <c r="DRZ55" s="936"/>
      <c r="DSA55" s="936"/>
      <c r="DSB55" s="936"/>
      <c r="DSC55" s="936"/>
      <c r="DSD55" s="936"/>
      <c r="DSE55" s="936"/>
      <c r="DSF55" s="936"/>
      <c r="DSG55" s="936"/>
      <c r="DSH55" s="936"/>
      <c r="DSI55" s="936"/>
      <c r="DSJ55" s="936"/>
      <c r="DSK55" s="936"/>
      <c r="DSL55" s="936"/>
      <c r="DSM55" s="936"/>
      <c r="DSN55" s="936"/>
      <c r="DSO55" s="936"/>
      <c r="DSP55" s="936"/>
      <c r="DSQ55" s="936"/>
      <c r="DSR55" s="936"/>
      <c r="DSS55" s="936"/>
      <c r="DST55" s="936"/>
      <c r="DSU55" s="936"/>
      <c r="DSV55" s="936"/>
      <c r="DSW55" s="936"/>
      <c r="DSX55" s="936"/>
      <c r="DSY55" s="936"/>
      <c r="DSZ55" s="936"/>
      <c r="DTA55" s="936"/>
      <c r="DTB55" s="936"/>
      <c r="DTC55" s="936"/>
      <c r="DTD55" s="936"/>
      <c r="DTE55" s="936"/>
      <c r="DTF55" s="936"/>
      <c r="DTG55" s="936"/>
      <c r="DTH55" s="936"/>
      <c r="DTI55" s="936"/>
      <c r="DTJ55" s="936"/>
      <c r="DTK55" s="936"/>
      <c r="DTL55" s="936"/>
      <c r="DTM55" s="936"/>
      <c r="DTN55" s="936"/>
      <c r="DTO55" s="936"/>
      <c r="DTP55" s="936"/>
      <c r="DTQ55" s="936"/>
      <c r="DTR55" s="936"/>
      <c r="DTS55" s="936"/>
      <c r="DTT55" s="936"/>
      <c r="DTU55" s="936"/>
      <c r="DTV55" s="936"/>
      <c r="DTW55" s="936"/>
      <c r="DTX55" s="936"/>
      <c r="DTY55" s="936"/>
      <c r="DTZ55" s="936"/>
      <c r="DUA55" s="936"/>
      <c r="DUB55" s="936"/>
      <c r="DUC55" s="936"/>
      <c r="DUD55" s="936"/>
      <c r="DUE55" s="936"/>
      <c r="DUF55" s="936"/>
      <c r="DUG55" s="936"/>
      <c r="DUH55" s="936"/>
      <c r="DUI55" s="936"/>
      <c r="DUJ55" s="936"/>
      <c r="DUK55" s="936"/>
      <c r="DUL55" s="936"/>
      <c r="DUM55" s="936"/>
      <c r="DUN55" s="936"/>
      <c r="DUO55" s="936"/>
      <c r="DUP55" s="936"/>
      <c r="DUQ55" s="936"/>
      <c r="DUR55" s="936"/>
      <c r="DUS55" s="936"/>
      <c r="DUT55" s="936"/>
      <c r="DUU55" s="936"/>
      <c r="DUV55" s="936"/>
      <c r="DUW55" s="936"/>
      <c r="DUX55" s="936"/>
      <c r="DUY55" s="936"/>
      <c r="DUZ55" s="936"/>
      <c r="DVA55" s="936"/>
      <c r="DVB55" s="936"/>
      <c r="DVC55" s="936"/>
      <c r="DVD55" s="936"/>
      <c r="DVE55" s="936"/>
      <c r="DVF55" s="936"/>
      <c r="DVG55" s="936"/>
      <c r="DVH55" s="936"/>
      <c r="DVI55" s="936"/>
      <c r="DVJ55" s="936"/>
      <c r="DVK55" s="936"/>
      <c r="DVL55" s="936"/>
      <c r="DVM55" s="936"/>
      <c r="DVN55" s="936"/>
      <c r="DVO55" s="936"/>
      <c r="DVP55" s="936"/>
      <c r="DVQ55" s="936"/>
      <c r="DVR55" s="936"/>
      <c r="DVS55" s="936"/>
      <c r="DVT55" s="936"/>
      <c r="DVU55" s="936"/>
      <c r="DVV55" s="936"/>
      <c r="DVW55" s="936"/>
      <c r="DVX55" s="936"/>
      <c r="DVY55" s="936"/>
      <c r="DVZ55" s="936"/>
      <c r="DWA55" s="936"/>
      <c r="DWB55" s="936"/>
      <c r="DWC55" s="936"/>
      <c r="DWD55" s="936"/>
      <c r="DWE55" s="936"/>
      <c r="DWF55" s="936"/>
      <c r="DWG55" s="936"/>
      <c r="DWH55" s="936"/>
      <c r="DWI55" s="936"/>
      <c r="DWJ55" s="936"/>
      <c r="DWK55" s="936"/>
      <c r="DWL55" s="936"/>
      <c r="DWM55" s="936"/>
      <c r="DWN55" s="936"/>
      <c r="DWO55" s="936"/>
      <c r="DWP55" s="936"/>
      <c r="DWQ55" s="936"/>
      <c r="DWR55" s="936"/>
      <c r="DWS55" s="936"/>
      <c r="DWT55" s="936"/>
      <c r="DWU55" s="936"/>
      <c r="DWV55" s="936"/>
      <c r="DWW55" s="936"/>
      <c r="DWX55" s="936"/>
      <c r="DWY55" s="936"/>
      <c r="DWZ55" s="936"/>
      <c r="DXA55" s="936"/>
      <c r="DXB55" s="936"/>
      <c r="DXC55" s="936"/>
      <c r="DXD55" s="936"/>
      <c r="DXE55" s="936"/>
      <c r="DXF55" s="936"/>
      <c r="DXG55" s="936"/>
      <c r="DXH55" s="936"/>
      <c r="DXI55" s="936"/>
      <c r="DXJ55" s="936"/>
      <c r="DXK55" s="936"/>
      <c r="DXL55" s="936"/>
      <c r="DXM55" s="936"/>
      <c r="DXN55" s="936"/>
      <c r="DXO55" s="936"/>
      <c r="DXP55" s="936"/>
      <c r="DXQ55" s="936"/>
      <c r="DXR55" s="936"/>
      <c r="DXS55" s="936"/>
      <c r="DXT55" s="936"/>
      <c r="DXU55" s="936"/>
      <c r="DXV55" s="936"/>
      <c r="DXW55" s="936"/>
      <c r="DXX55" s="936"/>
      <c r="DXY55" s="936"/>
      <c r="DXZ55" s="936"/>
      <c r="DYA55" s="936"/>
      <c r="DYB55" s="936"/>
      <c r="DYC55" s="936"/>
      <c r="DYD55" s="936"/>
      <c r="DYE55" s="936"/>
      <c r="DYF55" s="936"/>
      <c r="DYG55" s="936"/>
      <c r="DYH55" s="936"/>
      <c r="DYI55" s="936"/>
      <c r="DYJ55" s="936"/>
      <c r="DYK55" s="936"/>
      <c r="DYL55" s="936"/>
      <c r="DYM55" s="936"/>
      <c r="DYN55" s="936"/>
      <c r="DYO55" s="936"/>
      <c r="DYP55" s="936"/>
      <c r="DYQ55" s="936"/>
      <c r="DYR55" s="936"/>
      <c r="DYS55" s="936"/>
      <c r="DYT55" s="936"/>
      <c r="DYU55" s="936"/>
      <c r="DYV55" s="936"/>
      <c r="DYW55" s="936"/>
      <c r="DYX55" s="936"/>
      <c r="DYY55" s="936"/>
      <c r="DYZ55" s="936"/>
      <c r="DZA55" s="936"/>
      <c r="DZB55" s="936"/>
      <c r="DZC55" s="936"/>
      <c r="DZD55" s="936"/>
      <c r="DZE55" s="936"/>
      <c r="DZF55" s="936"/>
      <c r="DZG55" s="936"/>
      <c r="DZH55" s="936"/>
      <c r="DZI55" s="936"/>
      <c r="DZJ55" s="936"/>
      <c r="DZK55" s="936"/>
      <c r="DZL55" s="936"/>
      <c r="DZM55" s="936"/>
      <c r="DZN55" s="936"/>
      <c r="DZO55" s="936"/>
      <c r="DZP55" s="936"/>
      <c r="DZQ55" s="936"/>
      <c r="DZR55" s="936"/>
      <c r="DZS55" s="936"/>
      <c r="DZT55" s="936"/>
      <c r="DZU55" s="936"/>
      <c r="DZV55" s="936"/>
      <c r="DZW55" s="936"/>
      <c r="DZX55" s="936"/>
      <c r="DZY55" s="936"/>
      <c r="DZZ55" s="936"/>
      <c r="EAA55" s="936"/>
      <c r="EAB55" s="936"/>
      <c r="EAC55" s="936"/>
      <c r="EAD55" s="936"/>
      <c r="EAE55" s="936"/>
      <c r="EAF55" s="936"/>
      <c r="EAG55" s="936"/>
      <c r="EAH55" s="936"/>
      <c r="EAI55" s="936"/>
      <c r="EAJ55" s="936"/>
      <c r="EAK55" s="936"/>
      <c r="EAL55" s="936"/>
      <c r="EAM55" s="936"/>
      <c r="EAN55" s="936"/>
      <c r="EAO55" s="936"/>
      <c r="EAP55" s="936"/>
      <c r="EAQ55" s="936"/>
      <c r="EAR55" s="936"/>
      <c r="EAS55" s="936"/>
      <c r="EAT55" s="936"/>
      <c r="EAU55" s="936"/>
      <c r="EAV55" s="936"/>
      <c r="EAW55" s="936"/>
      <c r="EAX55" s="936"/>
      <c r="EAY55" s="936"/>
      <c r="EAZ55" s="936"/>
      <c r="EBA55" s="936"/>
      <c r="EBB55" s="936"/>
      <c r="EBC55" s="936"/>
      <c r="EBD55" s="936"/>
      <c r="EBE55" s="936"/>
      <c r="EBF55" s="936"/>
      <c r="EBG55" s="936"/>
      <c r="EBH55" s="936"/>
      <c r="EBI55" s="936"/>
      <c r="EBJ55" s="936"/>
      <c r="EBK55" s="936"/>
      <c r="EBL55" s="936"/>
      <c r="EBM55" s="936"/>
      <c r="EBN55" s="936"/>
      <c r="EBO55" s="936"/>
      <c r="EBP55" s="936"/>
      <c r="EBQ55" s="936"/>
      <c r="EBR55" s="936"/>
      <c r="EBS55" s="936"/>
      <c r="EBT55" s="936"/>
      <c r="EBU55" s="936"/>
      <c r="EBV55" s="936"/>
      <c r="EBW55" s="936"/>
      <c r="EBX55" s="936"/>
      <c r="EBY55" s="936"/>
      <c r="EBZ55" s="936"/>
      <c r="ECA55" s="936"/>
      <c r="ECB55" s="936"/>
      <c r="ECC55" s="936"/>
      <c r="ECD55" s="936"/>
      <c r="ECE55" s="936"/>
      <c r="ECF55" s="936"/>
      <c r="ECG55" s="936"/>
      <c r="ECH55" s="936"/>
      <c r="ECI55" s="936"/>
      <c r="ECJ55" s="936"/>
      <c r="ECK55" s="936"/>
      <c r="ECL55" s="936"/>
      <c r="ECM55" s="936"/>
      <c r="ECN55" s="936"/>
      <c r="ECO55" s="936"/>
      <c r="ECP55" s="936"/>
      <c r="ECQ55" s="936"/>
      <c r="ECR55" s="936"/>
      <c r="ECS55" s="936"/>
      <c r="ECT55" s="936"/>
      <c r="ECU55" s="936"/>
      <c r="ECV55" s="936"/>
      <c r="ECW55" s="936"/>
      <c r="ECX55" s="936"/>
      <c r="ECY55" s="936"/>
      <c r="ECZ55" s="936"/>
      <c r="EDA55" s="936"/>
      <c r="EDB55" s="936"/>
      <c r="EDC55" s="936"/>
      <c r="EDD55" s="936"/>
      <c r="EDE55" s="936"/>
      <c r="EDF55" s="936"/>
      <c r="EDG55" s="936"/>
      <c r="EDH55" s="936"/>
      <c r="EDI55" s="936"/>
      <c r="EDJ55" s="936"/>
      <c r="EDK55" s="936"/>
      <c r="EDL55" s="936"/>
      <c r="EDM55" s="936"/>
      <c r="EDN55" s="936"/>
      <c r="EDO55" s="936"/>
      <c r="EDP55" s="936"/>
      <c r="EDQ55" s="936"/>
      <c r="EDR55" s="936"/>
      <c r="EDS55" s="936"/>
      <c r="EDT55" s="936"/>
      <c r="EDU55" s="936"/>
      <c r="EDV55" s="936"/>
      <c r="EDW55" s="936"/>
      <c r="EDX55" s="936"/>
      <c r="EDY55" s="936"/>
      <c r="EDZ55" s="936"/>
      <c r="EEA55" s="936"/>
      <c r="EEB55" s="936"/>
      <c r="EEC55" s="936"/>
      <c r="EED55" s="936"/>
      <c r="EEE55" s="936"/>
      <c r="EEF55" s="936"/>
      <c r="EEG55" s="936"/>
      <c r="EEH55" s="936"/>
      <c r="EEI55" s="936"/>
      <c r="EEJ55" s="936"/>
      <c r="EEK55" s="936"/>
      <c r="EEL55" s="936"/>
      <c r="EEM55" s="936"/>
      <c r="EEN55" s="936"/>
      <c r="EEO55" s="936"/>
      <c r="EEP55" s="936"/>
      <c r="EEQ55" s="936"/>
      <c r="EER55" s="936"/>
      <c r="EES55" s="936"/>
      <c r="EET55" s="936"/>
      <c r="EEU55" s="936"/>
      <c r="EEV55" s="936"/>
      <c r="EEW55" s="936"/>
      <c r="EEX55" s="936"/>
      <c r="EEY55" s="936"/>
      <c r="EEZ55" s="936"/>
      <c r="EFA55" s="936"/>
      <c r="EFB55" s="936"/>
      <c r="EFC55" s="936"/>
      <c r="EFD55" s="936"/>
      <c r="EFE55" s="936"/>
      <c r="EFF55" s="936"/>
      <c r="EFG55" s="936"/>
      <c r="EFH55" s="936"/>
      <c r="EFI55" s="936"/>
      <c r="EFJ55" s="936"/>
      <c r="EFK55" s="936"/>
      <c r="EFL55" s="936"/>
      <c r="EFM55" s="936"/>
      <c r="EFN55" s="936"/>
      <c r="EFO55" s="936"/>
      <c r="EFP55" s="936"/>
      <c r="EFQ55" s="936"/>
      <c r="EFR55" s="936"/>
      <c r="EFS55" s="936"/>
      <c r="EFT55" s="936"/>
      <c r="EFU55" s="936"/>
      <c r="EFV55" s="936"/>
      <c r="EFW55" s="936"/>
      <c r="EFX55" s="936"/>
      <c r="EFY55" s="936"/>
      <c r="EFZ55" s="936"/>
      <c r="EGA55" s="936"/>
      <c r="EGB55" s="936"/>
      <c r="EGC55" s="936"/>
      <c r="EGD55" s="936"/>
      <c r="EGE55" s="936"/>
      <c r="EGF55" s="936"/>
      <c r="EGG55" s="936"/>
      <c r="EGH55" s="936"/>
      <c r="EGI55" s="936"/>
      <c r="EGJ55" s="936"/>
      <c r="EGK55" s="936"/>
      <c r="EGL55" s="936"/>
      <c r="EGM55" s="936"/>
      <c r="EGN55" s="936"/>
      <c r="EGO55" s="936"/>
      <c r="EGP55" s="936"/>
      <c r="EGQ55" s="936"/>
      <c r="EGR55" s="936"/>
      <c r="EGS55" s="936"/>
      <c r="EGT55" s="936"/>
      <c r="EGU55" s="936"/>
      <c r="EGV55" s="936"/>
      <c r="EGW55" s="936"/>
      <c r="EGX55" s="936"/>
      <c r="EGY55" s="936"/>
      <c r="EGZ55" s="936"/>
      <c r="EHA55" s="936"/>
      <c r="EHB55" s="936"/>
      <c r="EHC55" s="936"/>
      <c r="EHD55" s="936"/>
      <c r="EHE55" s="936"/>
      <c r="EHF55" s="936"/>
      <c r="EHG55" s="936"/>
      <c r="EHH55" s="936"/>
      <c r="EHI55" s="936"/>
      <c r="EHJ55" s="936"/>
      <c r="EHK55" s="936"/>
      <c r="EHL55" s="936"/>
      <c r="EHM55" s="936"/>
      <c r="EHN55" s="936"/>
      <c r="EHO55" s="936"/>
      <c r="EHP55" s="936"/>
      <c r="EHQ55" s="936"/>
      <c r="EHR55" s="936"/>
      <c r="EHS55" s="936"/>
      <c r="EHT55" s="936"/>
      <c r="EHU55" s="936"/>
      <c r="EHV55" s="936"/>
      <c r="EHW55" s="936"/>
      <c r="EHX55" s="936"/>
      <c r="EHY55" s="936"/>
      <c r="EHZ55" s="936"/>
      <c r="EIA55" s="936"/>
      <c r="EIB55" s="936"/>
      <c r="EIC55" s="936"/>
      <c r="EID55" s="936"/>
      <c r="EIE55" s="936"/>
      <c r="EIF55" s="936"/>
      <c r="EIG55" s="936"/>
      <c r="EIH55" s="936"/>
      <c r="EII55" s="936"/>
      <c r="EIJ55" s="936"/>
      <c r="EIK55" s="936"/>
      <c r="EIL55" s="936"/>
      <c r="EIM55" s="936"/>
      <c r="EIN55" s="936"/>
      <c r="EIO55" s="936"/>
      <c r="EIP55" s="936"/>
      <c r="EIQ55" s="936"/>
      <c r="EIR55" s="936"/>
      <c r="EIS55" s="936"/>
      <c r="EIT55" s="936"/>
      <c r="EIU55" s="936"/>
      <c r="EIV55" s="936"/>
      <c r="EIW55" s="936"/>
      <c r="EIX55" s="936"/>
      <c r="EIY55" s="936"/>
      <c r="EIZ55" s="936"/>
      <c r="EJA55" s="936"/>
      <c r="EJB55" s="936"/>
      <c r="EJC55" s="936"/>
      <c r="EJD55" s="936"/>
      <c r="EJE55" s="936"/>
      <c r="EJF55" s="936"/>
      <c r="EJG55" s="936"/>
      <c r="EJH55" s="936"/>
      <c r="EJI55" s="936"/>
      <c r="EJJ55" s="936"/>
      <c r="EJK55" s="936"/>
      <c r="EJL55" s="936"/>
      <c r="EJM55" s="936"/>
      <c r="EJN55" s="936"/>
      <c r="EJO55" s="936"/>
      <c r="EJP55" s="936"/>
      <c r="EJQ55" s="936"/>
      <c r="EJR55" s="936"/>
      <c r="EJS55" s="936"/>
      <c r="EJT55" s="936"/>
      <c r="EJU55" s="936"/>
      <c r="EJV55" s="936"/>
      <c r="EJW55" s="936"/>
      <c r="EJX55" s="936"/>
      <c r="EJY55" s="936"/>
      <c r="EJZ55" s="936"/>
      <c r="EKA55" s="936"/>
      <c r="EKB55" s="936"/>
      <c r="EKC55" s="936"/>
      <c r="EKD55" s="936"/>
      <c r="EKE55" s="936"/>
      <c r="EKF55" s="936"/>
      <c r="EKG55" s="936"/>
      <c r="EKH55" s="936"/>
      <c r="EKI55" s="936"/>
      <c r="EKJ55" s="936"/>
      <c r="EKK55" s="936"/>
      <c r="EKL55" s="936"/>
      <c r="EKM55" s="936"/>
      <c r="EKN55" s="936"/>
      <c r="EKO55" s="936"/>
      <c r="EKP55" s="936"/>
      <c r="EKQ55" s="936"/>
      <c r="EKR55" s="936"/>
      <c r="EKS55" s="936"/>
      <c r="EKT55" s="936"/>
      <c r="EKU55" s="936"/>
      <c r="EKV55" s="936"/>
      <c r="EKW55" s="936"/>
      <c r="EKX55" s="936"/>
      <c r="EKY55" s="936"/>
      <c r="EKZ55" s="936"/>
      <c r="ELA55" s="936"/>
      <c r="ELB55" s="936"/>
      <c r="ELC55" s="936"/>
      <c r="ELD55" s="936"/>
      <c r="ELE55" s="936"/>
      <c r="ELF55" s="936"/>
      <c r="ELG55" s="936"/>
      <c r="ELH55" s="936"/>
      <c r="ELI55" s="936"/>
      <c r="ELJ55" s="936"/>
      <c r="ELK55" s="936"/>
      <c r="ELL55" s="936"/>
      <c r="ELM55" s="936"/>
      <c r="ELN55" s="936"/>
      <c r="ELO55" s="936"/>
      <c r="ELP55" s="936"/>
      <c r="ELQ55" s="936"/>
      <c r="ELR55" s="936"/>
      <c r="ELS55" s="936"/>
      <c r="ELT55" s="936"/>
      <c r="ELU55" s="936"/>
      <c r="ELV55" s="936"/>
      <c r="ELW55" s="936"/>
      <c r="ELX55" s="936"/>
      <c r="ELY55" s="936"/>
      <c r="ELZ55" s="936"/>
      <c r="EMA55" s="936"/>
      <c r="EMB55" s="936"/>
      <c r="EMC55" s="936"/>
      <c r="EMD55" s="936"/>
      <c r="EME55" s="936"/>
      <c r="EMF55" s="936"/>
      <c r="EMG55" s="936"/>
      <c r="EMH55" s="936"/>
      <c r="EMI55" s="936"/>
      <c r="EMJ55" s="936"/>
      <c r="EMK55" s="936"/>
      <c r="EML55" s="936"/>
      <c r="EMM55" s="936"/>
      <c r="EMN55" s="936"/>
      <c r="EMO55" s="936"/>
      <c r="EMP55" s="936"/>
      <c r="EMQ55" s="936"/>
      <c r="EMR55" s="936"/>
      <c r="EMS55" s="936"/>
      <c r="EMT55" s="936"/>
      <c r="EMU55" s="936"/>
      <c r="EMV55" s="936"/>
      <c r="EMW55" s="936"/>
      <c r="EMX55" s="936"/>
      <c r="EMY55" s="936"/>
      <c r="EMZ55" s="936"/>
      <c r="ENA55" s="936"/>
      <c r="ENB55" s="936"/>
      <c r="ENC55" s="936"/>
      <c r="END55" s="936"/>
      <c r="ENE55" s="936"/>
      <c r="ENF55" s="936"/>
      <c r="ENG55" s="936"/>
      <c r="ENH55" s="936"/>
      <c r="ENI55" s="936"/>
      <c r="ENJ55" s="936"/>
      <c r="ENK55" s="936"/>
      <c r="ENL55" s="936"/>
      <c r="ENM55" s="936"/>
      <c r="ENN55" s="936"/>
      <c r="ENO55" s="936"/>
      <c r="ENP55" s="936"/>
      <c r="ENQ55" s="936"/>
      <c r="ENR55" s="936"/>
      <c r="ENS55" s="936"/>
      <c r="ENT55" s="936"/>
      <c r="ENU55" s="936"/>
      <c r="ENV55" s="936"/>
      <c r="ENW55" s="936"/>
      <c r="ENX55" s="936"/>
      <c r="ENY55" s="936"/>
      <c r="ENZ55" s="936"/>
      <c r="EOA55" s="936"/>
      <c r="EOB55" s="936"/>
      <c r="EOC55" s="936"/>
      <c r="EOD55" s="936"/>
      <c r="EOE55" s="936"/>
      <c r="EOF55" s="936"/>
      <c r="EOG55" s="936"/>
      <c r="EOH55" s="936"/>
      <c r="EOI55" s="936"/>
      <c r="EOJ55" s="936"/>
      <c r="EOK55" s="936"/>
      <c r="EOL55" s="936"/>
      <c r="EOM55" s="936"/>
      <c r="EON55" s="936"/>
      <c r="EOO55" s="936"/>
      <c r="EOP55" s="936"/>
      <c r="EOQ55" s="936"/>
      <c r="EOR55" s="936"/>
      <c r="EOS55" s="936"/>
      <c r="EOT55" s="936"/>
      <c r="EOU55" s="936"/>
      <c r="EOV55" s="936"/>
      <c r="EOW55" s="936"/>
      <c r="EOX55" s="936"/>
      <c r="EOY55" s="936"/>
      <c r="EOZ55" s="936"/>
      <c r="EPA55" s="936"/>
      <c r="EPB55" s="936"/>
      <c r="EPC55" s="936"/>
      <c r="EPD55" s="936"/>
      <c r="EPE55" s="936"/>
      <c r="EPF55" s="936"/>
      <c r="EPG55" s="936"/>
      <c r="EPH55" s="936"/>
      <c r="EPI55" s="936"/>
      <c r="EPJ55" s="936"/>
      <c r="EPK55" s="936"/>
      <c r="EPL55" s="936"/>
      <c r="EPM55" s="936"/>
      <c r="EPN55" s="936"/>
      <c r="EPO55" s="936"/>
      <c r="EPP55" s="936"/>
      <c r="EPQ55" s="936"/>
      <c r="EPR55" s="936"/>
      <c r="EPS55" s="936"/>
      <c r="EPT55" s="936"/>
      <c r="EPU55" s="936"/>
      <c r="EPV55" s="936"/>
      <c r="EPW55" s="936"/>
      <c r="EPX55" s="936"/>
      <c r="EPY55" s="936"/>
      <c r="EPZ55" s="936"/>
      <c r="EQA55" s="936"/>
      <c r="EQB55" s="936"/>
      <c r="EQC55" s="936"/>
      <c r="EQD55" s="936"/>
      <c r="EQE55" s="936"/>
      <c r="EQF55" s="936"/>
      <c r="EQG55" s="936"/>
      <c r="EQH55" s="936"/>
      <c r="EQI55" s="936"/>
      <c r="EQJ55" s="936"/>
      <c r="EQK55" s="936"/>
      <c r="EQL55" s="936"/>
      <c r="EQM55" s="936"/>
      <c r="EQN55" s="936"/>
      <c r="EQO55" s="936"/>
      <c r="EQP55" s="936"/>
      <c r="EQQ55" s="936"/>
      <c r="EQR55" s="936"/>
      <c r="EQS55" s="936"/>
      <c r="EQT55" s="936"/>
      <c r="EQU55" s="936"/>
      <c r="EQV55" s="936"/>
      <c r="EQW55" s="936"/>
      <c r="EQX55" s="936"/>
      <c r="EQY55" s="936"/>
      <c r="EQZ55" s="936"/>
      <c r="ERA55" s="936"/>
      <c r="ERB55" s="936"/>
      <c r="ERC55" s="936"/>
      <c r="ERD55" s="936"/>
      <c r="ERE55" s="936"/>
      <c r="ERF55" s="936"/>
      <c r="ERG55" s="936"/>
      <c r="ERH55" s="936"/>
      <c r="ERI55" s="936"/>
      <c r="ERJ55" s="936"/>
      <c r="ERK55" s="936"/>
      <c r="ERL55" s="936"/>
      <c r="ERM55" s="936"/>
      <c r="ERN55" s="936"/>
      <c r="ERO55" s="936"/>
      <c r="ERP55" s="936"/>
      <c r="ERQ55" s="936"/>
      <c r="ERR55" s="936"/>
      <c r="ERS55" s="936"/>
      <c r="ERT55" s="936"/>
      <c r="ERU55" s="936"/>
      <c r="ERV55" s="936"/>
      <c r="ERW55" s="936"/>
      <c r="ERX55" s="936"/>
      <c r="ERY55" s="936"/>
      <c r="ERZ55" s="936"/>
      <c r="ESA55" s="936"/>
      <c r="ESB55" s="936"/>
      <c r="ESC55" s="936"/>
      <c r="ESD55" s="936"/>
      <c r="ESE55" s="936"/>
      <c r="ESF55" s="936"/>
      <c r="ESG55" s="936"/>
      <c r="ESH55" s="936"/>
      <c r="ESI55" s="936"/>
      <c r="ESJ55" s="936"/>
      <c r="ESK55" s="936"/>
      <c r="ESL55" s="936"/>
      <c r="ESM55" s="936"/>
      <c r="ESN55" s="936"/>
      <c r="ESO55" s="936"/>
      <c r="ESP55" s="936"/>
      <c r="ESQ55" s="936"/>
      <c r="ESR55" s="936"/>
      <c r="ESS55" s="936"/>
      <c r="EST55" s="936"/>
      <c r="ESU55" s="936"/>
      <c r="ESV55" s="936"/>
      <c r="ESW55" s="936"/>
      <c r="ESX55" s="936"/>
      <c r="ESY55" s="936"/>
      <c r="ESZ55" s="936"/>
      <c r="ETA55" s="936"/>
      <c r="ETB55" s="936"/>
      <c r="ETC55" s="936"/>
      <c r="ETD55" s="936"/>
      <c r="ETE55" s="936"/>
      <c r="ETF55" s="936"/>
      <c r="ETG55" s="936"/>
      <c r="ETH55" s="936"/>
      <c r="ETI55" s="936"/>
      <c r="ETJ55" s="936"/>
      <c r="ETK55" s="936"/>
      <c r="ETL55" s="936"/>
      <c r="ETM55" s="936"/>
      <c r="ETN55" s="936"/>
      <c r="ETO55" s="936"/>
      <c r="ETP55" s="936"/>
      <c r="ETQ55" s="936"/>
      <c r="ETR55" s="936"/>
      <c r="ETS55" s="936"/>
      <c r="ETT55" s="936"/>
      <c r="ETU55" s="936"/>
      <c r="ETV55" s="936"/>
      <c r="ETW55" s="936"/>
      <c r="ETX55" s="936"/>
      <c r="ETY55" s="936"/>
      <c r="ETZ55" s="936"/>
      <c r="EUA55" s="936"/>
      <c r="EUB55" s="936"/>
      <c r="EUC55" s="936"/>
      <c r="EUD55" s="936"/>
      <c r="EUE55" s="936"/>
      <c r="EUF55" s="936"/>
      <c r="EUG55" s="936"/>
      <c r="EUH55" s="936"/>
      <c r="EUI55" s="936"/>
      <c r="EUJ55" s="936"/>
      <c r="EUK55" s="936"/>
      <c r="EUL55" s="936"/>
      <c r="EUM55" s="936"/>
      <c r="EUN55" s="936"/>
      <c r="EUO55" s="936"/>
      <c r="EUP55" s="936"/>
      <c r="EUQ55" s="936"/>
      <c r="EUR55" s="936"/>
      <c r="EUS55" s="936"/>
      <c r="EUT55" s="936"/>
      <c r="EUU55" s="936"/>
      <c r="EUV55" s="936"/>
      <c r="EUW55" s="936"/>
      <c r="EUX55" s="936"/>
      <c r="EUY55" s="936"/>
      <c r="EUZ55" s="936"/>
      <c r="EVA55" s="936"/>
      <c r="EVB55" s="936"/>
      <c r="EVC55" s="936"/>
      <c r="EVD55" s="936"/>
      <c r="EVE55" s="936"/>
      <c r="EVF55" s="936"/>
      <c r="EVG55" s="936"/>
      <c r="EVH55" s="936"/>
      <c r="EVI55" s="936"/>
      <c r="EVJ55" s="936"/>
      <c r="EVK55" s="936"/>
      <c r="EVL55" s="936"/>
      <c r="EVM55" s="936"/>
      <c r="EVN55" s="936"/>
      <c r="EVO55" s="936"/>
      <c r="EVP55" s="936"/>
      <c r="EVQ55" s="936"/>
      <c r="EVR55" s="936"/>
      <c r="EVS55" s="936"/>
      <c r="EVT55" s="936"/>
      <c r="EVU55" s="936"/>
      <c r="EVV55" s="936"/>
      <c r="EVW55" s="936"/>
      <c r="EVX55" s="936"/>
      <c r="EVY55" s="936"/>
      <c r="EVZ55" s="936"/>
      <c r="EWA55" s="936"/>
      <c r="EWB55" s="936"/>
      <c r="EWC55" s="936"/>
      <c r="EWD55" s="936"/>
      <c r="EWE55" s="936"/>
      <c r="EWF55" s="936"/>
      <c r="EWG55" s="936"/>
      <c r="EWH55" s="936"/>
      <c r="EWI55" s="936"/>
      <c r="EWJ55" s="936"/>
      <c r="EWK55" s="936"/>
      <c r="EWL55" s="936"/>
      <c r="EWM55" s="936"/>
      <c r="EWN55" s="936"/>
      <c r="EWO55" s="936"/>
      <c r="EWP55" s="936"/>
      <c r="EWQ55" s="936"/>
      <c r="EWR55" s="936"/>
      <c r="EWS55" s="936"/>
      <c r="EWT55" s="936"/>
      <c r="EWU55" s="936"/>
      <c r="EWV55" s="936"/>
      <c r="EWW55" s="936"/>
      <c r="EWX55" s="936"/>
      <c r="EWY55" s="936"/>
      <c r="EWZ55" s="936"/>
      <c r="EXA55" s="936"/>
      <c r="EXB55" s="936"/>
      <c r="EXC55" s="936"/>
      <c r="EXD55" s="936"/>
      <c r="EXE55" s="936"/>
      <c r="EXF55" s="936"/>
      <c r="EXG55" s="936"/>
      <c r="EXH55" s="936"/>
      <c r="EXI55" s="936"/>
      <c r="EXJ55" s="936"/>
      <c r="EXK55" s="936"/>
      <c r="EXL55" s="936"/>
      <c r="EXM55" s="936"/>
      <c r="EXN55" s="936"/>
      <c r="EXO55" s="936"/>
      <c r="EXP55" s="936"/>
      <c r="EXQ55" s="936"/>
      <c r="EXR55" s="936"/>
      <c r="EXS55" s="936"/>
      <c r="EXT55" s="936"/>
      <c r="EXU55" s="936"/>
      <c r="EXV55" s="936"/>
      <c r="EXW55" s="936"/>
      <c r="EXX55" s="936"/>
      <c r="EXY55" s="936"/>
      <c r="EXZ55" s="936"/>
      <c r="EYA55" s="936"/>
      <c r="EYB55" s="936"/>
      <c r="EYC55" s="936"/>
      <c r="EYD55" s="936"/>
      <c r="EYE55" s="936"/>
      <c r="EYF55" s="936"/>
      <c r="EYG55" s="936"/>
      <c r="EYH55" s="936"/>
      <c r="EYI55" s="936"/>
      <c r="EYJ55" s="936"/>
      <c r="EYK55" s="936"/>
      <c r="EYL55" s="936"/>
      <c r="EYM55" s="936"/>
      <c r="EYN55" s="936"/>
      <c r="EYO55" s="936"/>
      <c r="EYP55" s="936"/>
      <c r="EYQ55" s="936"/>
      <c r="EYR55" s="936"/>
      <c r="EYS55" s="936"/>
      <c r="EYT55" s="936"/>
      <c r="EYU55" s="936"/>
      <c r="EYV55" s="936"/>
      <c r="EYW55" s="936"/>
      <c r="EYX55" s="936"/>
      <c r="EYY55" s="936"/>
      <c r="EYZ55" s="936"/>
      <c r="EZA55" s="936"/>
      <c r="EZB55" s="936"/>
      <c r="EZC55" s="936"/>
      <c r="EZD55" s="936"/>
      <c r="EZE55" s="936"/>
      <c r="EZF55" s="936"/>
      <c r="EZG55" s="936"/>
      <c r="EZH55" s="936"/>
      <c r="EZI55" s="936"/>
      <c r="EZJ55" s="936"/>
      <c r="EZK55" s="936"/>
      <c r="EZL55" s="936"/>
      <c r="EZM55" s="936"/>
      <c r="EZN55" s="936"/>
      <c r="EZO55" s="936"/>
      <c r="EZP55" s="936"/>
      <c r="EZQ55" s="936"/>
      <c r="EZR55" s="936"/>
      <c r="EZS55" s="936"/>
      <c r="EZT55" s="936"/>
      <c r="EZU55" s="936"/>
      <c r="EZV55" s="936"/>
      <c r="EZW55" s="936"/>
      <c r="EZX55" s="936"/>
      <c r="EZY55" s="936"/>
      <c r="EZZ55" s="936"/>
      <c r="FAA55" s="936"/>
      <c r="FAB55" s="936"/>
      <c r="FAC55" s="936"/>
      <c r="FAD55" s="936"/>
      <c r="FAE55" s="936"/>
      <c r="FAF55" s="936"/>
      <c r="FAG55" s="936"/>
      <c r="FAH55" s="936"/>
      <c r="FAI55" s="936"/>
      <c r="FAJ55" s="936"/>
      <c r="FAK55" s="936"/>
      <c r="FAL55" s="936"/>
      <c r="FAM55" s="936"/>
      <c r="FAN55" s="936"/>
      <c r="FAO55" s="936"/>
      <c r="FAP55" s="936"/>
      <c r="FAQ55" s="936"/>
      <c r="FAR55" s="936"/>
      <c r="FAS55" s="936"/>
      <c r="FAT55" s="936"/>
      <c r="FAU55" s="936"/>
      <c r="FAV55" s="936"/>
      <c r="FAW55" s="936"/>
      <c r="FAX55" s="936"/>
      <c r="FAY55" s="936"/>
      <c r="FAZ55" s="936"/>
      <c r="FBA55" s="936"/>
      <c r="FBB55" s="936"/>
      <c r="FBC55" s="936"/>
      <c r="FBD55" s="936"/>
      <c r="FBE55" s="936"/>
      <c r="FBF55" s="936"/>
      <c r="FBG55" s="936"/>
      <c r="FBH55" s="936"/>
      <c r="FBI55" s="936"/>
      <c r="FBJ55" s="936"/>
      <c r="FBK55" s="936"/>
      <c r="FBL55" s="936"/>
      <c r="FBM55" s="936"/>
      <c r="FBN55" s="936"/>
      <c r="FBO55" s="936"/>
      <c r="FBP55" s="936"/>
      <c r="FBQ55" s="936"/>
      <c r="FBR55" s="936"/>
      <c r="FBS55" s="936"/>
      <c r="FBT55" s="936"/>
      <c r="FBU55" s="936"/>
      <c r="FBV55" s="936"/>
      <c r="FBW55" s="936"/>
      <c r="FBX55" s="936"/>
      <c r="FBY55" s="936"/>
      <c r="FBZ55" s="936"/>
      <c r="FCA55" s="936"/>
      <c r="FCB55" s="936"/>
      <c r="FCC55" s="936"/>
      <c r="FCD55" s="936"/>
      <c r="FCE55" s="936"/>
      <c r="FCF55" s="936"/>
      <c r="FCG55" s="936"/>
      <c r="FCH55" s="936"/>
      <c r="FCI55" s="936"/>
      <c r="FCJ55" s="936"/>
      <c r="FCK55" s="936"/>
      <c r="FCL55" s="936"/>
      <c r="FCM55" s="936"/>
      <c r="FCN55" s="936"/>
      <c r="FCO55" s="936"/>
      <c r="FCP55" s="936"/>
      <c r="FCQ55" s="936"/>
      <c r="FCR55" s="936"/>
      <c r="FCS55" s="936"/>
      <c r="FCT55" s="936"/>
      <c r="FCU55" s="936"/>
      <c r="FCV55" s="936"/>
      <c r="FCW55" s="936"/>
      <c r="FCX55" s="936"/>
      <c r="FCY55" s="936"/>
      <c r="FCZ55" s="936"/>
      <c r="FDA55" s="936"/>
      <c r="FDB55" s="936"/>
      <c r="FDC55" s="936"/>
      <c r="FDD55" s="936"/>
      <c r="FDE55" s="936"/>
      <c r="FDF55" s="936"/>
      <c r="FDG55" s="936"/>
      <c r="FDH55" s="936"/>
      <c r="FDI55" s="936"/>
      <c r="FDJ55" s="936"/>
      <c r="FDK55" s="936"/>
      <c r="FDL55" s="936"/>
      <c r="FDM55" s="936"/>
      <c r="FDN55" s="936"/>
      <c r="FDO55" s="936"/>
      <c r="FDP55" s="936"/>
      <c r="FDQ55" s="936"/>
      <c r="FDR55" s="936"/>
      <c r="FDS55" s="936"/>
      <c r="FDT55" s="936"/>
      <c r="FDU55" s="936"/>
      <c r="FDV55" s="936"/>
      <c r="FDW55" s="936"/>
      <c r="FDX55" s="936"/>
      <c r="FDY55" s="936"/>
      <c r="FDZ55" s="936"/>
      <c r="FEA55" s="936"/>
      <c r="FEB55" s="936"/>
      <c r="FEC55" s="936"/>
      <c r="FED55" s="936"/>
      <c r="FEE55" s="936"/>
      <c r="FEF55" s="936"/>
      <c r="FEG55" s="936"/>
      <c r="FEH55" s="936"/>
      <c r="FEI55" s="936"/>
      <c r="FEJ55" s="936"/>
      <c r="FEK55" s="936"/>
      <c r="FEL55" s="936"/>
      <c r="FEM55" s="936"/>
      <c r="FEN55" s="936"/>
      <c r="FEO55" s="936"/>
      <c r="FEP55" s="936"/>
      <c r="FEQ55" s="936"/>
      <c r="FER55" s="936"/>
      <c r="FES55" s="936"/>
      <c r="FET55" s="936"/>
      <c r="FEU55" s="936"/>
      <c r="FEV55" s="936"/>
      <c r="FEW55" s="936"/>
      <c r="FEX55" s="936"/>
      <c r="FEY55" s="936"/>
      <c r="FEZ55" s="936"/>
      <c r="FFA55" s="936"/>
      <c r="FFB55" s="936"/>
      <c r="FFC55" s="936"/>
      <c r="FFD55" s="936"/>
      <c r="FFE55" s="936"/>
      <c r="FFF55" s="936"/>
      <c r="FFG55" s="936"/>
      <c r="FFH55" s="936"/>
      <c r="FFI55" s="936"/>
      <c r="FFJ55" s="936"/>
      <c r="FFK55" s="936"/>
      <c r="FFL55" s="936"/>
      <c r="FFM55" s="936"/>
      <c r="FFN55" s="936"/>
      <c r="FFO55" s="936"/>
      <c r="FFP55" s="936"/>
      <c r="FFQ55" s="936"/>
      <c r="FFR55" s="936"/>
      <c r="FFS55" s="936"/>
      <c r="FFT55" s="936"/>
      <c r="FFU55" s="936"/>
      <c r="FFV55" s="936"/>
      <c r="FFW55" s="936"/>
      <c r="FFX55" s="936"/>
      <c r="FFY55" s="936"/>
      <c r="FFZ55" s="936"/>
      <c r="FGA55" s="936"/>
      <c r="FGB55" s="936"/>
      <c r="FGC55" s="936"/>
      <c r="FGD55" s="936"/>
      <c r="FGE55" s="936"/>
      <c r="FGF55" s="936"/>
      <c r="FGG55" s="936"/>
      <c r="FGH55" s="936"/>
      <c r="FGI55" s="936"/>
      <c r="FGJ55" s="936"/>
      <c r="FGK55" s="936"/>
      <c r="FGL55" s="936"/>
      <c r="FGM55" s="936"/>
      <c r="FGN55" s="936"/>
      <c r="FGO55" s="936"/>
      <c r="FGP55" s="936"/>
      <c r="FGQ55" s="936"/>
      <c r="FGR55" s="936"/>
      <c r="FGS55" s="936"/>
      <c r="FGT55" s="936"/>
      <c r="FGU55" s="936"/>
      <c r="FGV55" s="936"/>
      <c r="FGW55" s="936"/>
      <c r="FGX55" s="936"/>
      <c r="FGY55" s="936"/>
      <c r="FGZ55" s="936"/>
      <c r="FHA55" s="936"/>
      <c r="FHB55" s="936"/>
      <c r="FHC55" s="936"/>
      <c r="FHD55" s="936"/>
      <c r="FHE55" s="936"/>
      <c r="FHF55" s="936"/>
      <c r="FHG55" s="936"/>
      <c r="FHH55" s="936"/>
      <c r="FHI55" s="936"/>
      <c r="FHJ55" s="936"/>
      <c r="FHK55" s="936"/>
      <c r="FHL55" s="936"/>
      <c r="FHM55" s="936"/>
      <c r="FHN55" s="936"/>
      <c r="FHO55" s="936"/>
      <c r="FHP55" s="936"/>
      <c r="FHQ55" s="936"/>
      <c r="FHR55" s="936"/>
      <c r="FHS55" s="936"/>
      <c r="FHT55" s="936"/>
      <c r="FHU55" s="936"/>
      <c r="FHV55" s="936"/>
      <c r="FHW55" s="936"/>
      <c r="FHX55" s="936"/>
      <c r="FHY55" s="936"/>
      <c r="FHZ55" s="936"/>
      <c r="FIA55" s="936"/>
      <c r="FIB55" s="936"/>
      <c r="FIC55" s="936"/>
      <c r="FID55" s="936"/>
      <c r="FIE55" s="936"/>
      <c r="FIF55" s="936"/>
      <c r="FIG55" s="936"/>
      <c r="FIH55" s="936"/>
      <c r="FII55" s="936"/>
      <c r="FIJ55" s="936"/>
      <c r="FIK55" s="936"/>
      <c r="FIL55" s="936"/>
      <c r="FIM55" s="936"/>
      <c r="FIN55" s="936"/>
      <c r="FIO55" s="936"/>
      <c r="FIP55" s="936"/>
      <c r="FIQ55" s="936"/>
      <c r="FIR55" s="936"/>
      <c r="FIS55" s="936"/>
      <c r="FIT55" s="936"/>
      <c r="FIU55" s="936"/>
      <c r="FIV55" s="936"/>
      <c r="FIW55" s="936"/>
      <c r="FIX55" s="936"/>
      <c r="FIY55" s="936"/>
      <c r="FIZ55" s="936"/>
      <c r="FJA55" s="936"/>
      <c r="FJB55" s="936"/>
      <c r="FJC55" s="936"/>
      <c r="FJD55" s="936"/>
      <c r="FJE55" s="936"/>
      <c r="FJF55" s="936"/>
      <c r="FJG55" s="936"/>
      <c r="FJH55" s="936"/>
      <c r="FJI55" s="936"/>
      <c r="FJJ55" s="936"/>
      <c r="FJK55" s="936"/>
      <c r="FJL55" s="936"/>
      <c r="FJM55" s="936"/>
      <c r="FJN55" s="936"/>
      <c r="FJO55" s="936"/>
      <c r="FJP55" s="936"/>
      <c r="FJQ55" s="936"/>
      <c r="FJR55" s="936"/>
      <c r="FJS55" s="936"/>
      <c r="FJT55" s="936"/>
      <c r="FJU55" s="936"/>
      <c r="FJV55" s="936"/>
      <c r="FJW55" s="936"/>
      <c r="FJX55" s="936"/>
      <c r="FJY55" s="936"/>
      <c r="FJZ55" s="936"/>
      <c r="FKA55" s="936"/>
      <c r="FKB55" s="936"/>
      <c r="FKC55" s="936"/>
      <c r="FKD55" s="936"/>
      <c r="FKE55" s="936"/>
      <c r="FKF55" s="936"/>
      <c r="FKG55" s="936"/>
      <c r="FKH55" s="936"/>
      <c r="FKI55" s="936"/>
      <c r="FKJ55" s="936"/>
      <c r="FKK55" s="936"/>
      <c r="FKL55" s="936"/>
      <c r="FKM55" s="936"/>
      <c r="FKN55" s="936"/>
      <c r="FKO55" s="936"/>
      <c r="FKP55" s="936"/>
      <c r="FKQ55" s="936"/>
      <c r="FKR55" s="936"/>
      <c r="FKS55" s="936"/>
      <c r="FKT55" s="936"/>
      <c r="FKU55" s="936"/>
      <c r="FKV55" s="936"/>
      <c r="FKW55" s="936"/>
      <c r="FKX55" s="936"/>
      <c r="FKY55" s="936"/>
      <c r="FKZ55" s="936"/>
      <c r="FLA55" s="936"/>
      <c r="FLB55" s="936"/>
      <c r="FLC55" s="936"/>
      <c r="FLD55" s="936"/>
      <c r="FLE55" s="936"/>
      <c r="FLF55" s="936"/>
      <c r="FLG55" s="936"/>
      <c r="FLH55" s="936"/>
      <c r="FLI55" s="936"/>
      <c r="FLJ55" s="936"/>
      <c r="FLK55" s="936"/>
      <c r="FLL55" s="936"/>
      <c r="FLM55" s="936"/>
      <c r="FLN55" s="936"/>
      <c r="FLO55" s="936"/>
      <c r="FLP55" s="936"/>
      <c r="FLQ55" s="936"/>
      <c r="FLR55" s="936"/>
      <c r="FLS55" s="936"/>
      <c r="FLT55" s="936"/>
      <c r="FLU55" s="936"/>
      <c r="FLV55" s="936"/>
      <c r="FLW55" s="936"/>
      <c r="FLX55" s="936"/>
      <c r="FLY55" s="936"/>
      <c r="FLZ55" s="936"/>
      <c r="FMA55" s="936"/>
      <c r="FMB55" s="936"/>
      <c r="FMC55" s="936"/>
      <c r="FMD55" s="936"/>
      <c r="FME55" s="936"/>
      <c r="FMF55" s="936"/>
      <c r="FMG55" s="936"/>
      <c r="FMH55" s="936"/>
      <c r="FMI55" s="936"/>
      <c r="FMJ55" s="936"/>
      <c r="FMK55" s="936"/>
      <c r="FML55" s="936"/>
      <c r="FMM55" s="936"/>
      <c r="FMN55" s="936"/>
      <c r="FMO55" s="936"/>
      <c r="FMP55" s="936"/>
      <c r="FMQ55" s="936"/>
      <c r="FMR55" s="936"/>
      <c r="FMS55" s="936"/>
      <c r="FMT55" s="936"/>
      <c r="FMU55" s="936"/>
      <c r="FMV55" s="936"/>
      <c r="FMW55" s="936"/>
      <c r="FMX55" s="936"/>
      <c r="FMY55" s="936"/>
      <c r="FMZ55" s="936"/>
      <c r="FNA55" s="936"/>
      <c r="FNB55" s="936"/>
      <c r="FNC55" s="936"/>
      <c r="FND55" s="936"/>
      <c r="FNE55" s="936"/>
      <c r="FNF55" s="936"/>
      <c r="FNG55" s="936"/>
      <c r="FNH55" s="936"/>
      <c r="FNI55" s="936"/>
      <c r="FNJ55" s="936"/>
      <c r="FNK55" s="936"/>
      <c r="FNL55" s="936"/>
      <c r="FNM55" s="936"/>
      <c r="FNN55" s="936"/>
      <c r="FNO55" s="936"/>
      <c r="FNP55" s="936"/>
      <c r="FNQ55" s="936"/>
      <c r="FNR55" s="936"/>
      <c r="FNS55" s="936"/>
      <c r="FNT55" s="936"/>
      <c r="FNU55" s="936"/>
      <c r="FNV55" s="936"/>
      <c r="FNW55" s="936"/>
      <c r="FNX55" s="936"/>
      <c r="FNY55" s="936"/>
      <c r="FNZ55" s="936"/>
      <c r="FOA55" s="936"/>
      <c r="FOB55" s="936"/>
      <c r="FOC55" s="936"/>
      <c r="FOD55" s="936"/>
      <c r="FOE55" s="936"/>
      <c r="FOF55" s="936"/>
      <c r="FOG55" s="936"/>
      <c r="FOH55" s="936"/>
      <c r="FOI55" s="936"/>
      <c r="FOJ55" s="936"/>
      <c r="FOK55" s="936"/>
      <c r="FOL55" s="936"/>
      <c r="FOM55" s="936"/>
      <c r="FON55" s="936"/>
      <c r="FOO55" s="936"/>
      <c r="FOP55" s="936"/>
      <c r="FOQ55" s="936"/>
      <c r="FOR55" s="936"/>
      <c r="FOS55" s="936"/>
      <c r="FOT55" s="936"/>
      <c r="FOU55" s="936"/>
      <c r="FOV55" s="936"/>
      <c r="FOW55" s="936"/>
      <c r="FOX55" s="936"/>
      <c r="FOY55" s="936"/>
      <c r="FOZ55" s="936"/>
      <c r="FPA55" s="936"/>
      <c r="FPB55" s="936"/>
      <c r="FPC55" s="936"/>
      <c r="FPD55" s="936"/>
      <c r="FPE55" s="936"/>
      <c r="FPF55" s="936"/>
      <c r="FPG55" s="936"/>
      <c r="FPH55" s="936"/>
      <c r="FPI55" s="936"/>
      <c r="FPJ55" s="936"/>
      <c r="FPK55" s="936"/>
      <c r="FPL55" s="936"/>
      <c r="FPM55" s="936"/>
      <c r="FPN55" s="936"/>
      <c r="FPO55" s="936"/>
      <c r="FPP55" s="936"/>
      <c r="FPQ55" s="936"/>
      <c r="FPR55" s="936"/>
      <c r="FPS55" s="936"/>
      <c r="FPT55" s="936"/>
      <c r="FPU55" s="936"/>
      <c r="FPV55" s="936"/>
      <c r="FPW55" s="936"/>
      <c r="FPX55" s="936"/>
      <c r="FPY55" s="936"/>
      <c r="FPZ55" s="936"/>
      <c r="FQA55" s="936"/>
      <c r="FQB55" s="936"/>
      <c r="FQC55" s="936"/>
      <c r="FQD55" s="936"/>
      <c r="FQE55" s="936"/>
      <c r="FQF55" s="936"/>
      <c r="FQG55" s="936"/>
      <c r="FQH55" s="936"/>
      <c r="FQI55" s="936"/>
      <c r="FQJ55" s="936"/>
      <c r="FQK55" s="936"/>
      <c r="FQL55" s="936"/>
      <c r="FQM55" s="936"/>
      <c r="FQN55" s="936"/>
      <c r="FQO55" s="936"/>
      <c r="FQP55" s="936"/>
      <c r="FQQ55" s="936"/>
      <c r="FQR55" s="936"/>
      <c r="FQS55" s="936"/>
      <c r="FQT55" s="936"/>
      <c r="FQU55" s="936"/>
      <c r="FQV55" s="936"/>
      <c r="FQW55" s="936"/>
      <c r="FQX55" s="936"/>
      <c r="FQY55" s="936"/>
      <c r="FQZ55" s="936"/>
      <c r="FRA55" s="936"/>
      <c r="FRB55" s="936"/>
      <c r="FRC55" s="936"/>
      <c r="FRD55" s="936"/>
      <c r="FRE55" s="936"/>
      <c r="FRF55" s="936"/>
      <c r="FRG55" s="936"/>
      <c r="FRH55" s="936"/>
      <c r="FRI55" s="936"/>
      <c r="FRJ55" s="936"/>
      <c r="FRK55" s="936"/>
      <c r="FRL55" s="936"/>
      <c r="FRM55" s="936"/>
      <c r="FRN55" s="936"/>
      <c r="FRO55" s="936"/>
      <c r="FRP55" s="936"/>
      <c r="FRQ55" s="936"/>
      <c r="FRR55" s="936"/>
      <c r="FRS55" s="936"/>
      <c r="FRT55" s="936"/>
      <c r="FRU55" s="936"/>
      <c r="FRV55" s="936"/>
      <c r="FRW55" s="936"/>
      <c r="FRX55" s="936"/>
      <c r="FRY55" s="936"/>
      <c r="FRZ55" s="936"/>
      <c r="FSA55" s="936"/>
      <c r="FSB55" s="936"/>
      <c r="FSC55" s="936"/>
      <c r="FSD55" s="936"/>
      <c r="FSE55" s="936"/>
      <c r="FSF55" s="936"/>
      <c r="FSG55" s="936"/>
      <c r="FSH55" s="936"/>
      <c r="FSI55" s="936"/>
      <c r="FSJ55" s="936"/>
      <c r="FSK55" s="936"/>
      <c r="FSL55" s="936"/>
      <c r="FSM55" s="936"/>
      <c r="FSN55" s="936"/>
      <c r="FSO55" s="936"/>
      <c r="FSP55" s="936"/>
      <c r="FSQ55" s="936"/>
      <c r="FSR55" s="936"/>
      <c r="FSS55" s="936"/>
      <c r="FST55" s="936"/>
      <c r="FSU55" s="936"/>
      <c r="FSV55" s="936"/>
      <c r="FSW55" s="936"/>
      <c r="FSX55" s="936"/>
      <c r="FSY55" s="936"/>
      <c r="FSZ55" s="936"/>
      <c r="FTA55" s="936"/>
      <c r="FTB55" s="936"/>
      <c r="FTC55" s="936"/>
      <c r="FTD55" s="936"/>
      <c r="FTE55" s="936"/>
      <c r="FTF55" s="936"/>
      <c r="FTG55" s="936"/>
      <c r="FTH55" s="936"/>
      <c r="FTI55" s="936"/>
      <c r="FTJ55" s="936"/>
      <c r="FTK55" s="936"/>
      <c r="FTL55" s="936"/>
      <c r="FTM55" s="936"/>
      <c r="FTN55" s="936"/>
      <c r="FTO55" s="936"/>
      <c r="FTP55" s="936"/>
      <c r="FTQ55" s="936"/>
      <c r="FTR55" s="936"/>
      <c r="FTS55" s="936"/>
      <c r="FTT55" s="936"/>
      <c r="FTU55" s="936"/>
      <c r="FTV55" s="936"/>
      <c r="FTW55" s="936"/>
      <c r="FTX55" s="936"/>
      <c r="FTY55" s="936"/>
      <c r="FTZ55" s="936"/>
      <c r="FUA55" s="936"/>
      <c r="FUB55" s="936"/>
      <c r="FUC55" s="936"/>
      <c r="FUD55" s="936"/>
      <c r="FUE55" s="936"/>
      <c r="FUF55" s="936"/>
      <c r="FUG55" s="936"/>
      <c r="FUH55" s="936"/>
      <c r="FUI55" s="936"/>
      <c r="FUJ55" s="936"/>
      <c r="FUK55" s="936"/>
      <c r="FUL55" s="936"/>
      <c r="FUM55" s="936"/>
      <c r="FUN55" s="936"/>
      <c r="FUO55" s="936"/>
      <c r="FUP55" s="936"/>
      <c r="FUQ55" s="936"/>
      <c r="FUR55" s="936"/>
      <c r="FUS55" s="936"/>
      <c r="FUT55" s="936"/>
      <c r="FUU55" s="936"/>
      <c r="FUV55" s="936"/>
      <c r="FUW55" s="936"/>
      <c r="FUX55" s="936"/>
      <c r="FUY55" s="936"/>
      <c r="FUZ55" s="936"/>
      <c r="FVA55" s="936"/>
      <c r="FVB55" s="936"/>
      <c r="FVC55" s="936"/>
      <c r="FVD55" s="936"/>
      <c r="FVE55" s="936"/>
      <c r="FVF55" s="936"/>
      <c r="FVG55" s="936"/>
      <c r="FVH55" s="936"/>
      <c r="FVI55" s="936"/>
      <c r="FVJ55" s="936"/>
      <c r="FVK55" s="936"/>
      <c r="FVL55" s="936"/>
      <c r="FVM55" s="936"/>
      <c r="FVN55" s="936"/>
      <c r="FVO55" s="936"/>
      <c r="FVP55" s="936"/>
      <c r="FVQ55" s="936"/>
      <c r="FVR55" s="936"/>
      <c r="FVS55" s="936"/>
      <c r="FVT55" s="936"/>
      <c r="FVU55" s="936"/>
      <c r="FVV55" s="936"/>
      <c r="FVW55" s="936"/>
      <c r="FVX55" s="936"/>
      <c r="FVY55" s="936"/>
      <c r="FVZ55" s="936"/>
      <c r="FWA55" s="936"/>
      <c r="FWB55" s="936"/>
      <c r="FWC55" s="936"/>
      <c r="FWD55" s="936"/>
      <c r="FWE55" s="936"/>
      <c r="FWF55" s="936"/>
      <c r="FWG55" s="936"/>
      <c r="FWH55" s="936"/>
      <c r="FWI55" s="936"/>
      <c r="FWJ55" s="936"/>
      <c r="FWK55" s="936"/>
      <c r="FWL55" s="936"/>
      <c r="FWM55" s="936"/>
      <c r="FWN55" s="936"/>
      <c r="FWO55" s="936"/>
      <c r="FWP55" s="936"/>
      <c r="FWQ55" s="936"/>
      <c r="FWR55" s="936"/>
      <c r="FWS55" s="936"/>
      <c r="FWT55" s="936"/>
      <c r="FWU55" s="936"/>
      <c r="FWV55" s="936"/>
      <c r="FWW55" s="936"/>
      <c r="FWX55" s="936"/>
      <c r="FWY55" s="936"/>
      <c r="FWZ55" s="936"/>
      <c r="FXA55" s="936"/>
      <c r="FXB55" s="936"/>
      <c r="FXC55" s="936"/>
      <c r="FXD55" s="936"/>
      <c r="FXE55" s="936"/>
      <c r="FXF55" s="936"/>
      <c r="FXG55" s="936"/>
      <c r="FXH55" s="936"/>
      <c r="FXI55" s="936"/>
      <c r="FXJ55" s="936"/>
      <c r="FXK55" s="936"/>
      <c r="FXL55" s="936"/>
      <c r="FXM55" s="936"/>
      <c r="FXN55" s="936"/>
      <c r="FXO55" s="936"/>
      <c r="FXP55" s="936"/>
      <c r="FXQ55" s="936"/>
      <c r="FXR55" s="936"/>
      <c r="FXS55" s="936"/>
      <c r="FXT55" s="936"/>
      <c r="FXU55" s="936"/>
      <c r="FXV55" s="936"/>
      <c r="FXW55" s="936"/>
      <c r="FXX55" s="936"/>
      <c r="FXY55" s="936"/>
      <c r="FXZ55" s="936"/>
      <c r="FYA55" s="936"/>
      <c r="FYB55" s="936"/>
      <c r="FYC55" s="936"/>
      <c r="FYD55" s="936"/>
      <c r="FYE55" s="936"/>
      <c r="FYF55" s="936"/>
      <c r="FYG55" s="936"/>
      <c r="FYH55" s="936"/>
      <c r="FYI55" s="936"/>
      <c r="FYJ55" s="936"/>
      <c r="FYK55" s="936"/>
      <c r="FYL55" s="936"/>
      <c r="FYM55" s="936"/>
      <c r="FYN55" s="936"/>
      <c r="FYO55" s="936"/>
      <c r="FYP55" s="936"/>
      <c r="FYQ55" s="936"/>
      <c r="FYR55" s="936"/>
      <c r="FYS55" s="936"/>
      <c r="FYT55" s="936"/>
      <c r="FYU55" s="936"/>
      <c r="FYV55" s="936"/>
      <c r="FYW55" s="936"/>
      <c r="FYX55" s="936"/>
      <c r="FYY55" s="936"/>
      <c r="FYZ55" s="936"/>
      <c r="FZA55" s="936"/>
      <c r="FZB55" s="936"/>
      <c r="FZC55" s="936"/>
      <c r="FZD55" s="936"/>
      <c r="FZE55" s="936"/>
      <c r="FZF55" s="936"/>
      <c r="FZG55" s="936"/>
      <c r="FZH55" s="936"/>
      <c r="FZI55" s="936"/>
      <c r="FZJ55" s="936"/>
      <c r="FZK55" s="936"/>
      <c r="FZL55" s="936"/>
      <c r="FZM55" s="936"/>
      <c r="FZN55" s="936"/>
      <c r="FZO55" s="936"/>
      <c r="FZP55" s="936"/>
      <c r="FZQ55" s="936"/>
      <c r="FZR55" s="936"/>
      <c r="FZS55" s="936"/>
      <c r="FZT55" s="936"/>
      <c r="FZU55" s="936"/>
      <c r="FZV55" s="936"/>
      <c r="FZW55" s="936"/>
      <c r="FZX55" s="936"/>
      <c r="FZY55" s="936"/>
      <c r="FZZ55" s="936"/>
      <c r="GAA55" s="936"/>
      <c r="GAB55" s="936"/>
      <c r="GAC55" s="936"/>
      <c r="GAD55" s="936"/>
      <c r="GAE55" s="936"/>
      <c r="GAF55" s="936"/>
      <c r="GAG55" s="936"/>
      <c r="GAH55" s="936"/>
      <c r="GAI55" s="936"/>
      <c r="GAJ55" s="936"/>
      <c r="GAK55" s="936"/>
      <c r="GAL55" s="936"/>
      <c r="GAM55" s="936"/>
      <c r="GAN55" s="936"/>
      <c r="GAO55" s="936"/>
      <c r="GAP55" s="936"/>
      <c r="GAQ55" s="936"/>
      <c r="GAR55" s="936"/>
      <c r="GAS55" s="936"/>
      <c r="GAT55" s="936"/>
      <c r="GAU55" s="936"/>
      <c r="GAV55" s="936"/>
      <c r="GAW55" s="936"/>
      <c r="GAX55" s="936"/>
      <c r="GAY55" s="936"/>
      <c r="GAZ55" s="936"/>
      <c r="GBA55" s="936"/>
      <c r="GBB55" s="936"/>
      <c r="GBC55" s="936"/>
      <c r="GBD55" s="936"/>
      <c r="GBE55" s="936"/>
      <c r="GBF55" s="936"/>
      <c r="GBG55" s="936"/>
      <c r="GBH55" s="936"/>
      <c r="GBI55" s="936"/>
      <c r="GBJ55" s="936"/>
      <c r="GBK55" s="936"/>
      <c r="GBL55" s="936"/>
      <c r="GBM55" s="936"/>
      <c r="GBN55" s="936"/>
      <c r="GBO55" s="936"/>
      <c r="GBP55" s="936"/>
      <c r="GBQ55" s="936"/>
      <c r="GBR55" s="936"/>
      <c r="GBS55" s="936"/>
      <c r="GBT55" s="936"/>
      <c r="GBU55" s="936"/>
      <c r="GBV55" s="936"/>
      <c r="GBW55" s="936"/>
      <c r="GBX55" s="936"/>
      <c r="GBY55" s="936"/>
      <c r="GBZ55" s="936"/>
      <c r="GCA55" s="936"/>
      <c r="GCB55" s="936"/>
      <c r="GCC55" s="936"/>
      <c r="GCD55" s="936"/>
      <c r="GCE55" s="936"/>
      <c r="GCF55" s="936"/>
      <c r="GCG55" s="936"/>
      <c r="GCH55" s="936"/>
      <c r="GCI55" s="936"/>
      <c r="GCJ55" s="936"/>
      <c r="GCK55" s="936"/>
      <c r="GCL55" s="936"/>
      <c r="GCM55" s="936"/>
      <c r="GCN55" s="936"/>
      <c r="GCO55" s="936"/>
      <c r="GCP55" s="936"/>
      <c r="GCQ55" s="936"/>
      <c r="GCR55" s="936"/>
      <c r="GCS55" s="936"/>
      <c r="GCT55" s="936"/>
      <c r="GCU55" s="936"/>
      <c r="GCV55" s="936"/>
      <c r="GCW55" s="936"/>
      <c r="GCX55" s="936"/>
      <c r="GCY55" s="936"/>
      <c r="GCZ55" s="936"/>
      <c r="GDA55" s="936"/>
      <c r="GDB55" s="936"/>
      <c r="GDC55" s="936"/>
      <c r="GDD55" s="936"/>
      <c r="GDE55" s="936"/>
      <c r="GDF55" s="936"/>
      <c r="GDG55" s="936"/>
      <c r="GDH55" s="936"/>
      <c r="GDI55" s="936"/>
      <c r="GDJ55" s="936"/>
      <c r="GDK55" s="936"/>
      <c r="GDL55" s="936"/>
      <c r="GDM55" s="936"/>
      <c r="GDN55" s="936"/>
      <c r="GDO55" s="936"/>
      <c r="GDP55" s="936"/>
      <c r="GDQ55" s="936"/>
      <c r="GDR55" s="936"/>
      <c r="GDS55" s="936"/>
      <c r="GDT55" s="936"/>
      <c r="GDU55" s="936"/>
      <c r="GDV55" s="936"/>
      <c r="GDW55" s="936"/>
      <c r="GDX55" s="936"/>
      <c r="GDY55" s="936"/>
      <c r="GDZ55" s="936"/>
      <c r="GEA55" s="936"/>
      <c r="GEB55" s="936"/>
      <c r="GEC55" s="936"/>
      <c r="GED55" s="936"/>
      <c r="GEE55" s="936"/>
      <c r="GEF55" s="936"/>
      <c r="GEG55" s="936"/>
      <c r="GEH55" s="936"/>
      <c r="GEI55" s="936"/>
      <c r="GEJ55" s="936"/>
      <c r="GEK55" s="936"/>
      <c r="GEL55" s="936"/>
      <c r="GEM55" s="936"/>
      <c r="GEN55" s="936"/>
      <c r="GEO55" s="936"/>
      <c r="GEP55" s="936"/>
      <c r="GEQ55" s="936"/>
      <c r="GER55" s="936"/>
      <c r="GES55" s="936"/>
      <c r="GET55" s="936"/>
      <c r="GEU55" s="936"/>
      <c r="GEV55" s="936"/>
      <c r="GEW55" s="936"/>
      <c r="GEX55" s="936"/>
      <c r="GEY55" s="936"/>
      <c r="GEZ55" s="936"/>
      <c r="GFA55" s="936"/>
      <c r="GFB55" s="936"/>
      <c r="GFC55" s="936"/>
      <c r="GFD55" s="936"/>
      <c r="GFE55" s="936"/>
      <c r="GFF55" s="936"/>
      <c r="GFG55" s="936"/>
      <c r="GFH55" s="936"/>
      <c r="GFI55" s="936"/>
      <c r="GFJ55" s="936"/>
      <c r="GFK55" s="936"/>
      <c r="GFL55" s="936"/>
      <c r="GFM55" s="936"/>
      <c r="GFN55" s="936"/>
      <c r="GFO55" s="936"/>
      <c r="GFP55" s="936"/>
      <c r="GFQ55" s="936"/>
      <c r="GFR55" s="936"/>
      <c r="GFS55" s="936"/>
      <c r="GFT55" s="936"/>
      <c r="GFU55" s="936"/>
      <c r="GFV55" s="936"/>
      <c r="GFW55" s="936"/>
      <c r="GFX55" s="936"/>
      <c r="GFY55" s="936"/>
      <c r="GFZ55" s="936"/>
      <c r="GGA55" s="936"/>
      <c r="GGB55" s="936"/>
      <c r="GGC55" s="936"/>
      <c r="GGD55" s="936"/>
      <c r="GGE55" s="936"/>
      <c r="GGF55" s="936"/>
      <c r="GGG55" s="936"/>
      <c r="GGH55" s="936"/>
      <c r="GGI55" s="936"/>
      <c r="GGJ55" s="936"/>
      <c r="GGK55" s="936"/>
      <c r="GGL55" s="936"/>
      <c r="GGM55" s="936"/>
      <c r="GGN55" s="936"/>
      <c r="GGO55" s="936"/>
      <c r="GGP55" s="936"/>
      <c r="GGQ55" s="936"/>
      <c r="GGR55" s="936"/>
      <c r="GGS55" s="936"/>
      <c r="GGT55" s="936"/>
      <c r="GGU55" s="936"/>
      <c r="GGV55" s="936"/>
      <c r="GGW55" s="936"/>
      <c r="GGX55" s="936"/>
      <c r="GGY55" s="936"/>
      <c r="GGZ55" s="936"/>
      <c r="GHA55" s="936"/>
      <c r="GHB55" s="936"/>
      <c r="GHC55" s="936"/>
      <c r="GHD55" s="936"/>
      <c r="GHE55" s="936"/>
      <c r="GHF55" s="936"/>
      <c r="GHG55" s="936"/>
      <c r="GHH55" s="936"/>
      <c r="GHI55" s="936"/>
      <c r="GHJ55" s="936"/>
      <c r="GHK55" s="936"/>
      <c r="GHL55" s="936"/>
      <c r="GHM55" s="936"/>
      <c r="GHN55" s="936"/>
      <c r="GHO55" s="936"/>
      <c r="GHP55" s="936"/>
      <c r="GHQ55" s="936"/>
      <c r="GHR55" s="936"/>
      <c r="GHS55" s="936"/>
      <c r="GHT55" s="936"/>
      <c r="GHU55" s="936"/>
      <c r="GHV55" s="936"/>
      <c r="GHW55" s="936"/>
      <c r="GHX55" s="936"/>
      <c r="GHY55" s="936"/>
      <c r="GHZ55" s="936"/>
      <c r="GIA55" s="936"/>
      <c r="GIB55" s="936"/>
      <c r="GIC55" s="936"/>
      <c r="GID55" s="936"/>
      <c r="GIE55" s="936"/>
      <c r="GIF55" s="936"/>
      <c r="GIG55" s="936"/>
      <c r="GIH55" s="936"/>
      <c r="GII55" s="936"/>
      <c r="GIJ55" s="936"/>
      <c r="GIK55" s="936"/>
      <c r="GIL55" s="936"/>
      <c r="GIM55" s="936"/>
      <c r="GIN55" s="936"/>
      <c r="GIO55" s="936"/>
      <c r="GIP55" s="936"/>
      <c r="GIQ55" s="936"/>
      <c r="GIR55" s="936"/>
      <c r="GIS55" s="936"/>
      <c r="GIT55" s="936"/>
      <c r="GIU55" s="936"/>
      <c r="GIV55" s="936"/>
      <c r="GIW55" s="936"/>
      <c r="GIX55" s="936"/>
      <c r="GIY55" s="936"/>
      <c r="GIZ55" s="936"/>
      <c r="GJA55" s="936"/>
      <c r="GJB55" s="936"/>
      <c r="GJC55" s="936"/>
      <c r="GJD55" s="936"/>
      <c r="GJE55" s="936"/>
      <c r="GJF55" s="936"/>
      <c r="GJG55" s="936"/>
      <c r="GJH55" s="936"/>
      <c r="GJI55" s="936"/>
      <c r="GJJ55" s="936"/>
      <c r="GJK55" s="936"/>
      <c r="GJL55" s="936"/>
      <c r="GJM55" s="936"/>
      <c r="GJN55" s="936"/>
      <c r="GJO55" s="936"/>
      <c r="GJP55" s="936"/>
      <c r="GJQ55" s="936"/>
      <c r="GJR55" s="936"/>
      <c r="GJS55" s="936"/>
      <c r="GJT55" s="936"/>
      <c r="GJU55" s="936"/>
      <c r="GJV55" s="936"/>
      <c r="GJW55" s="936"/>
      <c r="GJX55" s="936"/>
      <c r="GJY55" s="936"/>
      <c r="GJZ55" s="936"/>
      <c r="GKA55" s="936"/>
      <c r="GKB55" s="936"/>
      <c r="GKC55" s="936"/>
      <c r="GKD55" s="936"/>
      <c r="GKE55" s="936"/>
      <c r="GKF55" s="936"/>
      <c r="GKG55" s="936"/>
      <c r="GKH55" s="936"/>
      <c r="GKI55" s="936"/>
      <c r="GKJ55" s="936"/>
      <c r="GKK55" s="936"/>
      <c r="GKL55" s="936"/>
      <c r="GKM55" s="936"/>
      <c r="GKN55" s="936"/>
      <c r="GKO55" s="936"/>
      <c r="GKP55" s="936"/>
      <c r="GKQ55" s="936"/>
      <c r="GKR55" s="936"/>
      <c r="GKS55" s="936"/>
      <c r="GKT55" s="936"/>
      <c r="GKU55" s="936"/>
      <c r="GKV55" s="936"/>
      <c r="GKW55" s="936"/>
      <c r="GKX55" s="936"/>
      <c r="GKY55" s="936"/>
      <c r="GKZ55" s="936"/>
      <c r="GLA55" s="936"/>
      <c r="GLB55" s="936"/>
      <c r="GLC55" s="936"/>
      <c r="GLD55" s="936"/>
      <c r="GLE55" s="936"/>
      <c r="GLF55" s="936"/>
      <c r="GLG55" s="936"/>
      <c r="GLH55" s="936"/>
      <c r="GLI55" s="936"/>
      <c r="GLJ55" s="936"/>
      <c r="GLK55" s="936"/>
      <c r="GLL55" s="936"/>
      <c r="GLM55" s="936"/>
      <c r="GLN55" s="936"/>
      <c r="GLO55" s="936"/>
      <c r="GLP55" s="936"/>
      <c r="GLQ55" s="936"/>
      <c r="GLR55" s="936"/>
      <c r="GLS55" s="936"/>
      <c r="GLT55" s="936"/>
      <c r="GLU55" s="936"/>
      <c r="GLV55" s="936"/>
      <c r="GLW55" s="936"/>
      <c r="GLX55" s="936"/>
      <c r="GLY55" s="936"/>
      <c r="GLZ55" s="936"/>
      <c r="GMA55" s="936"/>
      <c r="GMB55" s="936"/>
      <c r="GMC55" s="936"/>
      <c r="GMD55" s="936"/>
      <c r="GME55" s="936"/>
      <c r="GMF55" s="936"/>
      <c r="GMG55" s="936"/>
      <c r="GMH55" s="936"/>
      <c r="GMI55" s="936"/>
      <c r="GMJ55" s="936"/>
      <c r="GMK55" s="936"/>
      <c r="GML55" s="936"/>
      <c r="GMM55" s="936"/>
      <c r="GMN55" s="936"/>
      <c r="GMO55" s="936"/>
      <c r="GMP55" s="936"/>
      <c r="GMQ55" s="936"/>
      <c r="GMR55" s="936"/>
      <c r="GMS55" s="936"/>
      <c r="GMT55" s="936"/>
      <c r="GMU55" s="936"/>
      <c r="GMV55" s="936"/>
      <c r="GMW55" s="936"/>
      <c r="GMX55" s="936"/>
      <c r="GMY55" s="936"/>
      <c r="GMZ55" s="936"/>
      <c r="GNA55" s="936"/>
      <c r="GNB55" s="936"/>
      <c r="GNC55" s="936"/>
      <c r="GND55" s="936"/>
      <c r="GNE55" s="936"/>
      <c r="GNF55" s="936"/>
      <c r="GNG55" s="936"/>
      <c r="GNH55" s="936"/>
      <c r="GNI55" s="936"/>
      <c r="GNJ55" s="936"/>
      <c r="GNK55" s="936"/>
      <c r="GNL55" s="936"/>
      <c r="GNM55" s="936"/>
      <c r="GNN55" s="936"/>
      <c r="GNO55" s="936"/>
      <c r="GNP55" s="936"/>
      <c r="GNQ55" s="936"/>
      <c r="GNR55" s="936"/>
      <c r="GNS55" s="936"/>
      <c r="GNT55" s="936"/>
      <c r="GNU55" s="936"/>
      <c r="GNV55" s="936"/>
      <c r="GNW55" s="936"/>
      <c r="GNX55" s="936"/>
      <c r="GNY55" s="936"/>
      <c r="GNZ55" s="936"/>
      <c r="GOA55" s="936"/>
      <c r="GOB55" s="936"/>
      <c r="GOC55" s="936"/>
      <c r="GOD55" s="936"/>
      <c r="GOE55" s="936"/>
      <c r="GOF55" s="936"/>
      <c r="GOG55" s="936"/>
      <c r="GOH55" s="936"/>
      <c r="GOI55" s="936"/>
      <c r="GOJ55" s="936"/>
      <c r="GOK55" s="936"/>
      <c r="GOL55" s="936"/>
      <c r="GOM55" s="936"/>
      <c r="GON55" s="936"/>
      <c r="GOO55" s="936"/>
      <c r="GOP55" s="936"/>
      <c r="GOQ55" s="936"/>
      <c r="GOR55" s="936"/>
      <c r="GOS55" s="936"/>
      <c r="GOT55" s="936"/>
      <c r="GOU55" s="936"/>
      <c r="GOV55" s="936"/>
      <c r="GOW55" s="936"/>
      <c r="GOX55" s="936"/>
      <c r="GOY55" s="936"/>
      <c r="GOZ55" s="936"/>
      <c r="GPA55" s="936"/>
      <c r="GPB55" s="936"/>
      <c r="GPC55" s="936"/>
      <c r="GPD55" s="936"/>
      <c r="GPE55" s="936"/>
      <c r="GPF55" s="936"/>
      <c r="GPG55" s="936"/>
      <c r="GPH55" s="936"/>
      <c r="GPI55" s="936"/>
      <c r="GPJ55" s="936"/>
      <c r="GPK55" s="936"/>
      <c r="GPL55" s="936"/>
      <c r="GPM55" s="936"/>
      <c r="GPN55" s="936"/>
      <c r="GPO55" s="936"/>
      <c r="GPP55" s="936"/>
      <c r="GPQ55" s="936"/>
      <c r="GPR55" s="936"/>
      <c r="GPS55" s="936"/>
      <c r="GPT55" s="936"/>
      <c r="GPU55" s="936"/>
      <c r="GPV55" s="936"/>
      <c r="GPW55" s="936"/>
      <c r="GPX55" s="936"/>
      <c r="GPY55" s="936"/>
      <c r="GPZ55" s="936"/>
      <c r="GQA55" s="936"/>
      <c r="GQB55" s="936"/>
      <c r="GQC55" s="936"/>
      <c r="GQD55" s="936"/>
      <c r="GQE55" s="936"/>
      <c r="GQF55" s="936"/>
      <c r="GQG55" s="936"/>
      <c r="GQH55" s="936"/>
      <c r="GQI55" s="936"/>
      <c r="GQJ55" s="936"/>
      <c r="GQK55" s="936"/>
      <c r="GQL55" s="936"/>
      <c r="GQM55" s="936"/>
      <c r="GQN55" s="936"/>
      <c r="GQO55" s="936"/>
      <c r="GQP55" s="936"/>
      <c r="GQQ55" s="936"/>
      <c r="GQR55" s="936"/>
      <c r="GQS55" s="936"/>
      <c r="GQT55" s="936"/>
      <c r="GQU55" s="936"/>
      <c r="GQV55" s="936"/>
      <c r="GQW55" s="936"/>
      <c r="GQX55" s="936"/>
      <c r="GQY55" s="936"/>
      <c r="GQZ55" s="936"/>
      <c r="GRA55" s="936"/>
      <c r="GRB55" s="936"/>
      <c r="GRC55" s="936"/>
      <c r="GRD55" s="936"/>
      <c r="GRE55" s="936"/>
      <c r="GRF55" s="936"/>
      <c r="GRG55" s="936"/>
      <c r="GRH55" s="936"/>
      <c r="GRI55" s="936"/>
      <c r="GRJ55" s="936"/>
      <c r="GRK55" s="936"/>
      <c r="GRL55" s="936"/>
      <c r="GRM55" s="936"/>
      <c r="GRN55" s="936"/>
      <c r="GRO55" s="936"/>
      <c r="GRP55" s="936"/>
      <c r="GRQ55" s="936"/>
      <c r="GRR55" s="936"/>
      <c r="GRS55" s="936"/>
      <c r="GRT55" s="936"/>
      <c r="GRU55" s="936"/>
      <c r="GRV55" s="936"/>
      <c r="GRW55" s="936"/>
      <c r="GRX55" s="936"/>
      <c r="GRY55" s="936"/>
      <c r="GRZ55" s="936"/>
      <c r="GSA55" s="936"/>
      <c r="GSB55" s="936"/>
      <c r="GSC55" s="936"/>
      <c r="GSD55" s="936"/>
      <c r="GSE55" s="936"/>
      <c r="GSF55" s="936"/>
      <c r="GSG55" s="936"/>
      <c r="GSH55" s="936"/>
      <c r="GSI55" s="936"/>
      <c r="GSJ55" s="936"/>
      <c r="GSK55" s="936"/>
      <c r="GSL55" s="936"/>
      <c r="GSM55" s="936"/>
      <c r="GSN55" s="936"/>
      <c r="GSO55" s="936"/>
      <c r="GSP55" s="936"/>
      <c r="GSQ55" s="936"/>
      <c r="GSR55" s="936"/>
      <c r="GSS55" s="936"/>
      <c r="GST55" s="936"/>
      <c r="GSU55" s="936"/>
      <c r="GSV55" s="936"/>
      <c r="GSW55" s="936"/>
      <c r="GSX55" s="936"/>
      <c r="GSY55" s="936"/>
      <c r="GSZ55" s="936"/>
      <c r="GTA55" s="936"/>
      <c r="GTB55" s="936"/>
      <c r="GTC55" s="936"/>
      <c r="GTD55" s="936"/>
      <c r="GTE55" s="936"/>
      <c r="GTF55" s="936"/>
      <c r="GTG55" s="936"/>
      <c r="GTH55" s="936"/>
      <c r="GTI55" s="936"/>
      <c r="GTJ55" s="936"/>
      <c r="GTK55" s="936"/>
      <c r="GTL55" s="936"/>
      <c r="GTM55" s="936"/>
      <c r="GTN55" s="936"/>
      <c r="GTO55" s="936"/>
      <c r="GTP55" s="936"/>
      <c r="GTQ55" s="936"/>
      <c r="GTR55" s="936"/>
      <c r="GTS55" s="936"/>
      <c r="GTT55" s="936"/>
      <c r="GTU55" s="936"/>
      <c r="GTV55" s="936"/>
      <c r="GTW55" s="936"/>
      <c r="GTX55" s="936"/>
      <c r="GTY55" s="936"/>
      <c r="GTZ55" s="936"/>
      <c r="GUA55" s="936"/>
      <c r="GUB55" s="936"/>
      <c r="GUC55" s="936"/>
      <c r="GUD55" s="936"/>
      <c r="GUE55" s="936"/>
      <c r="GUF55" s="936"/>
      <c r="GUG55" s="936"/>
      <c r="GUH55" s="936"/>
      <c r="GUI55" s="936"/>
      <c r="GUJ55" s="936"/>
      <c r="GUK55" s="936"/>
      <c r="GUL55" s="936"/>
      <c r="GUM55" s="936"/>
      <c r="GUN55" s="936"/>
      <c r="GUO55" s="936"/>
      <c r="GUP55" s="936"/>
      <c r="GUQ55" s="936"/>
      <c r="GUR55" s="936"/>
      <c r="GUS55" s="936"/>
      <c r="GUT55" s="936"/>
      <c r="GUU55" s="936"/>
      <c r="GUV55" s="936"/>
      <c r="GUW55" s="936"/>
      <c r="GUX55" s="936"/>
      <c r="GUY55" s="936"/>
      <c r="GUZ55" s="936"/>
      <c r="GVA55" s="936"/>
      <c r="GVB55" s="936"/>
      <c r="GVC55" s="936"/>
      <c r="GVD55" s="936"/>
      <c r="GVE55" s="936"/>
      <c r="GVF55" s="936"/>
      <c r="GVG55" s="936"/>
      <c r="GVH55" s="936"/>
      <c r="GVI55" s="936"/>
      <c r="GVJ55" s="936"/>
      <c r="GVK55" s="936"/>
      <c r="GVL55" s="936"/>
      <c r="GVM55" s="936"/>
      <c r="GVN55" s="936"/>
      <c r="GVO55" s="936"/>
      <c r="GVP55" s="936"/>
      <c r="GVQ55" s="936"/>
      <c r="GVR55" s="936"/>
      <c r="GVS55" s="936"/>
      <c r="GVT55" s="936"/>
      <c r="GVU55" s="936"/>
      <c r="GVV55" s="936"/>
      <c r="GVW55" s="936"/>
      <c r="GVX55" s="936"/>
      <c r="GVY55" s="936"/>
      <c r="GVZ55" s="936"/>
      <c r="GWA55" s="936"/>
      <c r="GWB55" s="936"/>
      <c r="GWC55" s="936"/>
      <c r="GWD55" s="936"/>
      <c r="GWE55" s="936"/>
      <c r="GWF55" s="936"/>
      <c r="GWG55" s="936"/>
      <c r="GWH55" s="936"/>
      <c r="GWI55" s="936"/>
      <c r="GWJ55" s="936"/>
      <c r="GWK55" s="936"/>
      <c r="GWL55" s="936"/>
      <c r="GWM55" s="936"/>
      <c r="GWN55" s="936"/>
      <c r="GWO55" s="936"/>
      <c r="GWP55" s="936"/>
      <c r="GWQ55" s="936"/>
      <c r="GWR55" s="936"/>
      <c r="GWS55" s="936"/>
      <c r="GWT55" s="936"/>
      <c r="GWU55" s="936"/>
      <c r="GWV55" s="936"/>
      <c r="GWW55" s="936"/>
      <c r="GWX55" s="936"/>
      <c r="GWY55" s="936"/>
      <c r="GWZ55" s="936"/>
      <c r="GXA55" s="936"/>
      <c r="GXB55" s="936"/>
      <c r="GXC55" s="936"/>
      <c r="GXD55" s="936"/>
      <c r="GXE55" s="936"/>
      <c r="GXF55" s="936"/>
      <c r="GXG55" s="936"/>
      <c r="GXH55" s="936"/>
      <c r="GXI55" s="936"/>
      <c r="GXJ55" s="936"/>
      <c r="GXK55" s="936"/>
      <c r="GXL55" s="936"/>
      <c r="GXM55" s="936"/>
      <c r="GXN55" s="936"/>
      <c r="GXO55" s="936"/>
      <c r="GXP55" s="936"/>
      <c r="GXQ55" s="936"/>
      <c r="GXR55" s="936"/>
      <c r="GXS55" s="936"/>
      <c r="GXT55" s="936"/>
      <c r="GXU55" s="936"/>
      <c r="GXV55" s="936"/>
      <c r="GXW55" s="936"/>
      <c r="GXX55" s="936"/>
      <c r="GXY55" s="936"/>
      <c r="GXZ55" s="936"/>
      <c r="GYA55" s="936"/>
      <c r="GYB55" s="936"/>
      <c r="GYC55" s="936"/>
      <c r="GYD55" s="936"/>
      <c r="GYE55" s="936"/>
      <c r="GYF55" s="936"/>
      <c r="GYG55" s="936"/>
      <c r="GYH55" s="936"/>
      <c r="GYI55" s="936"/>
      <c r="GYJ55" s="936"/>
      <c r="GYK55" s="936"/>
      <c r="GYL55" s="936"/>
      <c r="GYM55" s="936"/>
      <c r="GYN55" s="936"/>
      <c r="GYO55" s="936"/>
      <c r="GYP55" s="936"/>
      <c r="GYQ55" s="936"/>
      <c r="GYR55" s="936"/>
      <c r="GYS55" s="936"/>
      <c r="GYT55" s="936"/>
      <c r="GYU55" s="936"/>
      <c r="GYV55" s="936"/>
      <c r="GYW55" s="936"/>
      <c r="GYX55" s="936"/>
      <c r="GYY55" s="936"/>
      <c r="GYZ55" s="936"/>
      <c r="GZA55" s="936"/>
      <c r="GZB55" s="936"/>
      <c r="GZC55" s="936"/>
      <c r="GZD55" s="936"/>
      <c r="GZE55" s="936"/>
      <c r="GZF55" s="936"/>
      <c r="GZG55" s="936"/>
      <c r="GZH55" s="936"/>
      <c r="GZI55" s="936"/>
      <c r="GZJ55" s="936"/>
      <c r="GZK55" s="936"/>
      <c r="GZL55" s="936"/>
      <c r="GZM55" s="936"/>
      <c r="GZN55" s="936"/>
      <c r="GZO55" s="936"/>
      <c r="GZP55" s="936"/>
      <c r="GZQ55" s="936"/>
      <c r="GZR55" s="936"/>
      <c r="GZS55" s="936"/>
      <c r="GZT55" s="936"/>
      <c r="GZU55" s="936"/>
      <c r="GZV55" s="936"/>
      <c r="GZW55" s="936"/>
      <c r="GZX55" s="936"/>
      <c r="GZY55" s="936"/>
      <c r="GZZ55" s="936"/>
      <c r="HAA55" s="936"/>
      <c r="HAB55" s="936"/>
      <c r="HAC55" s="936"/>
      <c r="HAD55" s="936"/>
      <c r="HAE55" s="936"/>
      <c r="HAF55" s="936"/>
      <c r="HAG55" s="936"/>
      <c r="HAH55" s="936"/>
      <c r="HAI55" s="936"/>
      <c r="HAJ55" s="936"/>
      <c r="HAK55" s="936"/>
      <c r="HAL55" s="936"/>
      <c r="HAM55" s="936"/>
      <c r="HAN55" s="936"/>
      <c r="HAO55" s="936"/>
      <c r="HAP55" s="936"/>
      <c r="HAQ55" s="936"/>
      <c r="HAR55" s="936"/>
      <c r="HAS55" s="936"/>
      <c r="HAT55" s="936"/>
      <c r="HAU55" s="936"/>
      <c r="HAV55" s="936"/>
      <c r="HAW55" s="936"/>
      <c r="HAX55" s="936"/>
      <c r="HAY55" s="936"/>
      <c r="HAZ55" s="936"/>
      <c r="HBA55" s="936"/>
      <c r="HBB55" s="936"/>
      <c r="HBC55" s="936"/>
      <c r="HBD55" s="936"/>
      <c r="HBE55" s="936"/>
      <c r="HBF55" s="936"/>
      <c r="HBG55" s="936"/>
      <c r="HBH55" s="936"/>
      <c r="HBI55" s="936"/>
      <c r="HBJ55" s="936"/>
      <c r="HBK55" s="936"/>
      <c r="HBL55" s="936"/>
      <c r="HBM55" s="936"/>
      <c r="HBN55" s="936"/>
      <c r="HBO55" s="936"/>
      <c r="HBP55" s="936"/>
      <c r="HBQ55" s="936"/>
      <c r="HBR55" s="936"/>
      <c r="HBS55" s="936"/>
      <c r="HBT55" s="936"/>
      <c r="HBU55" s="936"/>
      <c r="HBV55" s="936"/>
      <c r="HBW55" s="936"/>
      <c r="HBX55" s="936"/>
      <c r="HBY55" s="936"/>
      <c r="HBZ55" s="936"/>
      <c r="HCA55" s="936"/>
      <c r="HCB55" s="936"/>
      <c r="HCC55" s="936"/>
      <c r="HCD55" s="936"/>
      <c r="HCE55" s="936"/>
      <c r="HCF55" s="936"/>
      <c r="HCG55" s="936"/>
      <c r="HCH55" s="936"/>
      <c r="HCI55" s="936"/>
      <c r="HCJ55" s="936"/>
      <c r="HCK55" s="936"/>
      <c r="HCL55" s="936"/>
      <c r="HCM55" s="936"/>
      <c r="HCN55" s="936"/>
      <c r="HCO55" s="936"/>
      <c r="HCP55" s="936"/>
      <c r="HCQ55" s="936"/>
      <c r="HCR55" s="936"/>
      <c r="HCS55" s="936"/>
      <c r="HCT55" s="936"/>
      <c r="HCU55" s="936"/>
      <c r="HCV55" s="936"/>
      <c r="HCW55" s="936"/>
      <c r="HCX55" s="936"/>
      <c r="HCY55" s="936"/>
      <c r="HCZ55" s="936"/>
      <c r="HDA55" s="936"/>
      <c r="HDB55" s="936"/>
      <c r="HDC55" s="936"/>
      <c r="HDD55" s="936"/>
      <c r="HDE55" s="936"/>
      <c r="HDF55" s="936"/>
      <c r="HDG55" s="936"/>
      <c r="HDH55" s="936"/>
      <c r="HDI55" s="936"/>
      <c r="HDJ55" s="936"/>
      <c r="HDK55" s="936"/>
      <c r="HDL55" s="936"/>
      <c r="HDM55" s="936"/>
      <c r="HDN55" s="936"/>
      <c r="HDO55" s="936"/>
      <c r="HDP55" s="936"/>
      <c r="HDQ55" s="936"/>
      <c r="HDR55" s="936"/>
      <c r="HDS55" s="936"/>
      <c r="HDT55" s="936"/>
      <c r="HDU55" s="936"/>
      <c r="HDV55" s="936"/>
      <c r="HDW55" s="936"/>
      <c r="HDX55" s="936"/>
      <c r="HDY55" s="936"/>
      <c r="HDZ55" s="936"/>
      <c r="HEA55" s="936"/>
      <c r="HEB55" s="936"/>
      <c r="HEC55" s="936"/>
      <c r="HED55" s="936"/>
      <c r="HEE55" s="936"/>
      <c r="HEF55" s="936"/>
      <c r="HEG55" s="936"/>
      <c r="HEH55" s="936"/>
      <c r="HEI55" s="936"/>
      <c r="HEJ55" s="936"/>
      <c r="HEK55" s="936"/>
      <c r="HEL55" s="936"/>
      <c r="HEM55" s="936"/>
      <c r="HEN55" s="936"/>
      <c r="HEO55" s="936"/>
      <c r="HEP55" s="936"/>
      <c r="HEQ55" s="936"/>
      <c r="HER55" s="936"/>
      <c r="HES55" s="936"/>
      <c r="HET55" s="936"/>
      <c r="HEU55" s="936"/>
      <c r="HEV55" s="936"/>
      <c r="HEW55" s="936"/>
      <c r="HEX55" s="936"/>
      <c r="HEY55" s="936"/>
      <c r="HEZ55" s="936"/>
      <c r="HFA55" s="936"/>
      <c r="HFB55" s="936"/>
      <c r="HFC55" s="936"/>
      <c r="HFD55" s="936"/>
      <c r="HFE55" s="936"/>
      <c r="HFF55" s="936"/>
      <c r="HFG55" s="936"/>
      <c r="HFH55" s="936"/>
      <c r="HFI55" s="936"/>
      <c r="HFJ55" s="936"/>
      <c r="HFK55" s="936"/>
      <c r="HFL55" s="936"/>
      <c r="HFM55" s="936"/>
      <c r="HFN55" s="936"/>
      <c r="HFO55" s="936"/>
      <c r="HFP55" s="936"/>
      <c r="HFQ55" s="936"/>
      <c r="HFR55" s="936"/>
      <c r="HFS55" s="936"/>
      <c r="HFT55" s="936"/>
      <c r="HFU55" s="936"/>
      <c r="HFV55" s="936"/>
      <c r="HFW55" s="936"/>
      <c r="HFX55" s="936"/>
      <c r="HFY55" s="936"/>
      <c r="HFZ55" s="936"/>
      <c r="HGA55" s="936"/>
      <c r="HGB55" s="936"/>
      <c r="HGC55" s="936"/>
      <c r="HGD55" s="936"/>
      <c r="HGE55" s="936"/>
      <c r="HGF55" s="936"/>
      <c r="HGG55" s="936"/>
      <c r="HGH55" s="936"/>
      <c r="HGI55" s="936"/>
      <c r="HGJ55" s="936"/>
      <c r="HGK55" s="936"/>
      <c r="HGL55" s="936"/>
      <c r="HGM55" s="936"/>
      <c r="HGN55" s="936"/>
      <c r="HGO55" s="936"/>
      <c r="HGP55" s="936"/>
      <c r="HGQ55" s="936"/>
      <c r="HGR55" s="936"/>
      <c r="HGS55" s="936"/>
      <c r="HGT55" s="936"/>
      <c r="HGU55" s="936"/>
      <c r="HGV55" s="936"/>
      <c r="HGW55" s="936"/>
      <c r="HGX55" s="936"/>
      <c r="HGY55" s="936"/>
      <c r="HGZ55" s="936"/>
      <c r="HHA55" s="936"/>
      <c r="HHB55" s="936"/>
      <c r="HHC55" s="936"/>
      <c r="HHD55" s="936"/>
      <c r="HHE55" s="936"/>
      <c r="HHF55" s="936"/>
      <c r="HHG55" s="936"/>
      <c r="HHH55" s="936"/>
      <c r="HHI55" s="936"/>
      <c r="HHJ55" s="936"/>
      <c r="HHK55" s="936"/>
      <c r="HHL55" s="936"/>
      <c r="HHM55" s="936"/>
      <c r="HHN55" s="936"/>
      <c r="HHO55" s="936"/>
      <c r="HHP55" s="936"/>
      <c r="HHQ55" s="936"/>
      <c r="HHR55" s="936"/>
      <c r="HHS55" s="936"/>
      <c r="HHT55" s="936"/>
      <c r="HHU55" s="936"/>
      <c r="HHV55" s="936"/>
      <c r="HHW55" s="936"/>
      <c r="HHX55" s="936"/>
      <c r="HHY55" s="936"/>
      <c r="HHZ55" s="936"/>
      <c r="HIA55" s="936"/>
      <c r="HIB55" s="936"/>
      <c r="HIC55" s="936"/>
      <c r="HID55" s="936"/>
      <c r="HIE55" s="936"/>
      <c r="HIF55" s="936"/>
      <c r="HIG55" s="936"/>
      <c r="HIH55" s="936"/>
      <c r="HII55" s="936"/>
      <c r="HIJ55" s="936"/>
      <c r="HIK55" s="936"/>
      <c r="HIL55" s="936"/>
      <c r="HIM55" s="936"/>
      <c r="HIN55" s="936"/>
      <c r="HIO55" s="936"/>
      <c r="HIP55" s="936"/>
      <c r="HIQ55" s="936"/>
      <c r="HIR55" s="936"/>
      <c r="HIS55" s="936"/>
      <c r="HIT55" s="936"/>
      <c r="HIU55" s="936"/>
      <c r="HIV55" s="936"/>
      <c r="HIW55" s="936"/>
      <c r="HIX55" s="936"/>
      <c r="HIY55" s="936"/>
      <c r="HIZ55" s="936"/>
      <c r="HJA55" s="936"/>
      <c r="HJB55" s="936"/>
      <c r="HJC55" s="936"/>
      <c r="HJD55" s="936"/>
      <c r="HJE55" s="936"/>
      <c r="HJF55" s="936"/>
      <c r="HJG55" s="936"/>
      <c r="HJH55" s="936"/>
      <c r="HJI55" s="936"/>
      <c r="HJJ55" s="936"/>
      <c r="HJK55" s="936"/>
      <c r="HJL55" s="936"/>
      <c r="HJM55" s="936"/>
      <c r="HJN55" s="936"/>
      <c r="HJO55" s="936"/>
      <c r="HJP55" s="936"/>
      <c r="HJQ55" s="936"/>
      <c r="HJR55" s="936"/>
      <c r="HJS55" s="936"/>
      <c r="HJT55" s="936"/>
      <c r="HJU55" s="936"/>
      <c r="HJV55" s="936"/>
      <c r="HJW55" s="936"/>
      <c r="HJX55" s="936"/>
      <c r="HJY55" s="936"/>
      <c r="HJZ55" s="936"/>
      <c r="HKA55" s="936"/>
      <c r="HKB55" s="936"/>
      <c r="HKC55" s="936"/>
      <c r="HKD55" s="936"/>
      <c r="HKE55" s="936"/>
      <c r="HKF55" s="936"/>
      <c r="HKG55" s="936"/>
      <c r="HKH55" s="936"/>
      <c r="HKI55" s="936"/>
      <c r="HKJ55" s="936"/>
      <c r="HKK55" s="936"/>
      <c r="HKL55" s="936"/>
      <c r="HKM55" s="936"/>
      <c r="HKN55" s="936"/>
      <c r="HKO55" s="936"/>
      <c r="HKP55" s="936"/>
      <c r="HKQ55" s="936"/>
      <c r="HKR55" s="936"/>
      <c r="HKS55" s="936"/>
      <c r="HKT55" s="936"/>
      <c r="HKU55" s="936"/>
      <c r="HKV55" s="936"/>
      <c r="HKW55" s="936"/>
      <c r="HKX55" s="936"/>
      <c r="HKY55" s="936"/>
      <c r="HKZ55" s="936"/>
      <c r="HLA55" s="936"/>
      <c r="HLB55" s="936"/>
      <c r="HLC55" s="936"/>
      <c r="HLD55" s="936"/>
      <c r="HLE55" s="936"/>
      <c r="HLF55" s="936"/>
      <c r="HLG55" s="936"/>
      <c r="HLH55" s="936"/>
      <c r="HLI55" s="936"/>
      <c r="HLJ55" s="936"/>
      <c r="HLK55" s="936"/>
      <c r="HLL55" s="936"/>
      <c r="HLM55" s="936"/>
      <c r="HLN55" s="936"/>
      <c r="HLO55" s="936"/>
      <c r="HLP55" s="936"/>
      <c r="HLQ55" s="936"/>
      <c r="HLR55" s="936"/>
      <c r="HLS55" s="936"/>
      <c r="HLT55" s="936"/>
      <c r="HLU55" s="936"/>
      <c r="HLV55" s="936"/>
      <c r="HLW55" s="936"/>
      <c r="HLX55" s="936"/>
      <c r="HLY55" s="936"/>
      <c r="HLZ55" s="936"/>
      <c r="HMA55" s="936"/>
      <c r="HMB55" s="936"/>
      <c r="HMC55" s="936"/>
      <c r="HMD55" s="936"/>
      <c r="HME55" s="936"/>
      <c r="HMF55" s="936"/>
      <c r="HMG55" s="936"/>
      <c r="HMH55" s="936"/>
      <c r="HMI55" s="936"/>
      <c r="HMJ55" s="936"/>
      <c r="HMK55" s="936"/>
      <c r="HML55" s="936"/>
      <c r="HMM55" s="936"/>
      <c r="HMN55" s="936"/>
      <c r="HMO55" s="936"/>
      <c r="HMP55" s="936"/>
      <c r="HMQ55" s="936"/>
      <c r="HMR55" s="936"/>
      <c r="HMS55" s="936"/>
      <c r="HMT55" s="936"/>
      <c r="HMU55" s="936"/>
      <c r="HMV55" s="936"/>
      <c r="HMW55" s="936"/>
      <c r="HMX55" s="936"/>
      <c r="HMY55" s="936"/>
      <c r="HMZ55" s="936"/>
      <c r="HNA55" s="936"/>
      <c r="HNB55" s="936"/>
      <c r="HNC55" s="936"/>
      <c r="HND55" s="936"/>
      <c r="HNE55" s="936"/>
      <c r="HNF55" s="936"/>
      <c r="HNG55" s="936"/>
      <c r="HNH55" s="936"/>
      <c r="HNI55" s="936"/>
      <c r="HNJ55" s="936"/>
      <c r="HNK55" s="936"/>
      <c r="HNL55" s="936"/>
      <c r="HNM55" s="936"/>
      <c r="HNN55" s="936"/>
      <c r="HNO55" s="936"/>
      <c r="HNP55" s="936"/>
      <c r="HNQ55" s="936"/>
      <c r="HNR55" s="936"/>
      <c r="HNS55" s="936"/>
      <c r="HNT55" s="936"/>
      <c r="HNU55" s="936"/>
      <c r="HNV55" s="936"/>
      <c r="HNW55" s="936"/>
      <c r="HNX55" s="936"/>
      <c r="HNY55" s="936"/>
      <c r="HNZ55" s="936"/>
      <c r="HOA55" s="936"/>
      <c r="HOB55" s="936"/>
      <c r="HOC55" s="936"/>
      <c r="HOD55" s="936"/>
      <c r="HOE55" s="936"/>
      <c r="HOF55" s="936"/>
      <c r="HOG55" s="936"/>
      <c r="HOH55" s="936"/>
      <c r="HOI55" s="936"/>
      <c r="HOJ55" s="936"/>
      <c r="HOK55" s="936"/>
      <c r="HOL55" s="936"/>
      <c r="HOM55" s="936"/>
      <c r="HON55" s="936"/>
      <c r="HOO55" s="936"/>
      <c r="HOP55" s="936"/>
      <c r="HOQ55" s="936"/>
      <c r="HOR55" s="936"/>
      <c r="HOS55" s="936"/>
      <c r="HOT55" s="936"/>
      <c r="HOU55" s="936"/>
      <c r="HOV55" s="936"/>
      <c r="HOW55" s="936"/>
      <c r="HOX55" s="936"/>
      <c r="HOY55" s="936"/>
      <c r="HOZ55" s="936"/>
      <c r="HPA55" s="936"/>
      <c r="HPB55" s="936"/>
      <c r="HPC55" s="936"/>
      <c r="HPD55" s="936"/>
      <c r="HPE55" s="936"/>
      <c r="HPF55" s="936"/>
      <c r="HPG55" s="936"/>
      <c r="HPH55" s="936"/>
      <c r="HPI55" s="936"/>
      <c r="HPJ55" s="936"/>
      <c r="HPK55" s="936"/>
      <c r="HPL55" s="936"/>
      <c r="HPM55" s="936"/>
      <c r="HPN55" s="936"/>
      <c r="HPO55" s="936"/>
      <c r="HPP55" s="936"/>
      <c r="HPQ55" s="936"/>
      <c r="HPR55" s="936"/>
      <c r="HPS55" s="936"/>
      <c r="HPT55" s="936"/>
      <c r="HPU55" s="936"/>
      <c r="HPV55" s="936"/>
      <c r="HPW55" s="936"/>
      <c r="HPX55" s="936"/>
      <c r="HPY55" s="936"/>
      <c r="HPZ55" s="936"/>
      <c r="HQA55" s="936"/>
      <c r="HQB55" s="936"/>
      <c r="HQC55" s="936"/>
      <c r="HQD55" s="936"/>
      <c r="HQE55" s="936"/>
      <c r="HQF55" s="936"/>
      <c r="HQG55" s="936"/>
      <c r="HQH55" s="936"/>
      <c r="HQI55" s="936"/>
      <c r="HQJ55" s="936"/>
      <c r="HQK55" s="936"/>
      <c r="HQL55" s="936"/>
      <c r="HQM55" s="936"/>
      <c r="HQN55" s="936"/>
      <c r="HQO55" s="936"/>
      <c r="HQP55" s="936"/>
      <c r="HQQ55" s="936"/>
      <c r="HQR55" s="936"/>
      <c r="HQS55" s="936"/>
      <c r="HQT55" s="936"/>
      <c r="HQU55" s="936"/>
      <c r="HQV55" s="936"/>
      <c r="HQW55" s="936"/>
      <c r="HQX55" s="936"/>
      <c r="HQY55" s="936"/>
      <c r="HQZ55" s="936"/>
      <c r="HRA55" s="936"/>
      <c r="HRB55" s="936"/>
      <c r="HRC55" s="936"/>
      <c r="HRD55" s="936"/>
      <c r="HRE55" s="936"/>
      <c r="HRF55" s="936"/>
      <c r="HRG55" s="936"/>
      <c r="HRH55" s="936"/>
      <c r="HRI55" s="936"/>
      <c r="HRJ55" s="936"/>
      <c r="HRK55" s="936"/>
      <c r="HRL55" s="936"/>
      <c r="HRM55" s="936"/>
      <c r="HRN55" s="936"/>
      <c r="HRO55" s="936"/>
      <c r="HRP55" s="936"/>
      <c r="HRQ55" s="936"/>
      <c r="HRR55" s="936"/>
      <c r="HRS55" s="936"/>
      <c r="HRT55" s="936"/>
      <c r="HRU55" s="936"/>
      <c r="HRV55" s="936"/>
      <c r="HRW55" s="936"/>
      <c r="HRX55" s="936"/>
      <c r="HRY55" s="936"/>
      <c r="HRZ55" s="936"/>
      <c r="HSA55" s="936"/>
      <c r="HSB55" s="936"/>
      <c r="HSC55" s="936"/>
      <c r="HSD55" s="936"/>
      <c r="HSE55" s="936"/>
      <c r="HSF55" s="936"/>
      <c r="HSG55" s="936"/>
      <c r="HSH55" s="936"/>
      <c r="HSI55" s="936"/>
      <c r="HSJ55" s="936"/>
      <c r="HSK55" s="936"/>
      <c r="HSL55" s="936"/>
      <c r="HSM55" s="936"/>
      <c r="HSN55" s="936"/>
      <c r="HSO55" s="936"/>
      <c r="HSP55" s="936"/>
      <c r="HSQ55" s="936"/>
      <c r="HSR55" s="936"/>
      <c r="HSS55" s="936"/>
      <c r="HST55" s="936"/>
      <c r="HSU55" s="936"/>
      <c r="HSV55" s="936"/>
      <c r="HSW55" s="936"/>
      <c r="HSX55" s="936"/>
      <c r="HSY55" s="936"/>
      <c r="HSZ55" s="936"/>
      <c r="HTA55" s="936"/>
      <c r="HTB55" s="936"/>
      <c r="HTC55" s="936"/>
      <c r="HTD55" s="936"/>
      <c r="HTE55" s="936"/>
      <c r="HTF55" s="936"/>
      <c r="HTG55" s="936"/>
      <c r="HTH55" s="936"/>
      <c r="HTI55" s="936"/>
      <c r="HTJ55" s="936"/>
      <c r="HTK55" s="936"/>
      <c r="HTL55" s="936"/>
      <c r="HTM55" s="936"/>
      <c r="HTN55" s="936"/>
      <c r="HTO55" s="936"/>
      <c r="HTP55" s="936"/>
      <c r="HTQ55" s="936"/>
      <c r="HTR55" s="936"/>
      <c r="HTS55" s="936"/>
      <c r="HTT55" s="936"/>
      <c r="HTU55" s="936"/>
      <c r="HTV55" s="936"/>
      <c r="HTW55" s="936"/>
      <c r="HTX55" s="936"/>
      <c r="HTY55" s="936"/>
      <c r="HTZ55" s="936"/>
      <c r="HUA55" s="936"/>
      <c r="HUB55" s="936"/>
      <c r="HUC55" s="936"/>
      <c r="HUD55" s="936"/>
      <c r="HUE55" s="936"/>
      <c r="HUF55" s="936"/>
      <c r="HUG55" s="936"/>
      <c r="HUH55" s="936"/>
      <c r="HUI55" s="936"/>
      <c r="HUJ55" s="936"/>
      <c r="HUK55" s="936"/>
      <c r="HUL55" s="936"/>
      <c r="HUM55" s="936"/>
      <c r="HUN55" s="936"/>
      <c r="HUO55" s="936"/>
      <c r="HUP55" s="936"/>
      <c r="HUQ55" s="936"/>
      <c r="HUR55" s="936"/>
      <c r="HUS55" s="936"/>
      <c r="HUT55" s="936"/>
      <c r="HUU55" s="936"/>
      <c r="HUV55" s="936"/>
      <c r="HUW55" s="936"/>
      <c r="HUX55" s="936"/>
      <c r="HUY55" s="936"/>
      <c r="HUZ55" s="936"/>
      <c r="HVA55" s="936"/>
      <c r="HVB55" s="936"/>
      <c r="HVC55" s="936"/>
      <c r="HVD55" s="936"/>
      <c r="HVE55" s="936"/>
      <c r="HVF55" s="936"/>
      <c r="HVG55" s="936"/>
      <c r="HVH55" s="936"/>
      <c r="HVI55" s="936"/>
      <c r="HVJ55" s="936"/>
      <c r="HVK55" s="936"/>
      <c r="HVL55" s="936"/>
      <c r="HVM55" s="936"/>
      <c r="HVN55" s="936"/>
      <c r="HVO55" s="936"/>
      <c r="HVP55" s="936"/>
      <c r="HVQ55" s="936"/>
      <c r="HVR55" s="936"/>
      <c r="HVS55" s="936"/>
      <c r="HVT55" s="936"/>
      <c r="HVU55" s="936"/>
      <c r="HVV55" s="936"/>
      <c r="HVW55" s="936"/>
      <c r="HVX55" s="936"/>
      <c r="HVY55" s="936"/>
      <c r="HVZ55" s="936"/>
      <c r="HWA55" s="936"/>
      <c r="HWB55" s="936"/>
      <c r="HWC55" s="936"/>
      <c r="HWD55" s="936"/>
      <c r="HWE55" s="936"/>
      <c r="HWF55" s="936"/>
      <c r="HWG55" s="936"/>
      <c r="HWH55" s="936"/>
      <c r="HWI55" s="936"/>
      <c r="HWJ55" s="936"/>
      <c r="HWK55" s="936"/>
      <c r="HWL55" s="936"/>
      <c r="HWM55" s="936"/>
      <c r="HWN55" s="936"/>
      <c r="HWO55" s="936"/>
      <c r="HWP55" s="936"/>
      <c r="HWQ55" s="936"/>
      <c r="HWR55" s="936"/>
      <c r="HWS55" s="936"/>
      <c r="HWT55" s="936"/>
      <c r="HWU55" s="936"/>
      <c r="HWV55" s="936"/>
      <c r="HWW55" s="936"/>
      <c r="HWX55" s="936"/>
      <c r="HWY55" s="936"/>
      <c r="HWZ55" s="936"/>
      <c r="HXA55" s="936"/>
      <c r="HXB55" s="936"/>
      <c r="HXC55" s="936"/>
      <c r="HXD55" s="936"/>
      <c r="HXE55" s="936"/>
      <c r="HXF55" s="936"/>
      <c r="HXG55" s="936"/>
      <c r="HXH55" s="936"/>
      <c r="HXI55" s="936"/>
      <c r="HXJ55" s="936"/>
      <c r="HXK55" s="936"/>
      <c r="HXL55" s="936"/>
      <c r="HXM55" s="936"/>
      <c r="HXN55" s="936"/>
      <c r="HXO55" s="936"/>
      <c r="HXP55" s="936"/>
      <c r="HXQ55" s="936"/>
      <c r="HXR55" s="936"/>
      <c r="HXS55" s="936"/>
      <c r="HXT55" s="936"/>
      <c r="HXU55" s="936"/>
      <c r="HXV55" s="936"/>
      <c r="HXW55" s="936"/>
      <c r="HXX55" s="936"/>
      <c r="HXY55" s="936"/>
      <c r="HXZ55" s="936"/>
      <c r="HYA55" s="936"/>
      <c r="HYB55" s="936"/>
      <c r="HYC55" s="936"/>
      <c r="HYD55" s="936"/>
      <c r="HYE55" s="936"/>
      <c r="HYF55" s="936"/>
      <c r="HYG55" s="936"/>
      <c r="HYH55" s="936"/>
      <c r="HYI55" s="936"/>
      <c r="HYJ55" s="936"/>
      <c r="HYK55" s="936"/>
      <c r="HYL55" s="936"/>
      <c r="HYM55" s="936"/>
      <c r="HYN55" s="936"/>
      <c r="HYO55" s="936"/>
      <c r="HYP55" s="936"/>
      <c r="HYQ55" s="936"/>
      <c r="HYR55" s="936"/>
      <c r="HYS55" s="936"/>
      <c r="HYT55" s="936"/>
      <c r="HYU55" s="936"/>
      <c r="HYV55" s="936"/>
      <c r="HYW55" s="936"/>
      <c r="HYX55" s="936"/>
      <c r="HYY55" s="936"/>
      <c r="HYZ55" s="936"/>
      <c r="HZA55" s="936"/>
      <c r="HZB55" s="936"/>
      <c r="HZC55" s="936"/>
      <c r="HZD55" s="936"/>
      <c r="HZE55" s="936"/>
      <c r="HZF55" s="936"/>
      <c r="HZG55" s="936"/>
      <c r="HZH55" s="936"/>
      <c r="HZI55" s="936"/>
      <c r="HZJ55" s="936"/>
      <c r="HZK55" s="936"/>
      <c r="HZL55" s="936"/>
      <c r="HZM55" s="936"/>
      <c r="HZN55" s="936"/>
      <c r="HZO55" s="936"/>
      <c r="HZP55" s="936"/>
      <c r="HZQ55" s="936"/>
      <c r="HZR55" s="936"/>
      <c r="HZS55" s="936"/>
      <c r="HZT55" s="936"/>
      <c r="HZU55" s="936"/>
      <c r="HZV55" s="936"/>
      <c r="HZW55" s="936"/>
      <c r="HZX55" s="936"/>
      <c r="HZY55" s="936"/>
      <c r="HZZ55" s="936"/>
      <c r="IAA55" s="936"/>
      <c r="IAB55" s="936"/>
      <c r="IAC55" s="936"/>
      <c r="IAD55" s="936"/>
      <c r="IAE55" s="936"/>
      <c r="IAF55" s="936"/>
      <c r="IAG55" s="936"/>
      <c r="IAH55" s="936"/>
      <c r="IAI55" s="936"/>
      <c r="IAJ55" s="936"/>
      <c r="IAK55" s="936"/>
      <c r="IAL55" s="936"/>
      <c r="IAM55" s="936"/>
      <c r="IAN55" s="936"/>
      <c r="IAO55" s="936"/>
      <c r="IAP55" s="936"/>
      <c r="IAQ55" s="936"/>
      <c r="IAR55" s="936"/>
      <c r="IAS55" s="936"/>
      <c r="IAT55" s="936"/>
      <c r="IAU55" s="936"/>
      <c r="IAV55" s="936"/>
      <c r="IAW55" s="936"/>
      <c r="IAX55" s="936"/>
      <c r="IAY55" s="936"/>
      <c r="IAZ55" s="936"/>
      <c r="IBA55" s="936"/>
      <c r="IBB55" s="936"/>
      <c r="IBC55" s="936"/>
      <c r="IBD55" s="936"/>
      <c r="IBE55" s="936"/>
      <c r="IBF55" s="936"/>
      <c r="IBG55" s="936"/>
      <c r="IBH55" s="936"/>
      <c r="IBI55" s="936"/>
      <c r="IBJ55" s="936"/>
      <c r="IBK55" s="936"/>
      <c r="IBL55" s="936"/>
      <c r="IBM55" s="936"/>
      <c r="IBN55" s="936"/>
      <c r="IBO55" s="936"/>
      <c r="IBP55" s="936"/>
      <c r="IBQ55" s="936"/>
      <c r="IBR55" s="936"/>
      <c r="IBS55" s="936"/>
      <c r="IBT55" s="936"/>
      <c r="IBU55" s="936"/>
      <c r="IBV55" s="936"/>
      <c r="IBW55" s="936"/>
      <c r="IBX55" s="936"/>
      <c r="IBY55" s="936"/>
      <c r="IBZ55" s="936"/>
      <c r="ICA55" s="936"/>
      <c r="ICB55" s="936"/>
      <c r="ICC55" s="936"/>
      <c r="ICD55" s="936"/>
      <c r="ICE55" s="936"/>
      <c r="ICF55" s="936"/>
      <c r="ICG55" s="936"/>
      <c r="ICH55" s="936"/>
      <c r="ICI55" s="936"/>
      <c r="ICJ55" s="936"/>
      <c r="ICK55" s="936"/>
      <c r="ICL55" s="936"/>
      <c r="ICM55" s="936"/>
      <c r="ICN55" s="936"/>
      <c r="ICO55" s="936"/>
      <c r="ICP55" s="936"/>
      <c r="ICQ55" s="936"/>
      <c r="ICR55" s="936"/>
      <c r="ICS55" s="936"/>
      <c r="ICT55" s="936"/>
      <c r="ICU55" s="936"/>
      <c r="ICV55" s="936"/>
      <c r="ICW55" s="936"/>
      <c r="ICX55" s="936"/>
      <c r="ICY55" s="936"/>
      <c r="ICZ55" s="936"/>
      <c r="IDA55" s="936"/>
      <c r="IDB55" s="936"/>
      <c r="IDC55" s="936"/>
      <c r="IDD55" s="936"/>
      <c r="IDE55" s="936"/>
      <c r="IDF55" s="936"/>
      <c r="IDG55" s="936"/>
      <c r="IDH55" s="936"/>
      <c r="IDI55" s="936"/>
      <c r="IDJ55" s="936"/>
      <c r="IDK55" s="936"/>
      <c r="IDL55" s="936"/>
      <c r="IDM55" s="936"/>
      <c r="IDN55" s="936"/>
      <c r="IDO55" s="936"/>
      <c r="IDP55" s="936"/>
      <c r="IDQ55" s="936"/>
      <c r="IDR55" s="936"/>
      <c r="IDS55" s="936"/>
      <c r="IDT55" s="936"/>
      <c r="IDU55" s="936"/>
      <c r="IDV55" s="936"/>
      <c r="IDW55" s="936"/>
      <c r="IDX55" s="936"/>
      <c r="IDY55" s="936"/>
      <c r="IDZ55" s="936"/>
      <c r="IEA55" s="936"/>
      <c r="IEB55" s="936"/>
      <c r="IEC55" s="936"/>
      <c r="IED55" s="936"/>
      <c r="IEE55" s="936"/>
      <c r="IEF55" s="936"/>
      <c r="IEG55" s="936"/>
      <c r="IEH55" s="936"/>
      <c r="IEI55" s="936"/>
      <c r="IEJ55" s="936"/>
      <c r="IEK55" s="936"/>
      <c r="IEL55" s="936"/>
      <c r="IEM55" s="936"/>
      <c r="IEN55" s="936"/>
      <c r="IEO55" s="936"/>
      <c r="IEP55" s="936"/>
      <c r="IEQ55" s="936"/>
      <c r="IER55" s="936"/>
      <c r="IES55" s="936"/>
      <c r="IET55" s="936"/>
      <c r="IEU55" s="936"/>
      <c r="IEV55" s="936"/>
      <c r="IEW55" s="936"/>
      <c r="IEX55" s="936"/>
      <c r="IEY55" s="936"/>
      <c r="IEZ55" s="936"/>
      <c r="IFA55" s="936"/>
      <c r="IFB55" s="936"/>
      <c r="IFC55" s="936"/>
      <c r="IFD55" s="936"/>
      <c r="IFE55" s="936"/>
      <c r="IFF55" s="936"/>
      <c r="IFG55" s="936"/>
      <c r="IFH55" s="936"/>
      <c r="IFI55" s="936"/>
      <c r="IFJ55" s="936"/>
      <c r="IFK55" s="936"/>
      <c r="IFL55" s="936"/>
      <c r="IFM55" s="936"/>
      <c r="IFN55" s="936"/>
      <c r="IFO55" s="936"/>
      <c r="IFP55" s="936"/>
      <c r="IFQ55" s="936"/>
      <c r="IFR55" s="936"/>
      <c r="IFS55" s="936"/>
      <c r="IFT55" s="936"/>
      <c r="IFU55" s="936"/>
      <c r="IFV55" s="936"/>
      <c r="IFW55" s="936"/>
      <c r="IFX55" s="936"/>
      <c r="IFY55" s="936"/>
      <c r="IFZ55" s="936"/>
      <c r="IGA55" s="936"/>
      <c r="IGB55" s="936"/>
      <c r="IGC55" s="936"/>
      <c r="IGD55" s="936"/>
      <c r="IGE55" s="936"/>
      <c r="IGF55" s="936"/>
      <c r="IGG55" s="936"/>
      <c r="IGH55" s="936"/>
      <c r="IGI55" s="936"/>
      <c r="IGJ55" s="936"/>
      <c r="IGK55" s="936"/>
      <c r="IGL55" s="936"/>
      <c r="IGM55" s="936"/>
      <c r="IGN55" s="936"/>
      <c r="IGO55" s="936"/>
      <c r="IGP55" s="936"/>
      <c r="IGQ55" s="936"/>
      <c r="IGR55" s="936"/>
      <c r="IGS55" s="936"/>
      <c r="IGT55" s="936"/>
      <c r="IGU55" s="936"/>
      <c r="IGV55" s="936"/>
      <c r="IGW55" s="936"/>
      <c r="IGX55" s="936"/>
      <c r="IGY55" s="936"/>
      <c r="IGZ55" s="936"/>
      <c r="IHA55" s="936"/>
      <c r="IHB55" s="936"/>
      <c r="IHC55" s="936"/>
      <c r="IHD55" s="936"/>
      <c r="IHE55" s="936"/>
      <c r="IHF55" s="936"/>
      <c r="IHG55" s="936"/>
      <c r="IHH55" s="936"/>
      <c r="IHI55" s="936"/>
      <c r="IHJ55" s="936"/>
      <c r="IHK55" s="936"/>
      <c r="IHL55" s="936"/>
      <c r="IHM55" s="936"/>
      <c r="IHN55" s="936"/>
      <c r="IHO55" s="936"/>
      <c r="IHP55" s="936"/>
      <c r="IHQ55" s="936"/>
      <c r="IHR55" s="936"/>
      <c r="IHS55" s="936"/>
      <c r="IHT55" s="936"/>
      <c r="IHU55" s="936"/>
      <c r="IHV55" s="936"/>
      <c r="IHW55" s="936"/>
      <c r="IHX55" s="936"/>
      <c r="IHY55" s="936"/>
      <c r="IHZ55" s="936"/>
      <c r="IIA55" s="936"/>
      <c r="IIB55" s="936"/>
      <c r="IIC55" s="936"/>
      <c r="IID55" s="936"/>
      <c r="IIE55" s="936"/>
      <c r="IIF55" s="936"/>
      <c r="IIG55" s="936"/>
      <c r="IIH55" s="936"/>
      <c r="III55" s="936"/>
      <c r="IIJ55" s="936"/>
      <c r="IIK55" s="936"/>
      <c r="IIL55" s="936"/>
      <c r="IIM55" s="936"/>
      <c r="IIN55" s="936"/>
      <c r="IIO55" s="936"/>
      <c r="IIP55" s="936"/>
      <c r="IIQ55" s="936"/>
      <c r="IIR55" s="936"/>
      <c r="IIS55" s="936"/>
      <c r="IIT55" s="936"/>
      <c r="IIU55" s="936"/>
      <c r="IIV55" s="936"/>
      <c r="IIW55" s="936"/>
      <c r="IIX55" s="936"/>
      <c r="IIY55" s="936"/>
      <c r="IIZ55" s="936"/>
      <c r="IJA55" s="936"/>
      <c r="IJB55" s="936"/>
      <c r="IJC55" s="936"/>
      <c r="IJD55" s="936"/>
      <c r="IJE55" s="936"/>
      <c r="IJF55" s="936"/>
      <c r="IJG55" s="936"/>
      <c r="IJH55" s="936"/>
      <c r="IJI55" s="936"/>
      <c r="IJJ55" s="936"/>
      <c r="IJK55" s="936"/>
      <c r="IJL55" s="936"/>
      <c r="IJM55" s="936"/>
      <c r="IJN55" s="936"/>
      <c r="IJO55" s="936"/>
      <c r="IJP55" s="936"/>
      <c r="IJQ55" s="936"/>
      <c r="IJR55" s="936"/>
      <c r="IJS55" s="936"/>
      <c r="IJT55" s="936"/>
      <c r="IJU55" s="936"/>
      <c r="IJV55" s="936"/>
      <c r="IJW55" s="936"/>
      <c r="IJX55" s="936"/>
      <c r="IJY55" s="936"/>
      <c r="IJZ55" s="936"/>
      <c r="IKA55" s="936"/>
      <c r="IKB55" s="936"/>
      <c r="IKC55" s="936"/>
      <c r="IKD55" s="936"/>
      <c r="IKE55" s="936"/>
      <c r="IKF55" s="936"/>
      <c r="IKG55" s="936"/>
      <c r="IKH55" s="936"/>
      <c r="IKI55" s="936"/>
      <c r="IKJ55" s="936"/>
      <c r="IKK55" s="936"/>
      <c r="IKL55" s="936"/>
      <c r="IKM55" s="936"/>
      <c r="IKN55" s="936"/>
      <c r="IKO55" s="936"/>
      <c r="IKP55" s="936"/>
      <c r="IKQ55" s="936"/>
      <c r="IKR55" s="936"/>
      <c r="IKS55" s="936"/>
      <c r="IKT55" s="936"/>
      <c r="IKU55" s="936"/>
      <c r="IKV55" s="936"/>
      <c r="IKW55" s="936"/>
      <c r="IKX55" s="936"/>
      <c r="IKY55" s="936"/>
      <c r="IKZ55" s="936"/>
      <c r="ILA55" s="936"/>
      <c r="ILB55" s="936"/>
      <c r="ILC55" s="936"/>
      <c r="ILD55" s="936"/>
      <c r="ILE55" s="936"/>
      <c r="ILF55" s="936"/>
      <c r="ILG55" s="936"/>
      <c r="ILH55" s="936"/>
      <c r="ILI55" s="936"/>
      <c r="ILJ55" s="936"/>
      <c r="ILK55" s="936"/>
      <c r="ILL55" s="936"/>
      <c r="ILM55" s="936"/>
      <c r="ILN55" s="936"/>
      <c r="ILO55" s="936"/>
      <c r="ILP55" s="936"/>
      <c r="ILQ55" s="936"/>
      <c r="ILR55" s="936"/>
      <c r="ILS55" s="936"/>
      <c r="ILT55" s="936"/>
      <c r="ILU55" s="936"/>
      <c r="ILV55" s="936"/>
      <c r="ILW55" s="936"/>
      <c r="ILX55" s="936"/>
      <c r="ILY55" s="936"/>
      <c r="ILZ55" s="936"/>
      <c r="IMA55" s="936"/>
      <c r="IMB55" s="936"/>
      <c r="IMC55" s="936"/>
      <c r="IMD55" s="936"/>
      <c r="IME55" s="936"/>
      <c r="IMF55" s="936"/>
      <c r="IMG55" s="936"/>
      <c r="IMH55" s="936"/>
      <c r="IMI55" s="936"/>
      <c r="IMJ55" s="936"/>
      <c r="IMK55" s="936"/>
      <c r="IML55" s="936"/>
      <c r="IMM55" s="936"/>
      <c r="IMN55" s="936"/>
      <c r="IMO55" s="936"/>
      <c r="IMP55" s="936"/>
      <c r="IMQ55" s="936"/>
      <c r="IMR55" s="936"/>
      <c r="IMS55" s="936"/>
      <c r="IMT55" s="936"/>
      <c r="IMU55" s="936"/>
      <c r="IMV55" s="936"/>
      <c r="IMW55" s="936"/>
      <c r="IMX55" s="936"/>
      <c r="IMY55" s="936"/>
      <c r="IMZ55" s="936"/>
      <c r="INA55" s="936"/>
      <c r="INB55" s="936"/>
      <c r="INC55" s="936"/>
      <c r="IND55" s="936"/>
      <c r="INE55" s="936"/>
      <c r="INF55" s="936"/>
      <c r="ING55" s="936"/>
      <c r="INH55" s="936"/>
      <c r="INI55" s="936"/>
      <c r="INJ55" s="936"/>
      <c r="INK55" s="936"/>
      <c r="INL55" s="936"/>
      <c r="INM55" s="936"/>
      <c r="INN55" s="936"/>
      <c r="INO55" s="936"/>
      <c r="INP55" s="936"/>
      <c r="INQ55" s="936"/>
      <c r="INR55" s="936"/>
      <c r="INS55" s="936"/>
      <c r="INT55" s="936"/>
      <c r="INU55" s="936"/>
      <c r="INV55" s="936"/>
      <c r="INW55" s="936"/>
      <c r="INX55" s="936"/>
      <c r="INY55" s="936"/>
      <c r="INZ55" s="936"/>
      <c r="IOA55" s="936"/>
      <c r="IOB55" s="936"/>
      <c r="IOC55" s="936"/>
      <c r="IOD55" s="936"/>
      <c r="IOE55" s="936"/>
      <c r="IOF55" s="936"/>
      <c r="IOG55" s="936"/>
      <c r="IOH55" s="936"/>
      <c r="IOI55" s="936"/>
      <c r="IOJ55" s="936"/>
      <c r="IOK55" s="936"/>
      <c r="IOL55" s="936"/>
      <c r="IOM55" s="936"/>
      <c r="ION55" s="936"/>
      <c r="IOO55" s="936"/>
      <c r="IOP55" s="936"/>
      <c r="IOQ55" s="936"/>
      <c r="IOR55" s="936"/>
      <c r="IOS55" s="936"/>
      <c r="IOT55" s="936"/>
      <c r="IOU55" s="936"/>
      <c r="IOV55" s="936"/>
      <c r="IOW55" s="936"/>
      <c r="IOX55" s="936"/>
      <c r="IOY55" s="936"/>
      <c r="IOZ55" s="936"/>
      <c r="IPA55" s="936"/>
      <c r="IPB55" s="936"/>
      <c r="IPC55" s="936"/>
      <c r="IPD55" s="936"/>
      <c r="IPE55" s="936"/>
      <c r="IPF55" s="936"/>
      <c r="IPG55" s="936"/>
      <c r="IPH55" s="936"/>
      <c r="IPI55" s="936"/>
      <c r="IPJ55" s="936"/>
      <c r="IPK55" s="936"/>
      <c r="IPL55" s="936"/>
      <c r="IPM55" s="936"/>
      <c r="IPN55" s="936"/>
      <c r="IPO55" s="936"/>
      <c r="IPP55" s="936"/>
      <c r="IPQ55" s="936"/>
      <c r="IPR55" s="936"/>
      <c r="IPS55" s="936"/>
      <c r="IPT55" s="936"/>
      <c r="IPU55" s="936"/>
      <c r="IPV55" s="936"/>
      <c r="IPW55" s="936"/>
      <c r="IPX55" s="936"/>
      <c r="IPY55" s="936"/>
      <c r="IPZ55" s="936"/>
      <c r="IQA55" s="936"/>
      <c r="IQB55" s="936"/>
      <c r="IQC55" s="936"/>
      <c r="IQD55" s="936"/>
      <c r="IQE55" s="936"/>
      <c r="IQF55" s="936"/>
      <c r="IQG55" s="936"/>
      <c r="IQH55" s="936"/>
      <c r="IQI55" s="936"/>
      <c r="IQJ55" s="936"/>
      <c r="IQK55" s="936"/>
      <c r="IQL55" s="936"/>
      <c r="IQM55" s="936"/>
      <c r="IQN55" s="936"/>
      <c r="IQO55" s="936"/>
      <c r="IQP55" s="936"/>
      <c r="IQQ55" s="936"/>
      <c r="IQR55" s="936"/>
      <c r="IQS55" s="936"/>
      <c r="IQT55" s="936"/>
      <c r="IQU55" s="936"/>
      <c r="IQV55" s="936"/>
      <c r="IQW55" s="936"/>
      <c r="IQX55" s="936"/>
      <c r="IQY55" s="936"/>
      <c r="IQZ55" s="936"/>
      <c r="IRA55" s="936"/>
      <c r="IRB55" s="936"/>
      <c r="IRC55" s="936"/>
      <c r="IRD55" s="936"/>
      <c r="IRE55" s="936"/>
      <c r="IRF55" s="936"/>
      <c r="IRG55" s="936"/>
      <c r="IRH55" s="936"/>
      <c r="IRI55" s="936"/>
      <c r="IRJ55" s="936"/>
      <c r="IRK55" s="936"/>
      <c r="IRL55" s="936"/>
      <c r="IRM55" s="936"/>
      <c r="IRN55" s="936"/>
      <c r="IRO55" s="936"/>
      <c r="IRP55" s="936"/>
      <c r="IRQ55" s="936"/>
      <c r="IRR55" s="936"/>
      <c r="IRS55" s="936"/>
      <c r="IRT55" s="936"/>
      <c r="IRU55" s="936"/>
      <c r="IRV55" s="936"/>
      <c r="IRW55" s="936"/>
      <c r="IRX55" s="936"/>
      <c r="IRY55" s="936"/>
      <c r="IRZ55" s="936"/>
      <c r="ISA55" s="936"/>
      <c r="ISB55" s="936"/>
      <c r="ISC55" s="936"/>
      <c r="ISD55" s="936"/>
      <c r="ISE55" s="936"/>
      <c r="ISF55" s="936"/>
      <c r="ISG55" s="936"/>
      <c r="ISH55" s="936"/>
      <c r="ISI55" s="936"/>
      <c r="ISJ55" s="936"/>
      <c r="ISK55" s="936"/>
      <c r="ISL55" s="936"/>
      <c r="ISM55" s="936"/>
      <c r="ISN55" s="936"/>
      <c r="ISO55" s="936"/>
      <c r="ISP55" s="936"/>
      <c r="ISQ55" s="936"/>
      <c r="ISR55" s="936"/>
      <c r="ISS55" s="936"/>
      <c r="IST55" s="936"/>
      <c r="ISU55" s="936"/>
      <c r="ISV55" s="936"/>
      <c r="ISW55" s="936"/>
      <c r="ISX55" s="936"/>
      <c r="ISY55" s="936"/>
      <c r="ISZ55" s="936"/>
      <c r="ITA55" s="936"/>
      <c r="ITB55" s="936"/>
      <c r="ITC55" s="936"/>
      <c r="ITD55" s="936"/>
      <c r="ITE55" s="936"/>
      <c r="ITF55" s="936"/>
      <c r="ITG55" s="936"/>
      <c r="ITH55" s="936"/>
      <c r="ITI55" s="936"/>
      <c r="ITJ55" s="936"/>
      <c r="ITK55" s="936"/>
      <c r="ITL55" s="936"/>
      <c r="ITM55" s="936"/>
      <c r="ITN55" s="936"/>
      <c r="ITO55" s="936"/>
      <c r="ITP55" s="936"/>
      <c r="ITQ55" s="936"/>
      <c r="ITR55" s="936"/>
      <c r="ITS55" s="936"/>
      <c r="ITT55" s="936"/>
      <c r="ITU55" s="936"/>
      <c r="ITV55" s="936"/>
      <c r="ITW55" s="936"/>
      <c r="ITX55" s="936"/>
      <c r="ITY55" s="936"/>
      <c r="ITZ55" s="936"/>
      <c r="IUA55" s="936"/>
      <c r="IUB55" s="936"/>
      <c r="IUC55" s="936"/>
      <c r="IUD55" s="936"/>
      <c r="IUE55" s="936"/>
      <c r="IUF55" s="936"/>
      <c r="IUG55" s="936"/>
      <c r="IUH55" s="936"/>
      <c r="IUI55" s="936"/>
      <c r="IUJ55" s="936"/>
      <c r="IUK55" s="936"/>
      <c r="IUL55" s="936"/>
      <c r="IUM55" s="936"/>
      <c r="IUN55" s="936"/>
      <c r="IUO55" s="936"/>
      <c r="IUP55" s="936"/>
      <c r="IUQ55" s="936"/>
      <c r="IUR55" s="936"/>
      <c r="IUS55" s="936"/>
      <c r="IUT55" s="936"/>
      <c r="IUU55" s="936"/>
      <c r="IUV55" s="936"/>
      <c r="IUW55" s="936"/>
      <c r="IUX55" s="936"/>
      <c r="IUY55" s="936"/>
      <c r="IUZ55" s="936"/>
      <c r="IVA55" s="936"/>
      <c r="IVB55" s="936"/>
      <c r="IVC55" s="936"/>
      <c r="IVD55" s="936"/>
      <c r="IVE55" s="936"/>
      <c r="IVF55" s="936"/>
      <c r="IVG55" s="936"/>
      <c r="IVH55" s="936"/>
      <c r="IVI55" s="936"/>
      <c r="IVJ55" s="936"/>
      <c r="IVK55" s="936"/>
      <c r="IVL55" s="936"/>
      <c r="IVM55" s="936"/>
      <c r="IVN55" s="936"/>
      <c r="IVO55" s="936"/>
      <c r="IVP55" s="936"/>
      <c r="IVQ55" s="936"/>
      <c r="IVR55" s="936"/>
      <c r="IVS55" s="936"/>
      <c r="IVT55" s="936"/>
      <c r="IVU55" s="936"/>
      <c r="IVV55" s="936"/>
      <c r="IVW55" s="936"/>
      <c r="IVX55" s="936"/>
      <c r="IVY55" s="936"/>
      <c r="IVZ55" s="936"/>
      <c r="IWA55" s="936"/>
      <c r="IWB55" s="936"/>
      <c r="IWC55" s="936"/>
      <c r="IWD55" s="936"/>
      <c r="IWE55" s="936"/>
      <c r="IWF55" s="936"/>
      <c r="IWG55" s="936"/>
      <c r="IWH55" s="936"/>
      <c r="IWI55" s="936"/>
      <c r="IWJ55" s="936"/>
      <c r="IWK55" s="936"/>
      <c r="IWL55" s="936"/>
      <c r="IWM55" s="936"/>
      <c r="IWN55" s="936"/>
      <c r="IWO55" s="936"/>
      <c r="IWP55" s="936"/>
      <c r="IWQ55" s="936"/>
      <c r="IWR55" s="936"/>
      <c r="IWS55" s="936"/>
      <c r="IWT55" s="936"/>
      <c r="IWU55" s="936"/>
      <c r="IWV55" s="936"/>
      <c r="IWW55" s="936"/>
      <c r="IWX55" s="936"/>
      <c r="IWY55" s="936"/>
      <c r="IWZ55" s="936"/>
      <c r="IXA55" s="936"/>
      <c r="IXB55" s="936"/>
      <c r="IXC55" s="936"/>
      <c r="IXD55" s="936"/>
      <c r="IXE55" s="936"/>
      <c r="IXF55" s="936"/>
      <c r="IXG55" s="936"/>
      <c r="IXH55" s="936"/>
      <c r="IXI55" s="936"/>
      <c r="IXJ55" s="936"/>
      <c r="IXK55" s="936"/>
      <c r="IXL55" s="936"/>
      <c r="IXM55" s="936"/>
      <c r="IXN55" s="936"/>
      <c r="IXO55" s="936"/>
      <c r="IXP55" s="936"/>
      <c r="IXQ55" s="936"/>
      <c r="IXR55" s="936"/>
      <c r="IXS55" s="936"/>
      <c r="IXT55" s="936"/>
      <c r="IXU55" s="936"/>
      <c r="IXV55" s="936"/>
      <c r="IXW55" s="936"/>
      <c r="IXX55" s="936"/>
      <c r="IXY55" s="936"/>
      <c r="IXZ55" s="936"/>
      <c r="IYA55" s="936"/>
      <c r="IYB55" s="936"/>
      <c r="IYC55" s="936"/>
      <c r="IYD55" s="936"/>
      <c r="IYE55" s="936"/>
      <c r="IYF55" s="936"/>
      <c r="IYG55" s="936"/>
      <c r="IYH55" s="936"/>
      <c r="IYI55" s="936"/>
      <c r="IYJ55" s="936"/>
      <c r="IYK55" s="936"/>
      <c r="IYL55" s="936"/>
      <c r="IYM55" s="936"/>
      <c r="IYN55" s="936"/>
      <c r="IYO55" s="936"/>
      <c r="IYP55" s="936"/>
      <c r="IYQ55" s="936"/>
      <c r="IYR55" s="936"/>
      <c r="IYS55" s="936"/>
      <c r="IYT55" s="936"/>
      <c r="IYU55" s="936"/>
      <c r="IYV55" s="936"/>
      <c r="IYW55" s="936"/>
      <c r="IYX55" s="936"/>
      <c r="IYY55" s="936"/>
      <c r="IYZ55" s="936"/>
      <c r="IZA55" s="936"/>
      <c r="IZB55" s="936"/>
      <c r="IZC55" s="936"/>
      <c r="IZD55" s="936"/>
      <c r="IZE55" s="936"/>
      <c r="IZF55" s="936"/>
      <c r="IZG55" s="936"/>
      <c r="IZH55" s="936"/>
      <c r="IZI55" s="936"/>
      <c r="IZJ55" s="936"/>
      <c r="IZK55" s="936"/>
      <c r="IZL55" s="936"/>
      <c r="IZM55" s="936"/>
      <c r="IZN55" s="936"/>
      <c r="IZO55" s="936"/>
      <c r="IZP55" s="936"/>
      <c r="IZQ55" s="936"/>
      <c r="IZR55" s="936"/>
      <c r="IZS55" s="936"/>
      <c r="IZT55" s="936"/>
      <c r="IZU55" s="936"/>
      <c r="IZV55" s="936"/>
      <c r="IZW55" s="936"/>
      <c r="IZX55" s="936"/>
      <c r="IZY55" s="936"/>
      <c r="IZZ55" s="936"/>
      <c r="JAA55" s="936"/>
      <c r="JAB55" s="936"/>
      <c r="JAC55" s="936"/>
      <c r="JAD55" s="936"/>
      <c r="JAE55" s="936"/>
      <c r="JAF55" s="936"/>
      <c r="JAG55" s="936"/>
      <c r="JAH55" s="936"/>
      <c r="JAI55" s="936"/>
      <c r="JAJ55" s="936"/>
      <c r="JAK55" s="936"/>
      <c r="JAL55" s="936"/>
      <c r="JAM55" s="936"/>
      <c r="JAN55" s="936"/>
      <c r="JAO55" s="936"/>
      <c r="JAP55" s="936"/>
      <c r="JAQ55" s="936"/>
      <c r="JAR55" s="936"/>
      <c r="JAS55" s="936"/>
      <c r="JAT55" s="936"/>
      <c r="JAU55" s="936"/>
      <c r="JAV55" s="936"/>
      <c r="JAW55" s="936"/>
      <c r="JAX55" s="936"/>
      <c r="JAY55" s="936"/>
      <c r="JAZ55" s="936"/>
      <c r="JBA55" s="936"/>
      <c r="JBB55" s="936"/>
      <c r="JBC55" s="936"/>
      <c r="JBD55" s="936"/>
      <c r="JBE55" s="936"/>
      <c r="JBF55" s="936"/>
      <c r="JBG55" s="936"/>
      <c r="JBH55" s="936"/>
      <c r="JBI55" s="936"/>
      <c r="JBJ55" s="936"/>
      <c r="JBK55" s="936"/>
      <c r="JBL55" s="936"/>
      <c r="JBM55" s="936"/>
      <c r="JBN55" s="936"/>
      <c r="JBO55" s="936"/>
      <c r="JBP55" s="936"/>
      <c r="JBQ55" s="936"/>
      <c r="JBR55" s="936"/>
      <c r="JBS55" s="936"/>
      <c r="JBT55" s="936"/>
      <c r="JBU55" s="936"/>
      <c r="JBV55" s="936"/>
      <c r="JBW55" s="936"/>
      <c r="JBX55" s="936"/>
      <c r="JBY55" s="936"/>
      <c r="JBZ55" s="936"/>
      <c r="JCA55" s="936"/>
      <c r="JCB55" s="936"/>
      <c r="JCC55" s="936"/>
      <c r="JCD55" s="936"/>
      <c r="JCE55" s="936"/>
      <c r="JCF55" s="936"/>
      <c r="JCG55" s="936"/>
      <c r="JCH55" s="936"/>
      <c r="JCI55" s="936"/>
      <c r="JCJ55" s="936"/>
      <c r="JCK55" s="936"/>
      <c r="JCL55" s="936"/>
      <c r="JCM55" s="936"/>
      <c r="JCN55" s="936"/>
      <c r="JCO55" s="936"/>
      <c r="JCP55" s="936"/>
      <c r="JCQ55" s="936"/>
      <c r="JCR55" s="936"/>
      <c r="JCS55" s="936"/>
      <c r="JCT55" s="936"/>
      <c r="JCU55" s="936"/>
      <c r="JCV55" s="936"/>
      <c r="JCW55" s="936"/>
      <c r="JCX55" s="936"/>
      <c r="JCY55" s="936"/>
      <c r="JCZ55" s="936"/>
      <c r="JDA55" s="936"/>
      <c r="JDB55" s="936"/>
      <c r="JDC55" s="936"/>
      <c r="JDD55" s="936"/>
      <c r="JDE55" s="936"/>
      <c r="JDF55" s="936"/>
      <c r="JDG55" s="936"/>
      <c r="JDH55" s="936"/>
      <c r="JDI55" s="936"/>
      <c r="JDJ55" s="936"/>
      <c r="JDK55" s="936"/>
      <c r="JDL55" s="936"/>
      <c r="JDM55" s="936"/>
      <c r="JDN55" s="936"/>
      <c r="JDO55" s="936"/>
      <c r="JDP55" s="936"/>
      <c r="JDQ55" s="936"/>
      <c r="JDR55" s="936"/>
      <c r="JDS55" s="936"/>
      <c r="JDT55" s="936"/>
      <c r="JDU55" s="936"/>
      <c r="JDV55" s="936"/>
      <c r="JDW55" s="936"/>
      <c r="JDX55" s="936"/>
      <c r="JDY55" s="936"/>
      <c r="JDZ55" s="936"/>
      <c r="JEA55" s="936"/>
      <c r="JEB55" s="936"/>
      <c r="JEC55" s="936"/>
      <c r="JED55" s="936"/>
      <c r="JEE55" s="936"/>
      <c r="JEF55" s="936"/>
      <c r="JEG55" s="936"/>
      <c r="JEH55" s="936"/>
      <c r="JEI55" s="936"/>
      <c r="JEJ55" s="936"/>
      <c r="JEK55" s="936"/>
      <c r="JEL55" s="936"/>
      <c r="JEM55" s="936"/>
      <c r="JEN55" s="936"/>
      <c r="JEO55" s="936"/>
      <c r="JEP55" s="936"/>
      <c r="JEQ55" s="936"/>
      <c r="JER55" s="936"/>
      <c r="JES55" s="936"/>
      <c r="JET55" s="936"/>
      <c r="JEU55" s="936"/>
      <c r="JEV55" s="936"/>
      <c r="JEW55" s="936"/>
      <c r="JEX55" s="936"/>
      <c r="JEY55" s="936"/>
      <c r="JEZ55" s="936"/>
      <c r="JFA55" s="936"/>
      <c r="JFB55" s="936"/>
      <c r="JFC55" s="936"/>
      <c r="JFD55" s="936"/>
      <c r="JFE55" s="936"/>
      <c r="JFF55" s="936"/>
      <c r="JFG55" s="936"/>
      <c r="JFH55" s="936"/>
      <c r="JFI55" s="936"/>
      <c r="JFJ55" s="936"/>
      <c r="JFK55" s="936"/>
      <c r="JFL55" s="936"/>
      <c r="JFM55" s="936"/>
      <c r="JFN55" s="936"/>
      <c r="JFO55" s="936"/>
      <c r="JFP55" s="936"/>
      <c r="JFQ55" s="936"/>
      <c r="JFR55" s="936"/>
      <c r="JFS55" s="936"/>
      <c r="JFT55" s="936"/>
      <c r="JFU55" s="936"/>
      <c r="JFV55" s="936"/>
      <c r="JFW55" s="936"/>
      <c r="JFX55" s="936"/>
      <c r="JFY55" s="936"/>
      <c r="JFZ55" s="936"/>
      <c r="JGA55" s="936"/>
      <c r="JGB55" s="936"/>
      <c r="JGC55" s="936"/>
      <c r="JGD55" s="936"/>
      <c r="JGE55" s="936"/>
      <c r="JGF55" s="936"/>
      <c r="JGG55" s="936"/>
      <c r="JGH55" s="936"/>
      <c r="JGI55" s="936"/>
      <c r="JGJ55" s="936"/>
      <c r="JGK55" s="936"/>
      <c r="JGL55" s="936"/>
      <c r="JGM55" s="936"/>
      <c r="JGN55" s="936"/>
      <c r="JGO55" s="936"/>
      <c r="JGP55" s="936"/>
      <c r="JGQ55" s="936"/>
      <c r="JGR55" s="936"/>
      <c r="JGS55" s="936"/>
      <c r="JGT55" s="936"/>
      <c r="JGU55" s="936"/>
      <c r="JGV55" s="936"/>
      <c r="JGW55" s="936"/>
      <c r="JGX55" s="936"/>
      <c r="JGY55" s="936"/>
      <c r="JGZ55" s="936"/>
      <c r="JHA55" s="936"/>
      <c r="JHB55" s="936"/>
      <c r="JHC55" s="936"/>
      <c r="JHD55" s="936"/>
      <c r="JHE55" s="936"/>
      <c r="JHF55" s="936"/>
      <c r="JHG55" s="936"/>
      <c r="JHH55" s="936"/>
      <c r="JHI55" s="936"/>
      <c r="JHJ55" s="936"/>
      <c r="JHK55" s="936"/>
      <c r="JHL55" s="936"/>
      <c r="JHM55" s="936"/>
      <c r="JHN55" s="936"/>
      <c r="JHO55" s="936"/>
      <c r="JHP55" s="936"/>
      <c r="JHQ55" s="936"/>
      <c r="JHR55" s="936"/>
      <c r="JHS55" s="936"/>
      <c r="JHT55" s="936"/>
      <c r="JHU55" s="936"/>
      <c r="JHV55" s="936"/>
      <c r="JHW55" s="936"/>
      <c r="JHX55" s="936"/>
      <c r="JHY55" s="936"/>
      <c r="JHZ55" s="936"/>
      <c r="JIA55" s="936"/>
      <c r="JIB55" s="936"/>
      <c r="JIC55" s="936"/>
      <c r="JID55" s="936"/>
      <c r="JIE55" s="936"/>
      <c r="JIF55" s="936"/>
      <c r="JIG55" s="936"/>
      <c r="JIH55" s="936"/>
      <c r="JII55" s="936"/>
      <c r="JIJ55" s="936"/>
      <c r="JIK55" s="936"/>
      <c r="JIL55" s="936"/>
      <c r="JIM55" s="936"/>
      <c r="JIN55" s="936"/>
      <c r="JIO55" s="936"/>
      <c r="JIP55" s="936"/>
      <c r="JIQ55" s="936"/>
      <c r="JIR55" s="936"/>
      <c r="JIS55" s="936"/>
      <c r="JIT55" s="936"/>
      <c r="JIU55" s="936"/>
      <c r="JIV55" s="936"/>
      <c r="JIW55" s="936"/>
      <c r="JIX55" s="936"/>
      <c r="JIY55" s="936"/>
      <c r="JIZ55" s="936"/>
      <c r="JJA55" s="936"/>
      <c r="JJB55" s="936"/>
      <c r="JJC55" s="936"/>
      <c r="JJD55" s="936"/>
      <c r="JJE55" s="936"/>
      <c r="JJF55" s="936"/>
      <c r="JJG55" s="936"/>
      <c r="JJH55" s="936"/>
      <c r="JJI55" s="936"/>
      <c r="JJJ55" s="936"/>
      <c r="JJK55" s="936"/>
      <c r="JJL55" s="936"/>
      <c r="JJM55" s="936"/>
      <c r="JJN55" s="936"/>
      <c r="JJO55" s="936"/>
      <c r="JJP55" s="936"/>
      <c r="JJQ55" s="936"/>
      <c r="JJR55" s="936"/>
      <c r="JJS55" s="936"/>
      <c r="JJT55" s="936"/>
      <c r="JJU55" s="936"/>
      <c r="JJV55" s="936"/>
      <c r="JJW55" s="936"/>
      <c r="JJX55" s="936"/>
      <c r="JJY55" s="936"/>
      <c r="JJZ55" s="936"/>
      <c r="JKA55" s="936"/>
      <c r="JKB55" s="936"/>
      <c r="JKC55" s="936"/>
      <c r="JKD55" s="936"/>
      <c r="JKE55" s="936"/>
      <c r="JKF55" s="936"/>
      <c r="JKG55" s="936"/>
      <c r="JKH55" s="936"/>
      <c r="JKI55" s="936"/>
      <c r="JKJ55" s="936"/>
      <c r="JKK55" s="936"/>
      <c r="JKL55" s="936"/>
      <c r="JKM55" s="936"/>
      <c r="JKN55" s="936"/>
      <c r="JKO55" s="936"/>
      <c r="JKP55" s="936"/>
      <c r="JKQ55" s="936"/>
      <c r="JKR55" s="936"/>
      <c r="JKS55" s="936"/>
      <c r="JKT55" s="936"/>
      <c r="JKU55" s="936"/>
      <c r="JKV55" s="936"/>
      <c r="JKW55" s="936"/>
      <c r="JKX55" s="936"/>
      <c r="JKY55" s="936"/>
      <c r="JKZ55" s="936"/>
      <c r="JLA55" s="936"/>
      <c r="JLB55" s="936"/>
      <c r="JLC55" s="936"/>
      <c r="JLD55" s="936"/>
      <c r="JLE55" s="936"/>
      <c r="JLF55" s="936"/>
      <c r="JLG55" s="936"/>
      <c r="JLH55" s="936"/>
      <c r="JLI55" s="936"/>
      <c r="JLJ55" s="936"/>
      <c r="JLK55" s="936"/>
      <c r="JLL55" s="936"/>
      <c r="JLM55" s="936"/>
      <c r="JLN55" s="936"/>
      <c r="JLO55" s="936"/>
      <c r="JLP55" s="936"/>
      <c r="JLQ55" s="936"/>
      <c r="JLR55" s="936"/>
      <c r="JLS55" s="936"/>
      <c r="JLT55" s="936"/>
      <c r="JLU55" s="936"/>
      <c r="JLV55" s="936"/>
      <c r="JLW55" s="936"/>
      <c r="JLX55" s="936"/>
      <c r="JLY55" s="936"/>
      <c r="JLZ55" s="936"/>
      <c r="JMA55" s="936"/>
      <c r="JMB55" s="936"/>
      <c r="JMC55" s="936"/>
      <c r="JMD55" s="936"/>
      <c r="JME55" s="936"/>
      <c r="JMF55" s="936"/>
      <c r="JMG55" s="936"/>
      <c r="JMH55" s="936"/>
      <c r="JMI55" s="936"/>
      <c r="JMJ55" s="936"/>
      <c r="JMK55" s="936"/>
      <c r="JML55" s="936"/>
      <c r="JMM55" s="936"/>
      <c r="JMN55" s="936"/>
      <c r="JMO55" s="936"/>
      <c r="JMP55" s="936"/>
      <c r="JMQ55" s="936"/>
      <c r="JMR55" s="936"/>
      <c r="JMS55" s="936"/>
      <c r="JMT55" s="936"/>
      <c r="JMU55" s="936"/>
      <c r="JMV55" s="936"/>
      <c r="JMW55" s="936"/>
      <c r="JMX55" s="936"/>
      <c r="JMY55" s="936"/>
      <c r="JMZ55" s="936"/>
      <c r="JNA55" s="936"/>
      <c r="JNB55" s="936"/>
      <c r="JNC55" s="936"/>
      <c r="JND55" s="936"/>
      <c r="JNE55" s="936"/>
      <c r="JNF55" s="936"/>
      <c r="JNG55" s="936"/>
      <c r="JNH55" s="936"/>
      <c r="JNI55" s="936"/>
      <c r="JNJ55" s="936"/>
      <c r="JNK55" s="936"/>
      <c r="JNL55" s="936"/>
      <c r="JNM55" s="936"/>
      <c r="JNN55" s="936"/>
      <c r="JNO55" s="936"/>
      <c r="JNP55" s="936"/>
      <c r="JNQ55" s="936"/>
      <c r="JNR55" s="936"/>
      <c r="JNS55" s="936"/>
      <c r="JNT55" s="936"/>
      <c r="JNU55" s="936"/>
      <c r="JNV55" s="936"/>
      <c r="JNW55" s="936"/>
      <c r="JNX55" s="936"/>
      <c r="JNY55" s="936"/>
      <c r="JNZ55" s="936"/>
      <c r="JOA55" s="936"/>
      <c r="JOB55" s="936"/>
      <c r="JOC55" s="936"/>
      <c r="JOD55" s="936"/>
      <c r="JOE55" s="936"/>
      <c r="JOF55" s="936"/>
      <c r="JOG55" s="936"/>
      <c r="JOH55" s="936"/>
      <c r="JOI55" s="936"/>
      <c r="JOJ55" s="936"/>
      <c r="JOK55" s="936"/>
      <c r="JOL55" s="936"/>
      <c r="JOM55" s="936"/>
      <c r="JON55" s="936"/>
      <c r="JOO55" s="936"/>
      <c r="JOP55" s="936"/>
      <c r="JOQ55" s="936"/>
      <c r="JOR55" s="936"/>
      <c r="JOS55" s="936"/>
      <c r="JOT55" s="936"/>
      <c r="JOU55" s="936"/>
      <c r="JOV55" s="936"/>
      <c r="JOW55" s="936"/>
      <c r="JOX55" s="936"/>
      <c r="JOY55" s="936"/>
      <c r="JOZ55" s="936"/>
      <c r="JPA55" s="936"/>
      <c r="JPB55" s="936"/>
      <c r="JPC55" s="936"/>
      <c r="JPD55" s="936"/>
      <c r="JPE55" s="936"/>
      <c r="JPF55" s="936"/>
      <c r="JPG55" s="936"/>
      <c r="JPH55" s="936"/>
      <c r="JPI55" s="936"/>
      <c r="JPJ55" s="936"/>
      <c r="JPK55" s="936"/>
      <c r="JPL55" s="936"/>
      <c r="JPM55" s="936"/>
      <c r="JPN55" s="936"/>
      <c r="JPO55" s="936"/>
      <c r="JPP55" s="936"/>
      <c r="JPQ55" s="936"/>
      <c r="JPR55" s="936"/>
      <c r="JPS55" s="936"/>
      <c r="JPT55" s="936"/>
      <c r="JPU55" s="936"/>
      <c r="JPV55" s="936"/>
      <c r="JPW55" s="936"/>
      <c r="JPX55" s="936"/>
      <c r="JPY55" s="936"/>
      <c r="JPZ55" s="936"/>
      <c r="JQA55" s="936"/>
      <c r="JQB55" s="936"/>
      <c r="JQC55" s="936"/>
      <c r="JQD55" s="936"/>
      <c r="JQE55" s="936"/>
      <c r="JQF55" s="936"/>
      <c r="JQG55" s="936"/>
      <c r="JQH55" s="936"/>
      <c r="JQI55" s="936"/>
      <c r="JQJ55" s="936"/>
      <c r="JQK55" s="936"/>
      <c r="JQL55" s="936"/>
      <c r="JQM55" s="936"/>
      <c r="JQN55" s="936"/>
      <c r="JQO55" s="936"/>
      <c r="JQP55" s="936"/>
      <c r="JQQ55" s="936"/>
      <c r="JQR55" s="936"/>
      <c r="JQS55" s="936"/>
      <c r="JQT55" s="936"/>
      <c r="JQU55" s="936"/>
      <c r="JQV55" s="936"/>
      <c r="JQW55" s="936"/>
      <c r="JQX55" s="936"/>
      <c r="JQY55" s="936"/>
      <c r="JQZ55" s="936"/>
      <c r="JRA55" s="936"/>
      <c r="JRB55" s="936"/>
      <c r="JRC55" s="936"/>
      <c r="JRD55" s="936"/>
      <c r="JRE55" s="936"/>
      <c r="JRF55" s="936"/>
      <c r="JRG55" s="936"/>
      <c r="JRH55" s="936"/>
      <c r="JRI55" s="936"/>
      <c r="JRJ55" s="936"/>
      <c r="JRK55" s="936"/>
      <c r="JRL55" s="936"/>
      <c r="JRM55" s="936"/>
      <c r="JRN55" s="936"/>
      <c r="JRO55" s="936"/>
      <c r="JRP55" s="936"/>
      <c r="JRQ55" s="936"/>
      <c r="JRR55" s="936"/>
      <c r="JRS55" s="936"/>
      <c r="JRT55" s="936"/>
      <c r="JRU55" s="936"/>
      <c r="JRV55" s="936"/>
      <c r="JRW55" s="936"/>
      <c r="JRX55" s="936"/>
      <c r="JRY55" s="936"/>
      <c r="JRZ55" s="936"/>
      <c r="JSA55" s="936"/>
      <c r="JSB55" s="936"/>
      <c r="JSC55" s="936"/>
      <c r="JSD55" s="936"/>
      <c r="JSE55" s="936"/>
      <c r="JSF55" s="936"/>
      <c r="JSG55" s="936"/>
      <c r="JSH55" s="936"/>
      <c r="JSI55" s="936"/>
      <c r="JSJ55" s="936"/>
      <c r="JSK55" s="936"/>
      <c r="JSL55" s="936"/>
      <c r="JSM55" s="936"/>
      <c r="JSN55" s="936"/>
      <c r="JSO55" s="936"/>
      <c r="JSP55" s="936"/>
      <c r="JSQ55" s="936"/>
      <c r="JSR55" s="936"/>
      <c r="JSS55" s="936"/>
      <c r="JST55" s="936"/>
      <c r="JSU55" s="936"/>
      <c r="JSV55" s="936"/>
      <c r="JSW55" s="936"/>
      <c r="JSX55" s="936"/>
      <c r="JSY55" s="936"/>
      <c r="JSZ55" s="936"/>
      <c r="JTA55" s="936"/>
      <c r="JTB55" s="936"/>
      <c r="JTC55" s="936"/>
      <c r="JTD55" s="936"/>
      <c r="JTE55" s="936"/>
      <c r="JTF55" s="936"/>
      <c r="JTG55" s="936"/>
      <c r="JTH55" s="936"/>
      <c r="JTI55" s="936"/>
      <c r="JTJ55" s="936"/>
      <c r="JTK55" s="936"/>
      <c r="JTL55" s="936"/>
      <c r="JTM55" s="936"/>
      <c r="JTN55" s="936"/>
      <c r="JTO55" s="936"/>
      <c r="JTP55" s="936"/>
      <c r="JTQ55" s="936"/>
      <c r="JTR55" s="936"/>
      <c r="JTS55" s="936"/>
      <c r="JTT55" s="936"/>
      <c r="JTU55" s="936"/>
      <c r="JTV55" s="936"/>
      <c r="JTW55" s="936"/>
      <c r="JTX55" s="936"/>
      <c r="JTY55" s="936"/>
      <c r="JTZ55" s="936"/>
      <c r="JUA55" s="936"/>
      <c r="JUB55" s="936"/>
      <c r="JUC55" s="936"/>
      <c r="JUD55" s="936"/>
      <c r="JUE55" s="936"/>
      <c r="JUF55" s="936"/>
      <c r="JUG55" s="936"/>
      <c r="JUH55" s="936"/>
      <c r="JUI55" s="936"/>
      <c r="JUJ55" s="936"/>
      <c r="JUK55" s="936"/>
      <c r="JUL55" s="936"/>
      <c r="JUM55" s="936"/>
      <c r="JUN55" s="936"/>
      <c r="JUO55" s="936"/>
      <c r="JUP55" s="936"/>
      <c r="JUQ55" s="936"/>
      <c r="JUR55" s="936"/>
      <c r="JUS55" s="936"/>
      <c r="JUT55" s="936"/>
      <c r="JUU55" s="936"/>
      <c r="JUV55" s="936"/>
      <c r="JUW55" s="936"/>
      <c r="JUX55" s="936"/>
      <c r="JUY55" s="936"/>
      <c r="JUZ55" s="936"/>
      <c r="JVA55" s="936"/>
      <c r="JVB55" s="936"/>
      <c r="JVC55" s="936"/>
      <c r="JVD55" s="936"/>
      <c r="JVE55" s="936"/>
      <c r="JVF55" s="936"/>
      <c r="JVG55" s="936"/>
      <c r="JVH55" s="936"/>
      <c r="JVI55" s="936"/>
      <c r="JVJ55" s="936"/>
      <c r="JVK55" s="936"/>
      <c r="JVL55" s="936"/>
      <c r="JVM55" s="936"/>
      <c r="JVN55" s="936"/>
      <c r="JVO55" s="936"/>
      <c r="JVP55" s="936"/>
      <c r="JVQ55" s="936"/>
      <c r="JVR55" s="936"/>
      <c r="JVS55" s="936"/>
      <c r="JVT55" s="936"/>
      <c r="JVU55" s="936"/>
      <c r="JVV55" s="936"/>
      <c r="JVW55" s="936"/>
      <c r="JVX55" s="936"/>
      <c r="JVY55" s="936"/>
      <c r="JVZ55" s="936"/>
      <c r="JWA55" s="936"/>
      <c r="JWB55" s="936"/>
      <c r="JWC55" s="936"/>
      <c r="JWD55" s="936"/>
      <c r="JWE55" s="936"/>
      <c r="JWF55" s="936"/>
      <c r="JWG55" s="936"/>
      <c r="JWH55" s="936"/>
      <c r="JWI55" s="936"/>
      <c r="JWJ55" s="936"/>
      <c r="JWK55" s="936"/>
      <c r="JWL55" s="936"/>
      <c r="JWM55" s="936"/>
      <c r="JWN55" s="936"/>
      <c r="JWO55" s="936"/>
      <c r="JWP55" s="936"/>
      <c r="JWQ55" s="936"/>
      <c r="JWR55" s="936"/>
      <c r="JWS55" s="936"/>
      <c r="JWT55" s="936"/>
      <c r="JWU55" s="936"/>
      <c r="JWV55" s="936"/>
      <c r="JWW55" s="936"/>
      <c r="JWX55" s="936"/>
      <c r="JWY55" s="936"/>
      <c r="JWZ55" s="936"/>
      <c r="JXA55" s="936"/>
      <c r="JXB55" s="936"/>
      <c r="JXC55" s="936"/>
      <c r="JXD55" s="936"/>
      <c r="JXE55" s="936"/>
      <c r="JXF55" s="936"/>
      <c r="JXG55" s="936"/>
      <c r="JXH55" s="936"/>
      <c r="JXI55" s="936"/>
      <c r="JXJ55" s="936"/>
      <c r="JXK55" s="936"/>
      <c r="JXL55" s="936"/>
      <c r="JXM55" s="936"/>
      <c r="JXN55" s="936"/>
      <c r="JXO55" s="936"/>
      <c r="JXP55" s="936"/>
      <c r="JXQ55" s="936"/>
      <c r="JXR55" s="936"/>
      <c r="JXS55" s="936"/>
      <c r="JXT55" s="936"/>
      <c r="JXU55" s="936"/>
      <c r="JXV55" s="936"/>
      <c r="JXW55" s="936"/>
      <c r="JXX55" s="936"/>
      <c r="JXY55" s="936"/>
      <c r="JXZ55" s="936"/>
      <c r="JYA55" s="936"/>
      <c r="JYB55" s="936"/>
      <c r="JYC55" s="936"/>
      <c r="JYD55" s="936"/>
      <c r="JYE55" s="936"/>
      <c r="JYF55" s="936"/>
      <c r="JYG55" s="936"/>
      <c r="JYH55" s="936"/>
      <c r="JYI55" s="936"/>
      <c r="JYJ55" s="936"/>
      <c r="JYK55" s="936"/>
      <c r="JYL55" s="936"/>
      <c r="JYM55" s="936"/>
      <c r="JYN55" s="936"/>
      <c r="JYO55" s="936"/>
      <c r="JYP55" s="936"/>
      <c r="JYQ55" s="936"/>
      <c r="JYR55" s="936"/>
      <c r="JYS55" s="936"/>
      <c r="JYT55" s="936"/>
      <c r="JYU55" s="936"/>
      <c r="JYV55" s="936"/>
      <c r="JYW55" s="936"/>
      <c r="JYX55" s="936"/>
      <c r="JYY55" s="936"/>
      <c r="JYZ55" s="936"/>
      <c r="JZA55" s="936"/>
      <c r="JZB55" s="936"/>
      <c r="JZC55" s="936"/>
      <c r="JZD55" s="936"/>
      <c r="JZE55" s="936"/>
      <c r="JZF55" s="936"/>
      <c r="JZG55" s="936"/>
      <c r="JZH55" s="936"/>
      <c r="JZI55" s="936"/>
      <c r="JZJ55" s="936"/>
      <c r="JZK55" s="936"/>
      <c r="JZL55" s="936"/>
      <c r="JZM55" s="936"/>
      <c r="JZN55" s="936"/>
      <c r="JZO55" s="936"/>
      <c r="JZP55" s="936"/>
      <c r="JZQ55" s="936"/>
      <c r="JZR55" s="936"/>
      <c r="JZS55" s="936"/>
      <c r="JZT55" s="936"/>
      <c r="JZU55" s="936"/>
      <c r="JZV55" s="936"/>
      <c r="JZW55" s="936"/>
      <c r="JZX55" s="936"/>
      <c r="JZY55" s="936"/>
      <c r="JZZ55" s="936"/>
      <c r="KAA55" s="936"/>
      <c r="KAB55" s="936"/>
      <c r="KAC55" s="936"/>
      <c r="KAD55" s="936"/>
      <c r="KAE55" s="936"/>
      <c r="KAF55" s="936"/>
      <c r="KAG55" s="936"/>
      <c r="KAH55" s="936"/>
      <c r="KAI55" s="936"/>
      <c r="KAJ55" s="936"/>
      <c r="KAK55" s="936"/>
      <c r="KAL55" s="936"/>
      <c r="KAM55" s="936"/>
      <c r="KAN55" s="936"/>
      <c r="KAO55" s="936"/>
      <c r="KAP55" s="936"/>
      <c r="KAQ55" s="936"/>
      <c r="KAR55" s="936"/>
      <c r="KAS55" s="936"/>
      <c r="KAT55" s="936"/>
      <c r="KAU55" s="936"/>
      <c r="KAV55" s="936"/>
      <c r="KAW55" s="936"/>
      <c r="KAX55" s="936"/>
      <c r="KAY55" s="936"/>
      <c r="KAZ55" s="936"/>
      <c r="KBA55" s="936"/>
      <c r="KBB55" s="936"/>
      <c r="KBC55" s="936"/>
      <c r="KBD55" s="936"/>
      <c r="KBE55" s="936"/>
      <c r="KBF55" s="936"/>
      <c r="KBG55" s="936"/>
      <c r="KBH55" s="936"/>
      <c r="KBI55" s="936"/>
      <c r="KBJ55" s="936"/>
      <c r="KBK55" s="936"/>
      <c r="KBL55" s="936"/>
      <c r="KBM55" s="936"/>
      <c r="KBN55" s="936"/>
      <c r="KBO55" s="936"/>
      <c r="KBP55" s="936"/>
      <c r="KBQ55" s="936"/>
      <c r="KBR55" s="936"/>
      <c r="KBS55" s="936"/>
      <c r="KBT55" s="936"/>
      <c r="KBU55" s="936"/>
      <c r="KBV55" s="936"/>
      <c r="KBW55" s="936"/>
      <c r="KBX55" s="936"/>
      <c r="KBY55" s="936"/>
      <c r="KBZ55" s="936"/>
      <c r="KCA55" s="936"/>
      <c r="KCB55" s="936"/>
      <c r="KCC55" s="936"/>
      <c r="KCD55" s="936"/>
      <c r="KCE55" s="936"/>
      <c r="KCF55" s="936"/>
      <c r="KCG55" s="936"/>
      <c r="KCH55" s="936"/>
      <c r="KCI55" s="936"/>
      <c r="KCJ55" s="936"/>
      <c r="KCK55" s="936"/>
      <c r="KCL55" s="936"/>
      <c r="KCM55" s="936"/>
      <c r="KCN55" s="936"/>
      <c r="KCO55" s="936"/>
      <c r="KCP55" s="936"/>
      <c r="KCQ55" s="936"/>
      <c r="KCR55" s="936"/>
      <c r="KCS55" s="936"/>
      <c r="KCT55" s="936"/>
      <c r="KCU55" s="936"/>
      <c r="KCV55" s="936"/>
      <c r="KCW55" s="936"/>
      <c r="KCX55" s="936"/>
      <c r="KCY55" s="936"/>
      <c r="KCZ55" s="936"/>
      <c r="KDA55" s="936"/>
      <c r="KDB55" s="936"/>
      <c r="KDC55" s="936"/>
      <c r="KDD55" s="936"/>
      <c r="KDE55" s="936"/>
      <c r="KDF55" s="936"/>
      <c r="KDG55" s="936"/>
      <c r="KDH55" s="936"/>
      <c r="KDI55" s="936"/>
      <c r="KDJ55" s="936"/>
      <c r="KDK55" s="936"/>
      <c r="KDL55" s="936"/>
      <c r="KDM55" s="936"/>
      <c r="KDN55" s="936"/>
      <c r="KDO55" s="936"/>
      <c r="KDP55" s="936"/>
      <c r="KDQ55" s="936"/>
      <c r="KDR55" s="936"/>
      <c r="KDS55" s="936"/>
      <c r="KDT55" s="936"/>
      <c r="KDU55" s="936"/>
      <c r="KDV55" s="936"/>
      <c r="KDW55" s="936"/>
      <c r="KDX55" s="936"/>
      <c r="KDY55" s="936"/>
      <c r="KDZ55" s="936"/>
      <c r="KEA55" s="936"/>
      <c r="KEB55" s="936"/>
      <c r="KEC55" s="936"/>
      <c r="KED55" s="936"/>
      <c r="KEE55" s="936"/>
      <c r="KEF55" s="936"/>
      <c r="KEG55" s="936"/>
      <c r="KEH55" s="936"/>
      <c r="KEI55" s="936"/>
      <c r="KEJ55" s="936"/>
      <c r="KEK55" s="936"/>
      <c r="KEL55" s="936"/>
      <c r="KEM55" s="936"/>
      <c r="KEN55" s="936"/>
      <c r="KEO55" s="936"/>
      <c r="KEP55" s="936"/>
      <c r="KEQ55" s="936"/>
      <c r="KER55" s="936"/>
      <c r="KES55" s="936"/>
      <c r="KET55" s="936"/>
      <c r="KEU55" s="936"/>
      <c r="KEV55" s="936"/>
      <c r="KEW55" s="936"/>
      <c r="KEX55" s="936"/>
      <c r="KEY55" s="936"/>
      <c r="KEZ55" s="936"/>
      <c r="KFA55" s="936"/>
      <c r="KFB55" s="936"/>
      <c r="KFC55" s="936"/>
      <c r="KFD55" s="936"/>
      <c r="KFE55" s="936"/>
      <c r="KFF55" s="936"/>
      <c r="KFG55" s="936"/>
      <c r="KFH55" s="936"/>
      <c r="KFI55" s="936"/>
      <c r="KFJ55" s="936"/>
      <c r="KFK55" s="936"/>
      <c r="KFL55" s="936"/>
      <c r="KFM55" s="936"/>
      <c r="KFN55" s="936"/>
      <c r="KFO55" s="936"/>
      <c r="KFP55" s="936"/>
      <c r="KFQ55" s="936"/>
      <c r="KFR55" s="936"/>
      <c r="KFS55" s="936"/>
      <c r="KFT55" s="936"/>
      <c r="KFU55" s="936"/>
      <c r="KFV55" s="936"/>
      <c r="KFW55" s="936"/>
      <c r="KFX55" s="936"/>
      <c r="KFY55" s="936"/>
      <c r="KFZ55" s="936"/>
      <c r="KGA55" s="936"/>
      <c r="KGB55" s="936"/>
      <c r="KGC55" s="936"/>
      <c r="KGD55" s="936"/>
      <c r="KGE55" s="936"/>
      <c r="KGF55" s="936"/>
      <c r="KGG55" s="936"/>
      <c r="KGH55" s="936"/>
      <c r="KGI55" s="936"/>
      <c r="KGJ55" s="936"/>
      <c r="KGK55" s="936"/>
      <c r="KGL55" s="936"/>
      <c r="KGM55" s="936"/>
      <c r="KGN55" s="936"/>
      <c r="KGO55" s="936"/>
      <c r="KGP55" s="936"/>
      <c r="KGQ55" s="936"/>
      <c r="KGR55" s="936"/>
      <c r="KGS55" s="936"/>
      <c r="KGT55" s="936"/>
      <c r="KGU55" s="936"/>
      <c r="KGV55" s="936"/>
      <c r="KGW55" s="936"/>
      <c r="KGX55" s="936"/>
      <c r="KGY55" s="936"/>
      <c r="KGZ55" s="936"/>
      <c r="KHA55" s="936"/>
      <c r="KHB55" s="936"/>
      <c r="KHC55" s="936"/>
      <c r="KHD55" s="936"/>
      <c r="KHE55" s="936"/>
      <c r="KHF55" s="936"/>
      <c r="KHG55" s="936"/>
      <c r="KHH55" s="936"/>
      <c r="KHI55" s="936"/>
      <c r="KHJ55" s="936"/>
      <c r="KHK55" s="936"/>
      <c r="KHL55" s="936"/>
      <c r="KHM55" s="936"/>
      <c r="KHN55" s="936"/>
      <c r="KHO55" s="936"/>
      <c r="KHP55" s="936"/>
      <c r="KHQ55" s="936"/>
      <c r="KHR55" s="936"/>
      <c r="KHS55" s="936"/>
      <c r="KHT55" s="936"/>
      <c r="KHU55" s="936"/>
      <c r="KHV55" s="936"/>
      <c r="KHW55" s="936"/>
      <c r="KHX55" s="936"/>
      <c r="KHY55" s="936"/>
      <c r="KHZ55" s="936"/>
      <c r="KIA55" s="936"/>
      <c r="KIB55" s="936"/>
      <c r="KIC55" s="936"/>
      <c r="KID55" s="936"/>
      <c r="KIE55" s="936"/>
      <c r="KIF55" s="936"/>
      <c r="KIG55" s="936"/>
      <c r="KIH55" s="936"/>
      <c r="KII55" s="936"/>
      <c r="KIJ55" s="936"/>
      <c r="KIK55" s="936"/>
      <c r="KIL55" s="936"/>
      <c r="KIM55" s="936"/>
      <c r="KIN55" s="936"/>
      <c r="KIO55" s="936"/>
      <c r="KIP55" s="936"/>
      <c r="KIQ55" s="936"/>
      <c r="KIR55" s="936"/>
      <c r="KIS55" s="936"/>
      <c r="KIT55" s="936"/>
      <c r="KIU55" s="936"/>
      <c r="KIV55" s="936"/>
      <c r="KIW55" s="936"/>
      <c r="KIX55" s="936"/>
      <c r="KIY55" s="936"/>
      <c r="KIZ55" s="936"/>
      <c r="KJA55" s="936"/>
      <c r="KJB55" s="936"/>
      <c r="KJC55" s="936"/>
      <c r="KJD55" s="936"/>
      <c r="KJE55" s="936"/>
      <c r="KJF55" s="936"/>
      <c r="KJG55" s="936"/>
      <c r="KJH55" s="936"/>
      <c r="KJI55" s="936"/>
      <c r="KJJ55" s="936"/>
      <c r="KJK55" s="936"/>
      <c r="KJL55" s="936"/>
      <c r="KJM55" s="936"/>
      <c r="KJN55" s="936"/>
      <c r="KJO55" s="936"/>
      <c r="KJP55" s="936"/>
      <c r="KJQ55" s="936"/>
      <c r="KJR55" s="936"/>
      <c r="KJS55" s="936"/>
      <c r="KJT55" s="936"/>
      <c r="KJU55" s="936"/>
      <c r="KJV55" s="936"/>
      <c r="KJW55" s="936"/>
      <c r="KJX55" s="936"/>
      <c r="KJY55" s="936"/>
      <c r="KJZ55" s="936"/>
      <c r="KKA55" s="936"/>
      <c r="KKB55" s="936"/>
      <c r="KKC55" s="936"/>
      <c r="KKD55" s="936"/>
      <c r="KKE55" s="936"/>
      <c r="KKF55" s="936"/>
      <c r="KKG55" s="936"/>
      <c r="KKH55" s="936"/>
      <c r="KKI55" s="936"/>
      <c r="KKJ55" s="936"/>
      <c r="KKK55" s="936"/>
      <c r="KKL55" s="936"/>
      <c r="KKM55" s="936"/>
      <c r="KKN55" s="936"/>
      <c r="KKO55" s="936"/>
      <c r="KKP55" s="936"/>
      <c r="KKQ55" s="936"/>
      <c r="KKR55" s="936"/>
      <c r="KKS55" s="936"/>
      <c r="KKT55" s="936"/>
      <c r="KKU55" s="936"/>
      <c r="KKV55" s="936"/>
      <c r="KKW55" s="936"/>
      <c r="KKX55" s="936"/>
      <c r="KKY55" s="936"/>
      <c r="KKZ55" s="936"/>
      <c r="KLA55" s="936"/>
      <c r="KLB55" s="936"/>
      <c r="KLC55" s="936"/>
      <c r="KLD55" s="936"/>
      <c r="KLE55" s="936"/>
      <c r="KLF55" s="936"/>
      <c r="KLG55" s="936"/>
      <c r="KLH55" s="936"/>
      <c r="KLI55" s="936"/>
      <c r="KLJ55" s="936"/>
      <c r="KLK55" s="936"/>
      <c r="KLL55" s="936"/>
      <c r="KLM55" s="936"/>
      <c r="KLN55" s="936"/>
      <c r="KLO55" s="936"/>
      <c r="KLP55" s="936"/>
      <c r="KLQ55" s="936"/>
      <c r="KLR55" s="936"/>
      <c r="KLS55" s="936"/>
      <c r="KLT55" s="936"/>
      <c r="KLU55" s="936"/>
      <c r="KLV55" s="936"/>
      <c r="KLW55" s="936"/>
      <c r="KLX55" s="936"/>
      <c r="KLY55" s="936"/>
      <c r="KLZ55" s="936"/>
      <c r="KMA55" s="936"/>
      <c r="KMB55" s="936"/>
      <c r="KMC55" s="936"/>
      <c r="KMD55" s="936"/>
      <c r="KME55" s="936"/>
      <c r="KMF55" s="936"/>
      <c r="KMG55" s="936"/>
      <c r="KMH55" s="936"/>
      <c r="KMI55" s="936"/>
      <c r="KMJ55" s="936"/>
      <c r="KMK55" s="936"/>
      <c r="KML55" s="936"/>
      <c r="KMM55" s="936"/>
      <c r="KMN55" s="936"/>
      <c r="KMO55" s="936"/>
      <c r="KMP55" s="936"/>
      <c r="KMQ55" s="936"/>
      <c r="KMR55" s="936"/>
      <c r="KMS55" s="936"/>
      <c r="KMT55" s="936"/>
      <c r="KMU55" s="936"/>
      <c r="KMV55" s="936"/>
      <c r="KMW55" s="936"/>
      <c r="KMX55" s="936"/>
      <c r="KMY55" s="936"/>
      <c r="KMZ55" s="936"/>
      <c r="KNA55" s="936"/>
      <c r="KNB55" s="936"/>
      <c r="KNC55" s="936"/>
      <c r="KND55" s="936"/>
      <c r="KNE55" s="936"/>
      <c r="KNF55" s="936"/>
      <c r="KNG55" s="936"/>
      <c r="KNH55" s="936"/>
      <c r="KNI55" s="936"/>
      <c r="KNJ55" s="936"/>
      <c r="KNK55" s="936"/>
      <c r="KNL55" s="936"/>
      <c r="KNM55" s="936"/>
      <c r="KNN55" s="936"/>
      <c r="KNO55" s="936"/>
      <c r="KNP55" s="936"/>
      <c r="KNQ55" s="936"/>
      <c r="KNR55" s="936"/>
      <c r="KNS55" s="936"/>
      <c r="KNT55" s="936"/>
      <c r="KNU55" s="936"/>
      <c r="KNV55" s="936"/>
      <c r="KNW55" s="936"/>
      <c r="KNX55" s="936"/>
      <c r="KNY55" s="936"/>
      <c r="KNZ55" s="936"/>
      <c r="KOA55" s="936"/>
      <c r="KOB55" s="936"/>
      <c r="KOC55" s="936"/>
      <c r="KOD55" s="936"/>
      <c r="KOE55" s="936"/>
      <c r="KOF55" s="936"/>
      <c r="KOG55" s="936"/>
      <c r="KOH55" s="936"/>
      <c r="KOI55" s="936"/>
      <c r="KOJ55" s="936"/>
      <c r="KOK55" s="936"/>
      <c r="KOL55" s="936"/>
      <c r="KOM55" s="936"/>
      <c r="KON55" s="936"/>
      <c r="KOO55" s="936"/>
      <c r="KOP55" s="936"/>
      <c r="KOQ55" s="936"/>
      <c r="KOR55" s="936"/>
      <c r="KOS55" s="936"/>
      <c r="KOT55" s="936"/>
      <c r="KOU55" s="936"/>
      <c r="KOV55" s="936"/>
      <c r="KOW55" s="936"/>
      <c r="KOX55" s="936"/>
      <c r="KOY55" s="936"/>
      <c r="KOZ55" s="936"/>
      <c r="KPA55" s="936"/>
      <c r="KPB55" s="936"/>
      <c r="KPC55" s="936"/>
      <c r="KPD55" s="936"/>
      <c r="KPE55" s="936"/>
      <c r="KPF55" s="936"/>
      <c r="KPG55" s="936"/>
      <c r="KPH55" s="936"/>
      <c r="KPI55" s="936"/>
      <c r="KPJ55" s="936"/>
      <c r="KPK55" s="936"/>
      <c r="KPL55" s="936"/>
      <c r="KPM55" s="936"/>
      <c r="KPN55" s="936"/>
      <c r="KPO55" s="936"/>
      <c r="KPP55" s="936"/>
      <c r="KPQ55" s="936"/>
      <c r="KPR55" s="936"/>
      <c r="KPS55" s="936"/>
      <c r="KPT55" s="936"/>
      <c r="KPU55" s="936"/>
      <c r="KPV55" s="936"/>
      <c r="KPW55" s="936"/>
      <c r="KPX55" s="936"/>
      <c r="KPY55" s="936"/>
      <c r="KPZ55" s="936"/>
      <c r="KQA55" s="936"/>
      <c r="KQB55" s="936"/>
      <c r="KQC55" s="936"/>
      <c r="KQD55" s="936"/>
      <c r="KQE55" s="936"/>
      <c r="KQF55" s="936"/>
      <c r="KQG55" s="936"/>
      <c r="KQH55" s="936"/>
      <c r="KQI55" s="936"/>
      <c r="KQJ55" s="936"/>
      <c r="KQK55" s="936"/>
      <c r="KQL55" s="936"/>
      <c r="KQM55" s="936"/>
      <c r="KQN55" s="936"/>
      <c r="KQO55" s="936"/>
      <c r="KQP55" s="936"/>
      <c r="KQQ55" s="936"/>
      <c r="KQR55" s="936"/>
      <c r="KQS55" s="936"/>
      <c r="KQT55" s="936"/>
      <c r="KQU55" s="936"/>
      <c r="KQV55" s="936"/>
      <c r="KQW55" s="936"/>
      <c r="KQX55" s="936"/>
      <c r="KQY55" s="936"/>
      <c r="KQZ55" s="936"/>
      <c r="KRA55" s="936"/>
      <c r="KRB55" s="936"/>
      <c r="KRC55" s="936"/>
      <c r="KRD55" s="936"/>
      <c r="KRE55" s="936"/>
      <c r="KRF55" s="936"/>
      <c r="KRG55" s="936"/>
      <c r="KRH55" s="936"/>
      <c r="KRI55" s="936"/>
      <c r="KRJ55" s="936"/>
      <c r="KRK55" s="936"/>
      <c r="KRL55" s="936"/>
      <c r="KRM55" s="936"/>
      <c r="KRN55" s="936"/>
      <c r="KRO55" s="936"/>
      <c r="KRP55" s="936"/>
      <c r="KRQ55" s="936"/>
      <c r="KRR55" s="936"/>
      <c r="KRS55" s="936"/>
      <c r="KRT55" s="936"/>
      <c r="KRU55" s="936"/>
      <c r="KRV55" s="936"/>
      <c r="KRW55" s="936"/>
      <c r="KRX55" s="936"/>
      <c r="KRY55" s="936"/>
      <c r="KRZ55" s="936"/>
      <c r="KSA55" s="936"/>
      <c r="KSB55" s="936"/>
      <c r="KSC55" s="936"/>
      <c r="KSD55" s="936"/>
      <c r="KSE55" s="936"/>
      <c r="KSF55" s="936"/>
      <c r="KSG55" s="936"/>
      <c r="KSH55" s="936"/>
      <c r="KSI55" s="936"/>
      <c r="KSJ55" s="936"/>
      <c r="KSK55" s="936"/>
      <c r="KSL55" s="936"/>
      <c r="KSM55" s="936"/>
      <c r="KSN55" s="936"/>
      <c r="KSO55" s="936"/>
      <c r="KSP55" s="936"/>
      <c r="KSQ55" s="936"/>
      <c r="KSR55" s="936"/>
      <c r="KSS55" s="936"/>
      <c r="KST55" s="936"/>
      <c r="KSU55" s="936"/>
      <c r="KSV55" s="936"/>
      <c r="KSW55" s="936"/>
      <c r="KSX55" s="936"/>
      <c r="KSY55" s="936"/>
      <c r="KSZ55" s="936"/>
      <c r="KTA55" s="936"/>
      <c r="KTB55" s="936"/>
      <c r="KTC55" s="936"/>
      <c r="KTD55" s="936"/>
      <c r="KTE55" s="936"/>
      <c r="KTF55" s="936"/>
      <c r="KTG55" s="936"/>
      <c r="KTH55" s="936"/>
      <c r="KTI55" s="936"/>
      <c r="KTJ55" s="936"/>
      <c r="KTK55" s="936"/>
      <c r="KTL55" s="936"/>
      <c r="KTM55" s="936"/>
      <c r="KTN55" s="936"/>
      <c r="KTO55" s="936"/>
      <c r="KTP55" s="936"/>
      <c r="KTQ55" s="936"/>
      <c r="KTR55" s="936"/>
      <c r="KTS55" s="936"/>
      <c r="KTT55" s="936"/>
      <c r="KTU55" s="936"/>
      <c r="KTV55" s="936"/>
      <c r="KTW55" s="936"/>
      <c r="KTX55" s="936"/>
      <c r="KTY55" s="936"/>
      <c r="KTZ55" s="936"/>
      <c r="KUA55" s="936"/>
      <c r="KUB55" s="936"/>
      <c r="KUC55" s="936"/>
      <c r="KUD55" s="936"/>
      <c r="KUE55" s="936"/>
      <c r="KUF55" s="936"/>
      <c r="KUG55" s="936"/>
      <c r="KUH55" s="936"/>
      <c r="KUI55" s="936"/>
      <c r="KUJ55" s="936"/>
      <c r="KUK55" s="936"/>
      <c r="KUL55" s="936"/>
      <c r="KUM55" s="936"/>
      <c r="KUN55" s="936"/>
      <c r="KUO55" s="936"/>
      <c r="KUP55" s="936"/>
      <c r="KUQ55" s="936"/>
      <c r="KUR55" s="936"/>
      <c r="KUS55" s="936"/>
      <c r="KUT55" s="936"/>
      <c r="KUU55" s="936"/>
      <c r="KUV55" s="936"/>
      <c r="KUW55" s="936"/>
      <c r="KUX55" s="936"/>
      <c r="KUY55" s="936"/>
      <c r="KUZ55" s="936"/>
      <c r="KVA55" s="936"/>
      <c r="KVB55" s="936"/>
      <c r="KVC55" s="936"/>
      <c r="KVD55" s="936"/>
      <c r="KVE55" s="936"/>
      <c r="KVF55" s="936"/>
      <c r="KVG55" s="936"/>
      <c r="KVH55" s="936"/>
      <c r="KVI55" s="936"/>
      <c r="KVJ55" s="936"/>
      <c r="KVK55" s="936"/>
      <c r="KVL55" s="936"/>
      <c r="KVM55" s="936"/>
      <c r="KVN55" s="936"/>
      <c r="KVO55" s="936"/>
      <c r="KVP55" s="936"/>
      <c r="KVQ55" s="936"/>
      <c r="KVR55" s="936"/>
      <c r="KVS55" s="936"/>
      <c r="KVT55" s="936"/>
      <c r="KVU55" s="936"/>
      <c r="KVV55" s="936"/>
      <c r="KVW55" s="936"/>
      <c r="KVX55" s="936"/>
      <c r="KVY55" s="936"/>
      <c r="KVZ55" s="936"/>
      <c r="KWA55" s="936"/>
      <c r="KWB55" s="936"/>
      <c r="KWC55" s="936"/>
      <c r="KWD55" s="936"/>
      <c r="KWE55" s="936"/>
      <c r="KWF55" s="936"/>
      <c r="KWG55" s="936"/>
      <c r="KWH55" s="936"/>
      <c r="KWI55" s="936"/>
      <c r="KWJ55" s="936"/>
      <c r="KWK55" s="936"/>
      <c r="KWL55" s="936"/>
      <c r="KWM55" s="936"/>
      <c r="KWN55" s="936"/>
      <c r="KWO55" s="936"/>
      <c r="KWP55" s="936"/>
      <c r="KWQ55" s="936"/>
      <c r="KWR55" s="936"/>
      <c r="KWS55" s="936"/>
      <c r="KWT55" s="936"/>
      <c r="KWU55" s="936"/>
      <c r="KWV55" s="936"/>
      <c r="KWW55" s="936"/>
      <c r="KWX55" s="936"/>
      <c r="KWY55" s="936"/>
      <c r="KWZ55" s="936"/>
      <c r="KXA55" s="936"/>
      <c r="KXB55" s="936"/>
      <c r="KXC55" s="936"/>
      <c r="KXD55" s="936"/>
      <c r="KXE55" s="936"/>
      <c r="KXF55" s="936"/>
      <c r="KXG55" s="936"/>
      <c r="KXH55" s="936"/>
      <c r="KXI55" s="936"/>
      <c r="KXJ55" s="936"/>
      <c r="KXK55" s="936"/>
      <c r="KXL55" s="936"/>
      <c r="KXM55" s="936"/>
      <c r="KXN55" s="936"/>
      <c r="KXO55" s="936"/>
      <c r="KXP55" s="936"/>
      <c r="KXQ55" s="936"/>
      <c r="KXR55" s="936"/>
      <c r="KXS55" s="936"/>
      <c r="KXT55" s="936"/>
      <c r="KXU55" s="936"/>
      <c r="KXV55" s="936"/>
      <c r="KXW55" s="936"/>
      <c r="KXX55" s="936"/>
      <c r="KXY55" s="936"/>
      <c r="KXZ55" s="936"/>
      <c r="KYA55" s="936"/>
      <c r="KYB55" s="936"/>
      <c r="KYC55" s="936"/>
      <c r="KYD55" s="936"/>
      <c r="KYE55" s="936"/>
      <c r="KYF55" s="936"/>
      <c r="KYG55" s="936"/>
      <c r="KYH55" s="936"/>
      <c r="KYI55" s="936"/>
      <c r="KYJ55" s="936"/>
      <c r="KYK55" s="936"/>
      <c r="KYL55" s="936"/>
      <c r="KYM55" s="936"/>
      <c r="KYN55" s="936"/>
      <c r="KYO55" s="936"/>
      <c r="KYP55" s="936"/>
      <c r="KYQ55" s="936"/>
      <c r="KYR55" s="936"/>
      <c r="KYS55" s="936"/>
      <c r="KYT55" s="936"/>
      <c r="KYU55" s="936"/>
      <c r="KYV55" s="936"/>
      <c r="KYW55" s="936"/>
      <c r="KYX55" s="936"/>
      <c r="KYY55" s="936"/>
      <c r="KYZ55" s="936"/>
      <c r="KZA55" s="936"/>
      <c r="KZB55" s="936"/>
      <c r="KZC55" s="936"/>
      <c r="KZD55" s="936"/>
      <c r="KZE55" s="936"/>
      <c r="KZF55" s="936"/>
      <c r="KZG55" s="936"/>
      <c r="KZH55" s="936"/>
      <c r="KZI55" s="936"/>
      <c r="KZJ55" s="936"/>
      <c r="KZK55" s="936"/>
      <c r="KZL55" s="936"/>
      <c r="KZM55" s="936"/>
      <c r="KZN55" s="936"/>
      <c r="KZO55" s="936"/>
      <c r="KZP55" s="936"/>
      <c r="KZQ55" s="936"/>
      <c r="KZR55" s="936"/>
      <c r="KZS55" s="936"/>
      <c r="KZT55" s="936"/>
      <c r="KZU55" s="936"/>
      <c r="KZV55" s="936"/>
      <c r="KZW55" s="936"/>
      <c r="KZX55" s="936"/>
      <c r="KZY55" s="936"/>
      <c r="KZZ55" s="936"/>
      <c r="LAA55" s="936"/>
      <c r="LAB55" s="936"/>
      <c r="LAC55" s="936"/>
      <c r="LAD55" s="936"/>
      <c r="LAE55" s="936"/>
      <c r="LAF55" s="936"/>
      <c r="LAG55" s="936"/>
      <c r="LAH55" s="936"/>
      <c r="LAI55" s="936"/>
      <c r="LAJ55" s="936"/>
      <c r="LAK55" s="936"/>
      <c r="LAL55" s="936"/>
      <c r="LAM55" s="936"/>
      <c r="LAN55" s="936"/>
      <c r="LAO55" s="936"/>
      <c r="LAP55" s="936"/>
      <c r="LAQ55" s="936"/>
      <c r="LAR55" s="936"/>
      <c r="LAS55" s="936"/>
      <c r="LAT55" s="936"/>
      <c r="LAU55" s="936"/>
      <c r="LAV55" s="936"/>
      <c r="LAW55" s="936"/>
      <c r="LAX55" s="936"/>
      <c r="LAY55" s="936"/>
      <c r="LAZ55" s="936"/>
      <c r="LBA55" s="936"/>
      <c r="LBB55" s="936"/>
      <c r="LBC55" s="936"/>
      <c r="LBD55" s="936"/>
      <c r="LBE55" s="936"/>
      <c r="LBF55" s="936"/>
      <c r="LBG55" s="936"/>
      <c r="LBH55" s="936"/>
      <c r="LBI55" s="936"/>
      <c r="LBJ55" s="936"/>
      <c r="LBK55" s="936"/>
      <c r="LBL55" s="936"/>
      <c r="LBM55" s="936"/>
      <c r="LBN55" s="936"/>
      <c r="LBO55" s="936"/>
      <c r="LBP55" s="936"/>
      <c r="LBQ55" s="936"/>
      <c r="LBR55" s="936"/>
      <c r="LBS55" s="936"/>
      <c r="LBT55" s="936"/>
      <c r="LBU55" s="936"/>
      <c r="LBV55" s="936"/>
      <c r="LBW55" s="936"/>
      <c r="LBX55" s="936"/>
      <c r="LBY55" s="936"/>
      <c r="LBZ55" s="936"/>
      <c r="LCA55" s="936"/>
      <c r="LCB55" s="936"/>
      <c r="LCC55" s="936"/>
      <c r="LCD55" s="936"/>
      <c r="LCE55" s="936"/>
      <c r="LCF55" s="936"/>
      <c r="LCG55" s="936"/>
      <c r="LCH55" s="936"/>
      <c r="LCI55" s="936"/>
      <c r="LCJ55" s="936"/>
      <c r="LCK55" s="936"/>
      <c r="LCL55" s="936"/>
      <c r="LCM55" s="936"/>
      <c r="LCN55" s="936"/>
      <c r="LCO55" s="936"/>
      <c r="LCP55" s="936"/>
      <c r="LCQ55" s="936"/>
      <c r="LCR55" s="936"/>
      <c r="LCS55" s="936"/>
      <c r="LCT55" s="936"/>
      <c r="LCU55" s="936"/>
      <c r="LCV55" s="936"/>
      <c r="LCW55" s="936"/>
      <c r="LCX55" s="936"/>
      <c r="LCY55" s="936"/>
      <c r="LCZ55" s="936"/>
      <c r="LDA55" s="936"/>
      <c r="LDB55" s="936"/>
      <c r="LDC55" s="936"/>
      <c r="LDD55" s="936"/>
      <c r="LDE55" s="936"/>
      <c r="LDF55" s="936"/>
      <c r="LDG55" s="936"/>
      <c r="LDH55" s="936"/>
      <c r="LDI55" s="936"/>
      <c r="LDJ55" s="936"/>
      <c r="LDK55" s="936"/>
      <c r="LDL55" s="936"/>
      <c r="LDM55" s="936"/>
      <c r="LDN55" s="936"/>
      <c r="LDO55" s="936"/>
      <c r="LDP55" s="936"/>
      <c r="LDQ55" s="936"/>
      <c r="LDR55" s="936"/>
      <c r="LDS55" s="936"/>
      <c r="LDT55" s="936"/>
      <c r="LDU55" s="936"/>
      <c r="LDV55" s="936"/>
      <c r="LDW55" s="936"/>
      <c r="LDX55" s="936"/>
      <c r="LDY55" s="936"/>
      <c r="LDZ55" s="936"/>
      <c r="LEA55" s="936"/>
      <c r="LEB55" s="936"/>
      <c r="LEC55" s="936"/>
      <c r="LED55" s="936"/>
      <c r="LEE55" s="936"/>
      <c r="LEF55" s="936"/>
      <c r="LEG55" s="936"/>
      <c r="LEH55" s="936"/>
      <c r="LEI55" s="936"/>
      <c r="LEJ55" s="936"/>
      <c r="LEK55" s="936"/>
      <c r="LEL55" s="936"/>
      <c r="LEM55" s="936"/>
      <c r="LEN55" s="936"/>
      <c r="LEO55" s="936"/>
      <c r="LEP55" s="936"/>
      <c r="LEQ55" s="936"/>
      <c r="LER55" s="936"/>
      <c r="LES55" s="936"/>
      <c r="LET55" s="936"/>
      <c r="LEU55" s="936"/>
      <c r="LEV55" s="936"/>
      <c r="LEW55" s="936"/>
      <c r="LEX55" s="936"/>
      <c r="LEY55" s="936"/>
      <c r="LEZ55" s="936"/>
      <c r="LFA55" s="936"/>
      <c r="LFB55" s="936"/>
      <c r="LFC55" s="936"/>
      <c r="LFD55" s="936"/>
      <c r="LFE55" s="936"/>
      <c r="LFF55" s="936"/>
      <c r="LFG55" s="936"/>
      <c r="LFH55" s="936"/>
      <c r="LFI55" s="936"/>
      <c r="LFJ55" s="936"/>
      <c r="LFK55" s="936"/>
      <c r="LFL55" s="936"/>
      <c r="LFM55" s="936"/>
      <c r="LFN55" s="936"/>
      <c r="LFO55" s="936"/>
      <c r="LFP55" s="936"/>
      <c r="LFQ55" s="936"/>
      <c r="LFR55" s="936"/>
      <c r="LFS55" s="936"/>
      <c r="LFT55" s="936"/>
      <c r="LFU55" s="936"/>
      <c r="LFV55" s="936"/>
      <c r="LFW55" s="936"/>
      <c r="LFX55" s="936"/>
      <c r="LFY55" s="936"/>
      <c r="LFZ55" s="936"/>
      <c r="LGA55" s="936"/>
      <c r="LGB55" s="936"/>
      <c r="LGC55" s="936"/>
      <c r="LGD55" s="936"/>
      <c r="LGE55" s="936"/>
      <c r="LGF55" s="936"/>
      <c r="LGG55" s="936"/>
      <c r="LGH55" s="936"/>
      <c r="LGI55" s="936"/>
      <c r="LGJ55" s="936"/>
      <c r="LGK55" s="936"/>
      <c r="LGL55" s="936"/>
      <c r="LGM55" s="936"/>
      <c r="LGN55" s="936"/>
      <c r="LGO55" s="936"/>
      <c r="LGP55" s="936"/>
      <c r="LGQ55" s="936"/>
      <c r="LGR55" s="936"/>
      <c r="LGS55" s="936"/>
      <c r="LGT55" s="936"/>
      <c r="LGU55" s="936"/>
      <c r="LGV55" s="936"/>
      <c r="LGW55" s="936"/>
      <c r="LGX55" s="936"/>
      <c r="LGY55" s="936"/>
      <c r="LGZ55" s="936"/>
      <c r="LHA55" s="936"/>
      <c r="LHB55" s="936"/>
      <c r="LHC55" s="936"/>
      <c r="LHD55" s="936"/>
      <c r="LHE55" s="936"/>
      <c r="LHF55" s="936"/>
      <c r="LHG55" s="936"/>
      <c r="LHH55" s="936"/>
      <c r="LHI55" s="936"/>
      <c r="LHJ55" s="936"/>
      <c r="LHK55" s="936"/>
      <c r="LHL55" s="936"/>
      <c r="LHM55" s="936"/>
      <c r="LHN55" s="936"/>
      <c r="LHO55" s="936"/>
      <c r="LHP55" s="936"/>
      <c r="LHQ55" s="936"/>
      <c r="LHR55" s="936"/>
      <c r="LHS55" s="936"/>
      <c r="LHT55" s="936"/>
      <c r="LHU55" s="936"/>
      <c r="LHV55" s="936"/>
      <c r="LHW55" s="936"/>
      <c r="LHX55" s="936"/>
      <c r="LHY55" s="936"/>
      <c r="LHZ55" s="936"/>
      <c r="LIA55" s="936"/>
      <c r="LIB55" s="936"/>
      <c r="LIC55" s="936"/>
      <c r="LID55" s="936"/>
      <c r="LIE55" s="936"/>
      <c r="LIF55" s="936"/>
      <c r="LIG55" s="936"/>
      <c r="LIH55" s="936"/>
      <c r="LII55" s="936"/>
      <c r="LIJ55" s="936"/>
      <c r="LIK55" s="936"/>
      <c r="LIL55" s="936"/>
      <c r="LIM55" s="936"/>
      <c r="LIN55" s="936"/>
      <c r="LIO55" s="936"/>
      <c r="LIP55" s="936"/>
      <c r="LIQ55" s="936"/>
      <c r="LIR55" s="936"/>
      <c r="LIS55" s="936"/>
      <c r="LIT55" s="936"/>
      <c r="LIU55" s="936"/>
      <c r="LIV55" s="936"/>
      <c r="LIW55" s="936"/>
      <c r="LIX55" s="936"/>
      <c r="LIY55" s="936"/>
      <c r="LIZ55" s="936"/>
      <c r="LJA55" s="936"/>
      <c r="LJB55" s="936"/>
      <c r="LJC55" s="936"/>
      <c r="LJD55" s="936"/>
      <c r="LJE55" s="936"/>
      <c r="LJF55" s="936"/>
      <c r="LJG55" s="936"/>
      <c r="LJH55" s="936"/>
      <c r="LJI55" s="936"/>
      <c r="LJJ55" s="936"/>
      <c r="LJK55" s="936"/>
      <c r="LJL55" s="936"/>
      <c r="LJM55" s="936"/>
      <c r="LJN55" s="936"/>
      <c r="LJO55" s="936"/>
      <c r="LJP55" s="936"/>
      <c r="LJQ55" s="936"/>
      <c r="LJR55" s="936"/>
      <c r="LJS55" s="936"/>
      <c r="LJT55" s="936"/>
      <c r="LJU55" s="936"/>
      <c r="LJV55" s="936"/>
      <c r="LJW55" s="936"/>
      <c r="LJX55" s="936"/>
      <c r="LJY55" s="936"/>
      <c r="LJZ55" s="936"/>
      <c r="LKA55" s="936"/>
      <c r="LKB55" s="936"/>
      <c r="LKC55" s="936"/>
      <c r="LKD55" s="936"/>
      <c r="LKE55" s="936"/>
      <c r="LKF55" s="936"/>
      <c r="LKG55" s="936"/>
      <c r="LKH55" s="936"/>
      <c r="LKI55" s="936"/>
      <c r="LKJ55" s="936"/>
      <c r="LKK55" s="936"/>
      <c r="LKL55" s="936"/>
      <c r="LKM55" s="936"/>
      <c r="LKN55" s="936"/>
      <c r="LKO55" s="936"/>
      <c r="LKP55" s="936"/>
      <c r="LKQ55" s="936"/>
      <c r="LKR55" s="936"/>
      <c r="LKS55" s="936"/>
      <c r="LKT55" s="936"/>
      <c r="LKU55" s="936"/>
      <c r="LKV55" s="936"/>
      <c r="LKW55" s="936"/>
      <c r="LKX55" s="936"/>
      <c r="LKY55" s="936"/>
      <c r="LKZ55" s="936"/>
      <c r="LLA55" s="936"/>
      <c r="LLB55" s="936"/>
      <c r="LLC55" s="936"/>
      <c r="LLD55" s="936"/>
      <c r="LLE55" s="936"/>
      <c r="LLF55" s="936"/>
      <c r="LLG55" s="936"/>
      <c r="LLH55" s="936"/>
      <c r="LLI55" s="936"/>
      <c r="LLJ55" s="936"/>
      <c r="LLK55" s="936"/>
      <c r="LLL55" s="936"/>
      <c r="LLM55" s="936"/>
      <c r="LLN55" s="936"/>
      <c r="LLO55" s="936"/>
      <c r="LLP55" s="936"/>
      <c r="LLQ55" s="936"/>
      <c r="LLR55" s="936"/>
      <c r="LLS55" s="936"/>
      <c r="LLT55" s="936"/>
      <c r="LLU55" s="936"/>
      <c r="LLV55" s="936"/>
      <c r="LLW55" s="936"/>
      <c r="LLX55" s="936"/>
      <c r="LLY55" s="936"/>
      <c r="LLZ55" s="936"/>
      <c r="LMA55" s="936"/>
      <c r="LMB55" s="936"/>
      <c r="LMC55" s="936"/>
      <c r="LMD55" s="936"/>
      <c r="LME55" s="936"/>
      <c r="LMF55" s="936"/>
      <c r="LMG55" s="936"/>
      <c r="LMH55" s="936"/>
      <c r="LMI55" s="936"/>
      <c r="LMJ55" s="936"/>
      <c r="LMK55" s="936"/>
      <c r="LML55" s="936"/>
      <c r="LMM55" s="936"/>
      <c r="LMN55" s="936"/>
      <c r="LMO55" s="936"/>
      <c r="LMP55" s="936"/>
      <c r="LMQ55" s="936"/>
      <c r="LMR55" s="936"/>
      <c r="LMS55" s="936"/>
      <c r="LMT55" s="936"/>
      <c r="LMU55" s="936"/>
      <c r="LMV55" s="936"/>
      <c r="LMW55" s="936"/>
      <c r="LMX55" s="936"/>
      <c r="LMY55" s="936"/>
      <c r="LMZ55" s="936"/>
      <c r="LNA55" s="936"/>
      <c r="LNB55" s="936"/>
      <c r="LNC55" s="936"/>
      <c r="LND55" s="936"/>
      <c r="LNE55" s="936"/>
      <c r="LNF55" s="936"/>
      <c r="LNG55" s="936"/>
      <c r="LNH55" s="936"/>
      <c r="LNI55" s="936"/>
      <c r="LNJ55" s="936"/>
      <c r="LNK55" s="936"/>
      <c r="LNL55" s="936"/>
      <c r="LNM55" s="936"/>
      <c r="LNN55" s="936"/>
      <c r="LNO55" s="936"/>
      <c r="LNP55" s="936"/>
      <c r="LNQ55" s="936"/>
      <c r="LNR55" s="936"/>
      <c r="LNS55" s="936"/>
      <c r="LNT55" s="936"/>
      <c r="LNU55" s="936"/>
      <c r="LNV55" s="936"/>
      <c r="LNW55" s="936"/>
      <c r="LNX55" s="936"/>
      <c r="LNY55" s="936"/>
      <c r="LNZ55" s="936"/>
      <c r="LOA55" s="936"/>
      <c r="LOB55" s="936"/>
      <c r="LOC55" s="936"/>
      <c r="LOD55" s="936"/>
      <c r="LOE55" s="936"/>
      <c r="LOF55" s="936"/>
      <c r="LOG55" s="936"/>
      <c r="LOH55" s="936"/>
      <c r="LOI55" s="936"/>
      <c r="LOJ55" s="936"/>
      <c r="LOK55" s="936"/>
      <c r="LOL55" s="936"/>
      <c r="LOM55" s="936"/>
      <c r="LON55" s="936"/>
      <c r="LOO55" s="936"/>
      <c r="LOP55" s="936"/>
      <c r="LOQ55" s="936"/>
      <c r="LOR55" s="936"/>
      <c r="LOS55" s="936"/>
      <c r="LOT55" s="936"/>
      <c r="LOU55" s="936"/>
      <c r="LOV55" s="936"/>
      <c r="LOW55" s="936"/>
      <c r="LOX55" s="936"/>
      <c r="LOY55" s="936"/>
      <c r="LOZ55" s="936"/>
      <c r="LPA55" s="936"/>
      <c r="LPB55" s="936"/>
      <c r="LPC55" s="936"/>
      <c r="LPD55" s="936"/>
      <c r="LPE55" s="936"/>
      <c r="LPF55" s="936"/>
      <c r="LPG55" s="936"/>
      <c r="LPH55" s="936"/>
      <c r="LPI55" s="936"/>
      <c r="LPJ55" s="936"/>
      <c r="LPK55" s="936"/>
      <c r="LPL55" s="936"/>
      <c r="LPM55" s="936"/>
      <c r="LPN55" s="936"/>
      <c r="LPO55" s="936"/>
      <c r="LPP55" s="936"/>
      <c r="LPQ55" s="936"/>
      <c r="LPR55" s="936"/>
      <c r="LPS55" s="936"/>
      <c r="LPT55" s="936"/>
      <c r="LPU55" s="936"/>
      <c r="LPV55" s="936"/>
      <c r="LPW55" s="936"/>
      <c r="LPX55" s="936"/>
      <c r="LPY55" s="936"/>
      <c r="LPZ55" s="936"/>
      <c r="LQA55" s="936"/>
      <c r="LQB55" s="936"/>
      <c r="LQC55" s="936"/>
      <c r="LQD55" s="936"/>
      <c r="LQE55" s="936"/>
      <c r="LQF55" s="936"/>
      <c r="LQG55" s="936"/>
      <c r="LQH55" s="936"/>
      <c r="LQI55" s="936"/>
      <c r="LQJ55" s="936"/>
      <c r="LQK55" s="936"/>
      <c r="LQL55" s="936"/>
      <c r="LQM55" s="936"/>
      <c r="LQN55" s="936"/>
      <c r="LQO55" s="936"/>
      <c r="LQP55" s="936"/>
      <c r="LQQ55" s="936"/>
      <c r="LQR55" s="936"/>
      <c r="LQS55" s="936"/>
      <c r="LQT55" s="936"/>
      <c r="LQU55" s="936"/>
      <c r="LQV55" s="936"/>
      <c r="LQW55" s="936"/>
      <c r="LQX55" s="936"/>
      <c r="LQY55" s="936"/>
      <c r="LQZ55" s="936"/>
      <c r="LRA55" s="936"/>
      <c r="LRB55" s="936"/>
      <c r="LRC55" s="936"/>
      <c r="LRD55" s="936"/>
      <c r="LRE55" s="936"/>
      <c r="LRF55" s="936"/>
      <c r="LRG55" s="936"/>
      <c r="LRH55" s="936"/>
      <c r="LRI55" s="936"/>
      <c r="LRJ55" s="936"/>
      <c r="LRK55" s="936"/>
      <c r="LRL55" s="936"/>
      <c r="LRM55" s="936"/>
      <c r="LRN55" s="936"/>
      <c r="LRO55" s="936"/>
      <c r="LRP55" s="936"/>
      <c r="LRQ55" s="936"/>
      <c r="LRR55" s="936"/>
      <c r="LRS55" s="936"/>
      <c r="LRT55" s="936"/>
      <c r="LRU55" s="936"/>
      <c r="LRV55" s="936"/>
      <c r="LRW55" s="936"/>
      <c r="LRX55" s="936"/>
      <c r="LRY55" s="936"/>
      <c r="LRZ55" s="936"/>
      <c r="LSA55" s="936"/>
      <c r="LSB55" s="936"/>
      <c r="LSC55" s="936"/>
      <c r="LSD55" s="936"/>
      <c r="LSE55" s="936"/>
      <c r="LSF55" s="936"/>
      <c r="LSG55" s="936"/>
      <c r="LSH55" s="936"/>
      <c r="LSI55" s="936"/>
      <c r="LSJ55" s="936"/>
      <c r="LSK55" s="936"/>
      <c r="LSL55" s="936"/>
      <c r="LSM55" s="936"/>
      <c r="LSN55" s="936"/>
      <c r="LSO55" s="936"/>
      <c r="LSP55" s="936"/>
      <c r="LSQ55" s="936"/>
      <c r="LSR55" s="936"/>
      <c r="LSS55" s="936"/>
      <c r="LST55" s="936"/>
      <c r="LSU55" s="936"/>
      <c r="LSV55" s="936"/>
      <c r="LSW55" s="936"/>
      <c r="LSX55" s="936"/>
      <c r="LSY55" s="936"/>
      <c r="LSZ55" s="936"/>
      <c r="LTA55" s="936"/>
      <c r="LTB55" s="936"/>
      <c r="LTC55" s="936"/>
      <c r="LTD55" s="936"/>
      <c r="LTE55" s="936"/>
      <c r="LTF55" s="936"/>
      <c r="LTG55" s="936"/>
      <c r="LTH55" s="936"/>
      <c r="LTI55" s="936"/>
      <c r="LTJ55" s="936"/>
      <c r="LTK55" s="936"/>
      <c r="LTL55" s="936"/>
      <c r="LTM55" s="936"/>
      <c r="LTN55" s="936"/>
      <c r="LTO55" s="936"/>
      <c r="LTP55" s="936"/>
      <c r="LTQ55" s="936"/>
      <c r="LTR55" s="936"/>
      <c r="LTS55" s="936"/>
      <c r="LTT55" s="936"/>
      <c r="LTU55" s="936"/>
      <c r="LTV55" s="936"/>
      <c r="LTW55" s="936"/>
      <c r="LTX55" s="936"/>
      <c r="LTY55" s="936"/>
      <c r="LTZ55" s="936"/>
      <c r="LUA55" s="936"/>
      <c r="LUB55" s="936"/>
      <c r="LUC55" s="936"/>
      <c r="LUD55" s="936"/>
      <c r="LUE55" s="936"/>
      <c r="LUF55" s="936"/>
      <c r="LUG55" s="936"/>
      <c r="LUH55" s="936"/>
      <c r="LUI55" s="936"/>
      <c r="LUJ55" s="936"/>
      <c r="LUK55" s="936"/>
      <c r="LUL55" s="936"/>
      <c r="LUM55" s="936"/>
      <c r="LUN55" s="936"/>
      <c r="LUO55" s="936"/>
      <c r="LUP55" s="936"/>
      <c r="LUQ55" s="936"/>
      <c r="LUR55" s="936"/>
      <c r="LUS55" s="936"/>
      <c r="LUT55" s="936"/>
      <c r="LUU55" s="936"/>
      <c r="LUV55" s="936"/>
      <c r="LUW55" s="936"/>
      <c r="LUX55" s="936"/>
      <c r="LUY55" s="936"/>
      <c r="LUZ55" s="936"/>
      <c r="LVA55" s="936"/>
      <c r="LVB55" s="936"/>
      <c r="LVC55" s="936"/>
      <c r="LVD55" s="936"/>
      <c r="LVE55" s="936"/>
      <c r="LVF55" s="936"/>
      <c r="LVG55" s="936"/>
      <c r="LVH55" s="936"/>
      <c r="LVI55" s="936"/>
      <c r="LVJ55" s="936"/>
      <c r="LVK55" s="936"/>
      <c r="LVL55" s="936"/>
      <c r="LVM55" s="936"/>
      <c r="LVN55" s="936"/>
      <c r="LVO55" s="936"/>
      <c r="LVP55" s="936"/>
      <c r="LVQ55" s="936"/>
      <c r="LVR55" s="936"/>
      <c r="LVS55" s="936"/>
      <c r="LVT55" s="936"/>
      <c r="LVU55" s="936"/>
      <c r="LVV55" s="936"/>
      <c r="LVW55" s="936"/>
      <c r="LVX55" s="936"/>
      <c r="LVY55" s="936"/>
      <c r="LVZ55" s="936"/>
      <c r="LWA55" s="936"/>
      <c r="LWB55" s="936"/>
      <c r="LWC55" s="936"/>
      <c r="LWD55" s="936"/>
      <c r="LWE55" s="936"/>
      <c r="LWF55" s="936"/>
      <c r="LWG55" s="936"/>
      <c r="LWH55" s="936"/>
      <c r="LWI55" s="936"/>
      <c r="LWJ55" s="936"/>
      <c r="LWK55" s="936"/>
      <c r="LWL55" s="936"/>
      <c r="LWM55" s="936"/>
      <c r="LWN55" s="936"/>
      <c r="LWO55" s="936"/>
      <c r="LWP55" s="936"/>
      <c r="LWQ55" s="936"/>
      <c r="LWR55" s="936"/>
      <c r="LWS55" s="936"/>
      <c r="LWT55" s="936"/>
      <c r="LWU55" s="936"/>
      <c r="LWV55" s="936"/>
      <c r="LWW55" s="936"/>
      <c r="LWX55" s="936"/>
      <c r="LWY55" s="936"/>
      <c r="LWZ55" s="936"/>
      <c r="LXA55" s="936"/>
      <c r="LXB55" s="936"/>
      <c r="LXC55" s="936"/>
      <c r="LXD55" s="936"/>
      <c r="LXE55" s="936"/>
      <c r="LXF55" s="936"/>
      <c r="LXG55" s="936"/>
      <c r="LXH55" s="936"/>
      <c r="LXI55" s="936"/>
      <c r="LXJ55" s="936"/>
      <c r="LXK55" s="936"/>
      <c r="LXL55" s="936"/>
      <c r="LXM55" s="936"/>
      <c r="LXN55" s="936"/>
      <c r="LXO55" s="936"/>
      <c r="LXP55" s="936"/>
      <c r="LXQ55" s="936"/>
      <c r="LXR55" s="936"/>
      <c r="LXS55" s="936"/>
      <c r="LXT55" s="936"/>
      <c r="LXU55" s="936"/>
      <c r="LXV55" s="936"/>
      <c r="LXW55" s="936"/>
      <c r="LXX55" s="936"/>
      <c r="LXY55" s="936"/>
      <c r="LXZ55" s="936"/>
      <c r="LYA55" s="936"/>
      <c r="LYB55" s="936"/>
      <c r="LYC55" s="936"/>
      <c r="LYD55" s="936"/>
      <c r="LYE55" s="936"/>
      <c r="LYF55" s="936"/>
      <c r="LYG55" s="936"/>
      <c r="LYH55" s="936"/>
      <c r="LYI55" s="936"/>
      <c r="LYJ55" s="936"/>
      <c r="LYK55" s="936"/>
      <c r="LYL55" s="936"/>
      <c r="LYM55" s="936"/>
      <c r="LYN55" s="936"/>
      <c r="LYO55" s="936"/>
      <c r="LYP55" s="936"/>
      <c r="LYQ55" s="936"/>
      <c r="LYR55" s="936"/>
      <c r="LYS55" s="936"/>
      <c r="LYT55" s="936"/>
      <c r="LYU55" s="936"/>
      <c r="LYV55" s="936"/>
      <c r="LYW55" s="936"/>
      <c r="LYX55" s="936"/>
      <c r="LYY55" s="936"/>
      <c r="LYZ55" s="936"/>
      <c r="LZA55" s="936"/>
      <c r="LZB55" s="936"/>
      <c r="LZC55" s="936"/>
      <c r="LZD55" s="936"/>
      <c r="LZE55" s="936"/>
      <c r="LZF55" s="936"/>
      <c r="LZG55" s="936"/>
      <c r="LZH55" s="936"/>
      <c r="LZI55" s="936"/>
      <c r="LZJ55" s="936"/>
      <c r="LZK55" s="936"/>
      <c r="LZL55" s="936"/>
      <c r="LZM55" s="936"/>
      <c r="LZN55" s="936"/>
      <c r="LZO55" s="936"/>
      <c r="LZP55" s="936"/>
      <c r="LZQ55" s="936"/>
      <c r="LZR55" s="936"/>
      <c r="LZS55" s="936"/>
      <c r="LZT55" s="936"/>
      <c r="LZU55" s="936"/>
      <c r="LZV55" s="936"/>
      <c r="LZW55" s="936"/>
      <c r="LZX55" s="936"/>
      <c r="LZY55" s="936"/>
      <c r="LZZ55" s="936"/>
      <c r="MAA55" s="936"/>
      <c r="MAB55" s="936"/>
      <c r="MAC55" s="936"/>
      <c r="MAD55" s="936"/>
      <c r="MAE55" s="936"/>
      <c r="MAF55" s="936"/>
      <c r="MAG55" s="936"/>
      <c r="MAH55" s="936"/>
      <c r="MAI55" s="936"/>
      <c r="MAJ55" s="936"/>
      <c r="MAK55" s="936"/>
      <c r="MAL55" s="936"/>
      <c r="MAM55" s="936"/>
      <c r="MAN55" s="936"/>
      <c r="MAO55" s="936"/>
      <c r="MAP55" s="936"/>
      <c r="MAQ55" s="936"/>
      <c r="MAR55" s="936"/>
      <c r="MAS55" s="936"/>
      <c r="MAT55" s="936"/>
      <c r="MAU55" s="936"/>
      <c r="MAV55" s="936"/>
      <c r="MAW55" s="936"/>
      <c r="MAX55" s="936"/>
      <c r="MAY55" s="936"/>
      <c r="MAZ55" s="936"/>
      <c r="MBA55" s="936"/>
      <c r="MBB55" s="936"/>
      <c r="MBC55" s="936"/>
      <c r="MBD55" s="936"/>
      <c r="MBE55" s="936"/>
      <c r="MBF55" s="936"/>
      <c r="MBG55" s="936"/>
      <c r="MBH55" s="936"/>
      <c r="MBI55" s="936"/>
      <c r="MBJ55" s="936"/>
      <c r="MBK55" s="936"/>
      <c r="MBL55" s="936"/>
      <c r="MBM55" s="936"/>
      <c r="MBN55" s="936"/>
      <c r="MBO55" s="936"/>
      <c r="MBP55" s="936"/>
      <c r="MBQ55" s="936"/>
      <c r="MBR55" s="936"/>
      <c r="MBS55" s="936"/>
      <c r="MBT55" s="936"/>
      <c r="MBU55" s="936"/>
      <c r="MBV55" s="936"/>
      <c r="MBW55" s="936"/>
      <c r="MBX55" s="936"/>
      <c r="MBY55" s="936"/>
      <c r="MBZ55" s="936"/>
      <c r="MCA55" s="936"/>
      <c r="MCB55" s="936"/>
      <c r="MCC55" s="936"/>
      <c r="MCD55" s="936"/>
      <c r="MCE55" s="936"/>
      <c r="MCF55" s="936"/>
      <c r="MCG55" s="936"/>
      <c r="MCH55" s="936"/>
      <c r="MCI55" s="936"/>
      <c r="MCJ55" s="936"/>
      <c r="MCK55" s="936"/>
      <c r="MCL55" s="936"/>
      <c r="MCM55" s="936"/>
      <c r="MCN55" s="936"/>
      <c r="MCO55" s="936"/>
      <c r="MCP55" s="936"/>
      <c r="MCQ55" s="936"/>
      <c r="MCR55" s="936"/>
      <c r="MCS55" s="936"/>
      <c r="MCT55" s="936"/>
      <c r="MCU55" s="936"/>
      <c r="MCV55" s="936"/>
      <c r="MCW55" s="936"/>
      <c r="MCX55" s="936"/>
      <c r="MCY55" s="936"/>
      <c r="MCZ55" s="936"/>
      <c r="MDA55" s="936"/>
      <c r="MDB55" s="936"/>
      <c r="MDC55" s="936"/>
      <c r="MDD55" s="936"/>
      <c r="MDE55" s="936"/>
      <c r="MDF55" s="936"/>
      <c r="MDG55" s="936"/>
      <c r="MDH55" s="936"/>
      <c r="MDI55" s="936"/>
      <c r="MDJ55" s="936"/>
      <c r="MDK55" s="936"/>
      <c r="MDL55" s="936"/>
      <c r="MDM55" s="936"/>
      <c r="MDN55" s="936"/>
      <c r="MDO55" s="936"/>
      <c r="MDP55" s="936"/>
      <c r="MDQ55" s="936"/>
      <c r="MDR55" s="936"/>
      <c r="MDS55" s="936"/>
      <c r="MDT55" s="936"/>
      <c r="MDU55" s="936"/>
      <c r="MDV55" s="936"/>
      <c r="MDW55" s="936"/>
      <c r="MDX55" s="936"/>
      <c r="MDY55" s="936"/>
      <c r="MDZ55" s="936"/>
      <c r="MEA55" s="936"/>
      <c r="MEB55" s="936"/>
      <c r="MEC55" s="936"/>
      <c r="MED55" s="936"/>
      <c r="MEE55" s="936"/>
      <c r="MEF55" s="936"/>
      <c r="MEG55" s="936"/>
      <c r="MEH55" s="936"/>
      <c r="MEI55" s="936"/>
      <c r="MEJ55" s="936"/>
      <c r="MEK55" s="936"/>
      <c r="MEL55" s="936"/>
      <c r="MEM55" s="936"/>
      <c r="MEN55" s="936"/>
      <c r="MEO55" s="936"/>
      <c r="MEP55" s="936"/>
      <c r="MEQ55" s="936"/>
      <c r="MER55" s="936"/>
      <c r="MES55" s="936"/>
      <c r="MET55" s="936"/>
      <c r="MEU55" s="936"/>
      <c r="MEV55" s="936"/>
      <c r="MEW55" s="936"/>
      <c r="MEX55" s="936"/>
      <c r="MEY55" s="936"/>
      <c r="MEZ55" s="936"/>
      <c r="MFA55" s="936"/>
      <c r="MFB55" s="936"/>
      <c r="MFC55" s="936"/>
      <c r="MFD55" s="936"/>
      <c r="MFE55" s="936"/>
      <c r="MFF55" s="936"/>
      <c r="MFG55" s="936"/>
      <c r="MFH55" s="936"/>
      <c r="MFI55" s="936"/>
      <c r="MFJ55" s="936"/>
      <c r="MFK55" s="936"/>
      <c r="MFL55" s="936"/>
      <c r="MFM55" s="936"/>
      <c r="MFN55" s="936"/>
      <c r="MFO55" s="936"/>
      <c r="MFP55" s="936"/>
      <c r="MFQ55" s="936"/>
      <c r="MFR55" s="936"/>
      <c r="MFS55" s="936"/>
      <c r="MFT55" s="936"/>
      <c r="MFU55" s="936"/>
      <c r="MFV55" s="936"/>
      <c r="MFW55" s="936"/>
      <c r="MFX55" s="936"/>
      <c r="MFY55" s="936"/>
      <c r="MFZ55" s="936"/>
      <c r="MGA55" s="936"/>
      <c r="MGB55" s="936"/>
      <c r="MGC55" s="936"/>
      <c r="MGD55" s="936"/>
      <c r="MGE55" s="936"/>
      <c r="MGF55" s="936"/>
      <c r="MGG55" s="936"/>
      <c r="MGH55" s="936"/>
      <c r="MGI55" s="936"/>
      <c r="MGJ55" s="936"/>
      <c r="MGK55" s="936"/>
      <c r="MGL55" s="936"/>
      <c r="MGM55" s="936"/>
      <c r="MGN55" s="936"/>
      <c r="MGO55" s="936"/>
      <c r="MGP55" s="936"/>
      <c r="MGQ55" s="936"/>
      <c r="MGR55" s="936"/>
      <c r="MGS55" s="936"/>
      <c r="MGT55" s="936"/>
      <c r="MGU55" s="936"/>
      <c r="MGV55" s="936"/>
      <c r="MGW55" s="936"/>
      <c r="MGX55" s="936"/>
      <c r="MGY55" s="936"/>
      <c r="MGZ55" s="936"/>
      <c r="MHA55" s="936"/>
      <c r="MHB55" s="936"/>
      <c r="MHC55" s="936"/>
      <c r="MHD55" s="936"/>
      <c r="MHE55" s="936"/>
      <c r="MHF55" s="936"/>
      <c r="MHG55" s="936"/>
      <c r="MHH55" s="936"/>
      <c r="MHI55" s="936"/>
      <c r="MHJ55" s="936"/>
      <c r="MHK55" s="936"/>
      <c r="MHL55" s="936"/>
      <c r="MHM55" s="936"/>
      <c r="MHN55" s="936"/>
      <c r="MHO55" s="936"/>
      <c r="MHP55" s="936"/>
      <c r="MHQ55" s="936"/>
      <c r="MHR55" s="936"/>
      <c r="MHS55" s="936"/>
      <c r="MHT55" s="936"/>
      <c r="MHU55" s="936"/>
      <c r="MHV55" s="936"/>
      <c r="MHW55" s="936"/>
      <c r="MHX55" s="936"/>
      <c r="MHY55" s="936"/>
      <c r="MHZ55" s="936"/>
      <c r="MIA55" s="936"/>
      <c r="MIB55" s="936"/>
      <c r="MIC55" s="936"/>
      <c r="MID55" s="936"/>
      <c r="MIE55" s="936"/>
      <c r="MIF55" s="936"/>
      <c r="MIG55" s="936"/>
      <c r="MIH55" s="936"/>
      <c r="MII55" s="936"/>
      <c r="MIJ55" s="936"/>
      <c r="MIK55" s="936"/>
      <c r="MIL55" s="936"/>
      <c r="MIM55" s="936"/>
      <c r="MIN55" s="936"/>
      <c r="MIO55" s="936"/>
      <c r="MIP55" s="936"/>
      <c r="MIQ55" s="936"/>
      <c r="MIR55" s="936"/>
      <c r="MIS55" s="936"/>
      <c r="MIT55" s="936"/>
      <c r="MIU55" s="936"/>
      <c r="MIV55" s="936"/>
      <c r="MIW55" s="936"/>
      <c r="MIX55" s="936"/>
      <c r="MIY55" s="936"/>
      <c r="MIZ55" s="936"/>
      <c r="MJA55" s="936"/>
      <c r="MJB55" s="936"/>
      <c r="MJC55" s="936"/>
      <c r="MJD55" s="936"/>
      <c r="MJE55" s="936"/>
      <c r="MJF55" s="936"/>
      <c r="MJG55" s="936"/>
      <c r="MJH55" s="936"/>
      <c r="MJI55" s="936"/>
      <c r="MJJ55" s="936"/>
      <c r="MJK55" s="936"/>
      <c r="MJL55" s="936"/>
      <c r="MJM55" s="936"/>
      <c r="MJN55" s="936"/>
      <c r="MJO55" s="936"/>
      <c r="MJP55" s="936"/>
      <c r="MJQ55" s="936"/>
      <c r="MJR55" s="936"/>
      <c r="MJS55" s="936"/>
      <c r="MJT55" s="936"/>
      <c r="MJU55" s="936"/>
      <c r="MJV55" s="936"/>
      <c r="MJW55" s="936"/>
      <c r="MJX55" s="936"/>
      <c r="MJY55" s="936"/>
      <c r="MJZ55" s="936"/>
      <c r="MKA55" s="936"/>
      <c r="MKB55" s="936"/>
      <c r="MKC55" s="936"/>
      <c r="MKD55" s="936"/>
      <c r="MKE55" s="936"/>
      <c r="MKF55" s="936"/>
      <c r="MKG55" s="936"/>
      <c r="MKH55" s="936"/>
      <c r="MKI55" s="936"/>
      <c r="MKJ55" s="936"/>
      <c r="MKK55" s="936"/>
      <c r="MKL55" s="936"/>
      <c r="MKM55" s="936"/>
      <c r="MKN55" s="936"/>
      <c r="MKO55" s="936"/>
      <c r="MKP55" s="936"/>
      <c r="MKQ55" s="936"/>
      <c r="MKR55" s="936"/>
      <c r="MKS55" s="936"/>
      <c r="MKT55" s="936"/>
      <c r="MKU55" s="936"/>
      <c r="MKV55" s="936"/>
      <c r="MKW55" s="936"/>
      <c r="MKX55" s="936"/>
      <c r="MKY55" s="936"/>
      <c r="MKZ55" s="936"/>
      <c r="MLA55" s="936"/>
      <c r="MLB55" s="936"/>
      <c r="MLC55" s="936"/>
      <c r="MLD55" s="936"/>
      <c r="MLE55" s="936"/>
      <c r="MLF55" s="936"/>
      <c r="MLG55" s="936"/>
      <c r="MLH55" s="936"/>
      <c r="MLI55" s="936"/>
      <c r="MLJ55" s="936"/>
      <c r="MLK55" s="936"/>
      <c r="MLL55" s="936"/>
      <c r="MLM55" s="936"/>
      <c r="MLN55" s="936"/>
      <c r="MLO55" s="936"/>
      <c r="MLP55" s="936"/>
      <c r="MLQ55" s="936"/>
      <c r="MLR55" s="936"/>
      <c r="MLS55" s="936"/>
      <c r="MLT55" s="936"/>
      <c r="MLU55" s="936"/>
      <c r="MLV55" s="936"/>
      <c r="MLW55" s="936"/>
      <c r="MLX55" s="936"/>
      <c r="MLY55" s="936"/>
      <c r="MLZ55" s="936"/>
      <c r="MMA55" s="936"/>
      <c r="MMB55" s="936"/>
      <c r="MMC55" s="936"/>
      <c r="MMD55" s="936"/>
      <c r="MME55" s="936"/>
      <c r="MMF55" s="936"/>
      <c r="MMG55" s="936"/>
      <c r="MMH55" s="936"/>
      <c r="MMI55" s="936"/>
      <c r="MMJ55" s="936"/>
      <c r="MMK55" s="936"/>
      <c r="MML55" s="936"/>
      <c r="MMM55" s="936"/>
      <c r="MMN55" s="936"/>
      <c r="MMO55" s="936"/>
      <c r="MMP55" s="936"/>
      <c r="MMQ55" s="936"/>
      <c r="MMR55" s="936"/>
      <c r="MMS55" s="936"/>
      <c r="MMT55" s="936"/>
      <c r="MMU55" s="936"/>
      <c r="MMV55" s="936"/>
      <c r="MMW55" s="936"/>
      <c r="MMX55" s="936"/>
      <c r="MMY55" s="936"/>
      <c r="MMZ55" s="936"/>
      <c r="MNA55" s="936"/>
      <c r="MNB55" s="936"/>
      <c r="MNC55" s="936"/>
      <c r="MND55" s="936"/>
      <c r="MNE55" s="936"/>
      <c r="MNF55" s="936"/>
      <c r="MNG55" s="936"/>
      <c r="MNH55" s="936"/>
      <c r="MNI55" s="936"/>
      <c r="MNJ55" s="936"/>
      <c r="MNK55" s="936"/>
      <c r="MNL55" s="936"/>
      <c r="MNM55" s="936"/>
      <c r="MNN55" s="936"/>
      <c r="MNO55" s="936"/>
      <c r="MNP55" s="936"/>
      <c r="MNQ55" s="936"/>
      <c r="MNR55" s="936"/>
      <c r="MNS55" s="936"/>
      <c r="MNT55" s="936"/>
      <c r="MNU55" s="936"/>
      <c r="MNV55" s="936"/>
      <c r="MNW55" s="936"/>
      <c r="MNX55" s="936"/>
      <c r="MNY55" s="936"/>
      <c r="MNZ55" s="936"/>
      <c r="MOA55" s="936"/>
      <c r="MOB55" s="936"/>
      <c r="MOC55" s="936"/>
      <c r="MOD55" s="936"/>
      <c r="MOE55" s="936"/>
      <c r="MOF55" s="936"/>
      <c r="MOG55" s="936"/>
      <c r="MOH55" s="936"/>
      <c r="MOI55" s="936"/>
      <c r="MOJ55" s="936"/>
      <c r="MOK55" s="936"/>
      <c r="MOL55" s="936"/>
      <c r="MOM55" s="936"/>
      <c r="MON55" s="936"/>
      <c r="MOO55" s="936"/>
      <c r="MOP55" s="936"/>
      <c r="MOQ55" s="936"/>
      <c r="MOR55" s="936"/>
      <c r="MOS55" s="936"/>
      <c r="MOT55" s="936"/>
      <c r="MOU55" s="936"/>
      <c r="MOV55" s="936"/>
      <c r="MOW55" s="936"/>
      <c r="MOX55" s="936"/>
      <c r="MOY55" s="936"/>
      <c r="MOZ55" s="936"/>
      <c r="MPA55" s="936"/>
      <c r="MPB55" s="936"/>
      <c r="MPC55" s="936"/>
      <c r="MPD55" s="936"/>
      <c r="MPE55" s="936"/>
      <c r="MPF55" s="936"/>
      <c r="MPG55" s="936"/>
      <c r="MPH55" s="936"/>
      <c r="MPI55" s="936"/>
      <c r="MPJ55" s="936"/>
      <c r="MPK55" s="936"/>
      <c r="MPL55" s="936"/>
      <c r="MPM55" s="936"/>
      <c r="MPN55" s="936"/>
      <c r="MPO55" s="936"/>
      <c r="MPP55" s="936"/>
      <c r="MPQ55" s="936"/>
      <c r="MPR55" s="936"/>
      <c r="MPS55" s="936"/>
      <c r="MPT55" s="936"/>
      <c r="MPU55" s="936"/>
      <c r="MPV55" s="936"/>
      <c r="MPW55" s="936"/>
      <c r="MPX55" s="936"/>
      <c r="MPY55" s="936"/>
      <c r="MPZ55" s="936"/>
      <c r="MQA55" s="936"/>
      <c r="MQB55" s="936"/>
      <c r="MQC55" s="936"/>
      <c r="MQD55" s="936"/>
      <c r="MQE55" s="936"/>
      <c r="MQF55" s="936"/>
      <c r="MQG55" s="936"/>
      <c r="MQH55" s="936"/>
      <c r="MQI55" s="936"/>
      <c r="MQJ55" s="936"/>
      <c r="MQK55" s="936"/>
      <c r="MQL55" s="936"/>
      <c r="MQM55" s="936"/>
      <c r="MQN55" s="936"/>
      <c r="MQO55" s="936"/>
      <c r="MQP55" s="936"/>
      <c r="MQQ55" s="936"/>
      <c r="MQR55" s="936"/>
      <c r="MQS55" s="936"/>
      <c r="MQT55" s="936"/>
      <c r="MQU55" s="936"/>
      <c r="MQV55" s="936"/>
      <c r="MQW55" s="936"/>
      <c r="MQX55" s="936"/>
      <c r="MQY55" s="936"/>
      <c r="MQZ55" s="936"/>
      <c r="MRA55" s="936"/>
      <c r="MRB55" s="936"/>
      <c r="MRC55" s="936"/>
      <c r="MRD55" s="936"/>
      <c r="MRE55" s="936"/>
      <c r="MRF55" s="936"/>
      <c r="MRG55" s="936"/>
      <c r="MRH55" s="936"/>
      <c r="MRI55" s="936"/>
      <c r="MRJ55" s="936"/>
      <c r="MRK55" s="936"/>
      <c r="MRL55" s="936"/>
      <c r="MRM55" s="936"/>
      <c r="MRN55" s="936"/>
      <c r="MRO55" s="936"/>
      <c r="MRP55" s="936"/>
      <c r="MRQ55" s="936"/>
      <c r="MRR55" s="936"/>
      <c r="MRS55" s="936"/>
      <c r="MRT55" s="936"/>
      <c r="MRU55" s="936"/>
      <c r="MRV55" s="936"/>
      <c r="MRW55" s="936"/>
      <c r="MRX55" s="936"/>
      <c r="MRY55" s="936"/>
      <c r="MRZ55" s="936"/>
      <c r="MSA55" s="936"/>
      <c r="MSB55" s="936"/>
      <c r="MSC55" s="936"/>
      <c r="MSD55" s="936"/>
      <c r="MSE55" s="936"/>
      <c r="MSF55" s="936"/>
      <c r="MSG55" s="936"/>
      <c r="MSH55" s="936"/>
      <c r="MSI55" s="936"/>
      <c r="MSJ55" s="936"/>
      <c r="MSK55" s="936"/>
      <c r="MSL55" s="936"/>
      <c r="MSM55" s="936"/>
      <c r="MSN55" s="936"/>
      <c r="MSO55" s="936"/>
      <c r="MSP55" s="936"/>
      <c r="MSQ55" s="936"/>
      <c r="MSR55" s="936"/>
      <c r="MSS55" s="936"/>
      <c r="MST55" s="936"/>
      <c r="MSU55" s="936"/>
      <c r="MSV55" s="936"/>
      <c r="MSW55" s="936"/>
      <c r="MSX55" s="936"/>
      <c r="MSY55" s="936"/>
      <c r="MSZ55" s="936"/>
      <c r="MTA55" s="936"/>
      <c r="MTB55" s="936"/>
      <c r="MTC55" s="936"/>
      <c r="MTD55" s="936"/>
      <c r="MTE55" s="936"/>
      <c r="MTF55" s="936"/>
      <c r="MTG55" s="936"/>
      <c r="MTH55" s="936"/>
      <c r="MTI55" s="936"/>
      <c r="MTJ55" s="936"/>
      <c r="MTK55" s="936"/>
      <c r="MTL55" s="936"/>
      <c r="MTM55" s="936"/>
      <c r="MTN55" s="936"/>
      <c r="MTO55" s="936"/>
      <c r="MTP55" s="936"/>
      <c r="MTQ55" s="936"/>
      <c r="MTR55" s="936"/>
      <c r="MTS55" s="936"/>
      <c r="MTT55" s="936"/>
      <c r="MTU55" s="936"/>
      <c r="MTV55" s="936"/>
      <c r="MTW55" s="936"/>
      <c r="MTX55" s="936"/>
      <c r="MTY55" s="936"/>
      <c r="MTZ55" s="936"/>
      <c r="MUA55" s="936"/>
      <c r="MUB55" s="936"/>
      <c r="MUC55" s="936"/>
      <c r="MUD55" s="936"/>
      <c r="MUE55" s="936"/>
      <c r="MUF55" s="936"/>
      <c r="MUG55" s="936"/>
      <c r="MUH55" s="936"/>
      <c r="MUI55" s="936"/>
      <c r="MUJ55" s="936"/>
      <c r="MUK55" s="936"/>
      <c r="MUL55" s="936"/>
      <c r="MUM55" s="936"/>
      <c r="MUN55" s="936"/>
      <c r="MUO55" s="936"/>
      <c r="MUP55" s="936"/>
      <c r="MUQ55" s="936"/>
      <c r="MUR55" s="936"/>
      <c r="MUS55" s="936"/>
      <c r="MUT55" s="936"/>
      <c r="MUU55" s="936"/>
      <c r="MUV55" s="936"/>
      <c r="MUW55" s="936"/>
      <c r="MUX55" s="936"/>
      <c r="MUY55" s="936"/>
      <c r="MUZ55" s="936"/>
      <c r="MVA55" s="936"/>
      <c r="MVB55" s="936"/>
      <c r="MVC55" s="936"/>
      <c r="MVD55" s="936"/>
      <c r="MVE55" s="936"/>
      <c r="MVF55" s="936"/>
      <c r="MVG55" s="936"/>
      <c r="MVH55" s="936"/>
      <c r="MVI55" s="936"/>
      <c r="MVJ55" s="936"/>
      <c r="MVK55" s="936"/>
      <c r="MVL55" s="936"/>
      <c r="MVM55" s="936"/>
      <c r="MVN55" s="936"/>
      <c r="MVO55" s="936"/>
      <c r="MVP55" s="936"/>
      <c r="MVQ55" s="936"/>
      <c r="MVR55" s="936"/>
      <c r="MVS55" s="936"/>
      <c r="MVT55" s="936"/>
      <c r="MVU55" s="936"/>
      <c r="MVV55" s="936"/>
      <c r="MVW55" s="936"/>
      <c r="MVX55" s="936"/>
      <c r="MVY55" s="936"/>
      <c r="MVZ55" s="936"/>
      <c r="MWA55" s="936"/>
      <c r="MWB55" s="936"/>
      <c r="MWC55" s="936"/>
      <c r="MWD55" s="936"/>
      <c r="MWE55" s="936"/>
      <c r="MWF55" s="936"/>
      <c r="MWG55" s="936"/>
      <c r="MWH55" s="936"/>
      <c r="MWI55" s="936"/>
      <c r="MWJ55" s="936"/>
      <c r="MWK55" s="936"/>
      <c r="MWL55" s="936"/>
      <c r="MWM55" s="936"/>
      <c r="MWN55" s="936"/>
      <c r="MWO55" s="936"/>
      <c r="MWP55" s="936"/>
      <c r="MWQ55" s="936"/>
      <c r="MWR55" s="936"/>
      <c r="MWS55" s="936"/>
      <c r="MWT55" s="936"/>
      <c r="MWU55" s="936"/>
      <c r="MWV55" s="936"/>
      <c r="MWW55" s="936"/>
      <c r="MWX55" s="936"/>
      <c r="MWY55" s="936"/>
      <c r="MWZ55" s="936"/>
      <c r="MXA55" s="936"/>
      <c r="MXB55" s="936"/>
      <c r="MXC55" s="936"/>
      <c r="MXD55" s="936"/>
      <c r="MXE55" s="936"/>
      <c r="MXF55" s="936"/>
      <c r="MXG55" s="936"/>
      <c r="MXH55" s="936"/>
      <c r="MXI55" s="936"/>
      <c r="MXJ55" s="936"/>
      <c r="MXK55" s="936"/>
      <c r="MXL55" s="936"/>
      <c r="MXM55" s="936"/>
      <c r="MXN55" s="936"/>
      <c r="MXO55" s="936"/>
      <c r="MXP55" s="936"/>
      <c r="MXQ55" s="936"/>
      <c r="MXR55" s="936"/>
      <c r="MXS55" s="936"/>
      <c r="MXT55" s="936"/>
      <c r="MXU55" s="936"/>
      <c r="MXV55" s="936"/>
      <c r="MXW55" s="936"/>
      <c r="MXX55" s="936"/>
      <c r="MXY55" s="936"/>
      <c r="MXZ55" s="936"/>
      <c r="MYA55" s="936"/>
      <c r="MYB55" s="936"/>
      <c r="MYC55" s="936"/>
      <c r="MYD55" s="936"/>
      <c r="MYE55" s="936"/>
      <c r="MYF55" s="936"/>
      <c r="MYG55" s="936"/>
      <c r="MYH55" s="936"/>
      <c r="MYI55" s="936"/>
      <c r="MYJ55" s="936"/>
      <c r="MYK55" s="936"/>
      <c r="MYL55" s="936"/>
      <c r="MYM55" s="936"/>
      <c r="MYN55" s="936"/>
      <c r="MYO55" s="936"/>
      <c r="MYP55" s="936"/>
      <c r="MYQ55" s="936"/>
      <c r="MYR55" s="936"/>
      <c r="MYS55" s="936"/>
      <c r="MYT55" s="936"/>
      <c r="MYU55" s="936"/>
      <c r="MYV55" s="936"/>
      <c r="MYW55" s="936"/>
      <c r="MYX55" s="936"/>
      <c r="MYY55" s="936"/>
      <c r="MYZ55" s="936"/>
      <c r="MZA55" s="936"/>
      <c r="MZB55" s="936"/>
      <c r="MZC55" s="936"/>
      <c r="MZD55" s="936"/>
      <c r="MZE55" s="936"/>
      <c r="MZF55" s="936"/>
      <c r="MZG55" s="936"/>
      <c r="MZH55" s="936"/>
      <c r="MZI55" s="936"/>
      <c r="MZJ55" s="936"/>
      <c r="MZK55" s="936"/>
      <c r="MZL55" s="936"/>
      <c r="MZM55" s="936"/>
      <c r="MZN55" s="936"/>
      <c r="MZO55" s="936"/>
      <c r="MZP55" s="936"/>
      <c r="MZQ55" s="936"/>
      <c r="MZR55" s="936"/>
      <c r="MZS55" s="936"/>
      <c r="MZT55" s="936"/>
      <c r="MZU55" s="936"/>
      <c r="MZV55" s="936"/>
      <c r="MZW55" s="936"/>
      <c r="MZX55" s="936"/>
      <c r="MZY55" s="936"/>
      <c r="MZZ55" s="936"/>
      <c r="NAA55" s="936"/>
      <c r="NAB55" s="936"/>
      <c r="NAC55" s="936"/>
      <c r="NAD55" s="936"/>
      <c r="NAE55" s="936"/>
      <c r="NAF55" s="936"/>
      <c r="NAG55" s="936"/>
      <c r="NAH55" s="936"/>
      <c r="NAI55" s="936"/>
      <c r="NAJ55" s="936"/>
      <c r="NAK55" s="936"/>
      <c r="NAL55" s="936"/>
      <c r="NAM55" s="936"/>
      <c r="NAN55" s="936"/>
      <c r="NAO55" s="936"/>
      <c r="NAP55" s="936"/>
      <c r="NAQ55" s="936"/>
      <c r="NAR55" s="936"/>
      <c r="NAS55" s="936"/>
      <c r="NAT55" s="936"/>
      <c r="NAU55" s="936"/>
      <c r="NAV55" s="936"/>
      <c r="NAW55" s="936"/>
      <c r="NAX55" s="936"/>
      <c r="NAY55" s="936"/>
      <c r="NAZ55" s="936"/>
      <c r="NBA55" s="936"/>
      <c r="NBB55" s="936"/>
      <c r="NBC55" s="936"/>
      <c r="NBD55" s="936"/>
      <c r="NBE55" s="936"/>
      <c r="NBF55" s="936"/>
      <c r="NBG55" s="936"/>
      <c r="NBH55" s="936"/>
      <c r="NBI55" s="936"/>
      <c r="NBJ55" s="936"/>
      <c r="NBK55" s="936"/>
      <c r="NBL55" s="936"/>
      <c r="NBM55" s="936"/>
      <c r="NBN55" s="936"/>
      <c r="NBO55" s="936"/>
      <c r="NBP55" s="936"/>
      <c r="NBQ55" s="936"/>
      <c r="NBR55" s="936"/>
      <c r="NBS55" s="936"/>
      <c r="NBT55" s="936"/>
      <c r="NBU55" s="936"/>
      <c r="NBV55" s="936"/>
      <c r="NBW55" s="936"/>
      <c r="NBX55" s="936"/>
      <c r="NBY55" s="936"/>
      <c r="NBZ55" s="936"/>
      <c r="NCA55" s="936"/>
      <c r="NCB55" s="936"/>
      <c r="NCC55" s="936"/>
      <c r="NCD55" s="936"/>
      <c r="NCE55" s="936"/>
      <c r="NCF55" s="936"/>
      <c r="NCG55" s="936"/>
      <c r="NCH55" s="936"/>
      <c r="NCI55" s="936"/>
      <c r="NCJ55" s="936"/>
      <c r="NCK55" s="936"/>
      <c r="NCL55" s="936"/>
      <c r="NCM55" s="936"/>
      <c r="NCN55" s="936"/>
      <c r="NCO55" s="936"/>
      <c r="NCP55" s="936"/>
      <c r="NCQ55" s="936"/>
      <c r="NCR55" s="936"/>
      <c r="NCS55" s="936"/>
      <c r="NCT55" s="936"/>
      <c r="NCU55" s="936"/>
      <c r="NCV55" s="936"/>
      <c r="NCW55" s="936"/>
      <c r="NCX55" s="936"/>
      <c r="NCY55" s="936"/>
      <c r="NCZ55" s="936"/>
      <c r="NDA55" s="936"/>
      <c r="NDB55" s="936"/>
      <c r="NDC55" s="936"/>
      <c r="NDD55" s="936"/>
      <c r="NDE55" s="936"/>
      <c r="NDF55" s="936"/>
      <c r="NDG55" s="936"/>
      <c r="NDH55" s="936"/>
      <c r="NDI55" s="936"/>
      <c r="NDJ55" s="936"/>
      <c r="NDK55" s="936"/>
      <c r="NDL55" s="936"/>
      <c r="NDM55" s="936"/>
      <c r="NDN55" s="936"/>
      <c r="NDO55" s="936"/>
      <c r="NDP55" s="936"/>
      <c r="NDQ55" s="936"/>
      <c r="NDR55" s="936"/>
      <c r="NDS55" s="936"/>
      <c r="NDT55" s="936"/>
      <c r="NDU55" s="936"/>
      <c r="NDV55" s="936"/>
      <c r="NDW55" s="936"/>
      <c r="NDX55" s="936"/>
      <c r="NDY55" s="936"/>
      <c r="NDZ55" s="936"/>
      <c r="NEA55" s="936"/>
      <c r="NEB55" s="936"/>
      <c r="NEC55" s="936"/>
      <c r="NED55" s="936"/>
      <c r="NEE55" s="936"/>
      <c r="NEF55" s="936"/>
      <c r="NEG55" s="936"/>
      <c r="NEH55" s="936"/>
      <c r="NEI55" s="936"/>
      <c r="NEJ55" s="936"/>
      <c r="NEK55" s="936"/>
      <c r="NEL55" s="936"/>
      <c r="NEM55" s="936"/>
      <c r="NEN55" s="936"/>
      <c r="NEO55" s="936"/>
      <c r="NEP55" s="936"/>
      <c r="NEQ55" s="936"/>
      <c r="NER55" s="936"/>
      <c r="NES55" s="936"/>
      <c r="NET55" s="936"/>
      <c r="NEU55" s="936"/>
      <c r="NEV55" s="936"/>
      <c r="NEW55" s="936"/>
      <c r="NEX55" s="936"/>
      <c r="NEY55" s="936"/>
      <c r="NEZ55" s="936"/>
      <c r="NFA55" s="936"/>
      <c r="NFB55" s="936"/>
      <c r="NFC55" s="936"/>
      <c r="NFD55" s="936"/>
      <c r="NFE55" s="936"/>
      <c r="NFF55" s="936"/>
      <c r="NFG55" s="936"/>
      <c r="NFH55" s="936"/>
      <c r="NFI55" s="936"/>
      <c r="NFJ55" s="936"/>
      <c r="NFK55" s="936"/>
      <c r="NFL55" s="936"/>
      <c r="NFM55" s="936"/>
      <c r="NFN55" s="936"/>
      <c r="NFO55" s="936"/>
      <c r="NFP55" s="936"/>
      <c r="NFQ55" s="936"/>
      <c r="NFR55" s="936"/>
      <c r="NFS55" s="936"/>
      <c r="NFT55" s="936"/>
      <c r="NFU55" s="936"/>
      <c r="NFV55" s="936"/>
      <c r="NFW55" s="936"/>
      <c r="NFX55" s="936"/>
      <c r="NFY55" s="936"/>
      <c r="NFZ55" s="936"/>
      <c r="NGA55" s="936"/>
      <c r="NGB55" s="936"/>
      <c r="NGC55" s="936"/>
      <c r="NGD55" s="936"/>
      <c r="NGE55" s="936"/>
      <c r="NGF55" s="936"/>
      <c r="NGG55" s="936"/>
      <c r="NGH55" s="936"/>
      <c r="NGI55" s="936"/>
      <c r="NGJ55" s="936"/>
      <c r="NGK55" s="936"/>
      <c r="NGL55" s="936"/>
      <c r="NGM55" s="936"/>
      <c r="NGN55" s="936"/>
      <c r="NGO55" s="936"/>
      <c r="NGP55" s="936"/>
      <c r="NGQ55" s="936"/>
      <c r="NGR55" s="936"/>
      <c r="NGS55" s="936"/>
      <c r="NGT55" s="936"/>
      <c r="NGU55" s="936"/>
      <c r="NGV55" s="936"/>
      <c r="NGW55" s="936"/>
      <c r="NGX55" s="936"/>
      <c r="NGY55" s="936"/>
      <c r="NGZ55" s="936"/>
      <c r="NHA55" s="936"/>
      <c r="NHB55" s="936"/>
      <c r="NHC55" s="936"/>
      <c r="NHD55" s="936"/>
      <c r="NHE55" s="936"/>
      <c r="NHF55" s="936"/>
      <c r="NHG55" s="936"/>
      <c r="NHH55" s="936"/>
      <c r="NHI55" s="936"/>
      <c r="NHJ55" s="936"/>
      <c r="NHK55" s="936"/>
      <c r="NHL55" s="936"/>
      <c r="NHM55" s="936"/>
      <c r="NHN55" s="936"/>
      <c r="NHO55" s="936"/>
      <c r="NHP55" s="936"/>
      <c r="NHQ55" s="936"/>
      <c r="NHR55" s="936"/>
      <c r="NHS55" s="936"/>
      <c r="NHT55" s="936"/>
      <c r="NHU55" s="936"/>
      <c r="NHV55" s="936"/>
      <c r="NHW55" s="936"/>
      <c r="NHX55" s="936"/>
      <c r="NHY55" s="936"/>
      <c r="NHZ55" s="936"/>
      <c r="NIA55" s="936"/>
      <c r="NIB55" s="936"/>
      <c r="NIC55" s="936"/>
      <c r="NID55" s="936"/>
      <c r="NIE55" s="936"/>
      <c r="NIF55" s="936"/>
      <c r="NIG55" s="936"/>
      <c r="NIH55" s="936"/>
      <c r="NII55" s="936"/>
      <c r="NIJ55" s="936"/>
      <c r="NIK55" s="936"/>
      <c r="NIL55" s="936"/>
      <c r="NIM55" s="936"/>
      <c r="NIN55" s="936"/>
      <c r="NIO55" s="936"/>
      <c r="NIP55" s="936"/>
      <c r="NIQ55" s="936"/>
      <c r="NIR55" s="936"/>
      <c r="NIS55" s="936"/>
      <c r="NIT55" s="936"/>
      <c r="NIU55" s="936"/>
      <c r="NIV55" s="936"/>
      <c r="NIW55" s="936"/>
      <c r="NIX55" s="936"/>
      <c r="NIY55" s="936"/>
      <c r="NIZ55" s="936"/>
      <c r="NJA55" s="936"/>
      <c r="NJB55" s="936"/>
      <c r="NJC55" s="936"/>
      <c r="NJD55" s="936"/>
      <c r="NJE55" s="936"/>
      <c r="NJF55" s="936"/>
      <c r="NJG55" s="936"/>
      <c r="NJH55" s="936"/>
      <c r="NJI55" s="936"/>
      <c r="NJJ55" s="936"/>
      <c r="NJK55" s="936"/>
      <c r="NJL55" s="936"/>
      <c r="NJM55" s="936"/>
      <c r="NJN55" s="936"/>
      <c r="NJO55" s="936"/>
      <c r="NJP55" s="936"/>
      <c r="NJQ55" s="936"/>
      <c r="NJR55" s="936"/>
      <c r="NJS55" s="936"/>
      <c r="NJT55" s="936"/>
      <c r="NJU55" s="936"/>
      <c r="NJV55" s="936"/>
      <c r="NJW55" s="936"/>
      <c r="NJX55" s="936"/>
      <c r="NJY55" s="936"/>
      <c r="NJZ55" s="936"/>
      <c r="NKA55" s="936"/>
      <c r="NKB55" s="936"/>
      <c r="NKC55" s="936"/>
      <c r="NKD55" s="936"/>
      <c r="NKE55" s="936"/>
      <c r="NKF55" s="936"/>
      <c r="NKG55" s="936"/>
      <c r="NKH55" s="936"/>
      <c r="NKI55" s="936"/>
      <c r="NKJ55" s="936"/>
      <c r="NKK55" s="936"/>
      <c r="NKL55" s="936"/>
      <c r="NKM55" s="936"/>
      <c r="NKN55" s="936"/>
      <c r="NKO55" s="936"/>
      <c r="NKP55" s="936"/>
      <c r="NKQ55" s="936"/>
      <c r="NKR55" s="936"/>
      <c r="NKS55" s="936"/>
      <c r="NKT55" s="936"/>
      <c r="NKU55" s="936"/>
      <c r="NKV55" s="936"/>
      <c r="NKW55" s="936"/>
      <c r="NKX55" s="936"/>
      <c r="NKY55" s="936"/>
      <c r="NKZ55" s="936"/>
      <c r="NLA55" s="936"/>
      <c r="NLB55" s="936"/>
      <c r="NLC55" s="936"/>
      <c r="NLD55" s="936"/>
      <c r="NLE55" s="936"/>
      <c r="NLF55" s="936"/>
      <c r="NLG55" s="936"/>
      <c r="NLH55" s="936"/>
      <c r="NLI55" s="936"/>
      <c r="NLJ55" s="936"/>
      <c r="NLK55" s="936"/>
      <c r="NLL55" s="936"/>
      <c r="NLM55" s="936"/>
      <c r="NLN55" s="936"/>
      <c r="NLO55" s="936"/>
      <c r="NLP55" s="936"/>
      <c r="NLQ55" s="936"/>
      <c r="NLR55" s="936"/>
      <c r="NLS55" s="936"/>
      <c r="NLT55" s="936"/>
      <c r="NLU55" s="936"/>
      <c r="NLV55" s="936"/>
      <c r="NLW55" s="936"/>
      <c r="NLX55" s="936"/>
      <c r="NLY55" s="936"/>
      <c r="NLZ55" s="936"/>
      <c r="NMA55" s="936"/>
      <c r="NMB55" s="936"/>
      <c r="NMC55" s="936"/>
      <c r="NMD55" s="936"/>
      <c r="NME55" s="936"/>
      <c r="NMF55" s="936"/>
      <c r="NMG55" s="936"/>
      <c r="NMH55" s="936"/>
      <c r="NMI55" s="936"/>
      <c r="NMJ55" s="936"/>
      <c r="NMK55" s="936"/>
      <c r="NML55" s="936"/>
      <c r="NMM55" s="936"/>
      <c r="NMN55" s="936"/>
      <c r="NMO55" s="936"/>
      <c r="NMP55" s="936"/>
      <c r="NMQ55" s="936"/>
      <c r="NMR55" s="936"/>
      <c r="NMS55" s="936"/>
      <c r="NMT55" s="936"/>
      <c r="NMU55" s="936"/>
      <c r="NMV55" s="936"/>
      <c r="NMW55" s="936"/>
      <c r="NMX55" s="936"/>
      <c r="NMY55" s="936"/>
      <c r="NMZ55" s="936"/>
      <c r="NNA55" s="936"/>
      <c r="NNB55" s="936"/>
      <c r="NNC55" s="936"/>
      <c r="NND55" s="936"/>
      <c r="NNE55" s="936"/>
      <c r="NNF55" s="936"/>
      <c r="NNG55" s="936"/>
      <c r="NNH55" s="936"/>
      <c r="NNI55" s="936"/>
      <c r="NNJ55" s="936"/>
      <c r="NNK55" s="936"/>
      <c r="NNL55" s="936"/>
      <c r="NNM55" s="936"/>
      <c r="NNN55" s="936"/>
      <c r="NNO55" s="936"/>
      <c r="NNP55" s="936"/>
      <c r="NNQ55" s="936"/>
      <c r="NNR55" s="936"/>
      <c r="NNS55" s="936"/>
      <c r="NNT55" s="936"/>
      <c r="NNU55" s="936"/>
      <c r="NNV55" s="936"/>
      <c r="NNW55" s="936"/>
      <c r="NNX55" s="936"/>
      <c r="NNY55" s="936"/>
      <c r="NNZ55" s="936"/>
      <c r="NOA55" s="936"/>
      <c r="NOB55" s="936"/>
      <c r="NOC55" s="936"/>
      <c r="NOD55" s="936"/>
      <c r="NOE55" s="936"/>
      <c r="NOF55" s="936"/>
      <c r="NOG55" s="936"/>
      <c r="NOH55" s="936"/>
      <c r="NOI55" s="936"/>
      <c r="NOJ55" s="936"/>
      <c r="NOK55" s="936"/>
      <c r="NOL55" s="936"/>
      <c r="NOM55" s="936"/>
      <c r="NON55" s="936"/>
      <c r="NOO55" s="936"/>
      <c r="NOP55" s="936"/>
      <c r="NOQ55" s="936"/>
      <c r="NOR55" s="936"/>
      <c r="NOS55" s="936"/>
      <c r="NOT55" s="936"/>
      <c r="NOU55" s="936"/>
      <c r="NOV55" s="936"/>
      <c r="NOW55" s="936"/>
      <c r="NOX55" s="936"/>
      <c r="NOY55" s="936"/>
      <c r="NOZ55" s="936"/>
      <c r="NPA55" s="936"/>
      <c r="NPB55" s="936"/>
      <c r="NPC55" s="936"/>
      <c r="NPD55" s="936"/>
      <c r="NPE55" s="936"/>
      <c r="NPF55" s="936"/>
      <c r="NPG55" s="936"/>
      <c r="NPH55" s="936"/>
      <c r="NPI55" s="936"/>
      <c r="NPJ55" s="936"/>
      <c r="NPK55" s="936"/>
      <c r="NPL55" s="936"/>
      <c r="NPM55" s="936"/>
      <c r="NPN55" s="936"/>
      <c r="NPO55" s="936"/>
      <c r="NPP55" s="936"/>
      <c r="NPQ55" s="936"/>
      <c r="NPR55" s="936"/>
      <c r="NPS55" s="936"/>
      <c r="NPT55" s="936"/>
      <c r="NPU55" s="936"/>
      <c r="NPV55" s="936"/>
      <c r="NPW55" s="936"/>
      <c r="NPX55" s="936"/>
      <c r="NPY55" s="936"/>
      <c r="NPZ55" s="936"/>
      <c r="NQA55" s="936"/>
      <c r="NQB55" s="936"/>
      <c r="NQC55" s="936"/>
      <c r="NQD55" s="936"/>
      <c r="NQE55" s="936"/>
      <c r="NQF55" s="936"/>
      <c r="NQG55" s="936"/>
      <c r="NQH55" s="936"/>
      <c r="NQI55" s="936"/>
      <c r="NQJ55" s="936"/>
      <c r="NQK55" s="936"/>
      <c r="NQL55" s="936"/>
      <c r="NQM55" s="936"/>
      <c r="NQN55" s="936"/>
      <c r="NQO55" s="936"/>
      <c r="NQP55" s="936"/>
      <c r="NQQ55" s="936"/>
      <c r="NQR55" s="936"/>
      <c r="NQS55" s="936"/>
      <c r="NQT55" s="936"/>
      <c r="NQU55" s="936"/>
      <c r="NQV55" s="936"/>
      <c r="NQW55" s="936"/>
      <c r="NQX55" s="936"/>
      <c r="NQY55" s="936"/>
      <c r="NQZ55" s="936"/>
      <c r="NRA55" s="936"/>
      <c r="NRB55" s="936"/>
      <c r="NRC55" s="936"/>
      <c r="NRD55" s="936"/>
      <c r="NRE55" s="936"/>
      <c r="NRF55" s="936"/>
      <c r="NRG55" s="936"/>
      <c r="NRH55" s="936"/>
      <c r="NRI55" s="936"/>
      <c r="NRJ55" s="936"/>
      <c r="NRK55" s="936"/>
      <c r="NRL55" s="936"/>
      <c r="NRM55" s="936"/>
      <c r="NRN55" s="936"/>
      <c r="NRO55" s="936"/>
      <c r="NRP55" s="936"/>
      <c r="NRQ55" s="936"/>
      <c r="NRR55" s="936"/>
      <c r="NRS55" s="936"/>
      <c r="NRT55" s="936"/>
      <c r="NRU55" s="936"/>
      <c r="NRV55" s="936"/>
      <c r="NRW55" s="936"/>
      <c r="NRX55" s="936"/>
      <c r="NRY55" s="936"/>
      <c r="NRZ55" s="936"/>
      <c r="NSA55" s="936"/>
      <c r="NSB55" s="936"/>
      <c r="NSC55" s="936"/>
      <c r="NSD55" s="936"/>
      <c r="NSE55" s="936"/>
      <c r="NSF55" s="936"/>
      <c r="NSG55" s="936"/>
      <c r="NSH55" s="936"/>
      <c r="NSI55" s="936"/>
      <c r="NSJ55" s="936"/>
      <c r="NSK55" s="936"/>
      <c r="NSL55" s="936"/>
      <c r="NSM55" s="936"/>
      <c r="NSN55" s="936"/>
      <c r="NSO55" s="936"/>
      <c r="NSP55" s="936"/>
      <c r="NSQ55" s="936"/>
      <c r="NSR55" s="936"/>
      <c r="NSS55" s="936"/>
      <c r="NST55" s="936"/>
      <c r="NSU55" s="936"/>
      <c r="NSV55" s="936"/>
      <c r="NSW55" s="936"/>
      <c r="NSX55" s="936"/>
      <c r="NSY55" s="936"/>
      <c r="NSZ55" s="936"/>
      <c r="NTA55" s="936"/>
      <c r="NTB55" s="936"/>
      <c r="NTC55" s="936"/>
      <c r="NTD55" s="936"/>
      <c r="NTE55" s="936"/>
      <c r="NTF55" s="936"/>
      <c r="NTG55" s="936"/>
      <c r="NTH55" s="936"/>
      <c r="NTI55" s="936"/>
      <c r="NTJ55" s="936"/>
      <c r="NTK55" s="936"/>
      <c r="NTL55" s="936"/>
      <c r="NTM55" s="936"/>
      <c r="NTN55" s="936"/>
      <c r="NTO55" s="936"/>
      <c r="NTP55" s="936"/>
      <c r="NTQ55" s="936"/>
      <c r="NTR55" s="936"/>
      <c r="NTS55" s="936"/>
      <c r="NTT55" s="936"/>
      <c r="NTU55" s="936"/>
      <c r="NTV55" s="936"/>
      <c r="NTW55" s="936"/>
      <c r="NTX55" s="936"/>
      <c r="NTY55" s="936"/>
      <c r="NTZ55" s="936"/>
      <c r="NUA55" s="936"/>
      <c r="NUB55" s="936"/>
      <c r="NUC55" s="936"/>
      <c r="NUD55" s="936"/>
      <c r="NUE55" s="936"/>
      <c r="NUF55" s="936"/>
      <c r="NUG55" s="936"/>
      <c r="NUH55" s="936"/>
      <c r="NUI55" s="936"/>
      <c r="NUJ55" s="936"/>
      <c r="NUK55" s="936"/>
      <c r="NUL55" s="936"/>
      <c r="NUM55" s="936"/>
      <c r="NUN55" s="936"/>
      <c r="NUO55" s="936"/>
      <c r="NUP55" s="936"/>
      <c r="NUQ55" s="936"/>
      <c r="NUR55" s="936"/>
      <c r="NUS55" s="936"/>
      <c r="NUT55" s="936"/>
      <c r="NUU55" s="936"/>
      <c r="NUV55" s="936"/>
      <c r="NUW55" s="936"/>
      <c r="NUX55" s="936"/>
      <c r="NUY55" s="936"/>
      <c r="NUZ55" s="936"/>
      <c r="NVA55" s="936"/>
      <c r="NVB55" s="936"/>
      <c r="NVC55" s="936"/>
      <c r="NVD55" s="936"/>
      <c r="NVE55" s="936"/>
      <c r="NVF55" s="936"/>
      <c r="NVG55" s="936"/>
      <c r="NVH55" s="936"/>
      <c r="NVI55" s="936"/>
      <c r="NVJ55" s="936"/>
      <c r="NVK55" s="936"/>
      <c r="NVL55" s="936"/>
      <c r="NVM55" s="936"/>
      <c r="NVN55" s="936"/>
      <c r="NVO55" s="936"/>
      <c r="NVP55" s="936"/>
      <c r="NVQ55" s="936"/>
      <c r="NVR55" s="936"/>
      <c r="NVS55" s="936"/>
      <c r="NVT55" s="936"/>
      <c r="NVU55" s="936"/>
      <c r="NVV55" s="936"/>
      <c r="NVW55" s="936"/>
      <c r="NVX55" s="936"/>
      <c r="NVY55" s="936"/>
      <c r="NVZ55" s="936"/>
      <c r="NWA55" s="936"/>
      <c r="NWB55" s="936"/>
      <c r="NWC55" s="936"/>
      <c r="NWD55" s="936"/>
      <c r="NWE55" s="936"/>
      <c r="NWF55" s="936"/>
      <c r="NWG55" s="936"/>
      <c r="NWH55" s="936"/>
      <c r="NWI55" s="936"/>
      <c r="NWJ55" s="936"/>
      <c r="NWK55" s="936"/>
      <c r="NWL55" s="936"/>
      <c r="NWM55" s="936"/>
      <c r="NWN55" s="936"/>
      <c r="NWO55" s="936"/>
      <c r="NWP55" s="936"/>
      <c r="NWQ55" s="936"/>
      <c r="NWR55" s="936"/>
      <c r="NWS55" s="936"/>
      <c r="NWT55" s="936"/>
      <c r="NWU55" s="936"/>
      <c r="NWV55" s="936"/>
      <c r="NWW55" s="936"/>
      <c r="NWX55" s="936"/>
      <c r="NWY55" s="936"/>
      <c r="NWZ55" s="936"/>
      <c r="NXA55" s="936"/>
      <c r="NXB55" s="936"/>
      <c r="NXC55" s="936"/>
      <c r="NXD55" s="936"/>
      <c r="NXE55" s="936"/>
      <c r="NXF55" s="936"/>
      <c r="NXG55" s="936"/>
      <c r="NXH55" s="936"/>
      <c r="NXI55" s="936"/>
      <c r="NXJ55" s="936"/>
      <c r="NXK55" s="936"/>
      <c r="NXL55" s="936"/>
      <c r="NXM55" s="936"/>
      <c r="NXN55" s="936"/>
      <c r="NXO55" s="936"/>
      <c r="NXP55" s="936"/>
      <c r="NXQ55" s="936"/>
      <c r="NXR55" s="936"/>
      <c r="NXS55" s="936"/>
      <c r="NXT55" s="936"/>
      <c r="NXU55" s="936"/>
      <c r="NXV55" s="936"/>
      <c r="NXW55" s="936"/>
      <c r="NXX55" s="936"/>
      <c r="NXY55" s="936"/>
      <c r="NXZ55" s="936"/>
      <c r="NYA55" s="936"/>
      <c r="NYB55" s="936"/>
      <c r="NYC55" s="936"/>
      <c r="NYD55" s="936"/>
      <c r="NYE55" s="936"/>
      <c r="NYF55" s="936"/>
      <c r="NYG55" s="936"/>
      <c r="NYH55" s="936"/>
      <c r="NYI55" s="936"/>
      <c r="NYJ55" s="936"/>
      <c r="NYK55" s="936"/>
      <c r="NYL55" s="936"/>
      <c r="NYM55" s="936"/>
      <c r="NYN55" s="936"/>
      <c r="NYO55" s="936"/>
      <c r="NYP55" s="936"/>
      <c r="NYQ55" s="936"/>
      <c r="NYR55" s="936"/>
      <c r="NYS55" s="936"/>
      <c r="NYT55" s="936"/>
      <c r="NYU55" s="936"/>
      <c r="NYV55" s="936"/>
      <c r="NYW55" s="936"/>
      <c r="NYX55" s="936"/>
      <c r="NYY55" s="936"/>
      <c r="NYZ55" s="936"/>
      <c r="NZA55" s="936"/>
      <c r="NZB55" s="936"/>
      <c r="NZC55" s="936"/>
      <c r="NZD55" s="936"/>
      <c r="NZE55" s="936"/>
      <c r="NZF55" s="936"/>
      <c r="NZG55" s="936"/>
      <c r="NZH55" s="936"/>
      <c r="NZI55" s="936"/>
      <c r="NZJ55" s="936"/>
      <c r="NZK55" s="936"/>
      <c r="NZL55" s="936"/>
      <c r="NZM55" s="936"/>
      <c r="NZN55" s="936"/>
      <c r="NZO55" s="936"/>
      <c r="NZP55" s="936"/>
      <c r="NZQ55" s="936"/>
      <c r="NZR55" s="936"/>
      <c r="NZS55" s="936"/>
      <c r="NZT55" s="936"/>
      <c r="NZU55" s="936"/>
      <c r="NZV55" s="936"/>
      <c r="NZW55" s="936"/>
      <c r="NZX55" s="936"/>
      <c r="NZY55" s="936"/>
      <c r="NZZ55" s="936"/>
      <c r="OAA55" s="936"/>
      <c r="OAB55" s="936"/>
      <c r="OAC55" s="936"/>
      <c r="OAD55" s="936"/>
      <c r="OAE55" s="936"/>
      <c r="OAF55" s="936"/>
      <c r="OAG55" s="936"/>
      <c r="OAH55" s="936"/>
      <c r="OAI55" s="936"/>
      <c r="OAJ55" s="936"/>
      <c r="OAK55" s="936"/>
      <c r="OAL55" s="936"/>
      <c r="OAM55" s="936"/>
      <c r="OAN55" s="936"/>
      <c r="OAO55" s="936"/>
      <c r="OAP55" s="936"/>
      <c r="OAQ55" s="936"/>
      <c r="OAR55" s="936"/>
      <c r="OAS55" s="936"/>
      <c r="OAT55" s="936"/>
      <c r="OAU55" s="936"/>
      <c r="OAV55" s="936"/>
      <c r="OAW55" s="936"/>
      <c r="OAX55" s="936"/>
      <c r="OAY55" s="936"/>
      <c r="OAZ55" s="936"/>
      <c r="OBA55" s="936"/>
      <c r="OBB55" s="936"/>
      <c r="OBC55" s="936"/>
      <c r="OBD55" s="936"/>
      <c r="OBE55" s="936"/>
      <c r="OBF55" s="936"/>
      <c r="OBG55" s="936"/>
      <c r="OBH55" s="936"/>
      <c r="OBI55" s="936"/>
      <c r="OBJ55" s="936"/>
      <c r="OBK55" s="936"/>
      <c r="OBL55" s="936"/>
      <c r="OBM55" s="936"/>
      <c r="OBN55" s="936"/>
      <c r="OBO55" s="936"/>
      <c r="OBP55" s="936"/>
      <c r="OBQ55" s="936"/>
      <c r="OBR55" s="936"/>
      <c r="OBS55" s="936"/>
      <c r="OBT55" s="936"/>
      <c r="OBU55" s="936"/>
      <c r="OBV55" s="936"/>
      <c r="OBW55" s="936"/>
      <c r="OBX55" s="936"/>
      <c r="OBY55" s="936"/>
      <c r="OBZ55" s="936"/>
      <c r="OCA55" s="936"/>
      <c r="OCB55" s="936"/>
      <c r="OCC55" s="936"/>
      <c r="OCD55" s="936"/>
      <c r="OCE55" s="936"/>
      <c r="OCF55" s="936"/>
      <c r="OCG55" s="936"/>
      <c r="OCH55" s="936"/>
      <c r="OCI55" s="936"/>
      <c r="OCJ55" s="936"/>
      <c r="OCK55" s="936"/>
      <c r="OCL55" s="936"/>
      <c r="OCM55" s="936"/>
      <c r="OCN55" s="936"/>
      <c r="OCO55" s="936"/>
      <c r="OCP55" s="936"/>
      <c r="OCQ55" s="936"/>
      <c r="OCR55" s="936"/>
      <c r="OCS55" s="936"/>
      <c r="OCT55" s="936"/>
      <c r="OCU55" s="936"/>
      <c r="OCV55" s="936"/>
      <c r="OCW55" s="936"/>
      <c r="OCX55" s="936"/>
      <c r="OCY55" s="936"/>
      <c r="OCZ55" s="936"/>
      <c r="ODA55" s="936"/>
      <c r="ODB55" s="936"/>
      <c r="ODC55" s="936"/>
      <c r="ODD55" s="936"/>
      <c r="ODE55" s="936"/>
      <c r="ODF55" s="936"/>
      <c r="ODG55" s="936"/>
      <c r="ODH55" s="936"/>
      <c r="ODI55" s="936"/>
      <c r="ODJ55" s="936"/>
      <c r="ODK55" s="936"/>
      <c r="ODL55" s="936"/>
      <c r="ODM55" s="936"/>
      <c r="ODN55" s="936"/>
      <c r="ODO55" s="936"/>
      <c r="ODP55" s="936"/>
      <c r="ODQ55" s="936"/>
      <c r="ODR55" s="936"/>
      <c r="ODS55" s="936"/>
      <c r="ODT55" s="936"/>
      <c r="ODU55" s="936"/>
      <c r="ODV55" s="936"/>
      <c r="ODW55" s="936"/>
      <c r="ODX55" s="936"/>
      <c r="ODY55" s="936"/>
      <c r="ODZ55" s="936"/>
      <c r="OEA55" s="936"/>
      <c r="OEB55" s="936"/>
      <c r="OEC55" s="936"/>
      <c r="OED55" s="936"/>
      <c r="OEE55" s="936"/>
      <c r="OEF55" s="936"/>
      <c r="OEG55" s="936"/>
      <c r="OEH55" s="936"/>
      <c r="OEI55" s="936"/>
      <c r="OEJ55" s="936"/>
      <c r="OEK55" s="936"/>
      <c r="OEL55" s="936"/>
      <c r="OEM55" s="936"/>
      <c r="OEN55" s="936"/>
      <c r="OEO55" s="936"/>
      <c r="OEP55" s="936"/>
      <c r="OEQ55" s="936"/>
      <c r="OER55" s="936"/>
      <c r="OES55" s="936"/>
      <c r="OET55" s="936"/>
      <c r="OEU55" s="936"/>
      <c r="OEV55" s="936"/>
      <c r="OEW55" s="936"/>
      <c r="OEX55" s="936"/>
      <c r="OEY55" s="936"/>
      <c r="OEZ55" s="936"/>
      <c r="OFA55" s="936"/>
      <c r="OFB55" s="936"/>
      <c r="OFC55" s="936"/>
      <c r="OFD55" s="936"/>
      <c r="OFE55" s="936"/>
      <c r="OFF55" s="936"/>
      <c r="OFG55" s="936"/>
      <c r="OFH55" s="936"/>
      <c r="OFI55" s="936"/>
      <c r="OFJ55" s="936"/>
      <c r="OFK55" s="936"/>
      <c r="OFL55" s="936"/>
      <c r="OFM55" s="936"/>
      <c r="OFN55" s="936"/>
      <c r="OFO55" s="936"/>
      <c r="OFP55" s="936"/>
      <c r="OFQ55" s="936"/>
      <c r="OFR55" s="936"/>
      <c r="OFS55" s="936"/>
      <c r="OFT55" s="936"/>
      <c r="OFU55" s="936"/>
      <c r="OFV55" s="936"/>
      <c r="OFW55" s="936"/>
      <c r="OFX55" s="936"/>
      <c r="OFY55" s="936"/>
      <c r="OFZ55" s="936"/>
      <c r="OGA55" s="936"/>
      <c r="OGB55" s="936"/>
      <c r="OGC55" s="936"/>
      <c r="OGD55" s="936"/>
      <c r="OGE55" s="936"/>
      <c r="OGF55" s="936"/>
      <c r="OGG55" s="936"/>
      <c r="OGH55" s="936"/>
      <c r="OGI55" s="936"/>
      <c r="OGJ55" s="936"/>
      <c r="OGK55" s="936"/>
      <c r="OGL55" s="936"/>
      <c r="OGM55" s="936"/>
      <c r="OGN55" s="936"/>
      <c r="OGO55" s="936"/>
      <c r="OGP55" s="936"/>
      <c r="OGQ55" s="936"/>
      <c r="OGR55" s="936"/>
      <c r="OGS55" s="936"/>
      <c r="OGT55" s="936"/>
      <c r="OGU55" s="936"/>
      <c r="OGV55" s="936"/>
      <c r="OGW55" s="936"/>
      <c r="OGX55" s="936"/>
      <c r="OGY55" s="936"/>
      <c r="OGZ55" s="936"/>
      <c r="OHA55" s="936"/>
      <c r="OHB55" s="936"/>
      <c r="OHC55" s="936"/>
      <c r="OHD55" s="936"/>
      <c r="OHE55" s="936"/>
      <c r="OHF55" s="936"/>
      <c r="OHG55" s="936"/>
      <c r="OHH55" s="936"/>
      <c r="OHI55" s="936"/>
      <c r="OHJ55" s="936"/>
      <c r="OHK55" s="936"/>
      <c r="OHL55" s="936"/>
      <c r="OHM55" s="936"/>
      <c r="OHN55" s="936"/>
      <c r="OHO55" s="936"/>
      <c r="OHP55" s="936"/>
      <c r="OHQ55" s="936"/>
      <c r="OHR55" s="936"/>
      <c r="OHS55" s="936"/>
      <c r="OHT55" s="936"/>
      <c r="OHU55" s="936"/>
      <c r="OHV55" s="936"/>
      <c r="OHW55" s="936"/>
      <c r="OHX55" s="936"/>
      <c r="OHY55" s="936"/>
      <c r="OHZ55" s="936"/>
      <c r="OIA55" s="936"/>
      <c r="OIB55" s="936"/>
      <c r="OIC55" s="936"/>
      <c r="OID55" s="936"/>
      <c r="OIE55" s="936"/>
      <c r="OIF55" s="936"/>
      <c r="OIG55" s="936"/>
      <c r="OIH55" s="936"/>
      <c r="OII55" s="936"/>
      <c r="OIJ55" s="936"/>
      <c r="OIK55" s="936"/>
      <c r="OIL55" s="936"/>
      <c r="OIM55" s="936"/>
      <c r="OIN55" s="936"/>
      <c r="OIO55" s="936"/>
      <c r="OIP55" s="936"/>
      <c r="OIQ55" s="936"/>
      <c r="OIR55" s="936"/>
      <c r="OIS55" s="936"/>
      <c r="OIT55" s="936"/>
      <c r="OIU55" s="936"/>
      <c r="OIV55" s="936"/>
      <c r="OIW55" s="936"/>
      <c r="OIX55" s="936"/>
      <c r="OIY55" s="936"/>
      <c r="OIZ55" s="936"/>
      <c r="OJA55" s="936"/>
      <c r="OJB55" s="936"/>
      <c r="OJC55" s="936"/>
      <c r="OJD55" s="936"/>
      <c r="OJE55" s="936"/>
      <c r="OJF55" s="936"/>
      <c r="OJG55" s="936"/>
      <c r="OJH55" s="936"/>
      <c r="OJI55" s="936"/>
      <c r="OJJ55" s="936"/>
      <c r="OJK55" s="936"/>
      <c r="OJL55" s="936"/>
      <c r="OJM55" s="936"/>
      <c r="OJN55" s="936"/>
      <c r="OJO55" s="936"/>
      <c r="OJP55" s="936"/>
      <c r="OJQ55" s="936"/>
      <c r="OJR55" s="936"/>
      <c r="OJS55" s="936"/>
      <c r="OJT55" s="936"/>
      <c r="OJU55" s="936"/>
      <c r="OJV55" s="936"/>
      <c r="OJW55" s="936"/>
      <c r="OJX55" s="936"/>
      <c r="OJY55" s="936"/>
      <c r="OJZ55" s="936"/>
      <c r="OKA55" s="936"/>
      <c r="OKB55" s="936"/>
      <c r="OKC55" s="936"/>
      <c r="OKD55" s="936"/>
      <c r="OKE55" s="936"/>
      <c r="OKF55" s="936"/>
      <c r="OKG55" s="936"/>
      <c r="OKH55" s="936"/>
      <c r="OKI55" s="936"/>
      <c r="OKJ55" s="936"/>
      <c r="OKK55" s="936"/>
      <c r="OKL55" s="936"/>
      <c r="OKM55" s="936"/>
      <c r="OKN55" s="936"/>
      <c r="OKO55" s="936"/>
      <c r="OKP55" s="936"/>
      <c r="OKQ55" s="936"/>
      <c r="OKR55" s="936"/>
      <c r="OKS55" s="936"/>
      <c r="OKT55" s="936"/>
      <c r="OKU55" s="936"/>
      <c r="OKV55" s="936"/>
      <c r="OKW55" s="936"/>
      <c r="OKX55" s="936"/>
      <c r="OKY55" s="936"/>
      <c r="OKZ55" s="936"/>
      <c r="OLA55" s="936"/>
      <c r="OLB55" s="936"/>
      <c r="OLC55" s="936"/>
      <c r="OLD55" s="936"/>
      <c r="OLE55" s="936"/>
      <c r="OLF55" s="936"/>
      <c r="OLG55" s="936"/>
      <c r="OLH55" s="936"/>
      <c r="OLI55" s="936"/>
      <c r="OLJ55" s="936"/>
      <c r="OLK55" s="936"/>
      <c r="OLL55" s="936"/>
      <c r="OLM55" s="936"/>
      <c r="OLN55" s="936"/>
      <c r="OLO55" s="936"/>
      <c r="OLP55" s="936"/>
      <c r="OLQ55" s="936"/>
      <c r="OLR55" s="936"/>
      <c r="OLS55" s="936"/>
      <c r="OLT55" s="936"/>
      <c r="OLU55" s="936"/>
      <c r="OLV55" s="936"/>
      <c r="OLW55" s="936"/>
      <c r="OLX55" s="936"/>
      <c r="OLY55" s="936"/>
      <c r="OLZ55" s="936"/>
      <c r="OMA55" s="936"/>
      <c r="OMB55" s="936"/>
      <c r="OMC55" s="936"/>
      <c r="OMD55" s="936"/>
      <c r="OME55" s="936"/>
      <c r="OMF55" s="936"/>
      <c r="OMG55" s="936"/>
      <c r="OMH55" s="936"/>
      <c r="OMI55" s="936"/>
      <c r="OMJ55" s="936"/>
      <c r="OMK55" s="936"/>
      <c r="OML55" s="936"/>
      <c r="OMM55" s="936"/>
      <c r="OMN55" s="936"/>
      <c r="OMO55" s="936"/>
      <c r="OMP55" s="936"/>
      <c r="OMQ55" s="936"/>
      <c r="OMR55" s="936"/>
      <c r="OMS55" s="936"/>
      <c r="OMT55" s="936"/>
      <c r="OMU55" s="936"/>
      <c r="OMV55" s="936"/>
      <c r="OMW55" s="936"/>
      <c r="OMX55" s="936"/>
      <c r="OMY55" s="936"/>
      <c r="OMZ55" s="936"/>
      <c r="ONA55" s="936"/>
      <c r="ONB55" s="936"/>
      <c r="ONC55" s="936"/>
      <c r="OND55" s="936"/>
      <c r="ONE55" s="936"/>
      <c r="ONF55" s="936"/>
      <c r="ONG55" s="936"/>
      <c r="ONH55" s="936"/>
      <c r="ONI55" s="936"/>
      <c r="ONJ55" s="936"/>
      <c r="ONK55" s="936"/>
      <c r="ONL55" s="936"/>
      <c r="ONM55" s="936"/>
      <c r="ONN55" s="936"/>
      <c r="ONO55" s="936"/>
      <c r="ONP55" s="936"/>
      <c r="ONQ55" s="936"/>
      <c r="ONR55" s="936"/>
      <c r="ONS55" s="936"/>
      <c r="ONT55" s="936"/>
      <c r="ONU55" s="936"/>
      <c r="ONV55" s="936"/>
      <c r="ONW55" s="936"/>
      <c r="ONX55" s="936"/>
      <c r="ONY55" s="936"/>
      <c r="ONZ55" s="936"/>
      <c r="OOA55" s="936"/>
      <c r="OOB55" s="936"/>
      <c r="OOC55" s="936"/>
      <c r="OOD55" s="936"/>
      <c r="OOE55" s="936"/>
      <c r="OOF55" s="936"/>
      <c r="OOG55" s="936"/>
      <c r="OOH55" s="936"/>
      <c r="OOI55" s="936"/>
      <c r="OOJ55" s="936"/>
      <c r="OOK55" s="936"/>
      <c r="OOL55" s="936"/>
      <c r="OOM55" s="936"/>
      <c r="OON55" s="936"/>
      <c r="OOO55" s="936"/>
      <c r="OOP55" s="936"/>
      <c r="OOQ55" s="936"/>
      <c r="OOR55" s="936"/>
      <c r="OOS55" s="936"/>
      <c r="OOT55" s="936"/>
      <c r="OOU55" s="936"/>
      <c r="OOV55" s="936"/>
      <c r="OOW55" s="936"/>
      <c r="OOX55" s="936"/>
      <c r="OOY55" s="936"/>
      <c r="OOZ55" s="936"/>
      <c r="OPA55" s="936"/>
      <c r="OPB55" s="936"/>
      <c r="OPC55" s="936"/>
      <c r="OPD55" s="936"/>
      <c r="OPE55" s="936"/>
      <c r="OPF55" s="936"/>
      <c r="OPG55" s="936"/>
      <c r="OPH55" s="936"/>
      <c r="OPI55" s="936"/>
      <c r="OPJ55" s="936"/>
      <c r="OPK55" s="936"/>
      <c r="OPL55" s="936"/>
      <c r="OPM55" s="936"/>
      <c r="OPN55" s="936"/>
      <c r="OPO55" s="936"/>
      <c r="OPP55" s="936"/>
      <c r="OPQ55" s="936"/>
      <c r="OPR55" s="936"/>
      <c r="OPS55" s="936"/>
      <c r="OPT55" s="936"/>
      <c r="OPU55" s="936"/>
      <c r="OPV55" s="936"/>
      <c r="OPW55" s="936"/>
      <c r="OPX55" s="936"/>
      <c r="OPY55" s="936"/>
      <c r="OPZ55" s="936"/>
      <c r="OQA55" s="936"/>
      <c r="OQB55" s="936"/>
      <c r="OQC55" s="936"/>
      <c r="OQD55" s="936"/>
      <c r="OQE55" s="936"/>
      <c r="OQF55" s="936"/>
      <c r="OQG55" s="936"/>
      <c r="OQH55" s="936"/>
      <c r="OQI55" s="936"/>
      <c r="OQJ55" s="936"/>
      <c r="OQK55" s="936"/>
      <c r="OQL55" s="936"/>
      <c r="OQM55" s="936"/>
      <c r="OQN55" s="936"/>
      <c r="OQO55" s="936"/>
      <c r="OQP55" s="936"/>
      <c r="OQQ55" s="936"/>
      <c r="OQR55" s="936"/>
      <c r="OQS55" s="936"/>
      <c r="OQT55" s="936"/>
      <c r="OQU55" s="936"/>
      <c r="OQV55" s="936"/>
      <c r="OQW55" s="936"/>
      <c r="OQX55" s="936"/>
      <c r="OQY55" s="936"/>
      <c r="OQZ55" s="936"/>
      <c r="ORA55" s="936"/>
      <c r="ORB55" s="936"/>
      <c r="ORC55" s="936"/>
      <c r="ORD55" s="936"/>
      <c r="ORE55" s="936"/>
      <c r="ORF55" s="936"/>
      <c r="ORG55" s="936"/>
      <c r="ORH55" s="936"/>
      <c r="ORI55" s="936"/>
      <c r="ORJ55" s="936"/>
      <c r="ORK55" s="936"/>
      <c r="ORL55" s="936"/>
      <c r="ORM55" s="936"/>
      <c r="ORN55" s="936"/>
      <c r="ORO55" s="936"/>
      <c r="ORP55" s="936"/>
      <c r="ORQ55" s="936"/>
      <c r="ORR55" s="936"/>
      <c r="ORS55" s="936"/>
      <c r="ORT55" s="936"/>
      <c r="ORU55" s="936"/>
      <c r="ORV55" s="936"/>
      <c r="ORW55" s="936"/>
      <c r="ORX55" s="936"/>
      <c r="ORY55" s="936"/>
      <c r="ORZ55" s="936"/>
      <c r="OSA55" s="936"/>
      <c r="OSB55" s="936"/>
      <c r="OSC55" s="936"/>
      <c r="OSD55" s="936"/>
      <c r="OSE55" s="936"/>
      <c r="OSF55" s="936"/>
      <c r="OSG55" s="936"/>
      <c r="OSH55" s="936"/>
      <c r="OSI55" s="936"/>
      <c r="OSJ55" s="936"/>
      <c r="OSK55" s="936"/>
      <c r="OSL55" s="936"/>
      <c r="OSM55" s="936"/>
      <c r="OSN55" s="936"/>
      <c r="OSO55" s="936"/>
      <c r="OSP55" s="936"/>
      <c r="OSQ55" s="936"/>
      <c r="OSR55" s="936"/>
      <c r="OSS55" s="936"/>
      <c r="OST55" s="936"/>
      <c r="OSU55" s="936"/>
      <c r="OSV55" s="936"/>
      <c r="OSW55" s="936"/>
      <c r="OSX55" s="936"/>
      <c r="OSY55" s="936"/>
      <c r="OSZ55" s="936"/>
      <c r="OTA55" s="936"/>
      <c r="OTB55" s="936"/>
      <c r="OTC55" s="936"/>
      <c r="OTD55" s="936"/>
      <c r="OTE55" s="936"/>
      <c r="OTF55" s="936"/>
      <c r="OTG55" s="936"/>
      <c r="OTH55" s="936"/>
      <c r="OTI55" s="936"/>
      <c r="OTJ55" s="936"/>
      <c r="OTK55" s="936"/>
      <c r="OTL55" s="936"/>
      <c r="OTM55" s="936"/>
      <c r="OTN55" s="936"/>
      <c r="OTO55" s="936"/>
      <c r="OTP55" s="936"/>
      <c r="OTQ55" s="936"/>
      <c r="OTR55" s="936"/>
      <c r="OTS55" s="936"/>
      <c r="OTT55" s="936"/>
      <c r="OTU55" s="936"/>
      <c r="OTV55" s="936"/>
      <c r="OTW55" s="936"/>
      <c r="OTX55" s="936"/>
      <c r="OTY55" s="936"/>
      <c r="OTZ55" s="936"/>
      <c r="OUA55" s="936"/>
      <c r="OUB55" s="936"/>
      <c r="OUC55" s="936"/>
      <c r="OUD55" s="936"/>
      <c r="OUE55" s="936"/>
      <c r="OUF55" s="936"/>
      <c r="OUG55" s="936"/>
      <c r="OUH55" s="936"/>
      <c r="OUI55" s="936"/>
      <c r="OUJ55" s="936"/>
      <c r="OUK55" s="936"/>
      <c r="OUL55" s="936"/>
      <c r="OUM55" s="936"/>
      <c r="OUN55" s="936"/>
      <c r="OUO55" s="936"/>
      <c r="OUP55" s="936"/>
      <c r="OUQ55" s="936"/>
      <c r="OUR55" s="936"/>
      <c r="OUS55" s="936"/>
      <c r="OUT55" s="936"/>
      <c r="OUU55" s="936"/>
      <c r="OUV55" s="936"/>
      <c r="OUW55" s="936"/>
      <c r="OUX55" s="936"/>
      <c r="OUY55" s="936"/>
      <c r="OUZ55" s="936"/>
      <c r="OVA55" s="936"/>
      <c r="OVB55" s="936"/>
      <c r="OVC55" s="936"/>
      <c r="OVD55" s="936"/>
      <c r="OVE55" s="936"/>
      <c r="OVF55" s="936"/>
      <c r="OVG55" s="936"/>
      <c r="OVH55" s="936"/>
      <c r="OVI55" s="936"/>
      <c r="OVJ55" s="936"/>
      <c r="OVK55" s="936"/>
      <c r="OVL55" s="936"/>
      <c r="OVM55" s="936"/>
      <c r="OVN55" s="936"/>
      <c r="OVO55" s="936"/>
      <c r="OVP55" s="936"/>
      <c r="OVQ55" s="936"/>
      <c r="OVR55" s="936"/>
      <c r="OVS55" s="936"/>
      <c r="OVT55" s="936"/>
      <c r="OVU55" s="936"/>
      <c r="OVV55" s="936"/>
      <c r="OVW55" s="936"/>
      <c r="OVX55" s="936"/>
      <c r="OVY55" s="936"/>
      <c r="OVZ55" s="936"/>
      <c r="OWA55" s="936"/>
      <c r="OWB55" s="936"/>
      <c r="OWC55" s="936"/>
      <c r="OWD55" s="936"/>
      <c r="OWE55" s="936"/>
      <c r="OWF55" s="936"/>
      <c r="OWG55" s="936"/>
      <c r="OWH55" s="936"/>
      <c r="OWI55" s="936"/>
      <c r="OWJ55" s="936"/>
      <c r="OWK55" s="936"/>
      <c r="OWL55" s="936"/>
      <c r="OWM55" s="936"/>
      <c r="OWN55" s="936"/>
      <c r="OWO55" s="936"/>
      <c r="OWP55" s="936"/>
      <c r="OWQ55" s="936"/>
      <c r="OWR55" s="936"/>
      <c r="OWS55" s="936"/>
      <c r="OWT55" s="936"/>
      <c r="OWU55" s="936"/>
      <c r="OWV55" s="936"/>
      <c r="OWW55" s="936"/>
      <c r="OWX55" s="936"/>
      <c r="OWY55" s="936"/>
      <c r="OWZ55" s="936"/>
      <c r="OXA55" s="936"/>
      <c r="OXB55" s="936"/>
      <c r="OXC55" s="936"/>
      <c r="OXD55" s="936"/>
      <c r="OXE55" s="936"/>
      <c r="OXF55" s="936"/>
      <c r="OXG55" s="936"/>
      <c r="OXH55" s="936"/>
      <c r="OXI55" s="936"/>
      <c r="OXJ55" s="936"/>
      <c r="OXK55" s="936"/>
      <c r="OXL55" s="936"/>
      <c r="OXM55" s="936"/>
      <c r="OXN55" s="936"/>
      <c r="OXO55" s="936"/>
      <c r="OXP55" s="936"/>
      <c r="OXQ55" s="936"/>
      <c r="OXR55" s="936"/>
      <c r="OXS55" s="936"/>
      <c r="OXT55" s="936"/>
      <c r="OXU55" s="936"/>
      <c r="OXV55" s="936"/>
      <c r="OXW55" s="936"/>
      <c r="OXX55" s="936"/>
      <c r="OXY55" s="936"/>
      <c r="OXZ55" s="936"/>
      <c r="OYA55" s="936"/>
      <c r="OYB55" s="936"/>
      <c r="OYC55" s="936"/>
      <c r="OYD55" s="936"/>
      <c r="OYE55" s="936"/>
      <c r="OYF55" s="936"/>
      <c r="OYG55" s="936"/>
      <c r="OYH55" s="936"/>
      <c r="OYI55" s="936"/>
      <c r="OYJ55" s="936"/>
      <c r="OYK55" s="936"/>
      <c r="OYL55" s="936"/>
      <c r="OYM55" s="936"/>
      <c r="OYN55" s="936"/>
      <c r="OYO55" s="936"/>
      <c r="OYP55" s="936"/>
      <c r="OYQ55" s="936"/>
      <c r="OYR55" s="936"/>
      <c r="OYS55" s="936"/>
      <c r="OYT55" s="936"/>
      <c r="OYU55" s="936"/>
      <c r="OYV55" s="936"/>
      <c r="OYW55" s="936"/>
      <c r="OYX55" s="936"/>
      <c r="OYY55" s="936"/>
      <c r="OYZ55" s="936"/>
      <c r="OZA55" s="936"/>
      <c r="OZB55" s="936"/>
      <c r="OZC55" s="936"/>
      <c r="OZD55" s="936"/>
      <c r="OZE55" s="936"/>
      <c r="OZF55" s="936"/>
      <c r="OZG55" s="936"/>
      <c r="OZH55" s="936"/>
      <c r="OZI55" s="936"/>
      <c r="OZJ55" s="936"/>
      <c r="OZK55" s="936"/>
      <c r="OZL55" s="936"/>
      <c r="OZM55" s="936"/>
      <c r="OZN55" s="936"/>
      <c r="OZO55" s="936"/>
      <c r="OZP55" s="936"/>
      <c r="OZQ55" s="936"/>
      <c r="OZR55" s="936"/>
      <c r="OZS55" s="936"/>
      <c r="OZT55" s="936"/>
      <c r="OZU55" s="936"/>
      <c r="OZV55" s="936"/>
      <c r="OZW55" s="936"/>
      <c r="OZX55" s="936"/>
      <c r="OZY55" s="936"/>
      <c r="OZZ55" s="936"/>
      <c r="PAA55" s="936"/>
      <c r="PAB55" s="936"/>
      <c r="PAC55" s="936"/>
      <c r="PAD55" s="936"/>
      <c r="PAE55" s="936"/>
      <c r="PAF55" s="936"/>
      <c r="PAG55" s="936"/>
      <c r="PAH55" s="936"/>
      <c r="PAI55" s="936"/>
      <c r="PAJ55" s="936"/>
      <c r="PAK55" s="936"/>
      <c r="PAL55" s="936"/>
      <c r="PAM55" s="936"/>
      <c r="PAN55" s="936"/>
      <c r="PAO55" s="936"/>
      <c r="PAP55" s="936"/>
      <c r="PAQ55" s="936"/>
      <c r="PAR55" s="936"/>
      <c r="PAS55" s="936"/>
      <c r="PAT55" s="936"/>
      <c r="PAU55" s="936"/>
      <c r="PAV55" s="936"/>
      <c r="PAW55" s="936"/>
      <c r="PAX55" s="936"/>
      <c r="PAY55" s="936"/>
      <c r="PAZ55" s="936"/>
      <c r="PBA55" s="936"/>
      <c r="PBB55" s="936"/>
      <c r="PBC55" s="936"/>
      <c r="PBD55" s="936"/>
      <c r="PBE55" s="936"/>
      <c r="PBF55" s="936"/>
      <c r="PBG55" s="936"/>
      <c r="PBH55" s="936"/>
      <c r="PBI55" s="936"/>
      <c r="PBJ55" s="936"/>
      <c r="PBK55" s="936"/>
      <c r="PBL55" s="936"/>
      <c r="PBM55" s="936"/>
      <c r="PBN55" s="936"/>
      <c r="PBO55" s="936"/>
      <c r="PBP55" s="936"/>
      <c r="PBQ55" s="936"/>
      <c r="PBR55" s="936"/>
      <c r="PBS55" s="936"/>
      <c r="PBT55" s="936"/>
      <c r="PBU55" s="936"/>
      <c r="PBV55" s="936"/>
      <c r="PBW55" s="936"/>
      <c r="PBX55" s="936"/>
      <c r="PBY55" s="936"/>
      <c r="PBZ55" s="936"/>
      <c r="PCA55" s="936"/>
      <c r="PCB55" s="936"/>
      <c r="PCC55" s="936"/>
      <c r="PCD55" s="936"/>
      <c r="PCE55" s="936"/>
      <c r="PCF55" s="936"/>
      <c r="PCG55" s="936"/>
      <c r="PCH55" s="936"/>
      <c r="PCI55" s="936"/>
      <c r="PCJ55" s="936"/>
      <c r="PCK55" s="936"/>
      <c r="PCL55" s="936"/>
      <c r="PCM55" s="936"/>
      <c r="PCN55" s="936"/>
      <c r="PCO55" s="936"/>
      <c r="PCP55" s="936"/>
      <c r="PCQ55" s="936"/>
      <c r="PCR55" s="936"/>
      <c r="PCS55" s="936"/>
      <c r="PCT55" s="936"/>
      <c r="PCU55" s="936"/>
      <c r="PCV55" s="936"/>
      <c r="PCW55" s="936"/>
      <c r="PCX55" s="936"/>
      <c r="PCY55" s="936"/>
      <c r="PCZ55" s="936"/>
      <c r="PDA55" s="936"/>
      <c r="PDB55" s="936"/>
      <c r="PDC55" s="936"/>
      <c r="PDD55" s="936"/>
      <c r="PDE55" s="936"/>
      <c r="PDF55" s="936"/>
      <c r="PDG55" s="936"/>
      <c r="PDH55" s="936"/>
      <c r="PDI55" s="936"/>
      <c r="PDJ55" s="936"/>
      <c r="PDK55" s="936"/>
      <c r="PDL55" s="936"/>
      <c r="PDM55" s="936"/>
      <c r="PDN55" s="936"/>
      <c r="PDO55" s="936"/>
      <c r="PDP55" s="936"/>
      <c r="PDQ55" s="936"/>
      <c r="PDR55" s="936"/>
      <c r="PDS55" s="936"/>
      <c r="PDT55" s="936"/>
      <c r="PDU55" s="936"/>
      <c r="PDV55" s="936"/>
      <c r="PDW55" s="936"/>
      <c r="PDX55" s="936"/>
      <c r="PDY55" s="936"/>
      <c r="PDZ55" s="936"/>
      <c r="PEA55" s="936"/>
      <c r="PEB55" s="936"/>
      <c r="PEC55" s="936"/>
      <c r="PED55" s="936"/>
      <c r="PEE55" s="936"/>
      <c r="PEF55" s="936"/>
      <c r="PEG55" s="936"/>
      <c r="PEH55" s="936"/>
      <c r="PEI55" s="936"/>
      <c r="PEJ55" s="936"/>
      <c r="PEK55" s="936"/>
      <c r="PEL55" s="936"/>
      <c r="PEM55" s="936"/>
      <c r="PEN55" s="936"/>
      <c r="PEO55" s="936"/>
      <c r="PEP55" s="936"/>
      <c r="PEQ55" s="936"/>
      <c r="PER55" s="936"/>
      <c r="PES55" s="936"/>
      <c r="PET55" s="936"/>
      <c r="PEU55" s="936"/>
      <c r="PEV55" s="936"/>
      <c r="PEW55" s="936"/>
      <c r="PEX55" s="936"/>
      <c r="PEY55" s="936"/>
      <c r="PEZ55" s="936"/>
      <c r="PFA55" s="936"/>
      <c r="PFB55" s="936"/>
      <c r="PFC55" s="936"/>
      <c r="PFD55" s="936"/>
      <c r="PFE55" s="936"/>
      <c r="PFF55" s="936"/>
      <c r="PFG55" s="936"/>
      <c r="PFH55" s="936"/>
      <c r="PFI55" s="936"/>
      <c r="PFJ55" s="936"/>
      <c r="PFK55" s="936"/>
      <c r="PFL55" s="936"/>
      <c r="PFM55" s="936"/>
      <c r="PFN55" s="936"/>
      <c r="PFO55" s="936"/>
      <c r="PFP55" s="936"/>
      <c r="PFQ55" s="936"/>
      <c r="PFR55" s="936"/>
      <c r="PFS55" s="936"/>
      <c r="PFT55" s="936"/>
      <c r="PFU55" s="936"/>
      <c r="PFV55" s="936"/>
      <c r="PFW55" s="936"/>
      <c r="PFX55" s="936"/>
      <c r="PFY55" s="936"/>
      <c r="PFZ55" s="936"/>
      <c r="PGA55" s="936"/>
      <c r="PGB55" s="936"/>
      <c r="PGC55" s="936"/>
      <c r="PGD55" s="936"/>
      <c r="PGE55" s="936"/>
      <c r="PGF55" s="936"/>
      <c r="PGG55" s="936"/>
      <c r="PGH55" s="936"/>
      <c r="PGI55" s="936"/>
      <c r="PGJ55" s="936"/>
      <c r="PGK55" s="936"/>
      <c r="PGL55" s="936"/>
      <c r="PGM55" s="936"/>
      <c r="PGN55" s="936"/>
      <c r="PGO55" s="936"/>
      <c r="PGP55" s="936"/>
      <c r="PGQ55" s="936"/>
      <c r="PGR55" s="936"/>
      <c r="PGS55" s="936"/>
      <c r="PGT55" s="936"/>
      <c r="PGU55" s="936"/>
      <c r="PGV55" s="936"/>
      <c r="PGW55" s="936"/>
      <c r="PGX55" s="936"/>
      <c r="PGY55" s="936"/>
      <c r="PGZ55" s="936"/>
      <c r="PHA55" s="936"/>
      <c r="PHB55" s="936"/>
      <c r="PHC55" s="936"/>
      <c r="PHD55" s="936"/>
      <c r="PHE55" s="936"/>
      <c r="PHF55" s="936"/>
      <c r="PHG55" s="936"/>
      <c r="PHH55" s="936"/>
      <c r="PHI55" s="936"/>
      <c r="PHJ55" s="936"/>
      <c r="PHK55" s="936"/>
      <c r="PHL55" s="936"/>
      <c r="PHM55" s="936"/>
      <c r="PHN55" s="936"/>
      <c r="PHO55" s="936"/>
      <c r="PHP55" s="936"/>
      <c r="PHQ55" s="936"/>
      <c r="PHR55" s="936"/>
      <c r="PHS55" s="936"/>
      <c r="PHT55" s="936"/>
      <c r="PHU55" s="936"/>
      <c r="PHV55" s="936"/>
      <c r="PHW55" s="936"/>
      <c r="PHX55" s="936"/>
      <c r="PHY55" s="936"/>
      <c r="PHZ55" s="936"/>
      <c r="PIA55" s="936"/>
      <c r="PIB55" s="936"/>
      <c r="PIC55" s="936"/>
      <c r="PID55" s="936"/>
      <c r="PIE55" s="936"/>
      <c r="PIF55" s="936"/>
      <c r="PIG55" s="936"/>
      <c r="PIH55" s="936"/>
      <c r="PII55" s="936"/>
      <c r="PIJ55" s="936"/>
      <c r="PIK55" s="936"/>
      <c r="PIL55" s="936"/>
      <c r="PIM55" s="936"/>
      <c r="PIN55" s="936"/>
      <c r="PIO55" s="936"/>
      <c r="PIP55" s="936"/>
      <c r="PIQ55" s="936"/>
      <c r="PIR55" s="936"/>
      <c r="PIS55" s="936"/>
      <c r="PIT55" s="936"/>
      <c r="PIU55" s="936"/>
      <c r="PIV55" s="936"/>
      <c r="PIW55" s="936"/>
      <c r="PIX55" s="936"/>
      <c r="PIY55" s="936"/>
      <c r="PIZ55" s="936"/>
      <c r="PJA55" s="936"/>
      <c r="PJB55" s="936"/>
      <c r="PJC55" s="936"/>
      <c r="PJD55" s="936"/>
      <c r="PJE55" s="936"/>
      <c r="PJF55" s="936"/>
      <c r="PJG55" s="936"/>
      <c r="PJH55" s="936"/>
      <c r="PJI55" s="936"/>
      <c r="PJJ55" s="936"/>
      <c r="PJK55" s="936"/>
      <c r="PJL55" s="936"/>
      <c r="PJM55" s="936"/>
      <c r="PJN55" s="936"/>
      <c r="PJO55" s="936"/>
      <c r="PJP55" s="936"/>
      <c r="PJQ55" s="936"/>
      <c r="PJR55" s="936"/>
      <c r="PJS55" s="936"/>
      <c r="PJT55" s="936"/>
      <c r="PJU55" s="936"/>
      <c r="PJV55" s="936"/>
      <c r="PJW55" s="936"/>
      <c r="PJX55" s="936"/>
      <c r="PJY55" s="936"/>
      <c r="PJZ55" s="936"/>
      <c r="PKA55" s="936"/>
      <c r="PKB55" s="936"/>
      <c r="PKC55" s="936"/>
      <c r="PKD55" s="936"/>
      <c r="PKE55" s="936"/>
      <c r="PKF55" s="936"/>
      <c r="PKG55" s="936"/>
      <c r="PKH55" s="936"/>
      <c r="PKI55" s="936"/>
      <c r="PKJ55" s="936"/>
      <c r="PKK55" s="936"/>
      <c r="PKL55" s="936"/>
      <c r="PKM55" s="936"/>
      <c r="PKN55" s="936"/>
      <c r="PKO55" s="936"/>
      <c r="PKP55" s="936"/>
      <c r="PKQ55" s="936"/>
      <c r="PKR55" s="936"/>
      <c r="PKS55" s="936"/>
      <c r="PKT55" s="936"/>
      <c r="PKU55" s="936"/>
      <c r="PKV55" s="936"/>
      <c r="PKW55" s="936"/>
      <c r="PKX55" s="936"/>
      <c r="PKY55" s="936"/>
      <c r="PKZ55" s="936"/>
      <c r="PLA55" s="936"/>
      <c r="PLB55" s="936"/>
      <c r="PLC55" s="936"/>
      <c r="PLD55" s="936"/>
      <c r="PLE55" s="936"/>
      <c r="PLF55" s="936"/>
      <c r="PLG55" s="936"/>
      <c r="PLH55" s="936"/>
      <c r="PLI55" s="936"/>
      <c r="PLJ55" s="936"/>
      <c r="PLK55" s="936"/>
      <c r="PLL55" s="936"/>
      <c r="PLM55" s="936"/>
      <c r="PLN55" s="936"/>
      <c r="PLO55" s="936"/>
      <c r="PLP55" s="936"/>
      <c r="PLQ55" s="936"/>
      <c r="PLR55" s="936"/>
      <c r="PLS55" s="936"/>
      <c r="PLT55" s="936"/>
      <c r="PLU55" s="936"/>
      <c r="PLV55" s="936"/>
      <c r="PLW55" s="936"/>
      <c r="PLX55" s="936"/>
      <c r="PLY55" s="936"/>
      <c r="PLZ55" s="936"/>
      <c r="PMA55" s="936"/>
      <c r="PMB55" s="936"/>
      <c r="PMC55" s="936"/>
      <c r="PMD55" s="936"/>
      <c r="PME55" s="936"/>
      <c r="PMF55" s="936"/>
      <c r="PMG55" s="936"/>
      <c r="PMH55" s="936"/>
      <c r="PMI55" s="936"/>
      <c r="PMJ55" s="936"/>
      <c r="PMK55" s="936"/>
      <c r="PML55" s="936"/>
      <c r="PMM55" s="936"/>
      <c r="PMN55" s="936"/>
      <c r="PMO55" s="936"/>
      <c r="PMP55" s="936"/>
      <c r="PMQ55" s="936"/>
      <c r="PMR55" s="936"/>
      <c r="PMS55" s="936"/>
      <c r="PMT55" s="936"/>
      <c r="PMU55" s="936"/>
      <c r="PMV55" s="936"/>
      <c r="PMW55" s="936"/>
      <c r="PMX55" s="936"/>
      <c r="PMY55" s="936"/>
      <c r="PMZ55" s="936"/>
      <c r="PNA55" s="936"/>
      <c r="PNB55" s="936"/>
      <c r="PNC55" s="936"/>
      <c r="PND55" s="936"/>
      <c r="PNE55" s="936"/>
      <c r="PNF55" s="936"/>
      <c r="PNG55" s="936"/>
      <c r="PNH55" s="936"/>
      <c r="PNI55" s="936"/>
      <c r="PNJ55" s="936"/>
      <c r="PNK55" s="936"/>
      <c r="PNL55" s="936"/>
      <c r="PNM55" s="936"/>
      <c r="PNN55" s="936"/>
      <c r="PNO55" s="936"/>
      <c r="PNP55" s="936"/>
      <c r="PNQ55" s="936"/>
      <c r="PNR55" s="936"/>
      <c r="PNS55" s="936"/>
      <c r="PNT55" s="936"/>
      <c r="PNU55" s="936"/>
      <c r="PNV55" s="936"/>
      <c r="PNW55" s="936"/>
      <c r="PNX55" s="936"/>
      <c r="PNY55" s="936"/>
      <c r="PNZ55" s="936"/>
      <c r="POA55" s="936"/>
      <c r="POB55" s="936"/>
      <c r="POC55" s="936"/>
      <c r="POD55" s="936"/>
      <c r="POE55" s="936"/>
      <c r="POF55" s="936"/>
      <c r="POG55" s="936"/>
      <c r="POH55" s="936"/>
      <c r="POI55" s="936"/>
      <c r="POJ55" s="936"/>
      <c r="POK55" s="936"/>
      <c r="POL55" s="936"/>
      <c r="POM55" s="936"/>
      <c r="PON55" s="936"/>
      <c r="POO55" s="936"/>
      <c r="POP55" s="936"/>
      <c r="POQ55" s="936"/>
      <c r="POR55" s="936"/>
      <c r="POS55" s="936"/>
      <c r="POT55" s="936"/>
      <c r="POU55" s="936"/>
      <c r="POV55" s="936"/>
      <c r="POW55" s="936"/>
      <c r="POX55" s="936"/>
      <c r="POY55" s="936"/>
      <c r="POZ55" s="936"/>
      <c r="PPA55" s="936"/>
      <c r="PPB55" s="936"/>
      <c r="PPC55" s="936"/>
      <c r="PPD55" s="936"/>
      <c r="PPE55" s="936"/>
      <c r="PPF55" s="936"/>
      <c r="PPG55" s="936"/>
      <c r="PPH55" s="936"/>
      <c r="PPI55" s="936"/>
      <c r="PPJ55" s="936"/>
      <c r="PPK55" s="936"/>
      <c r="PPL55" s="936"/>
      <c r="PPM55" s="936"/>
      <c r="PPN55" s="936"/>
      <c r="PPO55" s="936"/>
      <c r="PPP55" s="936"/>
      <c r="PPQ55" s="936"/>
      <c r="PPR55" s="936"/>
      <c r="PPS55" s="936"/>
      <c r="PPT55" s="936"/>
      <c r="PPU55" s="936"/>
      <c r="PPV55" s="936"/>
      <c r="PPW55" s="936"/>
      <c r="PPX55" s="936"/>
      <c r="PPY55" s="936"/>
      <c r="PPZ55" s="936"/>
      <c r="PQA55" s="936"/>
      <c r="PQB55" s="936"/>
      <c r="PQC55" s="936"/>
      <c r="PQD55" s="936"/>
      <c r="PQE55" s="936"/>
      <c r="PQF55" s="936"/>
      <c r="PQG55" s="936"/>
      <c r="PQH55" s="936"/>
      <c r="PQI55" s="936"/>
      <c r="PQJ55" s="936"/>
      <c r="PQK55" s="936"/>
      <c r="PQL55" s="936"/>
      <c r="PQM55" s="936"/>
      <c r="PQN55" s="936"/>
      <c r="PQO55" s="936"/>
      <c r="PQP55" s="936"/>
      <c r="PQQ55" s="936"/>
      <c r="PQR55" s="936"/>
      <c r="PQS55" s="936"/>
      <c r="PQT55" s="936"/>
      <c r="PQU55" s="936"/>
      <c r="PQV55" s="936"/>
      <c r="PQW55" s="936"/>
      <c r="PQX55" s="936"/>
      <c r="PQY55" s="936"/>
      <c r="PQZ55" s="936"/>
      <c r="PRA55" s="936"/>
      <c r="PRB55" s="936"/>
      <c r="PRC55" s="936"/>
      <c r="PRD55" s="936"/>
      <c r="PRE55" s="936"/>
      <c r="PRF55" s="936"/>
      <c r="PRG55" s="936"/>
      <c r="PRH55" s="936"/>
      <c r="PRI55" s="936"/>
      <c r="PRJ55" s="936"/>
      <c r="PRK55" s="936"/>
      <c r="PRL55" s="936"/>
      <c r="PRM55" s="936"/>
      <c r="PRN55" s="936"/>
      <c r="PRO55" s="936"/>
      <c r="PRP55" s="936"/>
      <c r="PRQ55" s="936"/>
      <c r="PRR55" s="936"/>
      <c r="PRS55" s="936"/>
      <c r="PRT55" s="936"/>
      <c r="PRU55" s="936"/>
      <c r="PRV55" s="936"/>
      <c r="PRW55" s="936"/>
      <c r="PRX55" s="936"/>
      <c r="PRY55" s="936"/>
      <c r="PRZ55" s="936"/>
      <c r="PSA55" s="936"/>
      <c r="PSB55" s="936"/>
      <c r="PSC55" s="936"/>
      <c r="PSD55" s="936"/>
      <c r="PSE55" s="936"/>
      <c r="PSF55" s="936"/>
      <c r="PSG55" s="936"/>
      <c r="PSH55" s="936"/>
      <c r="PSI55" s="936"/>
      <c r="PSJ55" s="936"/>
      <c r="PSK55" s="936"/>
      <c r="PSL55" s="936"/>
      <c r="PSM55" s="936"/>
      <c r="PSN55" s="936"/>
      <c r="PSO55" s="936"/>
      <c r="PSP55" s="936"/>
      <c r="PSQ55" s="936"/>
      <c r="PSR55" s="936"/>
      <c r="PSS55" s="936"/>
      <c r="PST55" s="936"/>
      <c r="PSU55" s="936"/>
      <c r="PSV55" s="936"/>
      <c r="PSW55" s="936"/>
      <c r="PSX55" s="936"/>
      <c r="PSY55" s="936"/>
      <c r="PSZ55" s="936"/>
      <c r="PTA55" s="936"/>
      <c r="PTB55" s="936"/>
      <c r="PTC55" s="936"/>
      <c r="PTD55" s="936"/>
      <c r="PTE55" s="936"/>
      <c r="PTF55" s="936"/>
      <c r="PTG55" s="936"/>
      <c r="PTH55" s="936"/>
      <c r="PTI55" s="936"/>
      <c r="PTJ55" s="936"/>
      <c r="PTK55" s="936"/>
      <c r="PTL55" s="936"/>
      <c r="PTM55" s="936"/>
      <c r="PTN55" s="936"/>
      <c r="PTO55" s="936"/>
      <c r="PTP55" s="936"/>
      <c r="PTQ55" s="936"/>
      <c r="PTR55" s="936"/>
      <c r="PTS55" s="936"/>
      <c r="PTT55" s="936"/>
      <c r="PTU55" s="936"/>
      <c r="PTV55" s="936"/>
      <c r="PTW55" s="936"/>
      <c r="PTX55" s="936"/>
      <c r="PTY55" s="936"/>
      <c r="PTZ55" s="936"/>
      <c r="PUA55" s="936"/>
      <c r="PUB55" s="936"/>
      <c r="PUC55" s="936"/>
      <c r="PUD55" s="936"/>
      <c r="PUE55" s="936"/>
      <c r="PUF55" s="936"/>
      <c r="PUG55" s="936"/>
      <c r="PUH55" s="936"/>
      <c r="PUI55" s="936"/>
      <c r="PUJ55" s="936"/>
      <c r="PUK55" s="936"/>
      <c r="PUL55" s="936"/>
      <c r="PUM55" s="936"/>
      <c r="PUN55" s="936"/>
      <c r="PUO55" s="936"/>
      <c r="PUP55" s="936"/>
      <c r="PUQ55" s="936"/>
      <c r="PUR55" s="936"/>
      <c r="PUS55" s="936"/>
      <c r="PUT55" s="936"/>
      <c r="PUU55" s="936"/>
      <c r="PUV55" s="936"/>
      <c r="PUW55" s="936"/>
      <c r="PUX55" s="936"/>
      <c r="PUY55" s="936"/>
      <c r="PUZ55" s="936"/>
      <c r="PVA55" s="936"/>
      <c r="PVB55" s="936"/>
      <c r="PVC55" s="936"/>
      <c r="PVD55" s="936"/>
      <c r="PVE55" s="936"/>
      <c r="PVF55" s="936"/>
      <c r="PVG55" s="936"/>
      <c r="PVH55" s="936"/>
      <c r="PVI55" s="936"/>
      <c r="PVJ55" s="936"/>
      <c r="PVK55" s="936"/>
      <c r="PVL55" s="936"/>
      <c r="PVM55" s="936"/>
      <c r="PVN55" s="936"/>
      <c r="PVO55" s="936"/>
      <c r="PVP55" s="936"/>
      <c r="PVQ55" s="936"/>
      <c r="PVR55" s="936"/>
      <c r="PVS55" s="936"/>
      <c r="PVT55" s="936"/>
      <c r="PVU55" s="936"/>
      <c r="PVV55" s="936"/>
      <c r="PVW55" s="936"/>
      <c r="PVX55" s="936"/>
      <c r="PVY55" s="936"/>
      <c r="PVZ55" s="936"/>
      <c r="PWA55" s="936"/>
      <c r="PWB55" s="936"/>
      <c r="PWC55" s="936"/>
      <c r="PWD55" s="936"/>
      <c r="PWE55" s="936"/>
      <c r="PWF55" s="936"/>
      <c r="PWG55" s="936"/>
      <c r="PWH55" s="936"/>
      <c r="PWI55" s="936"/>
      <c r="PWJ55" s="936"/>
      <c r="PWK55" s="936"/>
      <c r="PWL55" s="936"/>
      <c r="PWM55" s="936"/>
      <c r="PWN55" s="936"/>
      <c r="PWO55" s="936"/>
      <c r="PWP55" s="936"/>
      <c r="PWQ55" s="936"/>
      <c r="PWR55" s="936"/>
      <c r="PWS55" s="936"/>
      <c r="PWT55" s="936"/>
      <c r="PWU55" s="936"/>
      <c r="PWV55" s="936"/>
      <c r="PWW55" s="936"/>
      <c r="PWX55" s="936"/>
      <c r="PWY55" s="936"/>
      <c r="PWZ55" s="936"/>
      <c r="PXA55" s="936"/>
      <c r="PXB55" s="936"/>
      <c r="PXC55" s="936"/>
      <c r="PXD55" s="936"/>
      <c r="PXE55" s="936"/>
      <c r="PXF55" s="936"/>
      <c r="PXG55" s="936"/>
      <c r="PXH55" s="936"/>
      <c r="PXI55" s="936"/>
      <c r="PXJ55" s="936"/>
      <c r="PXK55" s="936"/>
      <c r="PXL55" s="936"/>
      <c r="PXM55" s="936"/>
      <c r="PXN55" s="936"/>
      <c r="PXO55" s="936"/>
      <c r="PXP55" s="936"/>
      <c r="PXQ55" s="936"/>
      <c r="PXR55" s="936"/>
      <c r="PXS55" s="936"/>
      <c r="PXT55" s="936"/>
      <c r="PXU55" s="936"/>
      <c r="PXV55" s="936"/>
      <c r="PXW55" s="936"/>
      <c r="PXX55" s="936"/>
      <c r="PXY55" s="936"/>
      <c r="PXZ55" s="936"/>
      <c r="PYA55" s="936"/>
      <c r="PYB55" s="936"/>
      <c r="PYC55" s="936"/>
      <c r="PYD55" s="936"/>
      <c r="PYE55" s="936"/>
      <c r="PYF55" s="936"/>
      <c r="PYG55" s="936"/>
      <c r="PYH55" s="936"/>
      <c r="PYI55" s="936"/>
      <c r="PYJ55" s="936"/>
      <c r="PYK55" s="936"/>
      <c r="PYL55" s="936"/>
      <c r="PYM55" s="936"/>
      <c r="PYN55" s="936"/>
      <c r="PYO55" s="936"/>
      <c r="PYP55" s="936"/>
      <c r="PYQ55" s="936"/>
      <c r="PYR55" s="936"/>
      <c r="PYS55" s="936"/>
      <c r="PYT55" s="936"/>
      <c r="PYU55" s="936"/>
      <c r="PYV55" s="936"/>
      <c r="PYW55" s="936"/>
      <c r="PYX55" s="936"/>
      <c r="PYY55" s="936"/>
      <c r="PYZ55" s="936"/>
      <c r="PZA55" s="936"/>
      <c r="PZB55" s="936"/>
      <c r="PZC55" s="936"/>
      <c r="PZD55" s="936"/>
      <c r="PZE55" s="936"/>
      <c r="PZF55" s="936"/>
      <c r="PZG55" s="936"/>
      <c r="PZH55" s="936"/>
      <c r="PZI55" s="936"/>
      <c r="PZJ55" s="936"/>
      <c r="PZK55" s="936"/>
      <c r="PZL55" s="936"/>
      <c r="PZM55" s="936"/>
      <c r="PZN55" s="936"/>
      <c r="PZO55" s="936"/>
      <c r="PZP55" s="936"/>
      <c r="PZQ55" s="936"/>
      <c r="PZR55" s="936"/>
      <c r="PZS55" s="936"/>
      <c r="PZT55" s="936"/>
      <c r="PZU55" s="936"/>
      <c r="PZV55" s="936"/>
      <c r="PZW55" s="936"/>
      <c r="PZX55" s="936"/>
      <c r="PZY55" s="936"/>
      <c r="PZZ55" s="936"/>
      <c r="QAA55" s="936"/>
      <c r="QAB55" s="936"/>
      <c r="QAC55" s="936"/>
      <c r="QAD55" s="936"/>
      <c r="QAE55" s="936"/>
      <c r="QAF55" s="936"/>
      <c r="QAG55" s="936"/>
      <c r="QAH55" s="936"/>
      <c r="QAI55" s="936"/>
      <c r="QAJ55" s="936"/>
      <c r="QAK55" s="936"/>
      <c r="QAL55" s="936"/>
      <c r="QAM55" s="936"/>
      <c r="QAN55" s="936"/>
      <c r="QAO55" s="936"/>
      <c r="QAP55" s="936"/>
      <c r="QAQ55" s="936"/>
      <c r="QAR55" s="936"/>
      <c r="QAS55" s="936"/>
      <c r="QAT55" s="936"/>
      <c r="QAU55" s="936"/>
      <c r="QAV55" s="936"/>
      <c r="QAW55" s="936"/>
      <c r="QAX55" s="936"/>
      <c r="QAY55" s="936"/>
      <c r="QAZ55" s="936"/>
      <c r="QBA55" s="936"/>
      <c r="QBB55" s="936"/>
      <c r="QBC55" s="936"/>
      <c r="QBD55" s="936"/>
      <c r="QBE55" s="936"/>
      <c r="QBF55" s="936"/>
      <c r="QBG55" s="936"/>
      <c r="QBH55" s="936"/>
      <c r="QBI55" s="936"/>
      <c r="QBJ55" s="936"/>
      <c r="QBK55" s="936"/>
      <c r="QBL55" s="936"/>
      <c r="QBM55" s="936"/>
      <c r="QBN55" s="936"/>
      <c r="QBO55" s="936"/>
      <c r="QBP55" s="936"/>
      <c r="QBQ55" s="936"/>
      <c r="QBR55" s="936"/>
      <c r="QBS55" s="936"/>
      <c r="QBT55" s="936"/>
      <c r="QBU55" s="936"/>
      <c r="QBV55" s="936"/>
      <c r="QBW55" s="936"/>
      <c r="QBX55" s="936"/>
      <c r="QBY55" s="936"/>
      <c r="QBZ55" s="936"/>
      <c r="QCA55" s="936"/>
      <c r="QCB55" s="936"/>
      <c r="QCC55" s="936"/>
      <c r="QCD55" s="936"/>
      <c r="QCE55" s="936"/>
      <c r="QCF55" s="936"/>
      <c r="QCG55" s="936"/>
      <c r="QCH55" s="936"/>
      <c r="QCI55" s="936"/>
      <c r="QCJ55" s="936"/>
      <c r="QCK55" s="936"/>
      <c r="QCL55" s="936"/>
      <c r="QCM55" s="936"/>
      <c r="QCN55" s="936"/>
      <c r="QCO55" s="936"/>
      <c r="QCP55" s="936"/>
      <c r="QCQ55" s="936"/>
      <c r="QCR55" s="936"/>
      <c r="QCS55" s="936"/>
      <c r="QCT55" s="936"/>
      <c r="QCU55" s="936"/>
      <c r="QCV55" s="936"/>
      <c r="QCW55" s="936"/>
      <c r="QCX55" s="936"/>
      <c r="QCY55" s="936"/>
      <c r="QCZ55" s="936"/>
      <c r="QDA55" s="936"/>
      <c r="QDB55" s="936"/>
      <c r="QDC55" s="936"/>
      <c r="QDD55" s="936"/>
      <c r="QDE55" s="936"/>
      <c r="QDF55" s="936"/>
      <c r="QDG55" s="936"/>
      <c r="QDH55" s="936"/>
      <c r="QDI55" s="936"/>
      <c r="QDJ55" s="936"/>
      <c r="QDK55" s="936"/>
      <c r="QDL55" s="936"/>
      <c r="QDM55" s="936"/>
      <c r="QDN55" s="936"/>
      <c r="QDO55" s="936"/>
      <c r="QDP55" s="936"/>
      <c r="QDQ55" s="936"/>
      <c r="QDR55" s="936"/>
      <c r="QDS55" s="936"/>
      <c r="QDT55" s="936"/>
      <c r="QDU55" s="936"/>
      <c r="QDV55" s="936"/>
      <c r="QDW55" s="936"/>
      <c r="QDX55" s="936"/>
      <c r="QDY55" s="936"/>
      <c r="QDZ55" s="936"/>
      <c r="QEA55" s="936"/>
      <c r="QEB55" s="936"/>
      <c r="QEC55" s="936"/>
      <c r="QED55" s="936"/>
      <c r="QEE55" s="936"/>
      <c r="QEF55" s="936"/>
      <c r="QEG55" s="936"/>
      <c r="QEH55" s="936"/>
      <c r="QEI55" s="936"/>
      <c r="QEJ55" s="936"/>
      <c r="QEK55" s="936"/>
      <c r="QEL55" s="936"/>
      <c r="QEM55" s="936"/>
      <c r="QEN55" s="936"/>
      <c r="QEO55" s="936"/>
      <c r="QEP55" s="936"/>
      <c r="QEQ55" s="936"/>
      <c r="QER55" s="936"/>
      <c r="QES55" s="936"/>
      <c r="QET55" s="936"/>
      <c r="QEU55" s="936"/>
      <c r="QEV55" s="936"/>
      <c r="QEW55" s="936"/>
      <c r="QEX55" s="936"/>
      <c r="QEY55" s="936"/>
      <c r="QEZ55" s="936"/>
      <c r="QFA55" s="936"/>
      <c r="QFB55" s="936"/>
      <c r="QFC55" s="936"/>
      <c r="QFD55" s="936"/>
      <c r="QFE55" s="936"/>
      <c r="QFF55" s="936"/>
      <c r="QFG55" s="936"/>
      <c r="QFH55" s="936"/>
      <c r="QFI55" s="936"/>
      <c r="QFJ55" s="936"/>
      <c r="QFK55" s="936"/>
      <c r="QFL55" s="936"/>
      <c r="QFM55" s="936"/>
      <c r="QFN55" s="936"/>
      <c r="QFO55" s="936"/>
      <c r="QFP55" s="936"/>
      <c r="QFQ55" s="936"/>
      <c r="QFR55" s="936"/>
      <c r="QFS55" s="936"/>
      <c r="QFT55" s="936"/>
      <c r="QFU55" s="936"/>
      <c r="QFV55" s="936"/>
      <c r="QFW55" s="936"/>
      <c r="QFX55" s="936"/>
      <c r="QFY55" s="936"/>
      <c r="QFZ55" s="936"/>
      <c r="QGA55" s="936"/>
      <c r="QGB55" s="936"/>
      <c r="QGC55" s="936"/>
      <c r="QGD55" s="936"/>
      <c r="QGE55" s="936"/>
      <c r="QGF55" s="936"/>
      <c r="QGG55" s="936"/>
      <c r="QGH55" s="936"/>
      <c r="QGI55" s="936"/>
      <c r="QGJ55" s="936"/>
      <c r="QGK55" s="936"/>
      <c r="QGL55" s="936"/>
      <c r="QGM55" s="936"/>
      <c r="QGN55" s="936"/>
      <c r="QGO55" s="936"/>
      <c r="QGP55" s="936"/>
      <c r="QGQ55" s="936"/>
      <c r="QGR55" s="936"/>
      <c r="QGS55" s="936"/>
      <c r="QGT55" s="936"/>
      <c r="QGU55" s="936"/>
      <c r="QGV55" s="936"/>
      <c r="QGW55" s="936"/>
      <c r="QGX55" s="936"/>
      <c r="QGY55" s="936"/>
      <c r="QGZ55" s="936"/>
      <c r="QHA55" s="936"/>
      <c r="QHB55" s="936"/>
      <c r="QHC55" s="936"/>
      <c r="QHD55" s="936"/>
      <c r="QHE55" s="936"/>
      <c r="QHF55" s="936"/>
      <c r="QHG55" s="936"/>
      <c r="QHH55" s="936"/>
      <c r="QHI55" s="936"/>
      <c r="QHJ55" s="936"/>
      <c r="QHK55" s="936"/>
      <c r="QHL55" s="936"/>
      <c r="QHM55" s="936"/>
      <c r="QHN55" s="936"/>
      <c r="QHO55" s="936"/>
      <c r="QHP55" s="936"/>
      <c r="QHQ55" s="936"/>
      <c r="QHR55" s="936"/>
      <c r="QHS55" s="936"/>
      <c r="QHT55" s="936"/>
      <c r="QHU55" s="936"/>
      <c r="QHV55" s="936"/>
      <c r="QHW55" s="936"/>
      <c r="QHX55" s="936"/>
      <c r="QHY55" s="936"/>
      <c r="QHZ55" s="936"/>
      <c r="QIA55" s="936"/>
      <c r="QIB55" s="936"/>
      <c r="QIC55" s="936"/>
      <c r="QID55" s="936"/>
      <c r="QIE55" s="936"/>
      <c r="QIF55" s="936"/>
      <c r="QIG55" s="936"/>
      <c r="QIH55" s="936"/>
      <c r="QII55" s="936"/>
      <c r="QIJ55" s="936"/>
      <c r="QIK55" s="936"/>
      <c r="QIL55" s="936"/>
      <c r="QIM55" s="936"/>
      <c r="QIN55" s="936"/>
      <c r="QIO55" s="936"/>
      <c r="QIP55" s="936"/>
      <c r="QIQ55" s="936"/>
      <c r="QIR55" s="936"/>
      <c r="QIS55" s="936"/>
      <c r="QIT55" s="936"/>
      <c r="QIU55" s="936"/>
      <c r="QIV55" s="936"/>
      <c r="QIW55" s="936"/>
      <c r="QIX55" s="936"/>
      <c r="QIY55" s="936"/>
      <c r="QIZ55" s="936"/>
      <c r="QJA55" s="936"/>
      <c r="QJB55" s="936"/>
      <c r="QJC55" s="936"/>
      <c r="QJD55" s="936"/>
      <c r="QJE55" s="936"/>
      <c r="QJF55" s="936"/>
      <c r="QJG55" s="936"/>
      <c r="QJH55" s="936"/>
      <c r="QJI55" s="936"/>
      <c r="QJJ55" s="936"/>
      <c r="QJK55" s="936"/>
      <c r="QJL55" s="936"/>
      <c r="QJM55" s="936"/>
      <c r="QJN55" s="936"/>
      <c r="QJO55" s="936"/>
      <c r="QJP55" s="936"/>
      <c r="QJQ55" s="936"/>
      <c r="QJR55" s="936"/>
      <c r="QJS55" s="936"/>
      <c r="QJT55" s="936"/>
      <c r="QJU55" s="936"/>
      <c r="QJV55" s="936"/>
      <c r="QJW55" s="936"/>
      <c r="QJX55" s="936"/>
      <c r="QJY55" s="936"/>
      <c r="QJZ55" s="936"/>
      <c r="QKA55" s="936"/>
      <c r="QKB55" s="936"/>
      <c r="QKC55" s="936"/>
      <c r="QKD55" s="936"/>
      <c r="QKE55" s="936"/>
      <c r="QKF55" s="936"/>
      <c r="QKG55" s="936"/>
      <c r="QKH55" s="936"/>
      <c r="QKI55" s="936"/>
      <c r="QKJ55" s="936"/>
      <c r="QKK55" s="936"/>
      <c r="QKL55" s="936"/>
      <c r="QKM55" s="936"/>
      <c r="QKN55" s="936"/>
      <c r="QKO55" s="936"/>
      <c r="QKP55" s="936"/>
      <c r="QKQ55" s="936"/>
      <c r="QKR55" s="936"/>
      <c r="QKS55" s="936"/>
      <c r="QKT55" s="936"/>
      <c r="QKU55" s="936"/>
      <c r="QKV55" s="936"/>
      <c r="QKW55" s="936"/>
      <c r="QKX55" s="936"/>
      <c r="QKY55" s="936"/>
      <c r="QKZ55" s="936"/>
      <c r="QLA55" s="936"/>
      <c r="QLB55" s="936"/>
      <c r="QLC55" s="936"/>
      <c r="QLD55" s="936"/>
      <c r="QLE55" s="936"/>
      <c r="QLF55" s="936"/>
      <c r="QLG55" s="936"/>
      <c r="QLH55" s="936"/>
      <c r="QLI55" s="936"/>
      <c r="QLJ55" s="936"/>
      <c r="QLK55" s="936"/>
      <c r="QLL55" s="936"/>
      <c r="QLM55" s="936"/>
      <c r="QLN55" s="936"/>
      <c r="QLO55" s="936"/>
      <c r="QLP55" s="936"/>
      <c r="QLQ55" s="936"/>
      <c r="QLR55" s="936"/>
      <c r="QLS55" s="936"/>
      <c r="QLT55" s="936"/>
      <c r="QLU55" s="936"/>
      <c r="QLV55" s="936"/>
      <c r="QLW55" s="936"/>
      <c r="QLX55" s="936"/>
      <c r="QLY55" s="936"/>
      <c r="QLZ55" s="936"/>
      <c r="QMA55" s="936"/>
      <c r="QMB55" s="936"/>
      <c r="QMC55" s="936"/>
      <c r="QMD55" s="936"/>
      <c r="QME55" s="936"/>
      <c r="QMF55" s="936"/>
      <c r="QMG55" s="936"/>
      <c r="QMH55" s="936"/>
      <c r="QMI55" s="936"/>
      <c r="QMJ55" s="936"/>
      <c r="QMK55" s="936"/>
      <c r="QML55" s="936"/>
      <c r="QMM55" s="936"/>
      <c r="QMN55" s="936"/>
      <c r="QMO55" s="936"/>
      <c r="QMP55" s="936"/>
      <c r="QMQ55" s="936"/>
      <c r="QMR55" s="936"/>
      <c r="QMS55" s="936"/>
      <c r="QMT55" s="936"/>
      <c r="QMU55" s="936"/>
      <c r="QMV55" s="936"/>
      <c r="QMW55" s="936"/>
      <c r="QMX55" s="936"/>
      <c r="QMY55" s="936"/>
      <c r="QMZ55" s="936"/>
      <c r="QNA55" s="936"/>
      <c r="QNB55" s="936"/>
      <c r="QNC55" s="936"/>
      <c r="QND55" s="936"/>
      <c r="QNE55" s="936"/>
      <c r="QNF55" s="936"/>
      <c r="QNG55" s="936"/>
      <c r="QNH55" s="936"/>
      <c r="QNI55" s="936"/>
      <c r="QNJ55" s="936"/>
      <c r="QNK55" s="936"/>
      <c r="QNL55" s="936"/>
      <c r="QNM55" s="936"/>
      <c r="QNN55" s="936"/>
      <c r="QNO55" s="936"/>
      <c r="QNP55" s="936"/>
      <c r="QNQ55" s="936"/>
      <c r="QNR55" s="936"/>
      <c r="QNS55" s="936"/>
      <c r="QNT55" s="936"/>
      <c r="QNU55" s="936"/>
      <c r="QNV55" s="936"/>
      <c r="QNW55" s="936"/>
      <c r="QNX55" s="936"/>
      <c r="QNY55" s="936"/>
      <c r="QNZ55" s="936"/>
      <c r="QOA55" s="936"/>
      <c r="QOB55" s="936"/>
      <c r="QOC55" s="936"/>
      <c r="QOD55" s="936"/>
      <c r="QOE55" s="936"/>
      <c r="QOF55" s="936"/>
      <c r="QOG55" s="936"/>
      <c r="QOH55" s="936"/>
      <c r="QOI55" s="936"/>
      <c r="QOJ55" s="936"/>
      <c r="QOK55" s="936"/>
      <c r="QOL55" s="936"/>
      <c r="QOM55" s="936"/>
      <c r="QON55" s="936"/>
      <c r="QOO55" s="936"/>
      <c r="QOP55" s="936"/>
      <c r="QOQ55" s="936"/>
      <c r="QOR55" s="936"/>
      <c r="QOS55" s="936"/>
      <c r="QOT55" s="936"/>
      <c r="QOU55" s="936"/>
      <c r="QOV55" s="936"/>
      <c r="QOW55" s="936"/>
      <c r="QOX55" s="936"/>
      <c r="QOY55" s="936"/>
      <c r="QOZ55" s="936"/>
      <c r="QPA55" s="936"/>
      <c r="QPB55" s="936"/>
      <c r="QPC55" s="936"/>
      <c r="QPD55" s="936"/>
      <c r="QPE55" s="936"/>
      <c r="QPF55" s="936"/>
      <c r="QPG55" s="936"/>
      <c r="QPH55" s="936"/>
      <c r="QPI55" s="936"/>
      <c r="QPJ55" s="936"/>
      <c r="QPK55" s="936"/>
      <c r="QPL55" s="936"/>
      <c r="QPM55" s="936"/>
      <c r="QPN55" s="936"/>
      <c r="QPO55" s="936"/>
      <c r="QPP55" s="936"/>
      <c r="QPQ55" s="936"/>
      <c r="QPR55" s="936"/>
      <c r="QPS55" s="936"/>
      <c r="QPT55" s="936"/>
      <c r="QPU55" s="936"/>
      <c r="QPV55" s="936"/>
      <c r="QPW55" s="936"/>
      <c r="QPX55" s="936"/>
      <c r="QPY55" s="936"/>
      <c r="QPZ55" s="936"/>
      <c r="QQA55" s="936"/>
      <c r="QQB55" s="936"/>
      <c r="QQC55" s="936"/>
      <c r="QQD55" s="936"/>
      <c r="QQE55" s="936"/>
      <c r="QQF55" s="936"/>
      <c r="QQG55" s="936"/>
      <c r="QQH55" s="936"/>
      <c r="QQI55" s="936"/>
      <c r="QQJ55" s="936"/>
      <c r="QQK55" s="936"/>
      <c r="QQL55" s="936"/>
      <c r="QQM55" s="936"/>
      <c r="QQN55" s="936"/>
      <c r="QQO55" s="936"/>
      <c r="QQP55" s="936"/>
      <c r="QQQ55" s="936"/>
      <c r="QQR55" s="936"/>
      <c r="QQS55" s="936"/>
      <c r="QQT55" s="936"/>
      <c r="QQU55" s="936"/>
      <c r="QQV55" s="936"/>
      <c r="QQW55" s="936"/>
      <c r="QQX55" s="936"/>
      <c r="QQY55" s="936"/>
      <c r="QQZ55" s="936"/>
      <c r="QRA55" s="936"/>
      <c r="QRB55" s="936"/>
      <c r="QRC55" s="936"/>
      <c r="QRD55" s="936"/>
      <c r="QRE55" s="936"/>
      <c r="QRF55" s="936"/>
      <c r="QRG55" s="936"/>
      <c r="QRH55" s="936"/>
      <c r="QRI55" s="936"/>
      <c r="QRJ55" s="936"/>
      <c r="QRK55" s="936"/>
      <c r="QRL55" s="936"/>
      <c r="QRM55" s="936"/>
      <c r="QRN55" s="936"/>
      <c r="QRO55" s="936"/>
      <c r="QRP55" s="936"/>
      <c r="QRQ55" s="936"/>
      <c r="QRR55" s="936"/>
      <c r="QRS55" s="936"/>
      <c r="QRT55" s="936"/>
      <c r="QRU55" s="936"/>
      <c r="QRV55" s="936"/>
      <c r="QRW55" s="936"/>
      <c r="QRX55" s="936"/>
      <c r="QRY55" s="936"/>
      <c r="QRZ55" s="936"/>
      <c r="QSA55" s="936"/>
      <c r="QSB55" s="936"/>
      <c r="QSC55" s="936"/>
      <c r="QSD55" s="936"/>
      <c r="QSE55" s="936"/>
      <c r="QSF55" s="936"/>
      <c r="QSG55" s="936"/>
      <c r="QSH55" s="936"/>
      <c r="QSI55" s="936"/>
      <c r="QSJ55" s="936"/>
      <c r="QSK55" s="936"/>
      <c r="QSL55" s="936"/>
      <c r="QSM55" s="936"/>
      <c r="QSN55" s="936"/>
      <c r="QSO55" s="936"/>
      <c r="QSP55" s="936"/>
      <c r="QSQ55" s="936"/>
      <c r="QSR55" s="936"/>
      <c r="QSS55" s="936"/>
      <c r="QST55" s="936"/>
      <c r="QSU55" s="936"/>
      <c r="QSV55" s="936"/>
      <c r="QSW55" s="936"/>
      <c r="QSX55" s="936"/>
      <c r="QSY55" s="936"/>
      <c r="QSZ55" s="936"/>
      <c r="QTA55" s="936"/>
      <c r="QTB55" s="936"/>
      <c r="QTC55" s="936"/>
      <c r="QTD55" s="936"/>
      <c r="QTE55" s="936"/>
      <c r="QTF55" s="936"/>
      <c r="QTG55" s="936"/>
      <c r="QTH55" s="936"/>
      <c r="QTI55" s="936"/>
      <c r="QTJ55" s="936"/>
      <c r="QTK55" s="936"/>
      <c r="QTL55" s="936"/>
      <c r="QTM55" s="936"/>
      <c r="QTN55" s="936"/>
      <c r="QTO55" s="936"/>
      <c r="QTP55" s="936"/>
      <c r="QTQ55" s="936"/>
      <c r="QTR55" s="936"/>
      <c r="QTS55" s="936"/>
      <c r="QTT55" s="936"/>
      <c r="QTU55" s="936"/>
      <c r="QTV55" s="936"/>
      <c r="QTW55" s="936"/>
      <c r="QTX55" s="936"/>
      <c r="QTY55" s="936"/>
      <c r="QTZ55" s="936"/>
      <c r="QUA55" s="936"/>
      <c r="QUB55" s="936"/>
      <c r="QUC55" s="936"/>
      <c r="QUD55" s="936"/>
      <c r="QUE55" s="936"/>
      <c r="QUF55" s="936"/>
      <c r="QUG55" s="936"/>
      <c r="QUH55" s="936"/>
      <c r="QUI55" s="936"/>
      <c r="QUJ55" s="936"/>
      <c r="QUK55" s="936"/>
      <c r="QUL55" s="936"/>
      <c r="QUM55" s="936"/>
      <c r="QUN55" s="936"/>
      <c r="QUO55" s="936"/>
      <c r="QUP55" s="936"/>
      <c r="QUQ55" s="936"/>
      <c r="QUR55" s="936"/>
      <c r="QUS55" s="936"/>
      <c r="QUT55" s="936"/>
      <c r="QUU55" s="936"/>
      <c r="QUV55" s="936"/>
      <c r="QUW55" s="936"/>
      <c r="QUX55" s="936"/>
      <c r="QUY55" s="936"/>
      <c r="QUZ55" s="936"/>
      <c r="QVA55" s="936"/>
      <c r="QVB55" s="936"/>
      <c r="QVC55" s="936"/>
      <c r="QVD55" s="936"/>
      <c r="QVE55" s="936"/>
      <c r="QVF55" s="936"/>
      <c r="QVG55" s="936"/>
      <c r="QVH55" s="936"/>
      <c r="QVI55" s="936"/>
      <c r="QVJ55" s="936"/>
      <c r="QVK55" s="936"/>
      <c r="QVL55" s="936"/>
      <c r="QVM55" s="936"/>
      <c r="QVN55" s="936"/>
      <c r="QVO55" s="936"/>
      <c r="QVP55" s="936"/>
      <c r="QVQ55" s="936"/>
      <c r="QVR55" s="936"/>
      <c r="QVS55" s="936"/>
      <c r="QVT55" s="936"/>
      <c r="QVU55" s="936"/>
      <c r="QVV55" s="936"/>
      <c r="QVW55" s="936"/>
      <c r="QVX55" s="936"/>
      <c r="QVY55" s="936"/>
      <c r="QVZ55" s="936"/>
      <c r="QWA55" s="936"/>
      <c r="QWB55" s="936"/>
      <c r="QWC55" s="936"/>
      <c r="QWD55" s="936"/>
      <c r="QWE55" s="936"/>
      <c r="QWF55" s="936"/>
      <c r="QWG55" s="936"/>
      <c r="QWH55" s="936"/>
      <c r="QWI55" s="936"/>
      <c r="QWJ55" s="936"/>
      <c r="QWK55" s="936"/>
      <c r="QWL55" s="936"/>
      <c r="QWM55" s="936"/>
      <c r="QWN55" s="936"/>
      <c r="QWO55" s="936"/>
      <c r="QWP55" s="936"/>
      <c r="QWQ55" s="936"/>
      <c r="QWR55" s="936"/>
      <c r="QWS55" s="936"/>
      <c r="QWT55" s="936"/>
      <c r="QWU55" s="936"/>
      <c r="QWV55" s="936"/>
      <c r="QWW55" s="936"/>
      <c r="QWX55" s="936"/>
      <c r="QWY55" s="936"/>
      <c r="QWZ55" s="936"/>
      <c r="QXA55" s="936"/>
      <c r="QXB55" s="936"/>
      <c r="QXC55" s="936"/>
      <c r="QXD55" s="936"/>
      <c r="QXE55" s="936"/>
      <c r="QXF55" s="936"/>
      <c r="QXG55" s="936"/>
      <c r="QXH55" s="936"/>
      <c r="QXI55" s="936"/>
      <c r="QXJ55" s="936"/>
      <c r="QXK55" s="936"/>
      <c r="QXL55" s="936"/>
      <c r="QXM55" s="936"/>
      <c r="QXN55" s="936"/>
      <c r="QXO55" s="936"/>
      <c r="QXP55" s="936"/>
      <c r="QXQ55" s="936"/>
      <c r="QXR55" s="936"/>
      <c r="QXS55" s="936"/>
      <c r="QXT55" s="936"/>
      <c r="QXU55" s="936"/>
      <c r="QXV55" s="936"/>
      <c r="QXW55" s="936"/>
      <c r="QXX55" s="936"/>
      <c r="QXY55" s="936"/>
      <c r="QXZ55" s="936"/>
      <c r="QYA55" s="936"/>
      <c r="QYB55" s="936"/>
      <c r="QYC55" s="936"/>
      <c r="QYD55" s="936"/>
      <c r="QYE55" s="936"/>
      <c r="QYF55" s="936"/>
      <c r="QYG55" s="936"/>
      <c r="QYH55" s="936"/>
      <c r="QYI55" s="936"/>
      <c r="QYJ55" s="936"/>
      <c r="QYK55" s="936"/>
      <c r="QYL55" s="936"/>
      <c r="QYM55" s="936"/>
      <c r="QYN55" s="936"/>
      <c r="QYO55" s="936"/>
      <c r="QYP55" s="936"/>
      <c r="QYQ55" s="936"/>
      <c r="QYR55" s="936"/>
      <c r="QYS55" s="936"/>
      <c r="QYT55" s="936"/>
      <c r="QYU55" s="936"/>
      <c r="QYV55" s="936"/>
      <c r="QYW55" s="936"/>
      <c r="QYX55" s="936"/>
      <c r="QYY55" s="936"/>
      <c r="QYZ55" s="936"/>
      <c r="QZA55" s="936"/>
      <c r="QZB55" s="936"/>
      <c r="QZC55" s="936"/>
      <c r="QZD55" s="936"/>
      <c r="QZE55" s="936"/>
      <c r="QZF55" s="936"/>
      <c r="QZG55" s="936"/>
      <c r="QZH55" s="936"/>
      <c r="QZI55" s="936"/>
      <c r="QZJ55" s="936"/>
      <c r="QZK55" s="936"/>
      <c r="QZL55" s="936"/>
      <c r="QZM55" s="936"/>
      <c r="QZN55" s="936"/>
      <c r="QZO55" s="936"/>
      <c r="QZP55" s="936"/>
      <c r="QZQ55" s="936"/>
      <c r="QZR55" s="936"/>
      <c r="QZS55" s="936"/>
      <c r="QZT55" s="936"/>
      <c r="QZU55" s="936"/>
      <c r="QZV55" s="936"/>
      <c r="QZW55" s="936"/>
      <c r="QZX55" s="936"/>
      <c r="QZY55" s="936"/>
      <c r="QZZ55" s="936"/>
      <c r="RAA55" s="936"/>
      <c r="RAB55" s="936"/>
      <c r="RAC55" s="936"/>
      <c r="RAD55" s="936"/>
      <c r="RAE55" s="936"/>
      <c r="RAF55" s="936"/>
      <c r="RAG55" s="936"/>
      <c r="RAH55" s="936"/>
      <c r="RAI55" s="936"/>
      <c r="RAJ55" s="936"/>
      <c r="RAK55" s="936"/>
      <c r="RAL55" s="936"/>
      <c r="RAM55" s="936"/>
      <c r="RAN55" s="936"/>
      <c r="RAO55" s="936"/>
      <c r="RAP55" s="936"/>
      <c r="RAQ55" s="936"/>
      <c r="RAR55" s="936"/>
      <c r="RAS55" s="936"/>
      <c r="RAT55" s="936"/>
      <c r="RAU55" s="936"/>
      <c r="RAV55" s="936"/>
      <c r="RAW55" s="936"/>
      <c r="RAX55" s="936"/>
      <c r="RAY55" s="936"/>
      <c r="RAZ55" s="936"/>
      <c r="RBA55" s="936"/>
      <c r="RBB55" s="936"/>
      <c r="RBC55" s="936"/>
      <c r="RBD55" s="936"/>
      <c r="RBE55" s="936"/>
      <c r="RBF55" s="936"/>
      <c r="RBG55" s="936"/>
      <c r="RBH55" s="936"/>
      <c r="RBI55" s="936"/>
      <c r="RBJ55" s="936"/>
      <c r="RBK55" s="936"/>
      <c r="RBL55" s="936"/>
      <c r="RBM55" s="936"/>
      <c r="RBN55" s="936"/>
      <c r="RBO55" s="936"/>
      <c r="RBP55" s="936"/>
      <c r="RBQ55" s="936"/>
      <c r="RBR55" s="936"/>
      <c r="RBS55" s="936"/>
      <c r="RBT55" s="936"/>
      <c r="RBU55" s="936"/>
      <c r="RBV55" s="936"/>
      <c r="RBW55" s="936"/>
      <c r="RBX55" s="936"/>
      <c r="RBY55" s="936"/>
      <c r="RBZ55" s="936"/>
      <c r="RCA55" s="936"/>
      <c r="RCB55" s="936"/>
      <c r="RCC55" s="936"/>
      <c r="RCD55" s="936"/>
      <c r="RCE55" s="936"/>
      <c r="RCF55" s="936"/>
      <c r="RCG55" s="936"/>
      <c r="RCH55" s="936"/>
      <c r="RCI55" s="936"/>
      <c r="RCJ55" s="936"/>
      <c r="RCK55" s="936"/>
      <c r="RCL55" s="936"/>
      <c r="RCM55" s="936"/>
      <c r="RCN55" s="936"/>
      <c r="RCO55" s="936"/>
      <c r="RCP55" s="936"/>
      <c r="RCQ55" s="936"/>
      <c r="RCR55" s="936"/>
      <c r="RCS55" s="936"/>
      <c r="RCT55" s="936"/>
      <c r="RCU55" s="936"/>
      <c r="RCV55" s="936"/>
      <c r="RCW55" s="936"/>
      <c r="RCX55" s="936"/>
      <c r="RCY55" s="936"/>
      <c r="RCZ55" s="936"/>
      <c r="RDA55" s="936"/>
      <c r="RDB55" s="936"/>
      <c r="RDC55" s="936"/>
      <c r="RDD55" s="936"/>
      <c r="RDE55" s="936"/>
      <c r="RDF55" s="936"/>
      <c r="RDG55" s="936"/>
      <c r="RDH55" s="936"/>
      <c r="RDI55" s="936"/>
      <c r="RDJ55" s="936"/>
      <c r="RDK55" s="936"/>
      <c r="RDL55" s="936"/>
      <c r="RDM55" s="936"/>
      <c r="RDN55" s="936"/>
      <c r="RDO55" s="936"/>
      <c r="RDP55" s="936"/>
      <c r="RDQ55" s="936"/>
      <c r="RDR55" s="936"/>
      <c r="RDS55" s="936"/>
      <c r="RDT55" s="936"/>
      <c r="RDU55" s="936"/>
      <c r="RDV55" s="936"/>
      <c r="RDW55" s="936"/>
      <c r="RDX55" s="936"/>
      <c r="RDY55" s="936"/>
      <c r="RDZ55" s="936"/>
      <c r="REA55" s="936"/>
      <c r="REB55" s="936"/>
      <c r="REC55" s="936"/>
      <c r="RED55" s="936"/>
      <c r="REE55" s="936"/>
      <c r="REF55" s="936"/>
      <c r="REG55" s="936"/>
      <c r="REH55" s="936"/>
      <c r="REI55" s="936"/>
      <c r="REJ55" s="936"/>
      <c r="REK55" s="936"/>
      <c r="REL55" s="936"/>
      <c r="REM55" s="936"/>
      <c r="REN55" s="936"/>
      <c r="REO55" s="936"/>
      <c r="REP55" s="936"/>
      <c r="REQ55" s="936"/>
      <c r="RER55" s="936"/>
      <c r="RES55" s="936"/>
      <c r="RET55" s="936"/>
      <c r="REU55" s="936"/>
      <c r="REV55" s="936"/>
      <c r="REW55" s="936"/>
      <c r="REX55" s="936"/>
      <c r="REY55" s="936"/>
      <c r="REZ55" s="936"/>
      <c r="RFA55" s="936"/>
      <c r="RFB55" s="936"/>
      <c r="RFC55" s="936"/>
      <c r="RFD55" s="936"/>
      <c r="RFE55" s="936"/>
      <c r="RFF55" s="936"/>
      <c r="RFG55" s="936"/>
      <c r="RFH55" s="936"/>
      <c r="RFI55" s="936"/>
      <c r="RFJ55" s="936"/>
      <c r="RFK55" s="936"/>
      <c r="RFL55" s="936"/>
      <c r="RFM55" s="936"/>
      <c r="RFN55" s="936"/>
      <c r="RFO55" s="936"/>
      <c r="RFP55" s="936"/>
      <c r="RFQ55" s="936"/>
      <c r="RFR55" s="936"/>
      <c r="RFS55" s="936"/>
      <c r="RFT55" s="936"/>
      <c r="RFU55" s="936"/>
      <c r="RFV55" s="936"/>
      <c r="RFW55" s="936"/>
      <c r="RFX55" s="936"/>
      <c r="RFY55" s="936"/>
      <c r="RFZ55" s="936"/>
      <c r="RGA55" s="936"/>
      <c r="RGB55" s="936"/>
      <c r="RGC55" s="936"/>
      <c r="RGD55" s="936"/>
      <c r="RGE55" s="936"/>
      <c r="RGF55" s="936"/>
      <c r="RGG55" s="936"/>
      <c r="RGH55" s="936"/>
      <c r="RGI55" s="936"/>
      <c r="RGJ55" s="936"/>
      <c r="RGK55" s="936"/>
      <c r="RGL55" s="936"/>
      <c r="RGM55" s="936"/>
      <c r="RGN55" s="936"/>
      <c r="RGO55" s="936"/>
      <c r="RGP55" s="936"/>
      <c r="RGQ55" s="936"/>
      <c r="RGR55" s="936"/>
      <c r="RGS55" s="936"/>
      <c r="RGT55" s="936"/>
      <c r="RGU55" s="936"/>
      <c r="RGV55" s="936"/>
      <c r="RGW55" s="936"/>
      <c r="RGX55" s="936"/>
      <c r="RGY55" s="936"/>
      <c r="RGZ55" s="936"/>
      <c r="RHA55" s="936"/>
      <c r="RHB55" s="936"/>
      <c r="RHC55" s="936"/>
      <c r="RHD55" s="936"/>
      <c r="RHE55" s="936"/>
      <c r="RHF55" s="936"/>
      <c r="RHG55" s="936"/>
      <c r="RHH55" s="936"/>
      <c r="RHI55" s="936"/>
      <c r="RHJ55" s="936"/>
      <c r="RHK55" s="936"/>
      <c r="RHL55" s="936"/>
      <c r="RHM55" s="936"/>
      <c r="RHN55" s="936"/>
      <c r="RHO55" s="936"/>
      <c r="RHP55" s="936"/>
      <c r="RHQ55" s="936"/>
      <c r="RHR55" s="936"/>
      <c r="RHS55" s="936"/>
      <c r="RHT55" s="936"/>
      <c r="RHU55" s="936"/>
      <c r="RHV55" s="936"/>
      <c r="RHW55" s="936"/>
      <c r="RHX55" s="936"/>
      <c r="RHY55" s="936"/>
      <c r="RHZ55" s="936"/>
      <c r="RIA55" s="936"/>
      <c r="RIB55" s="936"/>
      <c r="RIC55" s="936"/>
      <c r="RID55" s="936"/>
      <c r="RIE55" s="936"/>
      <c r="RIF55" s="936"/>
      <c r="RIG55" s="936"/>
      <c r="RIH55" s="936"/>
      <c r="RII55" s="936"/>
      <c r="RIJ55" s="936"/>
      <c r="RIK55" s="936"/>
      <c r="RIL55" s="936"/>
      <c r="RIM55" s="936"/>
      <c r="RIN55" s="936"/>
      <c r="RIO55" s="936"/>
      <c r="RIP55" s="936"/>
      <c r="RIQ55" s="936"/>
      <c r="RIR55" s="936"/>
      <c r="RIS55" s="936"/>
      <c r="RIT55" s="936"/>
      <c r="RIU55" s="936"/>
      <c r="RIV55" s="936"/>
      <c r="RIW55" s="936"/>
      <c r="RIX55" s="936"/>
      <c r="RIY55" s="936"/>
      <c r="RIZ55" s="936"/>
      <c r="RJA55" s="936"/>
      <c r="RJB55" s="936"/>
      <c r="RJC55" s="936"/>
      <c r="RJD55" s="936"/>
      <c r="RJE55" s="936"/>
      <c r="RJF55" s="936"/>
      <c r="RJG55" s="936"/>
      <c r="RJH55" s="936"/>
      <c r="RJI55" s="936"/>
      <c r="RJJ55" s="936"/>
      <c r="RJK55" s="936"/>
      <c r="RJL55" s="936"/>
      <c r="RJM55" s="936"/>
      <c r="RJN55" s="936"/>
      <c r="RJO55" s="936"/>
      <c r="RJP55" s="936"/>
      <c r="RJQ55" s="936"/>
      <c r="RJR55" s="936"/>
      <c r="RJS55" s="936"/>
      <c r="RJT55" s="936"/>
      <c r="RJU55" s="936"/>
      <c r="RJV55" s="936"/>
      <c r="RJW55" s="936"/>
      <c r="RJX55" s="936"/>
      <c r="RJY55" s="936"/>
      <c r="RJZ55" s="936"/>
      <c r="RKA55" s="936"/>
      <c r="RKB55" s="936"/>
      <c r="RKC55" s="936"/>
      <c r="RKD55" s="936"/>
      <c r="RKE55" s="936"/>
      <c r="RKF55" s="936"/>
      <c r="RKG55" s="936"/>
      <c r="RKH55" s="936"/>
      <c r="RKI55" s="936"/>
      <c r="RKJ55" s="936"/>
      <c r="RKK55" s="936"/>
      <c r="RKL55" s="936"/>
      <c r="RKM55" s="936"/>
      <c r="RKN55" s="936"/>
      <c r="RKO55" s="936"/>
      <c r="RKP55" s="936"/>
      <c r="RKQ55" s="936"/>
      <c r="RKR55" s="936"/>
      <c r="RKS55" s="936"/>
      <c r="RKT55" s="936"/>
      <c r="RKU55" s="936"/>
      <c r="RKV55" s="936"/>
      <c r="RKW55" s="936"/>
      <c r="RKX55" s="936"/>
      <c r="RKY55" s="936"/>
      <c r="RKZ55" s="936"/>
      <c r="RLA55" s="936"/>
      <c r="RLB55" s="936"/>
      <c r="RLC55" s="936"/>
      <c r="RLD55" s="936"/>
      <c r="RLE55" s="936"/>
      <c r="RLF55" s="936"/>
      <c r="RLG55" s="936"/>
      <c r="RLH55" s="936"/>
      <c r="RLI55" s="936"/>
      <c r="RLJ55" s="936"/>
      <c r="RLK55" s="936"/>
      <c r="RLL55" s="936"/>
      <c r="RLM55" s="936"/>
      <c r="RLN55" s="936"/>
      <c r="RLO55" s="936"/>
      <c r="RLP55" s="936"/>
      <c r="RLQ55" s="936"/>
      <c r="RLR55" s="936"/>
      <c r="RLS55" s="936"/>
      <c r="RLT55" s="936"/>
      <c r="RLU55" s="936"/>
      <c r="RLV55" s="936"/>
      <c r="RLW55" s="936"/>
      <c r="RLX55" s="936"/>
      <c r="RLY55" s="936"/>
      <c r="RLZ55" s="936"/>
      <c r="RMA55" s="936"/>
      <c r="RMB55" s="936"/>
      <c r="RMC55" s="936"/>
      <c r="RMD55" s="936"/>
      <c r="RME55" s="936"/>
      <c r="RMF55" s="936"/>
      <c r="RMG55" s="936"/>
      <c r="RMH55" s="936"/>
      <c r="RMI55" s="936"/>
      <c r="RMJ55" s="936"/>
      <c r="RMK55" s="936"/>
      <c r="RML55" s="936"/>
      <c r="RMM55" s="936"/>
      <c r="RMN55" s="936"/>
      <c r="RMO55" s="936"/>
      <c r="RMP55" s="936"/>
      <c r="RMQ55" s="936"/>
      <c r="RMR55" s="936"/>
      <c r="RMS55" s="936"/>
      <c r="RMT55" s="936"/>
      <c r="RMU55" s="936"/>
      <c r="RMV55" s="936"/>
      <c r="RMW55" s="936"/>
      <c r="RMX55" s="936"/>
      <c r="RMY55" s="936"/>
      <c r="RMZ55" s="936"/>
      <c r="RNA55" s="936"/>
      <c r="RNB55" s="936"/>
      <c r="RNC55" s="936"/>
      <c r="RND55" s="936"/>
      <c r="RNE55" s="936"/>
      <c r="RNF55" s="936"/>
      <c r="RNG55" s="936"/>
      <c r="RNH55" s="936"/>
      <c r="RNI55" s="936"/>
      <c r="RNJ55" s="936"/>
      <c r="RNK55" s="936"/>
      <c r="RNL55" s="936"/>
      <c r="RNM55" s="936"/>
      <c r="RNN55" s="936"/>
      <c r="RNO55" s="936"/>
      <c r="RNP55" s="936"/>
      <c r="RNQ55" s="936"/>
      <c r="RNR55" s="936"/>
      <c r="RNS55" s="936"/>
      <c r="RNT55" s="936"/>
      <c r="RNU55" s="936"/>
      <c r="RNV55" s="936"/>
      <c r="RNW55" s="936"/>
      <c r="RNX55" s="936"/>
      <c r="RNY55" s="936"/>
      <c r="RNZ55" s="936"/>
      <c r="ROA55" s="936"/>
      <c r="ROB55" s="936"/>
      <c r="ROC55" s="936"/>
      <c r="ROD55" s="936"/>
      <c r="ROE55" s="936"/>
      <c r="ROF55" s="936"/>
      <c r="ROG55" s="936"/>
      <c r="ROH55" s="936"/>
      <c r="ROI55" s="936"/>
      <c r="ROJ55" s="936"/>
      <c r="ROK55" s="936"/>
      <c r="ROL55" s="936"/>
      <c r="ROM55" s="936"/>
      <c r="RON55" s="936"/>
      <c r="ROO55" s="936"/>
      <c r="ROP55" s="936"/>
      <c r="ROQ55" s="936"/>
      <c r="ROR55" s="936"/>
      <c r="ROS55" s="936"/>
      <c r="ROT55" s="936"/>
      <c r="ROU55" s="936"/>
      <c r="ROV55" s="936"/>
      <c r="ROW55" s="936"/>
      <c r="ROX55" s="936"/>
      <c r="ROY55" s="936"/>
      <c r="ROZ55" s="936"/>
      <c r="RPA55" s="936"/>
      <c r="RPB55" s="936"/>
      <c r="RPC55" s="936"/>
      <c r="RPD55" s="936"/>
      <c r="RPE55" s="936"/>
      <c r="RPF55" s="936"/>
      <c r="RPG55" s="936"/>
      <c r="RPH55" s="936"/>
      <c r="RPI55" s="936"/>
      <c r="RPJ55" s="936"/>
      <c r="RPK55" s="936"/>
      <c r="RPL55" s="936"/>
      <c r="RPM55" s="936"/>
      <c r="RPN55" s="936"/>
      <c r="RPO55" s="936"/>
      <c r="RPP55" s="936"/>
      <c r="RPQ55" s="936"/>
      <c r="RPR55" s="936"/>
      <c r="RPS55" s="936"/>
      <c r="RPT55" s="936"/>
      <c r="RPU55" s="936"/>
      <c r="RPV55" s="936"/>
      <c r="RPW55" s="936"/>
      <c r="RPX55" s="936"/>
      <c r="RPY55" s="936"/>
      <c r="RPZ55" s="936"/>
      <c r="RQA55" s="936"/>
      <c r="RQB55" s="936"/>
      <c r="RQC55" s="936"/>
      <c r="RQD55" s="936"/>
      <c r="RQE55" s="936"/>
      <c r="RQF55" s="936"/>
      <c r="RQG55" s="936"/>
      <c r="RQH55" s="936"/>
      <c r="RQI55" s="936"/>
      <c r="RQJ55" s="936"/>
      <c r="RQK55" s="936"/>
      <c r="RQL55" s="936"/>
      <c r="RQM55" s="936"/>
      <c r="RQN55" s="936"/>
      <c r="RQO55" s="936"/>
      <c r="RQP55" s="936"/>
      <c r="RQQ55" s="936"/>
      <c r="RQR55" s="936"/>
      <c r="RQS55" s="936"/>
      <c r="RQT55" s="936"/>
      <c r="RQU55" s="936"/>
      <c r="RQV55" s="936"/>
      <c r="RQW55" s="936"/>
      <c r="RQX55" s="936"/>
      <c r="RQY55" s="936"/>
      <c r="RQZ55" s="936"/>
      <c r="RRA55" s="936"/>
      <c r="RRB55" s="936"/>
      <c r="RRC55" s="936"/>
      <c r="RRD55" s="936"/>
      <c r="RRE55" s="936"/>
      <c r="RRF55" s="936"/>
      <c r="RRG55" s="936"/>
      <c r="RRH55" s="936"/>
      <c r="RRI55" s="936"/>
      <c r="RRJ55" s="936"/>
      <c r="RRK55" s="936"/>
      <c r="RRL55" s="936"/>
      <c r="RRM55" s="936"/>
      <c r="RRN55" s="936"/>
      <c r="RRO55" s="936"/>
      <c r="RRP55" s="936"/>
      <c r="RRQ55" s="936"/>
      <c r="RRR55" s="936"/>
      <c r="RRS55" s="936"/>
      <c r="RRT55" s="936"/>
      <c r="RRU55" s="936"/>
      <c r="RRV55" s="936"/>
      <c r="RRW55" s="936"/>
      <c r="RRX55" s="936"/>
      <c r="RRY55" s="936"/>
      <c r="RRZ55" s="936"/>
      <c r="RSA55" s="936"/>
      <c r="RSB55" s="936"/>
      <c r="RSC55" s="936"/>
      <c r="RSD55" s="936"/>
      <c r="RSE55" s="936"/>
      <c r="RSF55" s="936"/>
      <c r="RSG55" s="936"/>
      <c r="RSH55" s="936"/>
      <c r="RSI55" s="936"/>
      <c r="RSJ55" s="936"/>
      <c r="RSK55" s="936"/>
      <c r="RSL55" s="936"/>
      <c r="RSM55" s="936"/>
      <c r="RSN55" s="936"/>
      <c r="RSO55" s="936"/>
      <c r="RSP55" s="936"/>
      <c r="RSQ55" s="936"/>
      <c r="RSR55" s="936"/>
      <c r="RSS55" s="936"/>
      <c r="RST55" s="936"/>
      <c r="RSU55" s="936"/>
      <c r="RSV55" s="936"/>
      <c r="RSW55" s="936"/>
      <c r="RSX55" s="936"/>
      <c r="RSY55" s="936"/>
      <c r="RSZ55" s="936"/>
      <c r="RTA55" s="936"/>
      <c r="RTB55" s="936"/>
      <c r="RTC55" s="936"/>
      <c r="RTD55" s="936"/>
      <c r="RTE55" s="936"/>
      <c r="RTF55" s="936"/>
      <c r="RTG55" s="936"/>
      <c r="RTH55" s="936"/>
      <c r="RTI55" s="936"/>
      <c r="RTJ55" s="936"/>
      <c r="RTK55" s="936"/>
      <c r="RTL55" s="936"/>
      <c r="RTM55" s="936"/>
      <c r="RTN55" s="936"/>
      <c r="RTO55" s="936"/>
      <c r="RTP55" s="936"/>
      <c r="RTQ55" s="936"/>
      <c r="RTR55" s="936"/>
      <c r="RTS55" s="936"/>
      <c r="RTT55" s="936"/>
      <c r="RTU55" s="936"/>
      <c r="RTV55" s="936"/>
      <c r="RTW55" s="936"/>
      <c r="RTX55" s="936"/>
      <c r="RTY55" s="936"/>
      <c r="RTZ55" s="936"/>
      <c r="RUA55" s="936"/>
      <c r="RUB55" s="936"/>
      <c r="RUC55" s="936"/>
      <c r="RUD55" s="936"/>
      <c r="RUE55" s="936"/>
      <c r="RUF55" s="936"/>
      <c r="RUG55" s="936"/>
      <c r="RUH55" s="936"/>
      <c r="RUI55" s="936"/>
      <c r="RUJ55" s="936"/>
      <c r="RUK55" s="936"/>
      <c r="RUL55" s="936"/>
      <c r="RUM55" s="936"/>
      <c r="RUN55" s="936"/>
      <c r="RUO55" s="936"/>
      <c r="RUP55" s="936"/>
      <c r="RUQ55" s="936"/>
      <c r="RUR55" s="936"/>
      <c r="RUS55" s="936"/>
      <c r="RUT55" s="936"/>
      <c r="RUU55" s="936"/>
      <c r="RUV55" s="936"/>
      <c r="RUW55" s="936"/>
      <c r="RUX55" s="936"/>
      <c r="RUY55" s="936"/>
      <c r="RUZ55" s="936"/>
      <c r="RVA55" s="936"/>
      <c r="RVB55" s="936"/>
      <c r="RVC55" s="936"/>
      <c r="RVD55" s="936"/>
      <c r="RVE55" s="936"/>
      <c r="RVF55" s="936"/>
      <c r="RVG55" s="936"/>
      <c r="RVH55" s="936"/>
      <c r="RVI55" s="936"/>
      <c r="RVJ55" s="936"/>
      <c r="RVK55" s="936"/>
      <c r="RVL55" s="936"/>
      <c r="RVM55" s="936"/>
      <c r="RVN55" s="936"/>
      <c r="RVO55" s="936"/>
      <c r="RVP55" s="936"/>
      <c r="RVQ55" s="936"/>
      <c r="RVR55" s="936"/>
      <c r="RVS55" s="936"/>
      <c r="RVT55" s="936"/>
      <c r="RVU55" s="936"/>
      <c r="RVV55" s="936"/>
      <c r="RVW55" s="936"/>
      <c r="RVX55" s="936"/>
      <c r="RVY55" s="936"/>
      <c r="RVZ55" s="936"/>
      <c r="RWA55" s="936"/>
      <c r="RWB55" s="936"/>
      <c r="RWC55" s="936"/>
      <c r="RWD55" s="936"/>
      <c r="RWE55" s="936"/>
      <c r="RWF55" s="936"/>
      <c r="RWG55" s="936"/>
      <c r="RWH55" s="936"/>
      <c r="RWI55" s="936"/>
      <c r="RWJ55" s="936"/>
      <c r="RWK55" s="936"/>
      <c r="RWL55" s="936"/>
      <c r="RWM55" s="936"/>
      <c r="RWN55" s="936"/>
      <c r="RWO55" s="936"/>
      <c r="RWP55" s="936"/>
      <c r="RWQ55" s="936"/>
      <c r="RWR55" s="936"/>
      <c r="RWS55" s="936"/>
      <c r="RWT55" s="936"/>
      <c r="RWU55" s="936"/>
      <c r="RWV55" s="936"/>
      <c r="RWW55" s="936"/>
      <c r="RWX55" s="936"/>
      <c r="RWY55" s="936"/>
      <c r="RWZ55" s="936"/>
      <c r="RXA55" s="936"/>
      <c r="RXB55" s="936"/>
      <c r="RXC55" s="936"/>
      <c r="RXD55" s="936"/>
      <c r="RXE55" s="936"/>
      <c r="RXF55" s="936"/>
      <c r="RXG55" s="936"/>
      <c r="RXH55" s="936"/>
      <c r="RXI55" s="936"/>
      <c r="RXJ55" s="936"/>
      <c r="RXK55" s="936"/>
      <c r="RXL55" s="936"/>
      <c r="RXM55" s="936"/>
      <c r="RXN55" s="936"/>
      <c r="RXO55" s="936"/>
      <c r="RXP55" s="936"/>
      <c r="RXQ55" s="936"/>
      <c r="RXR55" s="936"/>
      <c r="RXS55" s="936"/>
      <c r="RXT55" s="936"/>
      <c r="RXU55" s="936"/>
      <c r="RXV55" s="936"/>
      <c r="RXW55" s="936"/>
      <c r="RXX55" s="936"/>
      <c r="RXY55" s="936"/>
      <c r="RXZ55" s="936"/>
      <c r="RYA55" s="936"/>
      <c r="RYB55" s="936"/>
      <c r="RYC55" s="936"/>
      <c r="RYD55" s="936"/>
      <c r="RYE55" s="936"/>
      <c r="RYF55" s="936"/>
      <c r="RYG55" s="936"/>
      <c r="RYH55" s="936"/>
      <c r="RYI55" s="936"/>
      <c r="RYJ55" s="936"/>
      <c r="RYK55" s="936"/>
      <c r="RYL55" s="936"/>
      <c r="RYM55" s="936"/>
      <c r="RYN55" s="936"/>
      <c r="RYO55" s="936"/>
      <c r="RYP55" s="936"/>
      <c r="RYQ55" s="936"/>
      <c r="RYR55" s="936"/>
      <c r="RYS55" s="936"/>
      <c r="RYT55" s="936"/>
      <c r="RYU55" s="936"/>
      <c r="RYV55" s="936"/>
      <c r="RYW55" s="936"/>
      <c r="RYX55" s="936"/>
      <c r="RYY55" s="936"/>
      <c r="RYZ55" s="936"/>
      <c r="RZA55" s="936"/>
      <c r="RZB55" s="936"/>
      <c r="RZC55" s="936"/>
      <c r="RZD55" s="936"/>
      <c r="RZE55" s="936"/>
      <c r="RZF55" s="936"/>
      <c r="RZG55" s="936"/>
      <c r="RZH55" s="936"/>
      <c r="RZI55" s="936"/>
      <c r="RZJ55" s="936"/>
      <c r="RZK55" s="936"/>
      <c r="RZL55" s="936"/>
      <c r="RZM55" s="936"/>
      <c r="RZN55" s="936"/>
      <c r="RZO55" s="936"/>
      <c r="RZP55" s="936"/>
      <c r="RZQ55" s="936"/>
      <c r="RZR55" s="936"/>
      <c r="RZS55" s="936"/>
      <c r="RZT55" s="936"/>
      <c r="RZU55" s="936"/>
      <c r="RZV55" s="936"/>
      <c r="RZW55" s="936"/>
      <c r="RZX55" s="936"/>
      <c r="RZY55" s="936"/>
      <c r="RZZ55" s="936"/>
      <c r="SAA55" s="936"/>
      <c r="SAB55" s="936"/>
      <c r="SAC55" s="936"/>
      <c r="SAD55" s="936"/>
      <c r="SAE55" s="936"/>
      <c r="SAF55" s="936"/>
      <c r="SAG55" s="936"/>
      <c r="SAH55" s="936"/>
      <c r="SAI55" s="936"/>
      <c r="SAJ55" s="936"/>
      <c r="SAK55" s="936"/>
      <c r="SAL55" s="936"/>
      <c r="SAM55" s="936"/>
      <c r="SAN55" s="936"/>
      <c r="SAO55" s="936"/>
      <c r="SAP55" s="936"/>
      <c r="SAQ55" s="936"/>
      <c r="SAR55" s="936"/>
      <c r="SAS55" s="936"/>
      <c r="SAT55" s="936"/>
      <c r="SAU55" s="936"/>
      <c r="SAV55" s="936"/>
      <c r="SAW55" s="936"/>
      <c r="SAX55" s="936"/>
      <c r="SAY55" s="936"/>
      <c r="SAZ55" s="936"/>
      <c r="SBA55" s="936"/>
      <c r="SBB55" s="936"/>
      <c r="SBC55" s="936"/>
      <c r="SBD55" s="936"/>
      <c r="SBE55" s="936"/>
      <c r="SBF55" s="936"/>
      <c r="SBG55" s="936"/>
      <c r="SBH55" s="936"/>
      <c r="SBI55" s="936"/>
      <c r="SBJ55" s="936"/>
      <c r="SBK55" s="936"/>
      <c r="SBL55" s="936"/>
      <c r="SBM55" s="936"/>
      <c r="SBN55" s="936"/>
      <c r="SBO55" s="936"/>
      <c r="SBP55" s="936"/>
      <c r="SBQ55" s="936"/>
      <c r="SBR55" s="936"/>
      <c r="SBS55" s="936"/>
      <c r="SBT55" s="936"/>
      <c r="SBU55" s="936"/>
      <c r="SBV55" s="936"/>
      <c r="SBW55" s="936"/>
      <c r="SBX55" s="936"/>
      <c r="SBY55" s="936"/>
      <c r="SBZ55" s="936"/>
      <c r="SCA55" s="936"/>
      <c r="SCB55" s="936"/>
      <c r="SCC55" s="936"/>
      <c r="SCD55" s="936"/>
      <c r="SCE55" s="936"/>
      <c r="SCF55" s="936"/>
      <c r="SCG55" s="936"/>
      <c r="SCH55" s="936"/>
      <c r="SCI55" s="936"/>
      <c r="SCJ55" s="936"/>
      <c r="SCK55" s="936"/>
      <c r="SCL55" s="936"/>
      <c r="SCM55" s="936"/>
      <c r="SCN55" s="936"/>
      <c r="SCO55" s="936"/>
      <c r="SCP55" s="936"/>
      <c r="SCQ55" s="936"/>
      <c r="SCR55" s="936"/>
      <c r="SCS55" s="936"/>
      <c r="SCT55" s="936"/>
      <c r="SCU55" s="936"/>
      <c r="SCV55" s="936"/>
      <c r="SCW55" s="936"/>
      <c r="SCX55" s="936"/>
      <c r="SCY55" s="936"/>
      <c r="SCZ55" s="936"/>
      <c r="SDA55" s="936"/>
      <c r="SDB55" s="936"/>
      <c r="SDC55" s="936"/>
      <c r="SDD55" s="936"/>
      <c r="SDE55" s="936"/>
      <c r="SDF55" s="936"/>
      <c r="SDG55" s="936"/>
      <c r="SDH55" s="936"/>
      <c r="SDI55" s="936"/>
      <c r="SDJ55" s="936"/>
      <c r="SDK55" s="936"/>
      <c r="SDL55" s="936"/>
      <c r="SDM55" s="936"/>
      <c r="SDN55" s="936"/>
      <c r="SDO55" s="936"/>
      <c r="SDP55" s="936"/>
      <c r="SDQ55" s="936"/>
      <c r="SDR55" s="936"/>
      <c r="SDS55" s="936"/>
      <c r="SDT55" s="936"/>
      <c r="SDU55" s="936"/>
      <c r="SDV55" s="936"/>
      <c r="SDW55" s="936"/>
      <c r="SDX55" s="936"/>
      <c r="SDY55" s="936"/>
      <c r="SDZ55" s="936"/>
      <c r="SEA55" s="936"/>
      <c r="SEB55" s="936"/>
      <c r="SEC55" s="936"/>
      <c r="SED55" s="936"/>
      <c r="SEE55" s="936"/>
      <c r="SEF55" s="936"/>
      <c r="SEG55" s="936"/>
      <c r="SEH55" s="936"/>
      <c r="SEI55" s="936"/>
      <c r="SEJ55" s="936"/>
      <c r="SEK55" s="936"/>
      <c r="SEL55" s="936"/>
      <c r="SEM55" s="936"/>
      <c r="SEN55" s="936"/>
      <c r="SEO55" s="936"/>
      <c r="SEP55" s="936"/>
      <c r="SEQ55" s="936"/>
      <c r="SER55" s="936"/>
      <c r="SES55" s="936"/>
      <c r="SET55" s="936"/>
      <c r="SEU55" s="936"/>
      <c r="SEV55" s="936"/>
      <c r="SEW55" s="936"/>
      <c r="SEX55" s="936"/>
      <c r="SEY55" s="936"/>
      <c r="SEZ55" s="936"/>
      <c r="SFA55" s="936"/>
      <c r="SFB55" s="936"/>
      <c r="SFC55" s="936"/>
      <c r="SFD55" s="936"/>
      <c r="SFE55" s="936"/>
      <c r="SFF55" s="936"/>
      <c r="SFG55" s="936"/>
      <c r="SFH55" s="936"/>
      <c r="SFI55" s="936"/>
      <c r="SFJ55" s="936"/>
      <c r="SFK55" s="936"/>
      <c r="SFL55" s="936"/>
      <c r="SFM55" s="936"/>
      <c r="SFN55" s="936"/>
      <c r="SFO55" s="936"/>
      <c r="SFP55" s="936"/>
      <c r="SFQ55" s="936"/>
      <c r="SFR55" s="936"/>
      <c r="SFS55" s="936"/>
      <c r="SFT55" s="936"/>
      <c r="SFU55" s="936"/>
      <c r="SFV55" s="936"/>
      <c r="SFW55" s="936"/>
      <c r="SFX55" s="936"/>
      <c r="SFY55" s="936"/>
      <c r="SFZ55" s="936"/>
      <c r="SGA55" s="936"/>
      <c r="SGB55" s="936"/>
      <c r="SGC55" s="936"/>
      <c r="SGD55" s="936"/>
      <c r="SGE55" s="936"/>
      <c r="SGF55" s="936"/>
      <c r="SGG55" s="936"/>
      <c r="SGH55" s="936"/>
      <c r="SGI55" s="936"/>
      <c r="SGJ55" s="936"/>
      <c r="SGK55" s="936"/>
      <c r="SGL55" s="936"/>
      <c r="SGM55" s="936"/>
      <c r="SGN55" s="936"/>
      <c r="SGO55" s="936"/>
      <c r="SGP55" s="936"/>
      <c r="SGQ55" s="936"/>
      <c r="SGR55" s="936"/>
      <c r="SGS55" s="936"/>
      <c r="SGT55" s="936"/>
      <c r="SGU55" s="936"/>
      <c r="SGV55" s="936"/>
      <c r="SGW55" s="936"/>
      <c r="SGX55" s="936"/>
      <c r="SGY55" s="936"/>
      <c r="SGZ55" s="936"/>
      <c r="SHA55" s="936"/>
      <c r="SHB55" s="936"/>
      <c r="SHC55" s="936"/>
      <c r="SHD55" s="936"/>
      <c r="SHE55" s="936"/>
      <c r="SHF55" s="936"/>
      <c r="SHG55" s="936"/>
      <c r="SHH55" s="936"/>
      <c r="SHI55" s="936"/>
      <c r="SHJ55" s="936"/>
      <c r="SHK55" s="936"/>
      <c r="SHL55" s="936"/>
      <c r="SHM55" s="936"/>
      <c r="SHN55" s="936"/>
      <c r="SHO55" s="936"/>
      <c r="SHP55" s="936"/>
      <c r="SHQ55" s="936"/>
      <c r="SHR55" s="936"/>
      <c r="SHS55" s="936"/>
      <c r="SHT55" s="936"/>
      <c r="SHU55" s="936"/>
      <c r="SHV55" s="936"/>
      <c r="SHW55" s="936"/>
      <c r="SHX55" s="936"/>
      <c r="SHY55" s="936"/>
      <c r="SHZ55" s="936"/>
      <c r="SIA55" s="936"/>
      <c r="SIB55" s="936"/>
      <c r="SIC55" s="936"/>
      <c r="SID55" s="936"/>
      <c r="SIE55" s="936"/>
      <c r="SIF55" s="936"/>
      <c r="SIG55" s="936"/>
      <c r="SIH55" s="936"/>
      <c r="SII55" s="936"/>
      <c r="SIJ55" s="936"/>
      <c r="SIK55" s="936"/>
      <c r="SIL55" s="936"/>
      <c r="SIM55" s="936"/>
      <c r="SIN55" s="936"/>
      <c r="SIO55" s="936"/>
      <c r="SIP55" s="936"/>
      <c r="SIQ55" s="936"/>
      <c r="SIR55" s="936"/>
      <c r="SIS55" s="936"/>
      <c r="SIT55" s="936"/>
      <c r="SIU55" s="936"/>
      <c r="SIV55" s="936"/>
      <c r="SIW55" s="936"/>
      <c r="SIX55" s="936"/>
      <c r="SIY55" s="936"/>
      <c r="SIZ55" s="936"/>
      <c r="SJA55" s="936"/>
      <c r="SJB55" s="936"/>
      <c r="SJC55" s="936"/>
      <c r="SJD55" s="936"/>
      <c r="SJE55" s="936"/>
      <c r="SJF55" s="936"/>
      <c r="SJG55" s="936"/>
      <c r="SJH55" s="936"/>
      <c r="SJI55" s="936"/>
      <c r="SJJ55" s="936"/>
      <c r="SJK55" s="936"/>
      <c r="SJL55" s="936"/>
      <c r="SJM55" s="936"/>
      <c r="SJN55" s="936"/>
      <c r="SJO55" s="936"/>
      <c r="SJP55" s="936"/>
      <c r="SJQ55" s="936"/>
      <c r="SJR55" s="936"/>
      <c r="SJS55" s="936"/>
      <c r="SJT55" s="936"/>
      <c r="SJU55" s="936"/>
      <c r="SJV55" s="936"/>
      <c r="SJW55" s="936"/>
      <c r="SJX55" s="936"/>
      <c r="SJY55" s="936"/>
      <c r="SJZ55" s="936"/>
      <c r="SKA55" s="936"/>
      <c r="SKB55" s="936"/>
      <c r="SKC55" s="936"/>
      <c r="SKD55" s="936"/>
      <c r="SKE55" s="936"/>
      <c r="SKF55" s="936"/>
      <c r="SKG55" s="936"/>
      <c r="SKH55" s="936"/>
      <c r="SKI55" s="936"/>
      <c r="SKJ55" s="936"/>
      <c r="SKK55" s="936"/>
      <c r="SKL55" s="936"/>
      <c r="SKM55" s="936"/>
      <c r="SKN55" s="936"/>
      <c r="SKO55" s="936"/>
      <c r="SKP55" s="936"/>
      <c r="SKQ55" s="936"/>
      <c r="SKR55" s="936"/>
      <c r="SKS55" s="936"/>
      <c r="SKT55" s="936"/>
      <c r="SKU55" s="936"/>
      <c r="SKV55" s="936"/>
      <c r="SKW55" s="936"/>
      <c r="SKX55" s="936"/>
      <c r="SKY55" s="936"/>
      <c r="SKZ55" s="936"/>
      <c r="SLA55" s="936"/>
      <c r="SLB55" s="936"/>
      <c r="SLC55" s="936"/>
      <c r="SLD55" s="936"/>
      <c r="SLE55" s="936"/>
      <c r="SLF55" s="936"/>
      <c r="SLG55" s="936"/>
      <c r="SLH55" s="936"/>
      <c r="SLI55" s="936"/>
      <c r="SLJ55" s="936"/>
      <c r="SLK55" s="936"/>
      <c r="SLL55" s="936"/>
      <c r="SLM55" s="936"/>
      <c r="SLN55" s="936"/>
      <c r="SLO55" s="936"/>
      <c r="SLP55" s="936"/>
      <c r="SLQ55" s="936"/>
      <c r="SLR55" s="936"/>
      <c r="SLS55" s="936"/>
      <c r="SLT55" s="936"/>
      <c r="SLU55" s="936"/>
      <c r="SLV55" s="936"/>
      <c r="SLW55" s="936"/>
      <c r="SLX55" s="936"/>
      <c r="SLY55" s="936"/>
      <c r="SLZ55" s="936"/>
      <c r="SMA55" s="936"/>
      <c r="SMB55" s="936"/>
      <c r="SMC55" s="936"/>
      <c r="SMD55" s="936"/>
      <c r="SME55" s="936"/>
      <c r="SMF55" s="936"/>
      <c r="SMG55" s="936"/>
      <c r="SMH55" s="936"/>
      <c r="SMI55" s="936"/>
      <c r="SMJ55" s="936"/>
      <c r="SMK55" s="936"/>
      <c r="SML55" s="936"/>
      <c r="SMM55" s="936"/>
      <c r="SMN55" s="936"/>
      <c r="SMO55" s="936"/>
      <c r="SMP55" s="936"/>
      <c r="SMQ55" s="936"/>
      <c r="SMR55" s="936"/>
      <c r="SMS55" s="936"/>
      <c r="SMT55" s="936"/>
      <c r="SMU55" s="936"/>
      <c r="SMV55" s="936"/>
      <c r="SMW55" s="936"/>
      <c r="SMX55" s="936"/>
      <c r="SMY55" s="936"/>
      <c r="SMZ55" s="936"/>
      <c r="SNA55" s="936"/>
      <c r="SNB55" s="936"/>
      <c r="SNC55" s="936"/>
      <c r="SND55" s="936"/>
      <c r="SNE55" s="936"/>
      <c r="SNF55" s="936"/>
      <c r="SNG55" s="936"/>
      <c r="SNH55" s="936"/>
      <c r="SNI55" s="936"/>
      <c r="SNJ55" s="936"/>
      <c r="SNK55" s="936"/>
      <c r="SNL55" s="936"/>
      <c r="SNM55" s="936"/>
      <c r="SNN55" s="936"/>
      <c r="SNO55" s="936"/>
      <c r="SNP55" s="936"/>
      <c r="SNQ55" s="936"/>
      <c r="SNR55" s="936"/>
      <c r="SNS55" s="936"/>
      <c r="SNT55" s="936"/>
      <c r="SNU55" s="936"/>
      <c r="SNV55" s="936"/>
      <c r="SNW55" s="936"/>
      <c r="SNX55" s="936"/>
      <c r="SNY55" s="936"/>
      <c r="SNZ55" s="936"/>
      <c r="SOA55" s="936"/>
      <c r="SOB55" s="936"/>
      <c r="SOC55" s="936"/>
      <c r="SOD55" s="936"/>
      <c r="SOE55" s="936"/>
      <c r="SOF55" s="936"/>
      <c r="SOG55" s="936"/>
      <c r="SOH55" s="936"/>
      <c r="SOI55" s="936"/>
      <c r="SOJ55" s="936"/>
      <c r="SOK55" s="936"/>
      <c r="SOL55" s="936"/>
      <c r="SOM55" s="936"/>
      <c r="SON55" s="936"/>
      <c r="SOO55" s="936"/>
      <c r="SOP55" s="936"/>
      <c r="SOQ55" s="936"/>
      <c r="SOR55" s="936"/>
      <c r="SOS55" s="936"/>
      <c r="SOT55" s="936"/>
      <c r="SOU55" s="936"/>
      <c r="SOV55" s="936"/>
      <c r="SOW55" s="936"/>
      <c r="SOX55" s="936"/>
      <c r="SOY55" s="936"/>
      <c r="SOZ55" s="936"/>
      <c r="SPA55" s="936"/>
      <c r="SPB55" s="936"/>
      <c r="SPC55" s="936"/>
      <c r="SPD55" s="936"/>
      <c r="SPE55" s="936"/>
      <c r="SPF55" s="936"/>
      <c r="SPG55" s="936"/>
      <c r="SPH55" s="936"/>
      <c r="SPI55" s="936"/>
      <c r="SPJ55" s="936"/>
      <c r="SPK55" s="936"/>
      <c r="SPL55" s="936"/>
      <c r="SPM55" s="936"/>
      <c r="SPN55" s="936"/>
      <c r="SPO55" s="936"/>
      <c r="SPP55" s="936"/>
      <c r="SPQ55" s="936"/>
      <c r="SPR55" s="936"/>
      <c r="SPS55" s="936"/>
      <c r="SPT55" s="936"/>
      <c r="SPU55" s="936"/>
      <c r="SPV55" s="936"/>
      <c r="SPW55" s="936"/>
      <c r="SPX55" s="936"/>
      <c r="SPY55" s="936"/>
      <c r="SPZ55" s="936"/>
      <c r="SQA55" s="936"/>
      <c r="SQB55" s="936"/>
      <c r="SQC55" s="936"/>
      <c r="SQD55" s="936"/>
      <c r="SQE55" s="936"/>
      <c r="SQF55" s="936"/>
      <c r="SQG55" s="936"/>
      <c r="SQH55" s="936"/>
      <c r="SQI55" s="936"/>
      <c r="SQJ55" s="936"/>
      <c r="SQK55" s="936"/>
      <c r="SQL55" s="936"/>
      <c r="SQM55" s="936"/>
      <c r="SQN55" s="936"/>
      <c r="SQO55" s="936"/>
      <c r="SQP55" s="936"/>
      <c r="SQQ55" s="936"/>
      <c r="SQR55" s="936"/>
      <c r="SQS55" s="936"/>
      <c r="SQT55" s="936"/>
      <c r="SQU55" s="936"/>
      <c r="SQV55" s="936"/>
      <c r="SQW55" s="936"/>
      <c r="SQX55" s="936"/>
      <c r="SQY55" s="936"/>
      <c r="SQZ55" s="936"/>
      <c r="SRA55" s="936"/>
      <c r="SRB55" s="936"/>
      <c r="SRC55" s="936"/>
      <c r="SRD55" s="936"/>
      <c r="SRE55" s="936"/>
      <c r="SRF55" s="936"/>
      <c r="SRG55" s="936"/>
      <c r="SRH55" s="936"/>
      <c r="SRI55" s="936"/>
      <c r="SRJ55" s="936"/>
      <c r="SRK55" s="936"/>
      <c r="SRL55" s="936"/>
      <c r="SRM55" s="936"/>
      <c r="SRN55" s="936"/>
      <c r="SRO55" s="936"/>
      <c r="SRP55" s="936"/>
      <c r="SRQ55" s="936"/>
      <c r="SRR55" s="936"/>
      <c r="SRS55" s="936"/>
      <c r="SRT55" s="936"/>
      <c r="SRU55" s="936"/>
      <c r="SRV55" s="936"/>
      <c r="SRW55" s="936"/>
      <c r="SRX55" s="936"/>
      <c r="SRY55" s="936"/>
      <c r="SRZ55" s="936"/>
      <c r="SSA55" s="936"/>
      <c r="SSB55" s="936"/>
      <c r="SSC55" s="936"/>
      <c r="SSD55" s="936"/>
      <c r="SSE55" s="936"/>
      <c r="SSF55" s="936"/>
      <c r="SSG55" s="936"/>
      <c r="SSH55" s="936"/>
      <c r="SSI55" s="936"/>
      <c r="SSJ55" s="936"/>
      <c r="SSK55" s="936"/>
      <c r="SSL55" s="936"/>
      <c r="SSM55" s="936"/>
      <c r="SSN55" s="936"/>
      <c r="SSO55" s="936"/>
      <c r="SSP55" s="936"/>
      <c r="SSQ55" s="936"/>
      <c r="SSR55" s="936"/>
      <c r="SSS55" s="936"/>
      <c r="SST55" s="936"/>
      <c r="SSU55" s="936"/>
      <c r="SSV55" s="936"/>
      <c r="SSW55" s="936"/>
      <c r="SSX55" s="936"/>
      <c r="SSY55" s="936"/>
      <c r="SSZ55" s="936"/>
      <c r="STA55" s="936"/>
      <c r="STB55" s="936"/>
      <c r="STC55" s="936"/>
      <c r="STD55" s="936"/>
      <c r="STE55" s="936"/>
      <c r="STF55" s="936"/>
      <c r="STG55" s="936"/>
      <c r="STH55" s="936"/>
      <c r="STI55" s="936"/>
      <c r="STJ55" s="936"/>
      <c r="STK55" s="936"/>
      <c r="STL55" s="936"/>
      <c r="STM55" s="936"/>
      <c r="STN55" s="936"/>
      <c r="STO55" s="936"/>
      <c r="STP55" s="936"/>
      <c r="STQ55" s="936"/>
      <c r="STR55" s="936"/>
      <c r="STS55" s="936"/>
      <c r="STT55" s="936"/>
      <c r="STU55" s="936"/>
      <c r="STV55" s="936"/>
      <c r="STW55" s="936"/>
      <c r="STX55" s="936"/>
      <c r="STY55" s="936"/>
      <c r="STZ55" s="936"/>
      <c r="SUA55" s="936"/>
      <c r="SUB55" s="936"/>
      <c r="SUC55" s="936"/>
      <c r="SUD55" s="936"/>
      <c r="SUE55" s="936"/>
      <c r="SUF55" s="936"/>
      <c r="SUG55" s="936"/>
      <c r="SUH55" s="936"/>
      <c r="SUI55" s="936"/>
      <c r="SUJ55" s="936"/>
      <c r="SUK55" s="936"/>
      <c r="SUL55" s="936"/>
      <c r="SUM55" s="936"/>
      <c r="SUN55" s="936"/>
      <c r="SUO55" s="936"/>
      <c r="SUP55" s="936"/>
      <c r="SUQ55" s="936"/>
      <c r="SUR55" s="936"/>
      <c r="SUS55" s="936"/>
      <c r="SUT55" s="936"/>
      <c r="SUU55" s="936"/>
      <c r="SUV55" s="936"/>
      <c r="SUW55" s="936"/>
      <c r="SUX55" s="936"/>
      <c r="SUY55" s="936"/>
      <c r="SUZ55" s="936"/>
      <c r="SVA55" s="936"/>
      <c r="SVB55" s="936"/>
      <c r="SVC55" s="936"/>
      <c r="SVD55" s="936"/>
      <c r="SVE55" s="936"/>
      <c r="SVF55" s="936"/>
      <c r="SVG55" s="936"/>
      <c r="SVH55" s="936"/>
      <c r="SVI55" s="936"/>
      <c r="SVJ55" s="936"/>
      <c r="SVK55" s="936"/>
      <c r="SVL55" s="936"/>
      <c r="SVM55" s="936"/>
      <c r="SVN55" s="936"/>
      <c r="SVO55" s="936"/>
      <c r="SVP55" s="936"/>
      <c r="SVQ55" s="936"/>
      <c r="SVR55" s="936"/>
      <c r="SVS55" s="936"/>
      <c r="SVT55" s="936"/>
      <c r="SVU55" s="936"/>
      <c r="SVV55" s="936"/>
      <c r="SVW55" s="936"/>
      <c r="SVX55" s="936"/>
      <c r="SVY55" s="936"/>
      <c r="SVZ55" s="936"/>
      <c r="SWA55" s="936"/>
      <c r="SWB55" s="936"/>
      <c r="SWC55" s="936"/>
      <c r="SWD55" s="936"/>
      <c r="SWE55" s="936"/>
      <c r="SWF55" s="936"/>
      <c r="SWG55" s="936"/>
      <c r="SWH55" s="936"/>
      <c r="SWI55" s="936"/>
      <c r="SWJ55" s="936"/>
      <c r="SWK55" s="936"/>
      <c r="SWL55" s="936"/>
      <c r="SWM55" s="936"/>
      <c r="SWN55" s="936"/>
      <c r="SWO55" s="936"/>
      <c r="SWP55" s="936"/>
      <c r="SWQ55" s="936"/>
      <c r="SWR55" s="936"/>
      <c r="SWS55" s="936"/>
      <c r="SWT55" s="936"/>
      <c r="SWU55" s="936"/>
      <c r="SWV55" s="936"/>
      <c r="SWW55" s="936"/>
      <c r="SWX55" s="936"/>
      <c r="SWY55" s="936"/>
      <c r="SWZ55" s="936"/>
      <c r="SXA55" s="936"/>
      <c r="SXB55" s="936"/>
      <c r="SXC55" s="936"/>
      <c r="SXD55" s="936"/>
      <c r="SXE55" s="936"/>
      <c r="SXF55" s="936"/>
      <c r="SXG55" s="936"/>
      <c r="SXH55" s="936"/>
      <c r="SXI55" s="936"/>
      <c r="SXJ55" s="936"/>
      <c r="SXK55" s="936"/>
      <c r="SXL55" s="936"/>
      <c r="SXM55" s="936"/>
      <c r="SXN55" s="936"/>
      <c r="SXO55" s="936"/>
      <c r="SXP55" s="936"/>
      <c r="SXQ55" s="936"/>
      <c r="SXR55" s="936"/>
      <c r="SXS55" s="936"/>
      <c r="SXT55" s="936"/>
      <c r="SXU55" s="936"/>
      <c r="SXV55" s="936"/>
      <c r="SXW55" s="936"/>
      <c r="SXX55" s="936"/>
      <c r="SXY55" s="936"/>
      <c r="SXZ55" s="936"/>
      <c r="SYA55" s="936"/>
      <c r="SYB55" s="936"/>
      <c r="SYC55" s="936"/>
      <c r="SYD55" s="936"/>
      <c r="SYE55" s="936"/>
      <c r="SYF55" s="936"/>
      <c r="SYG55" s="936"/>
      <c r="SYH55" s="936"/>
      <c r="SYI55" s="936"/>
      <c r="SYJ55" s="936"/>
      <c r="SYK55" s="936"/>
      <c r="SYL55" s="936"/>
      <c r="SYM55" s="936"/>
      <c r="SYN55" s="936"/>
      <c r="SYO55" s="936"/>
      <c r="SYP55" s="936"/>
      <c r="SYQ55" s="936"/>
      <c r="SYR55" s="936"/>
      <c r="SYS55" s="936"/>
      <c r="SYT55" s="936"/>
      <c r="SYU55" s="936"/>
      <c r="SYV55" s="936"/>
      <c r="SYW55" s="936"/>
      <c r="SYX55" s="936"/>
      <c r="SYY55" s="936"/>
      <c r="SYZ55" s="936"/>
      <c r="SZA55" s="936"/>
      <c r="SZB55" s="936"/>
      <c r="SZC55" s="936"/>
      <c r="SZD55" s="936"/>
      <c r="SZE55" s="936"/>
      <c r="SZF55" s="936"/>
      <c r="SZG55" s="936"/>
      <c r="SZH55" s="936"/>
      <c r="SZI55" s="936"/>
      <c r="SZJ55" s="936"/>
      <c r="SZK55" s="936"/>
      <c r="SZL55" s="936"/>
      <c r="SZM55" s="936"/>
      <c r="SZN55" s="936"/>
      <c r="SZO55" s="936"/>
      <c r="SZP55" s="936"/>
      <c r="SZQ55" s="936"/>
      <c r="SZR55" s="936"/>
      <c r="SZS55" s="936"/>
      <c r="SZT55" s="936"/>
      <c r="SZU55" s="936"/>
      <c r="SZV55" s="936"/>
      <c r="SZW55" s="936"/>
      <c r="SZX55" s="936"/>
      <c r="SZY55" s="936"/>
      <c r="SZZ55" s="936"/>
      <c r="TAA55" s="936"/>
      <c r="TAB55" s="936"/>
      <c r="TAC55" s="936"/>
      <c r="TAD55" s="936"/>
      <c r="TAE55" s="936"/>
      <c r="TAF55" s="936"/>
      <c r="TAG55" s="936"/>
      <c r="TAH55" s="936"/>
      <c r="TAI55" s="936"/>
      <c r="TAJ55" s="936"/>
      <c r="TAK55" s="936"/>
      <c r="TAL55" s="936"/>
      <c r="TAM55" s="936"/>
      <c r="TAN55" s="936"/>
      <c r="TAO55" s="936"/>
      <c r="TAP55" s="936"/>
      <c r="TAQ55" s="936"/>
      <c r="TAR55" s="936"/>
      <c r="TAS55" s="936"/>
      <c r="TAT55" s="936"/>
      <c r="TAU55" s="936"/>
      <c r="TAV55" s="936"/>
      <c r="TAW55" s="936"/>
      <c r="TAX55" s="936"/>
      <c r="TAY55" s="936"/>
      <c r="TAZ55" s="936"/>
      <c r="TBA55" s="936"/>
      <c r="TBB55" s="936"/>
      <c r="TBC55" s="936"/>
      <c r="TBD55" s="936"/>
      <c r="TBE55" s="936"/>
      <c r="TBF55" s="936"/>
      <c r="TBG55" s="936"/>
      <c r="TBH55" s="936"/>
      <c r="TBI55" s="936"/>
      <c r="TBJ55" s="936"/>
      <c r="TBK55" s="936"/>
      <c r="TBL55" s="936"/>
      <c r="TBM55" s="936"/>
      <c r="TBN55" s="936"/>
      <c r="TBO55" s="936"/>
      <c r="TBP55" s="936"/>
      <c r="TBQ55" s="936"/>
      <c r="TBR55" s="936"/>
      <c r="TBS55" s="936"/>
      <c r="TBT55" s="936"/>
      <c r="TBU55" s="936"/>
      <c r="TBV55" s="936"/>
      <c r="TBW55" s="936"/>
      <c r="TBX55" s="936"/>
      <c r="TBY55" s="936"/>
      <c r="TBZ55" s="936"/>
      <c r="TCA55" s="936"/>
      <c r="TCB55" s="936"/>
      <c r="TCC55" s="936"/>
      <c r="TCD55" s="936"/>
      <c r="TCE55" s="936"/>
      <c r="TCF55" s="936"/>
      <c r="TCG55" s="936"/>
      <c r="TCH55" s="936"/>
      <c r="TCI55" s="936"/>
      <c r="TCJ55" s="936"/>
      <c r="TCK55" s="936"/>
      <c r="TCL55" s="936"/>
      <c r="TCM55" s="936"/>
      <c r="TCN55" s="936"/>
      <c r="TCO55" s="936"/>
      <c r="TCP55" s="936"/>
      <c r="TCQ55" s="936"/>
      <c r="TCR55" s="936"/>
      <c r="TCS55" s="936"/>
      <c r="TCT55" s="936"/>
      <c r="TCU55" s="936"/>
      <c r="TCV55" s="936"/>
      <c r="TCW55" s="936"/>
      <c r="TCX55" s="936"/>
      <c r="TCY55" s="936"/>
      <c r="TCZ55" s="936"/>
      <c r="TDA55" s="936"/>
      <c r="TDB55" s="936"/>
      <c r="TDC55" s="936"/>
      <c r="TDD55" s="936"/>
      <c r="TDE55" s="936"/>
      <c r="TDF55" s="936"/>
      <c r="TDG55" s="936"/>
      <c r="TDH55" s="936"/>
      <c r="TDI55" s="936"/>
      <c r="TDJ55" s="936"/>
      <c r="TDK55" s="936"/>
      <c r="TDL55" s="936"/>
      <c r="TDM55" s="936"/>
      <c r="TDN55" s="936"/>
      <c r="TDO55" s="936"/>
      <c r="TDP55" s="936"/>
      <c r="TDQ55" s="936"/>
      <c r="TDR55" s="936"/>
      <c r="TDS55" s="936"/>
      <c r="TDT55" s="936"/>
      <c r="TDU55" s="936"/>
      <c r="TDV55" s="936"/>
      <c r="TDW55" s="936"/>
      <c r="TDX55" s="936"/>
      <c r="TDY55" s="936"/>
      <c r="TDZ55" s="936"/>
      <c r="TEA55" s="936"/>
      <c r="TEB55" s="936"/>
      <c r="TEC55" s="936"/>
      <c r="TED55" s="936"/>
      <c r="TEE55" s="936"/>
      <c r="TEF55" s="936"/>
      <c r="TEG55" s="936"/>
      <c r="TEH55" s="936"/>
      <c r="TEI55" s="936"/>
      <c r="TEJ55" s="936"/>
      <c r="TEK55" s="936"/>
      <c r="TEL55" s="936"/>
      <c r="TEM55" s="936"/>
      <c r="TEN55" s="936"/>
      <c r="TEO55" s="936"/>
      <c r="TEP55" s="936"/>
      <c r="TEQ55" s="936"/>
      <c r="TER55" s="936"/>
      <c r="TES55" s="936"/>
      <c r="TET55" s="936"/>
      <c r="TEU55" s="936"/>
      <c r="TEV55" s="936"/>
      <c r="TEW55" s="936"/>
      <c r="TEX55" s="936"/>
      <c r="TEY55" s="936"/>
      <c r="TEZ55" s="936"/>
      <c r="TFA55" s="936"/>
      <c r="TFB55" s="936"/>
      <c r="TFC55" s="936"/>
      <c r="TFD55" s="936"/>
      <c r="TFE55" s="936"/>
      <c r="TFF55" s="936"/>
      <c r="TFG55" s="936"/>
      <c r="TFH55" s="936"/>
      <c r="TFI55" s="936"/>
      <c r="TFJ55" s="936"/>
      <c r="TFK55" s="936"/>
      <c r="TFL55" s="936"/>
      <c r="TFM55" s="936"/>
      <c r="TFN55" s="936"/>
      <c r="TFO55" s="936"/>
      <c r="TFP55" s="936"/>
      <c r="TFQ55" s="936"/>
      <c r="TFR55" s="936"/>
      <c r="TFS55" s="936"/>
      <c r="TFT55" s="936"/>
      <c r="TFU55" s="936"/>
      <c r="TFV55" s="936"/>
      <c r="TFW55" s="936"/>
      <c r="TFX55" s="936"/>
      <c r="TFY55" s="936"/>
      <c r="TFZ55" s="936"/>
      <c r="TGA55" s="936"/>
      <c r="TGB55" s="936"/>
      <c r="TGC55" s="936"/>
      <c r="TGD55" s="936"/>
      <c r="TGE55" s="936"/>
      <c r="TGF55" s="936"/>
      <c r="TGG55" s="936"/>
      <c r="TGH55" s="936"/>
      <c r="TGI55" s="936"/>
      <c r="TGJ55" s="936"/>
      <c r="TGK55" s="936"/>
      <c r="TGL55" s="936"/>
      <c r="TGM55" s="936"/>
      <c r="TGN55" s="936"/>
      <c r="TGO55" s="936"/>
      <c r="TGP55" s="936"/>
      <c r="TGQ55" s="936"/>
      <c r="TGR55" s="936"/>
      <c r="TGS55" s="936"/>
      <c r="TGT55" s="936"/>
      <c r="TGU55" s="936"/>
      <c r="TGV55" s="936"/>
      <c r="TGW55" s="936"/>
      <c r="TGX55" s="936"/>
      <c r="TGY55" s="936"/>
      <c r="TGZ55" s="936"/>
      <c r="THA55" s="936"/>
      <c r="THB55" s="936"/>
      <c r="THC55" s="936"/>
      <c r="THD55" s="936"/>
      <c r="THE55" s="936"/>
      <c r="THF55" s="936"/>
      <c r="THG55" s="936"/>
      <c r="THH55" s="936"/>
      <c r="THI55" s="936"/>
      <c r="THJ55" s="936"/>
      <c r="THK55" s="936"/>
      <c r="THL55" s="936"/>
      <c r="THM55" s="936"/>
      <c r="THN55" s="936"/>
      <c r="THO55" s="936"/>
      <c r="THP55" s="936"/>
      <c r="THQ55" s="936"/>
      <c r="THR55" s="936"/>
      <c r="THS55" s="936"/>
      <c r="THT55" s="936"/>
      <c r="THU55" s="936"/>
      <c r="THV55" s="936"/>
      <c r="THW55" s="936"/>
      <c r="THX55" s="936"/>
      <c r="THY55" s="936"/>
      <c r="THZ55" s="936"/>
      <c r="TIA55" s="936"/>
      <c r="TIB55" s="936"/>
      <c r="TIC55" s="936"/>
      <c r="TID55" s="936"/>
      <c r="TIE55" s="936"/>
      <c r="TIF55" s="936"/>
      <c r="TIG55" s="936"/>
      <c r="TIH55" s="936"/>
      <c r="TII55" s="936"/>
      <c r="TIJ55" s="936"/>
      <c r="TIK55" s="936"/>
      <c r="TIL55" s="936"/>
      <c r="TIM55" s="936"/>
      <c r="TIN55" s="936"/>
      <c r="TIO55" s="936"/>
      <c r="TIP55" s="936"/>
      <c r="TIQ55" s="936"/>
      <c r="TIR55" s="936"/>
      <c r="TIS55" s="936"/>
      <c r="TIT55" s="936"/>
      <c r="TIU55" s="936"/>
      <c r="TIV55" s="936"/>
      <c r="TIW55" s="936"/>
      <c r="TIX55" s="936"/>
      <c r="TIY55" s="936"/>
      <c r="TIZ55" s="936"/>
      <c r="TJA55" s="936"/>
      <c r="TJB55" s="936"/>
      <c r="TJC55" s="936"/>
      <c r="TJD55" s="936"/>
      <c r="TJE55" s="936"/>
      <c r="TJF55" s="936"/>
      <c r="TJG55" s="936"/>
      <c r="TJH55" s="936"/>
      <c r="TJI55" s="936"/>
      <c r="TJJ55" s="936"/>
      <c r="TJK55" s="936"/>
      <c r="TJL55" s="936"/>
      <c r="TJM55" s="936"/>
      <c r="TJN55" s="936"/>
      <c r="TJO55" s="936"/>
      <c r="TJP55" s="936"/>
      <c r="TJQ55" s="936"/>
      <c r="TJR55" s="936"/>
      <c r="TJS55" s="936"/>
      <c r="TJT55" s="936"/>
      <c r="TJU55" s="936"/>
      <c r="TJV55" s="936"/>
      <c r="TJW55" s="936"/>
      <c r="TJX55" s="936"/>
      <c r="TJY55" s="936"/>
      <c r="TJZ55" s="936"/>
      <c r="TKA55" s="936"/>
      <c r="TKB55" s="936"/>
      <c r="TKC55" s="936"/>
      <c r="TKD55" s="936"/>
      <c r="TKE55" s="936"/>
      <c r="TKF55" s="936"/>
      <c r="TKG55" s="936"/>
      <c r="TKH55" s="936"/>
      <c r="TKI55" s="936"/>
      <c r="TKJ55" s="936"/>
      <c r="TKK55" s="936"/>
      <c r="TKL55" s="936"/>
      <c r="TKM55" s="936"/>
      <c r="TKN55" s="936"/>
      <c r="TKO55" s="936"/>
      <c r="TKP55" s="936"/>
      <c r="TKQ55" s="936"/>
      <c r="TKR55" s="936"/>
      <c r="TKS55" s="936"/>
      <c r="TKT55" s="936"/>
      <c r="TKU55" s="936"/>
      <c r="TKV55" s="936"/>
      <c r="TKW55" s="936"/>
      <c r="TKX55" s="936"/>
      <c r="TKY55" s="936"/>
      <c r="TKZ55" s="936"/>
      <c r="TLA55" s="936"/>
      <c r="TLB55" s="936"/>
      <c r="TLC55" s="936"/>
      <c r="TLD55" s="936"/>
      <c r="TLE55" s="936"/>
      <c r="TLF55" s="936"/>
      <c r="TLG55" s="936"/>
      <c r="TLH55" s="936"/>
      <c r="TLI55" s="936"/>
      <c r="TLJ55" s="936"/>
      <c r="TLK55" s="936"/>
      <c r="TLL55" s="936"/>
      <c r="TLM55" s="936"/>
      <c r="TLN55" s="936"/>
      <c r="TLO55" s="936"/>
      <c r="TLP55" s="936"/>
      <c r="TLQ55" s="936"/>
      <c r="TLR55" s="936"/>
      <c r="TLS55" s="936"/>
      <c r="TLT55" s="936"/>
      <c r="TLU55" s="936"/>
      <c r="TLV55" s="936"/>
      <c r="TLW55" s="936"/>
      <c r="TLX55" s="936"/>
      <c r="TLY55" s="936"/>
      <c r="TLZ55" s="936"/>
      <c r="TMA55" s="936"/>
      <c r="TMB55" s="936"/>
      <c r="TMC55" s="936"/>
      <c r="TMD55" s="936"/>
      <c r="TME55" s="936"/>
      <c r="TMF55" s="936"/>
      <c r="TMG55" s="936"/>
      <c r="TMH55" s="936"/>
      <c r="TMI55" s="936"/>
      <c r="TMJ55" s="936"/>
      <c r="TMK55" s="936"/>
      <c r="TML55" s="936"/>
      <c r="TMM55" s="936"/>
      <c r="TMN55" s="936"/>
      <c r="TMO55" s="936"/>
      <c r="TMP55" s="936"/>
      <c r="TMQ55" s="936"/>
      <c r="TMR55" s="936"/>
      <c r="TMS55" s="936"/>
      <c r="TMT55" s="936"/>
      <c r="TMU55" s="936"/>
      <c r="TMV55" s="936"/>
      <c r="TMW55" s="936"/>
      <c r="TMX55" s="936"/>
      <c r="TMY55" s="936"/>
      <c r="TMZ55" s="936"/>
      <c r="TNA55" s="936"/>
      <c r="TNB55" s="936"/>
      <c r="TNC55" s="936"/>
      <c r="TND55" s="936"/>
      <c r="TNE55" s="936"/>
      <c r="TNF55" s="936"/>
      <c r="TNG55" s="936"/>
      <c r="TNH55" s="936"/>
      <c r="TNI55" s="936"/>
      <c r="TNJ55" s="936"/>
      <c r="TNK55" s="936"/>
      <c r="TNL55" s="936"/>
      <c r="TNM55" s="936"/>
      <c r="TNN55" s="936"/>
      <c r="TNO55" s="936"/>
      <c r="TNP55" s="936"/>
      <c r="TNQ55" s="936"/>
      <c r="TNR55" s="936"/>
      <c r="TNS55" s="936"/>
      <c r="TNT55" s="936"/>
      <c r="TNU55" s="936"/>
      <c r="TNV55" s="936"/>
      <c r="TNW55" s="936"/>
      <c r="TNX55" s="936"/>
      <c r="TNY55" s="936"/>
      <c r="TNZ55" s="936"/>
      <c r="TOA55" s="936"/>
      <c r="TOB55" s="936"/>
      <c r="TOC55" s="936"/>
      <c r="TOD55" s="936"/>
      <c r="TOE55" s="936"/>
      <c r="TOF55" s="936"/>
      <c r="TOG55" s="936"/>
      <c r="TOH55" s="936"/>
      <c r="TOI55" s="936"/>
      <c r="TOJ55" s="936"/>
      <c r="TOK55" s="936"/>
      <c r="TOL55" s="936"/>
      <c r="TOM55" s="936"/>
      <c r="TON55" s="936"/>
      <c r="TOO55" s="936"/>
      <c r="TOP55" s="936"/>
      <c r="TOQ55" s="936"/>
      <c r="TOR55" s="936"/>
      <c r="TOS55" s="936"/>
      <c r="TOT55" s="936"/>
      <c r="TOU55" s="936"/>
      <c r="TOV55" s="936"/>
      <c r="TOW55" s="936"/>
      <c r="TOX55" s="936"/>
      <c r="TOY55" s="936"/>
      <c r="TOZ55" s="936"/>
      <c r="TPA55" s="936"/>
      <c r="TPB55" s="936"/>
      <c r="TPC55" s="936"/>
      <c r="TPD55" s="936"/>
      <c r="TPE55" s="936"/>
      <c r="TPF55" s="936"/>
      <c r="TPG55" s="936"/>
      <c r="TPH55" s="936"/>
      <c r="TPI55" s="936"/>
      <c r="TPJ55" s="936"/>
      <c r="TPK55" s="936"/>
      <c r="TPL55" s="936"/>
      <c r="TPM55" s="936"/>
      <c r="TPN55" s="936"/>
      <c r="TPO55" s="936"/>
      <c r="TPP55" s="936"/>
      <c r="TPQ55" s="936"/>
      <c r="TPR55" s="936"/>
      <c r="TPS55" s="936"/>
      <c r="TPT55" s="936"/>
      <c r="TPU55" s="936"/>
      <c r="TPV55" s="936"/>
      <c r="TPW55" s="936"/>
      <c r="TPX55" s="936"/>
      <c r="TPY55" s="936"/>
      <c r="TPZ55" s="936"/>
      <c r="TQA55" s="936"/>
      <c r="TQB55" s="936"/>
      <c r="TQC55" s="936"/>
      <c r="TQD55" s="936"/>
      <c r="TQE55" s="936"/>
      <c r="TQF55" s="936"/>
      <c r="TQG55" s="936"/>
      <c r="TQH55" s="936"/>
      <c r="TQI55" s="936"/>
      <c r="TQJ55" s="936"/>
      <c r="TQK55" s="936"/>
      <c r="TQL55" s="936"/>
      <c r="TQM55" s="936"/>
      <c r="TQN55" s="936"/>
      <c r="TQO55" s="936"/>
      <c r="TQP55" s="936"/>
      <c r="TQQ55" s="936"/>
      <c r="TQR55" s="936"/>
      <c r="TQS55" s="936"/>
      <c r="TQT55" s="936"/>
      <c r="TQU55" s="936"/>
      <c r="TQV55" s="936"/>
      <c r="TQW55" s="936"/>
      <c r="TQX55" s="936"/>
      <c r="TQY55" s="936"/>
      <c r="TQZ55" s="936"/>
      <c r="TRA55" s="936"/>
      <c r="TRB55" s="936"/>
      <c r="TRC55" s="936"/>
      <c r="TRD55" s="936"/>
      <c r="TRE55" s="936"/>
      <c r="TRF55" s="936"/>
      <c r="TRG55" s="936"/>
      <c r="TRH55" s="936"/>
      <c r="TRI55" s="936"/>
      <c r="TRJ55" s="936"/>
      <c r="TRK55" s="936"/>
      <c r="TRL55" s="936"/>
      <c r="TRM55" s="936"/>
      <c r="TRN55" s="936"/>
      <c r="TRO55" s="936"/>
      <c r="TRP55" s="936"/>
      <c r="TRQ55" s="936"/>
      <c r="TRR55" s="936"/>
      <c r="TRS55" s="936"/>
      <c r="TRT55" s="936"/>
      <c r="TRU55" s="936"/>
      <c r="TRV55" s="936"/>
      <c r="TRW55" s="936"/>
      <c r="TRX55" s="936"/>
      <c r="TRY55" s="936"/>
      <c r="TRZ55" s="936"/>
      <c r="TSA55" s="936"/>
      <c r="TSB55" s="936"/>
      <c r="TSC55" s="936"/>
      <c r="TSD55" s="936"/>
      <c r="TSE55" s="936"/>
      <c r="TSF55" s="936"/>
      <c r="TSG55" s="936"/>
      <c r="TSH55" s="936"/>
      <c r="TSI55" s="936"/>
      <c r="TSJ55" s="936"/>
      <c r="TSK55" s="936"/>
      <c r="TSL55" s="936"/>
      <c r="TSM55" s="936"/>
      <c r="TSN55" s="936"/>
      <c r="TSO55" s="936"/>
      <c r="TSP55" s="936"/>
      <c r="TSQ55" s="936"/>
      <c r="TSR55" s="936"/>
      <c r="TSS55" s="936"/>
      <c r="TST55" s="936"/>
      <c r="TSU55" s="936"/>
      <c r="TSV55" s="936"/>
      <c r="TSW55" s="936"/>
      <c r="TSX55" s="936"/>
      <c r="TSY55" s="936"/>
      <c r="TSZ55" s="936"/>
      <c r="TTA55" s="936"/>
      <c r="TTB55" s="936"/>
      <c r="TTC55" s="936"/>
      <c r="TTD55" s="936"/>
      <c r="TTE55" s="936"/>
      <c r="TTF55" s="936"/>
      <c r="TTG55" s="936"/>
      <c r="TTH55" s="936"/>
      <c r="TTI55" s="936"/>
      <c r="TTJ55" s="936"/>
      <c r="TTK55" s="936"/>
      <c r="TTL55" s="936"/>
      <c r="TTM55" s="936"/>
      <c r="TTN55" s="936"/>
      <c r="TTO55" s="936"/>
      <c r="TTP55" s="936"/>
      <c r="TTQ55" s="936"/>
      <c r="TTR55" s="936"/>
      <c r="TTS55" s="936"/>
      <c r="TTT55" s="936"/>
      <c r="TTU55" s="936"/>
      <c r="TTV55" s="936"/>
      <c r="TTW55" s="936"/>
      <c r="TTX55" s="936"/>
      <c r="TTY55" s="936"/>
      <c r="TTZ55" s="936"/>
      <c r="TUA55" s="936"/>
      <c r="TUB55" s="936"/>
      <c r="TUC55" s="936"/>
      <c r="TUD55" s="936"/>
      <c r="TUE55" s="936"/>
      <c r="TUF55" s="936"/>
      <c r="TUG55" s="936"/>
      <c r="TUH55" s="936"/>
      <c r="TUI55" s="936"/>
      <c r="TUJ55" s="936"/>
      <c r="TUK55" s="936"/>
      <c r="TUL55" s="936"/>
      <c r="TUM55" s="936"/>
      <c r="TUN55" s="936"/>
      <c r="TUO55" s="936"/>
      <c r="TUP55" s="936"/>
      <c r="TUQ55" s="936"/>
      <c r="TUR55" s="936"/>
      <c r="TUS55" s="936"/>
      <c r="TUT55" s="936"/>
      <c r="TUU55" s="936"/>
      <c r="TUV55" s="936"/>
      <c r="TUW55" s="936"/>
      <c r="TUX55" s="936"/>
      <c r="TUY55" s="936"/>
      <c r="TUZ55" s="936"/>
      <c r="TVA55" s="936"/>
      <c r="TVB55" s="936"/>
      <c r="TVC55" s="936"/>
      <c r="TVD55" s="936"/>
      <c r="TVE55" s="936"/>
      <c r="TVF55" s="936"/>
      <c r="TVG55" s="936"/>
      <c r="TVH55" s="936"/>
      <c r="TVI55" s="936"/>
      <c r="TVJ55" s="936"/>
      <c r="TVK55" s="936"/>
      <c r="TVL55" s="936"/>
      <c r="TVM55" s="936"/>
      <c r="TVN55" s="936"/>
      <c r="TVO55" s="936"/>
      <c r="TVP55" s="936"/>
      <c r="TVQ55" s="936"/>
      <c r="TVR55" s="936"/>
      <c r="TVS55" s="936"/>
      <c r="TVT55" s="936"/>
      <c r="TVU55" s="936"/>
      <c r="TVV55" s="936"/>
      <c r="TVW55" s="936"/>
      <c r="TVX55" s="936"/>
      <c r="TVY55" s="936"/>
      <c r="TVZ55" s="936"/>
      <c r="TWA55" s="936"/>
      <c r="TWB55" s="936"/>
      <c r="TWC55" s="936"/>
      <c r="TWD55" s="936"/>
      <c r="TWE55" s="936"/>
      <c r="TWF55" s="936"/>
      <c r="TWG55" s="936"/>
      <c r="TWH55" s="936"/>
      <c r="TWI55" s="936"/>
      <c r="TWJ55" s="936"/>
      <c r="TWK55" s="936"/>
      <c r="TWL55" s="936"/>
      <c r="TWM55" s="936"/>
      <c r="TWN55" s="936"/>
      <c r="TWO55" s="936"/>
      <c r="TWP55" s="936"/>
      <c r="TWQ55" s="936"/>
      <c r="TWR55" s="936"/>
      <c r="TWS55" s="936"/>
      <c r="TWT55" s="936"/>
      <c r="TWU55" s="936"/>
      <c r="TWV55" s="936"/>
      <c r="TWW55" s="936"/>
      <c r="TWX55" s="936"/>
      <c r="TWY55" s="936"/>
      <c r="TWZ55" s="936"/>
      <c r="TXA55" s="936"/>
      <c r="TXB55" s="936"/>
      <c r="TXC55" s="936"/>
      <c r="TXD55" s="936"/>
      <c r="TXE55" s="936"/>
      <c r="TXF55" s="936"/>
      <c r="TXG55" s="936"/>
      <c r="TXH55" s="936"/>
      <c r="TXI55" s="936"/>
      <c r="TXJ55" s="936"/>
      <c r="TXK55" s="936"/>
      <c r="TXL55" s="936"/>
      <c r="TXM55" s="936"/>
      <c r="TXN55" s="936"/>
      <c r="TXO55" s="936"/>
      <c r="TXP55" s="936"/>
      <c r="TXQ55" s="936"/>
      <c r="TXR55" s="936"/>
      <c r="TXS55" s="936"/>
      <c r="TXT55" s="936"/>
      <c r="TXU55" s="936"/>
      <c r="TXV55" s="936"/>
      <c r="TXW55" s="936"/>
      <c r="TXX55" s="936"/>
      <c r="TXY55" s="936"/>
      <c r="TXZ55" s="936"/>
      <c r="TYA55" s="936"/>
      <c r="TYB55" s="936"/>
      <c r="TYC55" s="936"/>
      <c r="TYD55" s="936"/>
      <c r="TYE55" s="936"/>
      <c r="TYF55" s="936"/>
      <c r="TYG55" s="936"/>
      <c r="TYH55" s="936"/>
      <c r="TYI55" s="936"/>
      <c r="TYJ55" s="936"/>
      <c r="TYK55" s="936"/>
      <c r="TYL55" s="936"/>
      <c r="TYM55" s="936"/>
      <c r="TYN55" s="936"/>
      <c r="TYO55" s="936"/>
      <c r="TYP55" s="936"/>
      <c r="TYQ55" s="936"/>
      <c r="TYR55" s="936"/>
      <c r="TYS55" s="936"/>
      <c r="TYT55" s="936"/>
      <c r="TYU55" s="936"/>
      <c r="TYV55" s="936"/>
      <c r="TYW55" s="936"/>
      <c r="TYX55" s="936"/>
      <c r="TYY55" s="936"/>
      <c r="TYZ55" s="936"/>
      <c r="TZA55" s="936"/>
      <c r="TZB55" s="936"/>
      <c r="TZC55" s="936"/>
      <c r="TZD55" s="936"/>
      <c r="TZE55" s="936"/>
      <c r="TZF55" s="936"/>
      <c r="TZG55" s="936"/>
      <c r="TZH55" s="936"/>
      <c r="TZI55" s="936"/>
      <c r="TZJ55" s="936"/>
      <c r="TZK55" s="936"/>
      <c r="TZL55" s="936"/>
      <c r="TZM55" s="936"/>
      <c r="TZN55" s="936"/>
      <c r="TZO55" s="936"/>
      <c r="TZP55" s="936"/>
      <c r="TZQ55" s="936"/>
      <c r="TZR55" s="936"/>
      <c r="TZS55" s="936"/>
      <c r="TZT55" s="936"/>
      <c r="TZU55" s="936"/>
      <c r="TZV55" s="936"/>
      <c r="TZW55" s="936"/>
      <c r="TZX55" s="936"/>
      <c r="TZY55" s="936"/>
      <c r="TZZ55" s="936"/>
      <c r="UAA55" s="936"/>
      <c r="UAB55" s="936"/>
      <c r="UAC55" s="936"/>
      <c r="UAD55" s="936"/>
      <c r="UAE55" s="936"/>
      <c r="UAF55" s="936"/>
      <c r="UAG55" s="936"/>
      <c r="UAH55" s="936"/>
      <c r="UAI55" s="936"/>
      <c r="UAJ55" s="936"/>
      <c r="UAK55" s="936"/>
      <c r="UAL55" s="936"/>
      <c r="UAM55" s="936"/>
      <c r="UAN55" s="936"/>
      <c r="UAO55" s="936"/>
      <c r="UAP55" s="936"/>
      <c r="UAQ55" s="936"/>
      <c r="UAR55" s="936"/>
      <c r="UAS55" s="936"/>
      <c r="UAT55" s="936"/>
      <c r="UAU55" s="936"/>
      <c r="UAV55" s="936"/>
      <c r="UAW55" s="936"/>
      <c r="UAX55" s="936"/>
      <c r="UAY55" s="936"/>
      <c r="UAZ55" s="936"/>
      <c r="UBA55" s="936"/>
      <c r="UBB55" s="936"/>
      <c r="UBC55" s="936"/>
      <c r="UBD55" s="936"/>
      <c r="UBE55" s="936"/>
      <c r="UBF55" s="936"/>
      <c r="UBG55" s="936"/>
      <c r="UBH55" s="936"/>
      <c r="UBI55" s="936"/>
      <c r="UBJ55" s="936"/>
      <c r="UBK55" s="936"/>
      <c r="UBL55" s="936"/>
      <c r="UBM55" s="936"/>
      <c r="UBN55" s="936"/>
      <c r="UBO55" s="936"/>
      <c r="UBP55" s="936"/>
      <c r="UBQ55" s="936"/>
      <c r="UBR55" s="936"/>
      <c r="UBS55" s="936"/>
      <c r="UBT55" s="936"/>
      <c r="UBU55" s="936"/>
      <c r="UBV55" s="936"/>
      <c r="UBW55" s="936"/>
      <c r="UBX55" s="936"/>
      <c r="UBY55" s="936"/>
      <c r="UBZ55" s="936"/>
      <c r="UCA55" s="936"/>
      <c r="UCB55" s="936"/>
      <c r="UCC55" s="936"/>
      <c r="UCD55" s="936"/>
      <c r="UCE55" s="936"/>
      <c r="UCF55" s="936"/>
      <c r="UCG55" s="936"/>
      <c r="UCH55" s="936"/>
      <c r="UCI55" s="936"/>
      <c r="UCJ55" s="936"/>
      <c r="UCK55" s="936"/>
      <c r="UCL55" s="936"/>
      <c r="UCM55" s="936"/>
      <c r="UCN55" s="936"/>
      <c r="UCO55" s="936"/>
      <c r="UCP55" s="936"/>
      <c r="UCQ55" s="936"/>
      <c r="UCR55" s="936"/>
      <c r="UCS55" s="936"/>
      <c r="UCT55" s="936"/>
      <c r="UCU55" s="936"/>
      <c r="UCV55" s="936"/>
      <c r="UCW55" s="936"/>
      <c r="UCX55" s="936"/>
      <c r="UCY55" s="936"/>
      <c r="UCZ55" s="936"/>
      <c r="UDA55" s="936"/>
      <c r="UDB55" s="936"/>
      <c r="UDC55" s="936"/>
      <c r="UDD55" s="936"/>
      <c r="UDE55" s="936"/>
      <c r="UDF55" s="936"/>
      <c r="UDG55" s="936"/>
      <c r="UDH55" s="936"/>
      <c r="UDI55" s="936"/>
      <c r="UDJ55" s="936"/>
      <c r="UDK55" s="936"/>
      <c r="UDL55" s="936"/>
      <c r="UDM55" s="936"/>
      <c r="UDN55" s="936"/>
      <c r="UDO55" s="936"/>
      <c r="UDP55" s="936"/>
      <c r="UDQ55" s="936"/>
      <c r="UDR55" s="936"/>
      <c r="UDS55" s="936"/>
      <c r="UDT55" s="936"/>
      <c r="UDU55" s="936"/>
      <c r="UDV55" s="936"/>
      <c r="UDW55" s="936"/>
      <c r="UDX55" s="936"/>
      <c r="UDY55" s="936"/>
      <c r="UDZ55" s="936"/>
      <c r="UEA55" s="936"/>
      <c r="UEB55" s="936"/>
      <c r="UEC55" s="936"/>
      <c r="UED55" s="936"/>
      <c r="UEE55" s="936"/>
      <c r="UEF55" s="936"/>
      <c r="UEG55" s="936"/>
      <c r="UEH55" s="936"/>
      <c r="UEI55" s="936"/>
      <c r="UEJ55" s="936"/>
      <c r="UEK55" s="936"/>
      <c r="UEL55" s="936"/>
      <c r="UEM55" s="936"/>
      <c r="UEN55" s="936"/>
      <c r="UEO55" s="936"/>
      <c r="UEP55" s="936"/>
      <c r="UEQ55" s="936"/>
      <c r="UER55" s="936"/>
      <c r="UES55" s="936"/>
      <c r="UET55" s="936"/>
      <c r="UEU55" s="936"/>
      <c r="UEV55" s="936"/>
      <c r="UEW55" s="936"/>
      <c r="UEX55" s="936"/>
      <c r="UEY55" s="936"/>
      <c r="UEZ55" s="936"/>
      <c r="UFA55" s="936"/>
      <c r="UFB55" s="936"/>
      <c r="UFC55" s="936"/>
      <c r="UFD55" s="936"/>
      <c r="UFE55" s="936"/>
      <c r="UFF55" s="936"/>
      <c r="UFG55" s="936"/>
      <c r="UFH55" s="936"/>
      <c r="UFI55" s="936"/>
      <c r="UFJ55" s="936"/>
      <c r="UFK55" s="936"/>
      <c r="UFL55" s="936"/>
      <c r="UFM55" s="936"/>
      <c r="UFN55" s="936"/>
      <c r="UFO55" s="936"/>
      <c r="UFP55" s="936"/>
      <c r="UFQ55" s="936"/>
      <c r="UFR55" s="936"/>
      <c r="UFS55" s="936"/>
      <c r="UFT55" s="936"/>
      <c r="UFU55" s="936"/>
      <c r="UFV55" s="936"/>
      <c r="UFW55" s="936"/>
      <c r="UFX55" s="936"/>
      <c r="UFY55" s="936"/>
      <c r="UFZ55" s="936"/>
      <c r="UGA55" s="936"/>
      <c r="UGB55" s="936"/>
      <c r="UGC55" s="936"/>
      <c r="UGD55" s="936"/>
      <c r="UGE55" s="936"/>
      <c r="UGF55" s="936"/>
      <c r="UGG55" s="936"/>
      <c r="UGH55" s="936"/>
      <c r="UGI55" s="936"/>
      <c r="UGJ55" s="936"/>
      <c r="UGK55" s="936"/>
      <c r="UGL55" s="936"/>
      <c r="UGM55" s="936"/>
      <c r="UGN55" s="936"/>
      <c r="UGO55" s="936"/>
      <c r="UGP55" s="936"/>
      <c r="UGQ55" s="936"/>
      <c r="UGR55" s="936"/>
      <c r="UGS55" s="936"/>
      <c r="UGT55" s="936"/>
      <c r="UGU55" s="936"/>
      <c r="UGV55" s="936"/>
      <c r="UGW55" s="936"/>
      <c r="UGX55" s="936"/>
      <c r="UGY55" s="936"/>
      <c r="UGZ55" s="936"/>
      <c r="UHA55" s="936"/>
      <c r="UHB55" s="936"/>
      <c r="UHC55" s="936"/>
      <c r="UHD55" s="936"/>
      <c r="UHE55" s="936"/>
      <c r="UHF55" s="936"/>
      <c r="UHG55" s="936"/>
      <c r="UHH55" s="936"/>
      <c r="UHI55" s="936"/>
      <c r="UHJ55" s="936"/>
      <c r="UHK55" s="936"/>
      <c r="UHL55" s="936"/>
      <c r="UHM55" s="936"/>
      <c r="UHN55" s="936"/>
      <c r="UHO55" s="936"/>
      <c r="UHP55" s="936"/>
      <c r="UHQ55" s="936"/>
      <c r="UHR55" s="936"/>
      <c r="UHS55" s="936"/>
      <c r="UHT55" s="936"/>
      <c r="UHU55" s="936"/>
      <c r="UHV55" s="936"/>
      <c r="UHW55" s="936"/>
      <c r="UHX55" s="936"/>
      <c r="UHY55" s="936"/>
      <c r="UHZ55" s="936"/>
      <c r="UIA55" s="936"/>
      <c r="UIB55" s="936"/>
      <c r="UIC55" s="936"/>
      <c r="UID55" s="936"/>
      <c r="UIE55" s="936"/>
      <c r="UIF55" s="936"/>
      <c r="UIG55" s="936"/>
      <c r="UIH55" s="936"/>
      <c r="UII55" s="936"/>
      <c r="UIJ55" s="936"/>
      <c r="UIK55" s="936"/>
      <c r="UIL55" s="936"/>
      <c r="UIM55" s="936"/>
      <c r="UIN55" s="936"/>
      <c r="UIO55" s="936"/>
      <c r="UIP55" s="936"/>
      <c r="UIQ55" s="936"/>
      <c r="UIR55" s="936"/>
      <c r="UIS55" s="936"/>
      <c r="UIT55" s="936"/>
      <c r="UIU55" s="936"/>
      <c r="UIV55" s="936"/>
      <c r="UIW55" s="936"/>
      <c r="UIX55" s="936"/>
      <c r="UIY55" s="936"/>
      <c r="UIZ55" s="936"/>
      <c r="UJA55" s="936"/>
      <c r="UJB55" s="936"/>
      <c r="UJC55" s="936"/>
      <c r="UJD55" s="936"/>
      <c r="UJE55" s="936"/>
      <c r="UJF55" s="936"/>
      <c r="UJG55" s="936"/>
      <c r="UJH55" s="936"/>
      <c r="UJI55" s="936"/>
      <c r="UJJ55" s="936"/>
      <c r="UJK55" s="936"/>
      <c r="UJL55" s="936"/>
      <c r="UJM55" s="936"/>
      <c r="UJN55" s="936"/>
      <c r="UJO55" s="936"/>
      <c r="UJP55" s="936"/>
      <c r="UJQ55" s="936"/>
      <c r="UJR55" s="936"/>
      <c r="UJS55" s="936"/>
      <c r="UJT55" s="936"/>
      <c r="UJU55" s="936"/>
      <c r="UJV55" s="936"/>
      <c r="UJW55" s="936"/>
      <c r="UJX55" s="936"/>
      <c r="UJY55" s="936"/>
      <c r="UJZ55" s="936"/>
      <c r="UKA55" s="936"/>
      <c r="UKB55" s="936"/>
      <c r="UKC55" s="936"/>
      <c r="UKD55" s="936"/>
      <c r="UKE55" s="936"/>
      <c r="UKF55" s="936"/>
      <c r="UKG55" s="936"/>
      <c r="UKH55" s="936"/>
      <c r="UKI55" s="936"/>
      <c r="UKJ55" s="936"/>
      <c r="UKK55" s="936"/>
      <c r="UKL55" s="936"/>
      <c r="UKM55" s="936"/>
      <c r="UKN55" s="936"/>
      <c r="UKO55" s="936"/>
      <c r="UKP55" s="936"/>
      <c r="UKQ55" s="936"/>
      <c r="UKR55" s="936"/>
      <c r="UKS55" s="936"/>
      <c r="UKT55" s="936"/>
      <c r="UKU55" s="936"/>
      <c r="UKV55" s="936"/>
      <c r="UKW55" s="936"/>
      <c r="UKX55" s="936"/>
      <c r="UKY55" s="936"/>
      <c r="UKZ55" s="936"/>
      <c r="ULA55" s="936"/>
      <c r="ULB55" s="936"/>
      <c r="ULC55" s="936"/>
      <c r="ULD55" s="936"/>
      <c r="ULE55" s="936"/>
      <c r="ULF55" s="936"/>
      <c r="ULG55" s="936"/>
      <c r="ULH55" s="936"/>
      <c r="ULI55" s="936"/>
      <c r="ULJ55" s="936"/>
      <c r="ULK55" s="936"/>
      <c r="ULL55" s="936"/>
      <c r="ULM55" s="936"/>
      <c r="ULN55" s="936"/>
      <c r="ULO55" s="936"/>
      <c r="ULP55" s="936"/>
      <c r="ULQ55" s="936"/>
      <c r="ULR55" s="936"/>
      <c r="ULS55" s="936"/>
      <c r="ULT55" s="936"/>
      <c r="ULU55" s="936"/>
      <c r="ULV55" s="936"/>
      <c r="ULW55" s="936"/>
      <c r="ULX55" s="936"/>
      <c r="ULY55" s="936"/>
      <c r="ULZ55" s="936"/>
      <c r="UMA55" s="936"/>
      <c r="UMB55" s="936"/>
      <c r="UMC55" s="936"/>
      <c r="UMD55" s="936"/>
      <c r="UME55" s="936"/>
      <c r="UMF55" s="936"/>
      <c r="UMG55" s="936"/>
      <c r="UMH55" s="936"/>
      <c r="UMI55" s="936"/>
      <c r="UMJ55" s="936"/>
      <c r="UMK55" s="936"/>
      <c r="UML55" s="936"/>
      <c r="UMM55" s="936"/>
      <c r="UMN55" s="936"/>
      <c r="UMO55" s="936"/>
      <c r="UMP55" s="936"/>
      <c r="UMQ55" s="936"/>
      <c r="UMR55" s="936"/>
      <c r="UMS55" s="936"/>
      <c r="UMT55" s="936"/>
      <c r="UMU55" s="936"/>
      <c r="UMV55" s="936"/>
      <c r="UMW55" s="936"/>
      <c r="UMX55" s="936"/>
      <c r="UMY55" s="936"/>
      <c r="UMZ55" s="936"/>
      <c r="UNA55" s="936"/>
      <c r="UNB55" s="936"/>
      <c r="UNC55" s="936"/>
      <c r="UND55" s="936"/>
      <c r="UNE55" s="936"/>
      <c r="UNF55" s="936"/>
      <c r="UNG55" s="936"/>
      <c r="UNH55" s="936"/>
      <c r="UNI55" s="936"/>
      <c r="UNJ55" s="936"/>
      <c r="UNK55" s="936"/>
      <c r="UNL55" s="936"/>
      <c r="UNM55" s="936"/>
      <c r="UNN55" s="936"/>
      <c r="UNO55" s="936"/>
      <c r="UNP55" s="936"/>
      <c r="UNQ55" s="936"/>
      <c r="UNR55" s="936"/>
      <c r="UNS55" s="936"/>
      <c r="UNT55" s="936"/>
      <c r="UNU55" s="936"/>
      <c r="UNV55" s="936"/>
      <c r="UNW55" s="936"/>
      <c r="UNX55" s="936"/>
      <c r="UNY55" s="936"/>
      <c r="UNZ55" s="936"/>
      <c r="UOA55" s="936"/>
      <c r="UOB55" s="936"/>
      <c r="UOC55" s="936"/>
      <c r="UOD55" s="936"/>
      <c r="UOE55" s="936"/>
      <c r="UOF55" s="936"/>
      <c r="UOG55" s="936"/>
      <c r="UOH55" s="936"/>
      <c r="UOI55" s="936"/>
      <c r="UOJ55" s="936"/>
      <c r="UOK55" s="936"/>
      <c r="UOL55" s="936"/>
      <c r="UOM55" s="936"/>
      <c r="UON55" s="936"/>
      <c r="UOO55" s="936"/>
      <c r="UOP55" s="936"/>
      <c r="UOQ55" s="936"/>
      <c r="UOR55" s="936"/>
      <c r="UOS55" s="936"/>
      <c r="UOT55" s="936"/>
      <c r="UOU55" s="936"/>
      <c r="UOV55" s="936"/>
      <c r="UOW55" s="936"/>
      <c r="UOX55" s="936"/>
      <c r="UOY55" s="936"/>
      <c r="UOZ55" s="936"/>
      <c r="UPA55" s="936"/>
      <c r="UPB55" s="936"/>
      <c r="UPC55" s="936"/>
      <c r="UPD55" s="936"/>
      <c r="UPE55" s="936"/>
      <c r="UPF55" s="936"/>
      <c r="UPG55" s="936"/>
      <c r="UPH55" s="936"/>
      <c r="UPI55" s="936"/>
      <c r="UPJ55" s="936"/>
      <c r="UPK55" s="936"/>
      <c r="UPL55" s="936"/>
      <c r="UPM55" s="936"/>
      <c r="UPN55" s="936"/>
      <c r="UPO55" s="936"/>
      <c r="UPP55" s="936"/>
      <c r="UPQ55" s="936"/>
      <c r="UPR55" s="936"/>
      <c r="UPS55" s="936"/>
      <c r="UPT55" s="936"/>
      <c r="UPU55" s="936"/>
      <c r="UPV55" s="936"/>
      <c r="UPW55" s="936"/>
      <c r="UPX55" s="936"/>
      <c r="UPY55" s="936"/>
      <c r="UPZ55" s="936"/>
      <c r="UQA55" s="936"/>
      <c r="UQB55" s="936"/>
      <c r="UQC55" s="936"/>
      <c r="UQD55" s="936"/>
      <c r="UQE55" s="936"/>
      <c r="UQF55" s="936"/>
      <c r="UQG55" s="936"/>
      <c r="UQH55" s="936"/>
      <c r="UQI55" s="936"/>
      <c r="UQJ55" s="936"/>
      <c r="UQK55" s="936"/>
      <c r="UQL55" s="936"/>
      <c r="UQM55" s="936"/>
      <c r="UQN55" s="936"/>
      <c r="UQO55" s="936"/>
      <c r="UQP55" s="936"/>
      <c r="UQQ55" s="936"/>
      <c r="UQR55" s="936"/>
      <c r="UQS55" s="936"/>
      <c r="UQT55" s="936"/>
      <c r="UQU55" s="936"/>
      <c r="UQV55" s="936"/>
      <c r="UQW55" s="936"/>
      <c r="UQX55" s="936"/>
      <c r="UQY55" s="936"/>
      <c r="UQZ55" s="936"/>
      <c r="URA55" s="936"/>
      <c r="URB55" s="936"/>
      <c r="URC55" s="936"/>
      <c r="URD55" s="936"/>
      <c r="URE55" s="936"/>
      <c r="URF55" s="936"/>
      <c r="URG55" s="936"/>
      <c r="URH55" s="936"/>
      <c r="URI55" s="936"/>
      <c r="URJ55" s="936"/>
      <c r="URK55" s="936"/>
      <c r="URL55" s="936"/>
      <c r="URM55" s="936"/>
      <c r="URN55" s="936"/>
      <c r="URO55" s="936"/>
      <c r="URP55" s="936"/>
      <c r="URQ55" s="936"/>
      <c r="URR55" s="936"/>
      <c r="URS55" s="936"/>
      <c r="URT55" s="936"/>
      <c r="URU55" s="936"/>
      <c r="URV55" s="936"/>
      <c r="URW55" s="936"/>
      <c r="URX55" s="936"/>
      <c r="URY55" s="936"/>
      <c r="URZ55" s="936"/>
      <c r="USA55" s="936"/>
      <c r="USB55" s="936"/>
      <c r="USC55" s="936"/>
      <c r="USD55" s="936"/>
      <c r="USE55" s="936"/>
      <c r="USF55" s="936"/>
      <c r="USG55" s="936"/>
      <c r="USH55" s="936"/>
      <c r="USI55" s="936"/>
      <c r="USJ55" s="936"/>
      <c r="USK55" s="936"/>
      <c r="USL55" s="936"/>
      <c r="USM55" s="936"/>
      <c r="USN55" s="936"/>
      <c r="USO55" s="936"/>
      <c r="USP55" s="936"/>
      <c r="USQ55" s="936"/>
      <c r="USR55" s="936"/>
      <c r="USS55" s="936"/>
      <c r="UST55" s="936"/>
      <c r="USU55" s="936"/>
      <c r="USV55" s="936"/>
      <c r="USW55" s="936"/>
      <c r="USX55" s="936"/>
      <c r="USY55" s="936"/>
      <c r="USZ55" s="936"/>
      <c r="UTA55" s="936"/>
      <c r="UTB55" s="936"/>
      <c r="UTC55" s="936"/>
      <c r="UTD55" s="936"/>
      <c r="UTE55" s="936"/>
      <c r="UTF55" s="936"/>
      <c r="UTG55" s="936"/>
      <c r="UTH55" s="936"/>
      <c r="UTI55" s="936"/>
      <c r="UTJ55" s="936"/>
      <c r="UTK55" s="936"/>
      <c r="UTL55" s="936"/>
      <c r="UTM55" s="936"/>
      <c r="UTN55" s="936"/>
      <c r="UTO55" s="936"/>
      <c r="UTP55" s="936"/>
      <c r="UTQ55" s="936"/>
      <c r="UTR55" s="936"/>
      <c r="UTS55" s="936"/>
      <c r="UTT55" s="936"/>
      <c r="UTU55" s="936"/>
      <c r="UTV55" s="936"/>
      <c r="UTW55" s="936"/>
      <c r="UTX55" s="936"/>
      <c r="UTY55" s="936"/>
      <c r="UTZ55" s="936"/>
      <c r="UUA55" s="936"/>
      <c r="UUB55" s="936"/>
      <c r="UUC55" s="936"/>
      <c r="UUD55" s="936"/>
      <c r="UUE55" s="936"/>
      <c r="UUF55" s="936"/>
      <c r="UUG55" s="936"/>
      <c r="UUH55" s="936"/>
      <c r="UUI55" s="936"/>
      <c r="UUJ55" s="936"/>
      <c r="UUK55" s="936"/>
      <c r="UUL55" s="936"/>
      <c r="UUM55" s="936"/>
      <c r="UUN55" s="936"/>
      <c r="UUO55" s="936"/>
      <c r="UUP55" s="936"/>
      <c r="UUQ55" s="936"/>
      <c r="UUR55" s="936"/>
      <c r="UUS55" s="936"/>
      <c r="UUT55" s="936"/>
      <c r="UUU55" s="936"/>
      <c r="UUV55" s="936"/>
      <c r="UUW55" s="936"/>
      <c r="UUX55" s="936"/>
      <c r="UUY55" s="936"/>
      <c r="UUZ55" s="936"/>
      <c r="UVA55" s="936"/>
      <c r="UVB55" s="936"/>
      <c r="UVC55" s="936"/>
      <c r="UVD55" s="936"/>
      <c r="UVE55" s="936"/>
      <c r="UVF55" s="936"/>
      <c r="UVG55" s="936"/>
      <c r="UVH55" s="936"/>
      <c r="UVI55" s="936"/>
      <c r="UVJ55" s="936"/>
      <c r="UVK55" s="936"/>
      <c r="UVL55" s="936"/>
      <c r="UVM55" s="936"/>
      <c r="UVN55" s="936"/>
      <c r="UVO55" s="936"/>
      <c r="UVP55" s="936"/>
      <c r="UVQ55" s="936"/>
      <c r="UVR55" s="936"/>
      <c r="UVS55" s="936"/>
      <c r="UVT55" s="936"/>
      <c r="UVU55" s="936"/>
      <c r="UVV55" s="936"/>
      <c r="UVW55" s="936"/>
      <c r="UVX55" s="936"/>
      <c r="UVY55" s="936"/>
      <c r="UVZ55" s="936"/>
      <c r="UWA55" s="936"/>
      <c r="UWB55" s="936"/>
      <c r="UWC55" s="936"/>
      <c r="UWD55" s="936"/>
      <c r="UWE55" s="936"/>
      <c r="UWF55" s="936"/>
      <c r="UWG55" s="936"/>
      <c r="UWH55" s="936"/>
      <c r="UWI55" s="936"/>
      <c r="UWJ55" s="936"/>
      <c r="UWK55" s="936"/>
      <c r="UWL55" s="936"/>
      <c r="UWM55" s="936"/>
      <c r="UWN55" s="936"/>
      <c r="UWO55" s="936"/>
      <c r="UWP55" s="936"/>
      <c r="UWQ55" s="936"/>
      <c r="UWR55" s="936"/>
      <c r="UWS55" s="936"/>
      <c r="UWT55" s="936"/>
      <c r="UWU55" s="936"/>
      <c r="UWV55" s="936"/>
      <c r="UWW55" s="936"/>
      <c r="UWX55" s="936"/>
      <c r="UWY55" s="936"/>
      <c r="UWZ55" s="936"/>
      <c r="UXA55" s="936"/>
      <c r="UXB55" s="936"/>
      <c r="UXC55" s="936"/>
      <c r="UXD55" s="936"/>
      <c r="UXE55" s="936"/>
      <c r="UXF55" s="936"/>
      <c r="UXG55" s="936"/>
      <c r="UXH55" s="936"/>
      <c r="UXI55" s="936"/>
      <c r="UXJ55" s="936"/>
      <c r="UXK55" s="936"/>
      <c r="UXL55" s="936"/>
      <c r="UXM55" s="936"/>
      <c r="UXN55" s="936"/>
      <c r="UXO55" s="936"/>
      <c r="UXP55" s="936"/>
      <c r="UXQ55" s="936"/>
      <c r="UXR55" s="936"/>
      <c r="UXS55" s="936"/>
      <c r="UXT55" s="936"/>
      <c r="UXU55" s="936"/>
      <c r="UXV55" s="936"/>
      <c r="UXW55" s="936"/>
      <c r="UXX55" s="936"/>
      <c r="UXY55" s="936"/>
      <c r="UXZ55" s="936"/>
      <c r="UYA55" s="936"/>
      <c r="UYB55" s="936"/>
      <c r="UYC55" s="936"/>
      <c r="UYD55" s="936"/>
      <c r="UYE55" s="936"/>
      <c r="UYF55" s="936"/>
      <c r="UYG55" s="936"/>
      <c r="UYH55" s="936"/>
      <c r="UYI55" s="936"/>
      <c r="UYJ55" s="936"/>
      <c r="UYK55" s="936"/>
      <c r="UYL55" s="936"/>
      <c r="UYM55" s="936"/>
      <c r="UYN55" s="936"/>
      <c r="UYO55" s="936"/>
      <c r="UYP55" s="936"/>
      <c r="UYQ55" s="936"/>
      <c r="UYR55" s="936"/>
      <c r="UYS55" s="936"/>
      <c r="UYT55" s="936"/>
      <c r="UYU55" s="936"/>
      <c r="UYV55" s="936"/>
      <c r="UYW55" s="936"/>
      <c r="UYX55" s="936"/>
      <c r="UYY55" s="936"/>
      <c r="UYZ55" s="936"/>
      <c r="UZA55" s="936"/>
      <c r="UZB55" s="936"/>
      <c r="UZC55" s="936"/>
      <c r="UZD55" s="936"/>
      <c r="UZE55" s="936"/>
      <c r="UZF55" s="936"/>
      <c r="UZG55" s="936"/>
      <c r="UZH55" s="936"/>
      <c r="UZI55" s="936"/>
      <c r="UZJ55" s="936"/>
      <c r="UZK55" s="936"/>
      <c r="UZL55" s="936"/>
      <c r="UZM55" s="936"/>
      <c r="UZN55" s="936"/>
      <c r="UZO55" s="936"/>
      <c r="UZP55" s="936"/>
      <c r="UZQ55" s="936"/>
      <c r="UZR55" s="936"/>
      <c r="UZS55" s="936"/>
      <c r="UZT55" s="936"/>
      <c r="UZU55" s="936"/>
      <c r="UZV55" s="936"/>
      <c r="UZW55" s="936"/>
      <c r="UZX55" s="936"/>
      <c r="UZY55" s="936"/>
      <c r="UZZ55" s="936"/>
      <c r="VAA55" s="936"/>
      <c r="VAB55" s="936"/>
      <c r="VAC55" s="936"/>
      <c r="VAD55" s="936"/>
      <c r="VAE55" s="936"/>
      <c r="VAF55" s="936"/>
      <c r="VAG55" s="936"/>
      <c r="VAH55" s="936"/>
      <c r="VAI55" s="936"/>
      <c r="VAJ55" s="936"/>
      <c r="VAK55" s="936"/>
      <c r="VAL55" s="936"/>
      <c r="VAM55" s="936"/>
      <c r="VAN55" s="936"/>
      <c r="VAO55" s="936"/>
      <c r="VAP55" s="936"/>
      <c r="VAQ55" s="936"/>
      <c r="VAR55" s="936"/>
      <c r="VAS55" s="936"/>
      <c r="VAT55" s="936"/>
      <c r="VAU55" s="936"/>
      <c r="VAV55" s="936"/>
      <c r="VAW55" s="936"/>
      <c r="VAX55" s="936"/>
      <c r="VAY55" s="936"/>
      <c r="VAZ55" s="936"/>
      <c r="VBA55" s="936"/>
      <c r="VBB55" s="936"/>
      <c r="VBC55" s="936"/>
      <c r="VBD55" s="936"/>
      <c r="VBE55" s="936"/>
      <c r="VBF55" s="936"/>
      <c r="VBG55" s="936"/>
      <c r="VBH55" s="936"/>
      <c r="VBI55" s="936"/>
      <c r="VBJ55" s="936"/>
      <c r="VBK55" s="936"/>
      <c r="VBL55" s="936"/>
      <c r="VBM55" s="936"/>
      <c r="VBN55" s="936"/>
      <c r="VBO55" s="936"/>
      <c r="VBP55" s="936"/>
      <c r="VBQ55" s="936"/>
      <c r="VBR55" s="936"/>
      <c r="VBS55" s="936"/>
      <c r="VBT55" s="936"/>
      <c r="VBU55" s="936"/>
      <c r="VBV55" s="936"/>
      <c r="VBW55" s="936"/>
      <c r="VBX55" s="936"/>
      <c r="VBY55" s="936"/>
      <c r="VBZ55" s="936"/>
      <c r="VCA55" s="936"/>
      <c r="VCB55" s="936"/>
      <c r="VCC55" s="936"/>
      <c r="VCD55" s="936"/>
      <c r="VCE55" s="936"/>
      <c r="VCF55" s="936"/>
      <c r="VCG55" s="936"/>
      <c r="VCH55" s="936"/>
      <c r="VCI55" s="936"/>
      <c r="VCJ55" s="936"/>
      <c r="VCK55" s="936"/>
      <c r="VCL55" s="936"/>
      <c r="VCM55" s="936"/>
      <c r="VCN55" s="936"/>
      <c r="VCO55" s="936"/>
      <c r="VCP55" s="936"/>
      <c r="VCQ55" s="936"/>
      <c r="VCR55" s="936"/>
      <c r="VCS55" s="936"/>
      <c r="VCT55" s="936"/>
      <c r="VCU55" s="936"/>
      <c r="VCV55" s="936"/>
      <c r="VCW55" s="936"/>
      <c r="VCX55" s="936"/>
      <c r="VCY55" s="936"/>
      <c r="VCZ55" s="936"/>
      <c r="VDA55" s="936"/>
      <c r="VDB55" s="936"/>
      <c r="VDC55" s="936"/>
      <c r="VDD55" s="936"/>
      <c r="VDE55" s="936"/>
      <c r="VDF55" s="936"/>
      <c r="VDG55" s="936"/>
      <c r="VDH55" s="936"/>
      <c r="VDI55" s="936"/>
      <c r="VDJ55" s="936"/>
      <c r="VDK55" s="936"/>
      <c r="VDL55" s="936"/>
      <c r="VDM55" s="936"/>
      <c r="VDN55" s="936"/>
      <c r="VDO55" s="936"/>
      <c r="VDP55" s="936"/>
      <c r="VDQ55" s="936"/>
      <c r="VDR55" s="936"/>
      <c r="VDS55" s="936"/>
      <c r="VDT55" s="936"/>
      <c r="VDU55" s="936"/>
      <c r="VDV55" s="936"/>
      <c r="VDW55" s="936"/>
      <c r="VDX55" s="936"/>
      <c r="VDY55" s="936"/>
      <c r="VDZ55" s="936"/>
      <c r="VEA55" s="936"/>
      <c r="VEB55" s="936"/>
      <c r="VEC55" s="936"/>
      <c r="VED55" s="936"/>
      <c r="VEE55" s="936"/>
      <c r="VEF55" s="936"/>
      <c r="VEG55" s="936"/>
      <c r="VEH55" s="936"/>
      <c r="VEI55" s="936"/>
      <c r="VEJ55" s="936"/>
      <c r="VEK55" s="936"/>
      <c r="VEL55" s="936"/>
      <c r="VEM55" s="936"/>
      <c r="VEN55" s="936"/>
      <c r="VEO55" s="936"/>
      <c r="VEP55" s="936"/>
      <c r="VEQ55" s="936"/>
      <c r="VER55" s="936"/>
      <c r="VES55" s="936"/>
      <c r="VET55" s="936"/>
      <c r="VEU55" s="936"/>
      <c r="VEV55" s="936"/>
      <c r="VEW55" s="936"/>
      <c r="VEX55" s="936"/>
      <c r="VEY55" s="936"/>
      <c r="VEZ55" s="936"/>
      <c r="VFA55" s="936"/>
      <c r="VFB55" s="936"/>
      <c r="VFC55" s="936"/>
      <c r="VFD55" s="936"/>
      <c r="VFE55" s="936"/>
      <c r="VFF55" s="936"/>
      <c r="VFG55" s="936"/>
      <c r="VFH55" s="936"/>
      <c r="VFI55" s="936"/>
      <c r="VFJ55" s="936"/>
      <c r="VFK55" s="936"/>
      <c r="VFL55" s="936"/>
      <c r="VFM55" s="936"/>
      <c r="VFN55" s="936"/>
      <c r="VFO55" s="936"/>
      <c r="VFP55" s="936"/>
      <c r="VFQ55" s="936"/>
      <c r="VFR55" s="936"/>
      <c r="VFS55" s="936"/>
      <c r="VFT55" s="936"/>
      <c r="VFU55" s="936"/>
      <c r="VFV55" s="936"/>
      <c r="VFW55" s="936"/>
      <c r="VFX55" s="936"/>
      <c r="VFY55" s="936"/>
      <c r="VFZ55" s="936"/>
      <c r="VGA55" s="936"/>
      <c r="VGB55" s="936"/>
      <c r="VGC55" s="936"/>
      <c r="VGD55" s="936"/>
      <c r="VGE55" s="936"/>
      <c r="VGF55" s="936"/>
      <c r="VGG55" s="936"/>
      <c r="VGH55" s="936"/>
      <c r="VGI55" s="936"/>
      <c r="VGJ55" s="936"/>
      <c r="VGK55" s="936"/>
      <c r="VGL55" s="936"/>
      <c r="VGM55" s="936"/>
      <c r="VGN55" s="936"/>
      <c r="VGO55" s="936"/>
      <c r="VGP55" s="936"/>
      <c r="VGQ55" s="936"/>
      <c r="VGR55" s="936"/>
      <c r="VGS55" s="936"/>
      <c r="VGT55" s="936"/>
      <c r="VGU55" s="936"/>
      <c r="VGV55" s="936"/>
      <c r="VGW55" s="936"/>
      <c r="VGX55" s="936"/>
      <c r="VGY55" s="936"/>
      <c r="VGZ55" s="936"/>
      <c r="VHA55" s="936"/>
      <c r="VHB55" s="936"/>
      <c r="VHC55" s="936"/>
      <c r="VHD55" s="936"/>
      <c r="VHE55" s="936"/>
      <c r="VHF55" s="936"/>
      <c r="VHG55" s="936"/>
      <c r="VHH55" s="936"/>
      <c r="VHI55" s="936"/>
      <c r="VHJ55" s="936"/>
      <c r="VHK55" s="936"/>
      <c r="VHL55" s="936"/>
      <c r="VHM55" s="936"/>
      <c r="VHN55" s="936"/>
      <c r="VHO55" s="936"/>
      <c r="VHP55" s="936"/>
      <c r="VHQ55" s="936"/>
      <c r="VHR55" s="936"/>
      <c r="VHS55" s="936"/>
      <c r="VHT55" s="936"/>
      <c r="VHU55" s="936"/>
      <c r="VHV55" s="936"/>
      <c r="VHW55" s="936"/>
      <c r="VHX55" s="936"/>
      <c r="VHY55" s="936"/>
      <c r="VHZ55" s="936"/>
      <c r="VIA55" s="936"/>
      <c r="VIB55" s="936"/>
      <c r="VIC55" s="936"/>
      <c r="VID55" s="936"/>
      <c r="VIE55" s="936"/>
      <c r="VIF55" s="936"/>
      <c r="VIG55" s="936"/>
      <c r="VIH55" s="936"/>
      <c r="VII55" s="936"/>
      <c r="VIJ55" s="936"/>
      <c r="VIK55" s="936"/>
      <c r="VIL55" s="936"/>
      <c r="VIM55" s="936"/>
      <c r="VIN55" s="936"/>
      <c r="VIO55" s="936"/>
      <c r="VIP55" s="936"/>
      <c r="VIQ55" s="936"/>
      <c r="VIR55" s="936"/>
      <c r="VIS55" s="936"/>
      <c r="VIT55" s="936"/>
      <c r="VIU55" s="936"/>
      <c r="VIV55" s="936"/>
      <c r="VIW55" s="936"/>
      <c r="VIX55" s="936"/>
      <c r="VIY55" s="936"/>
      <c r="VIZ55" s="936"/>
      <c r="VJA55" s="936"/>
      <c r="VJB55" s="936"/>
      <c r="VJC55" s="936"/>
      <c r="VJD55" s="936"/>
      <c r="VJE55" s="936"/>
      <c r="VJF55" s="936"/>
      <c r="VJG55" s="936"/>
      <c r="VJH55" s="936"/>
      <c r="VJI55" s="936"/>
      <c r="VJJ55" s="936"/>
      <c r="VJK55" s="936"/>
      <c r="VJL55" s="936"/>
      <c r="VJM55" s="936"/>
      <c r="VJN55" s="936"/>
      <c r="VJO55" s="936"/>
      <c r="VJP55" s="936"/>
      <c r="VJQ55" s="936"/>
      <c r="VJR55" s="936"/>
      <c r="VJS55" s="936"/>
      <c r="VJT55" s="936"/>
      <c r="VJU55" s="936"/>
      <c r="VJV55" s="936"/>
      <c r="VJW55" s="936"/>
      <c r="VJX55" s="936"/>
      <c r="VJY55" s="936"/>
      <c r="VJZ55" s="936"/>
      <c r="VKA55" s="936"/>
      <c r="VKB55" s="936"/>
      <c r="VKC55" s="936"/>
      <c r="VKD55" s="936"/>
      <c r="VKE55" s="936"/>
      <c r="VKF55" s="936"/>
      <c r="VKG55" s="936"/>
      <c r="VKH55" s="936"/>
      <c r="VKI55" s="936"/>
      <c r="VKJ55" s="936"/>
      <c r="VKK55" s="936"/>
      <c r="VKL55" s="936"/>
      <c r="VKM55" s="936"/>
      <c r="VKN55" s="936"/>
      <c r="VKO55" s="936"/>
      <c r="VKP55" s="936"/>
      <c r="VKQ55" s="936"/>
      <c r="VKR55" s="936"/>
      <c r="VKS55" s="936"/>
      <c r="VKT55" s="936"/>
      <c r="VKU55" s="936"/>
      <c r="VKV55" s="936"/>
      <c r="VKW55" s="936"/>
      <c r="VKX55" s="936"/>
      <c r="VKY55" s="936"/>
      <c r="VKZ55" s="936"/>
      <c r="VLA55" s="936"/>
      <c r="VLB55" s="936"/>
      <c r="VLC55" s="936"/>
      <c r="VLD55" s="936"/>
      <c r="VLE55" s="936"/>
      <c r="VLF55" s="936"/>
      <c r="VLG55" s="936"/>
      <c r="VLH55" s="936"/>
      <c r="VLI55" s="936"/>
      <c r="VLJ55" s="936"/>
      <c r="VLK55" s="936"/>
      <c r="VLL55" s="936"/>
      <c r="VLM55" s="936"/>
      <c r="VLN55" s="936"/>
      <c r="VLO55" s="936"/>
      <c r="VLP55" s="936"/>
      <c r="VLQ55" s="936"/>
      <c r="VLR55" s="936"/>
      <c r="VLS55" s="936"/>
      <c r="VLT55" s="936"/>
      <c r="VLU55" s="936"/>
      <c r="VLV55" s="936"/>
      <c r="VLW55" s="936"/>
      <c r="VLX55" s="936"/>
      <c r="VLY55" s="936"/>
      <c r="VLZ55" s="936"/>
      <c r="VMA55" s="936"/>
      <c r="VMB55" s="936"/>
      <c r="VMC55" s="936"/>
      <c r="VMD55" s="936"/>
      <c r="VME55" s="936"/>
      <c r="VMF55" s="936"/>
      <c r="VMG55" s="936"/>
      <c r="VMH55" s="936"/>
      <c r="VMI55" s="936"/>
      <c r="VMJ55" s="936"/>
      <c r="VMK55" s="936"/>
      <c r="VML55" s="936"/>
      <c r="VMM55" s="936"/>
      <c r="VMN55" s="936"/>
      <c r="VMO55" s="936"/>
      <c r="VMP55" s="936"/>
      <c r="VMQ55" s="936"/>
      <c r="VMR55" s="936"/>
      <c r="VMS55" s="936"/>
      <c r="VMT55" s="936"/>
      <c r="VMU55" s="936"/>
      <c r="VMV55" s="936"/>
      <c r="VMW55" s="936"/>
      <c r="VMX55" s="936"/>
      <c r="VMY55" s="936"/>
      <c r="VMZ55" s="936"/>
      <c r="VNA55" s="936"/>
      <c r="VNB55" s="936"/>
      <c r="VNC55" s="936"/>
      <c r="VND55" s="936"/>
      <c r="VNE55" s="936"/>
      <c r="VNF55" s="936"/>
      <c r="VNG55" s="936"/>
      <c r="VNH55" s="936"/>
      <c r="VNI55" s="936"/>
      <c r="VNJ55" s="936"/>
      <c r="VNK55" s="936"/>
      <c r="VNL55" s="936"/>
      <c r="VNM55" s="936"/>
      <c r="VNN55" s="936"/>
      <c r="VNO55" s="936"/>
      <c r="VNP55" s="936"/>
      <c r="VNQ55" s="936"/>
      <c r="VNR55" s="936"/>
      <c r="VNS55" s="936"/>
      <c r="VNT55" s="936"/>
      <c r="VNU55" s="936"/>
      <c r="VNV55" s="936"/>
      <c r="VNW55" s="936"/>
      <c r="VNX55" s="936"/>
      <c r="VNY55" s="936"/>
      <c r="VNZ55" s="936"/>
      <c r="VOA55" s="936"/>
      <c r="VOB55" s="936"/>
      <c r="VOC55" s="936"/>
      <c r="VOD55" s="936"/>
      <c r="VOE55" s="936"/>
      <c r="VOF55" s="936"/>
      <c r="VOG55" s="936"/>
      <c r="VOH55" s="936"/>
      <c r="VOI55" s="936"/>
      <c r="VOJ55" s="936"/>
      <c r="VOK55" s="936"/>
      <c r="VOL55" s="936"/>
      <c r="VOM55" s="936"/>
      <c r="VON55" s="936"/>
      <c r="VOO55" s="936"/>
      <c r="VOP55" s="936"/>
      <c r="VOQ55" s="936"/>
      <c r="VOR55" s="936"/>
      <c r="VOS55" s="936"/>
      <c r="VOT55" s="936"/>
      <c r="VOU55" s="936"/>
      <c r="VOV55" s="936"/>
      <c r="VOW55" s="936"/>
      <c r="VOX55" s="936"/>
      <c r="VOY55" s="936"/>
      <c r="VOZ55" s="936"/>
      <c r="VPA55" s="936"/>
      <c r="VPB55" s="936"/>
      <c r="VPC55" s="936"/>
      <c r="VPD55" s="936"/>
      <c r="VPE55" s="936"/>
      <c r="VPF55" s="936"/>
      <c r="VPG55" s="936"/>
      <c r="VPH55" s="936"/>
      <c r="VPI55" s="936"/>
      <c r="VPJ55" s="936"/>
      <c r="VPK55" s="936"/>
      <c r="VPL55" s="936"/>
      <c r="VPM55" s="936"/>
      <c r="VPN55" s="936"/>
      <c r="VPO55" s="936"/>
      <c r="VPP55" s="936"/>
      <c r="VPQ55" s="936"/>
      <c r="VPR55" s="936"/>
      <c r="VPS55" s="936"/>
      <c r="VPT55" s="936"/>
      <c r="VPU55" s="936"/>
      <c r="VPV55" s="936"/>
      <c r="VPW55" s="936"/>
      <c r="VPX55" s="936"/>
      <c r="VPY55" s="936"/>
      <c r="VPZ55" s="936"/>
      <c r="VQA55" s="936"/>
      <c r="VQB55" s="936"/>
      <c r="VQC55" s="936"/>
      <c r="VQD55" s="936"/>
      <c r="VQE55" s="936"/>
      <c r="VQF55" s="936"/>
      <c r="VQG55" s="936"/>
      <c r="VQH55" s="936"/>
      <c r="VQI55" s="936"/>
      <c r="VQJ55" s="936"/>
      <c r="VQK55" s="936"/>
      <c r="VQL55" s="936"/>
      <c r="VQM55" s="936"/>
      <c r="VQN55" s="936"/>
      <c r="VQO55" s="936"/>
      <c r="VQP55" s="936"/>
      <c r="VQQ55" s="936"/>
      <c r="VQR55" s="936"/>
      <c r="VQS55" s="936"/>
      <c r="VQT55" s="936"/>
      <c r="VQU55" s="936"/>
      <c r="VQV55" s="936"/>
      <c r="VQW55" s="936"/>
      <c r="VQX55" s="936"/>
      <c r="VQY55" s="936"/>
      <c r="VQZ55" s="936"/>
      <c r="VRA55" s="936"/>
      <c r="VRB55" s="936"/>
      <c r="VRC55" s="936"/>
      <c r="VRD55" s="936"/>
      <c r="VRE55" s="936"/>
      <c r="VRF55" s="936"/>
      <c r="VRG55" s="936"/>
      <c r="VRH55" s="936"/>
      <c r="VRI55" s="936"/>
      <c r="VRJ55" s="936"/>
      <c r="VRK55" s="936"/>
      <c r="VRL55" s="936"/>
      <c r="VRM55" s="936"/>
      <c r="VRN55" s="936"/>
      <c r="VRO55" s="936"/>
      <c r="VRP55" s="936"/>
      <c r="VRQ55" s="936"/>
      <c r="VRR55" s="936"/>
      <c r="VRS55" s="936"/>
      <c r="VRT55" s="936"/>
      <c r="VRU55" s="936"/>
      <c r="VRV55" s="936"/>
      <c r="VRW55" s="936"/>
      <c r="VRX55" s="936"/>
      <c r="VRY55" s="936"/>
      <c r="VRZ55" s="936"/>
      <c r="VSA55" s="936"/>
      <c r="VSB55" s="936"/>
      <c r="VSC55" s="936"/>
      <c r="VSD55" s="936"/>
      <c r="VSE55" s="936"/>
      <c r="VSF55" s="936"/>
      <c r="VSG55" s="936"/>
      <c r="VSH55" s="936"/>
      <c r="VSI55" s="936"/>
      <c r="VSJ55" s="936"/>
      <c r="VSK55" s="936"/>
      <c r="VSL55" s="936"/>
      <c r="VSM55" s="936"/>
      <c r="VSN55" s="936"/>
      <c r="VSO55" s="936"/>
      <c r="VSP55" s="936"/>
      <c r="VSQ55" s="936"/>
      <c r="VSR55" s="936"/>
      <c r="VSS55" s="936"/>
      <c r="VST55" s="936"/>
      <c r="VSU55" s="936"/>
      <c r="VSV55" s="936"/>
      <c r="VSW55" s="936"/>
      <c r="VSX55" s="936"/>
      <c r="VSY55" s="936"/>
      <c r="VSZ55" s="936"/>
      <c r="VTA55" s="936"/>
      <c r="VTB55" s="936"/>
      <c r="VTC55" s="936"/>
      <c r="VTD55" s="936"/>
      <c r="VTE55" s="936"/>
      <c r="VTF55" s="936"/>
      <c r="VTG55" s="936"/>
      <c r="VTH55" s="936"/>
      <c r="VTI55" s="936"/>
      <c r="VTJ55" s="936"/>
      <c r="VTK55" s="936"/>
      <c r="VTL55" s="936"/>
      <c r="VTM55" s="936"/>
      <c r="VTN55" s="936"/>
      <c r="VTO55" s="936"/>
      <c r="VTP55" s="936"/>
      <c r="VTQ55" s="936"/>
      <c r="VTR55" s="936"/>
      <c r="VTS55" s="936"/>
      <c r="VTT55" s="936"/>
      <c r="VTU55" s="936"/>
      <c r="VTV55" s="936"/>
      <c r="VTW55" s="936"/>
      <c r="VTX55" s="936"/>
      <c r="VTY55" s="936"/>
      <c r="VTZ55" s="936"/>
      <c r="VUA55" s="936"/>
      <c r="VUB55" s="936"/>
      <c r="VUC55" s="936"/>
      <c r="VUD55" s="936"/>
      <c r="VUE55" s="936"/>
      <c r="VUF55" s="936"/>
      <c r="VUG55" s="936"/>
      <c r="VUH55" s="936"/>
      <c r="VUI55" s="936"/>
      <c r="VUJ55" s="936"/>
      <c r="VUK55" s="936"/>
      <c r="VUL55" s="936"/>
      <c r="VUM55" s="936"/>
      <c r="VUN55" s="936"/>
      <c r="VUO55" s="936"/>
      <c r="VUP55" s="936"/>
      <c r="VUQ55" s="936"/>
      <c r="VUR55" s="936"/>
      <c r="VUS55" s="936"/>
      <c r="VUT55" s="936"/>
      <c r="VUU55" s="936"/>
      <c r="VUV55" s="936"/>
      <c r="VUW55" s="936"/>
      <c r="VUX55" s="936"/>
      <c r="VUY55" s="936"/>
      <c r="VUZ55" s="936"/>
      <c r="VVA55" s="936"/>
      <c r="VVB55" s="936"/>
      <c r="VVC55" s="936"/>
      <c r="VVD55" s="936"/>
      <c r="VVE55" s="936"/>
      <c r="VVF55" s="936"/>
      <c r="VVG55" s="936"/>
      <c r="VVH55" s="936"/>
      <c r="VVI55" s="936"/>
      <c r="VVJ55" s="936"/>
      <c r="VVK55" s="936"/>
      <c r="VVL55" s="936"/>
      <c r="VVM55" s="936"/>
      <c r="VVN55" s="936"/>
      <c r="VVO55" s="936"/>
      <c r="VVP55" s="936"/>
      <c r="VVQ55" s="936"/>
      <c r="VVR55" s="936"/>
      <c r="VVS55" s="936"/>
      <c r="VVT55" s="936"/>
      <c r="VVU55" s="936"/>
      <c r="VVV55" s="936"/>
      <c r="VVW55" s="936"/>
      <c r="VVX55" s="936"/>
      <c r="VVY55" s="936"/>
      <c r="VVZ55" s="936"/>
      <c r="VWA55" s="936"/>
      <c r="VWB55" s="936"/>
      <c r="VWC55" s="936"/>
      <c r="VWD55" s="936"/>
      <c r="VWE55" s="936"/>
      <c r="VWF55" s="936"/>
      <c r="VWG55" s="936"/>
      <c r="VWH55" s="936"/>
      <c r="VWI55" s="936"/>
      <c r="VWJ55" s="936"/>
      <c r="VWK55" s="936"/>
      <c r="VWL55" s="936"/>
      <c r="VWM55" s="936"/>
      <c r="VWN55" s="936"/>
      <c r="VWO55" s="936"/>
      <c r="VWP55" s="936"/>
      <c r="VWQ55" s="936"/>
      <c r="VWR55" s="936"/>
      <c r="VWS55" s="936"/>
      <c r="VWT55" s="936"/>
      <c r="VWU55" s="936"/>
      <c r="VWV55" s="936"/>
      <c r="VWW55" s="936"/>
      <c r="VWX55" s="936"/>
      <c r="VWY55" s="936"/>
      <c r="VWZ55" s="936"/>
      <c r="VXA55" s="936"/>
      <c r="VXB55" s="936"/>
      <c r="VXC55" s="936"/>
      <c r="VXD55" s="936"/>
      <c r="VXE55" s="936"/>
      <c r="VXF55" s="936"/>
      <c r="VXG55" s="936"/>
      <c r="VXH55" s="936"/>
      <c r="VXI55" s="936"/>
      <c r="VXJ55" s="936"/>
      <c r="VXK55" s="936"/>
      <c r="VXL55" s="936"/>
      <c r="VXM55" s="936"/>
      <c r="VXN55" s="936"/>
      <c r="VXO55" s="936"/>
      <c r="VXP55" s="936"/>
      <c r="VXQ55" s="936"/>
      <c r="VXR55" s="936"/>
      <c r="VXS55" s="936"/>
      <c r="VXT55" s="936"/>
      <c r="VXU55" s="936"/>
      <c r="VXV55" s="936"/>
      <c r="VXW55" s="936"/>
      <c r="VXX55" s="936"/>
      <c r="VXY55" s="936"/>
      <c r="VXZ55" s="936"/>
      <c r="VYA55" s="936"/>
      <c r="VYB55" s="936"/>
      <c r="VYC55" s="936"/>
      <c r="VYD55" s="936"/>
      <c r="VYE55" s="936"/>
      <c r="VYF55" s="936"/>
      <c r="VYG55" s="936"/>
      <c r="VYH55" s="936"/>
      <c r="VYI55" s="936"/>
      <c r="VYJ55" s="936"/>
      <c r="VYK55" s="936"/>
      <c r="VYL55" s="936"/>
      <c r="VYM55" s="936"/>
      <c r="VYN55" s="936"/>
      <c r="VYO55" s="936"/>
      <c r="VYP55" s="936"/>
      <c r="VYQ55" s="936"/>
      <c r="VYR55" s="936"/>
      <c r="VYS55" s="936"/>
      <c r="VYT55" s="936"/>
      <c r="VYU55" s="936"/>
      <c r="VYV55" s="936"/>
      <c r="VYW55" s="936"/>
      <c r="VYX55" s="936"/>
      <c r="VYY55" s="936"/>
      <c r="VYZ55" s="936"/>
      <c r="VZA55" s="936"/>
      <c r="VZB55" s="936"/>
      <c r="VZC55" s="936"/>
      <c r="VZD55" s="936"/>
      <c r="VZE55" s="936"/>
      <c r="VZF55" s="936"/>
      <c r="VZG55" s="936"/>
      <c r="VZH55" s="936"/>
      <c r="VZI55" s="936"/>
      <c r="VZJ55" s="936"/>
      <c r="VZK55" s="936"/>
      <c r="VZL55" s="936"/>
      <c r="VZM55" s="936"/>
      <c r="VZN55" s="936"/>
      <c r="VZO55" s="936"/>
      <c r="VZP55" s="936"/>
      <c r="VZQ55" s="936"/>
      <c r="VZR55" s="936"/>
      <c r="VZS55" s="936"/>
      <c r="VZT55" s="936"/>
      <c r="VZU55" s="936"/>
      <c r="VZV55" s="936"/>
      <c r="VZW55" s="936"/>
      <c r="VZX55" s="936"/>
      <c r="VZY55" s="936"/>
      <c r="VZZ55" s="936"/>
      <c r="WAA55" s="936"/>
      <c r="WAB55" s="936"/>
      <c r="WAC55" s="936"/>
      <c r="WAD55" s="936"/>
      <c r="WAE55" s="936"/>
      <c r="WAF55" s="936"/>
      <c r="WAG55" s="936"/>
      <c r="WAH55" s="936"/>
      <c r="WAI55" s="936"/>
      <c r="WAJ55" s="936"/>
      <c r="WAK55" s="936"/>
      <c r="WAL55" s="936"/>
      <c r="WAM55" s="936"/>
      <c r="WAN55" s="936"/>
      <c r="WAO55" s="936"/>
      <c r="WAP55" s="936"/>
      <c r="WAQ55" s="936"/>
      <c r="WAR55" s="936"/>
      <c r="WAS55" s="936"/>
      <c r="WAT55" s="936"/>
      <c r="WAU55" s="936"/>
      <c r="WAV55" s="936"/>
      <c r="WAW55" s="936"/>
      <c r="WAX55" s="936"/>
      <c r="WAY55" s="936"/>
      <c r="WAZ55" s="936"/>
      <c r="WBA55" s="936"/>
      <c r="WBB55" s="936"/>
      <c r="WBC55" s="936"/>
      <c r="WBD55" s="936"/>
      <c r="WBE55" s="936"/>
      <c r="WBF55" s="936"/>
      <c r="WBG55" s="936"/>
      <c r="WBH55" s="936"/>
      <c r="WBI55" s="936"/>
      <c r="WBJ55" s="936"/>
      <c r="WBK55" s="936"/>
      <c r="WBL55" s="936"/>
      <c r="WBM55" s="936"/>
      <c r="WBN55" s="936"/>
      <c r="WBO55" s="936"/>
      <c r="WBP55" s="936"/>
      <c r="WBQ55" s="936"/>
      <c r="WBR55" s="936"/>
      <c r="WBS55" s="936"/>
      <c r="WBT55" s="936"/>
      <c r="WBU55" s="936"/>
      <c r="WBV55" s="936"/>
      <c r="WBW55" s="936"/>
      <c r="WBX55" s="936"/>
      <c r="WBY55" s="936"/>
      <c r="WBZ55" s="936"/>
      <c r="WCA55" s="936"/>
      <c r="WCB55" s="936"/>
      <c r="WCC55" s="936"/>
      <c r="WCD55" s="936"/>
      <c r="WCE55" s="936"/>
      <c r="WCF55" s="936"/>
      <c r="WCG55" s="936"/>
      <c r="WCH55" s="936"/>
      <c r="WCI55" s="936"/>
      <c r="WCJ55" s="936"/>
      <c r="WCK55" s="936"/>
      <c r="WCL55" s="936"/>
      <c r="WCM55" s="936"/>
      <c r="WCN55" s="936"/>
      <c r="WCO55" s="936"/>
      <c r="WCP55" s="936"/>
      <c r="WCQ55" s="936"/>
      <c r="WCR55" s="936"/>
      <c r="WCS55" s="936"/>
      <c r="WCT55" s="936"/>
      <c r="WCU55" s="936"/>
      <c r="WCV55" s="936"/>
      <c r="WCW55" s="936"/>
      <c r="WCX55" s="936"/>
      <c r="WCY55" s="936"/>
      <c r="WCZ55" s="936"/>
      <c r="WDA55" s="936"/>
      <c r="WDB55" s="936"/>
      <c r="WDC55" s="936"/>
      <c r="WDD55" s="936"/>
      <c r="WDE55" s="936"/>
      <c r="WDF55" s="936"/>
      <c r="WDG55" s="936"/>
      <c r="WDH55" s="936"/>
      <c r="WDI55" s="936"/>
      <c r="WDJ55" s="936"/>
      <c r="WDK55" s="936"/>
      <c r="WDL55" s="936"/>
      <c r="WDM55" s="936"/>
      <c r="WDN55" s="936"/>
      <c r="WDO55" s="936"/>
      <c r="WDP55" s="936"/>
      <c r="WDQ55" s="936"/>
      <c r="WDR55" s="936"/>
      <c r="WDS55" s="936"/>
      <c r="WDT55" s="936"/>
      <c r="WDU55" s="936"/>
      <c r="WDV55" s="936"/>
      <c r="WDW55" s="936"/>
      <c r="WDX55" s="936"/>
      <c r="WDY55" s="936"/>
      <c r="WDZ55" s="936"/>
      <c r="WEA55" s="936"/>
      <c r="WEB55" s="936"/>
      <c r="WEC55" s="936"/>
      <c r="WED55" s="936"/>
      <c r="WEE55" s="936"/>
      <c r="WEF55" s="936"/>
      <c r="WEG55" s="936"/>
      <c r="WEH55" s="936"/>
      <c r="WEI55" s="936"/>
      <c r="WEJ55" s="936"/>
      <c r="WEK55" s="936"/>
      <c r="WEL55" s="936"/>
      <c r="WEM55" s="936"/>
      <c r="WEN55" s="936"/>
      <c r="WEO55" s="936"/>
      <c r="WEP55" s="936"/>
      <c r="WEQ55" s="936"/>
      <c r="WER55" s="936"/>
      <c r="WES55" s="936"/>
      <c r="WET55" s="936"/>
      <c r="WEU55" s="936"/>
      <c r="WEV55" s="936"/>
      <c r="WEW55" s="936"/>
      <c r="WEX55" s="936"/>
      <c r="WEY55" s="936"/>
      <c r="WEZ55" s="936"/>
      <c r="WFA55" s="936"/>
      <c r="WFB55" s="936"/>
      <c r="WFC55" s="936"/>
      <c r="WFD55" s="936"/>
      <c r="WFE55" s="936"/>
      <c r="WFF55" s="936"/>
      <c r="WFG55" s="936"/>
      <c r="WFH55" s="936"/>
      <c r="WFI55" s="936"/>
      <c r="WFJ55" s="936"/>
      <c r="WFK55" s="936"/>
      <c r="WFL55" s="936"/>
      <c r="WFM55" s="936"/>
      <c r="WFN55" s="936"/>
      <c r="WFO55" s="936"/>
      <c r="WFP55" s="936"/>
      <c r="WFQ55" s="936"/>
      <c r="WFR55" s="936"/>
      <c r="WFS55" s="936"/>
      <c r="WFT55" s="936"/>
      <c r="WFU55" s="936"/>
      <c r="WFV55" s="936"/>
      <c r="WFW55" s="936"/>
      <c r="WFX55" s="936"/>
      <c r="WFY55" s="936"/>
      <c r="WFZ55" s="936"/>
      <c r="WGA55" s="936"/>
      <c r="WGB55" s="936"/>
      <c r="WGC55" s="936"/>
      <c r="WGD55" s="936"/>
      <c r="WGE55" s="936"/>
      <c r="WGF55" s="936"/>
      <c r="WGG55" s="936"/>
      <c r="WGH55" s="936"/>
      <c r="WGI55" s="936"/>
      <c r="WGJ55" s="936"/>
      <c r="WGK55" s="936"/>
      <c r="WGL55" s="936"/>
      <c r="WGM55" s="936"/>
      <c r="WGN55" s="936"/>
      <c r="WGO55" s="936"/>
      <c r="WGP55" s="936"/>
      <c r="WGQ55" s="936"/>
      <c r="WGR55" s="936"/>
      <c r="WGS55" s="936"/>
      <c r="WGT55" s="936"/>
      <c r="WGU55" s="936"/>
      <c r="WGV55" s="936"/>
      <c r="WGW55" s="936"/>
      <c r="WGX55" s="936"/>
      <c r="WGY55" s="936"/>
      <c r="WGZ55" s="936"/>
      <c r="WHA55" s="936"/>
      <c r="WHB55" s="936"/>
      <c r="WHC55" s="936"/>
      <c r="WHD55" s="936"/>
      <c r="WHE55" s="936"/>
      <c r="WHF55" s="936"/>
      <c r="WHG55" s="936"/>
      <c r="WHH55" s="936"/>
      <c r="WHI55" s="936"/>
      <c r="WHJ55" s="936"/>
      <c r="WHK55" s="936"/>
      <c r="WHL55" s="936"/>
      <c r="WHM55" s="936"/>
      <c r="WHN55" s="936"/>
      <c r="WHO55" s="936"/>
      <c r="WHP55" s="936"/>
      <c r="WHQ55" s="936"/>
      <c r="WHR55" s="936"/>
      <c r="WHS55" s="936"/>
      <c r="WHT55" s="936"/>
      <c r="WHU55" s="936"/>
      <c r="WHV55" s="936"/>
      <c r="WHW55" s="936"/>
      <c r="WHX55" s="936"/>
      <c r="WHY55" s="936"/>
      <c r="WHZ55" s="936"/>
      <c r="WIA55" s="936"/>
      <c r="WIB55" s="936"/>
      <c r="WIC55" s="936"/>
      <c r="WID55" s="936"/>
      <c r="WIE55" s="936"/>
      <c r="WIF55" s="936"/>
      <c r="WIG55" s="936"/>
      <c r="WIH55" s="936"/>
      <c r="WII55" s="936"/>
      <c r="WIJ55" s="936"/>
      <c r="WIK55" s="936"/>
      <c r="WIL55" s="936"/>
      <c r="WIM55" s="936"/>
      <c r="WIN55" s="936"/>
      <c r="WIO55" s="936"/>
      <c r="WIP55" s="936"/>
      <c r="WIQ55" s="936"/>
      <c r="WIR55" s="936"/>
      <c r="WIS55" s="936"/>
      <c r="WIT55" s="936"/>
      <c r="WIU55" s="936"/>
      <c r="WIV55" s="936"/>
      <c r="WIW55" s="936"/>
      <c r="WIX55" s="936"/>
      <c r="WIY55" s="936"/>
      <c r="WIZ55" s="936"/>
      <c r="WJA55" s="936"/>
      <c r="WJB55" s="936"/>
      <c r="WJC55" s="936"/>
      <c r="WJD55" s="936"/>
      <c r="WJE55" s="936"/>
      <c r="WJF55" s="936"/>
      <c r="WJG55" s="936"/>
      <c r="WJH55" s="936"/>
      <c r="WJI55" s="936"/>
      <c r="WJJ55" s="936"/>
      <c r="WJK55" s="936"/>
      <c r="WJL55" s="936"/>
      <c r="WJM55" s="936"/>
      <c r="WJN55" s="936"/>
      <c r="WJO55" s="936"/>
      <c r="WJP55" s="936"/>
      <c r="WJQ55" s="936"/>
      <c r="WJR55" s="936"/>
      <c r="WJS55" s="936"/>
      <c r="WJT55" s="936"/>
      <c r="WJU55" s="936"/>
      <c r="WJV55" s="936"/>
      <c r="WJW55" s="936"/>
      <c r="WJX55" s="936"/>
      <c r="WJY55" s="936"/>
      <c r="WJZ55" s="936"/>
      <c r="WKA55" s="936"/>
      <c r="WKB55" s="936"/>
      <c r="WKC55" s="936"/>
      <c r="WKD55" s="936"/>
      <c r="WKE55" s="936"/>
      <c r="WKF55" s="936"/>
      <c r="WKG55" s="936"/>
      <c r="WKH55" s="936"/>
      <c r="WKI55" s="936"/>
      <c r="WKJ55" s="936"/>
      <c r="WKK55" s="936"/>
      <c r="WKL55" s="936"/>
      <c r="WKM55" s="936"/>
      <c r="WKN55" s="936"/>
      <c r="WKO55" s="936"/>
      <c r="WKP55" s="936"/>
      <c r="WKQ55" s="936"/>
      <c r="WKR55" s="936"/>
      <c r="WKS55" s="936"/>
      <c r="WKT55" s="936"/>
      <c r="WKU55" s="936"/>
      <c r="WKV55" s="936"/>
      <c r="WKW55" s="936"/>
      <c r="WKX55" s="936"/>
      <c r="WKY55" s="936"/>
      <c r="WKZ55" s="936"/>
      <c r="WLA55" s="936"/>
      <c r="WLB55" s="936"/>
      <c r="WLC55" s="936"/>
      <c r="WLD55" s="936"/>
      <c r="WLE55" s="936"/>
      <c r="WLF55" s="936"/>
      <c r="WLG55" s="936"/>
      <c r="WLH55" s="936"/>
      <c r="WLI55" s="936"/>
      <c r="WLJ55" s="936"/>
      <c r="WLK55" s="936"/>
      <c r="WLL55" s="936"/>
      <c r="WLM55" s="936"/>
      <c r="WLN55" s="936"/>
      <c r="WLO55" s="936"/>
      <c r="WLP55" s="936"/>
      <c r="WLQ55" s="936"/>
      <c r="WLR55" s="936"/>
      <c r="WLS55" s="936"/>
      <c r="WLT55" s="936"/>
      <c r="WLU55" s="936"/>
      <c r="WLV55" s="936"/>
      <c r="WLW55" s="936"/>
      <c r="WLX55" s="936"/>
      <c r="WLY55" s="936"/>
      <c r="WLZ55" s="936"/>
      <c r="WMA55" s="936"/>
      <c r="WMB55" s="936"/>
      <c r="WMC55" s="936"/>
      <c r="WMD55" s="936"/>
      <c r="WME55" s="936"/>
      <c r="WMF55" s="936"/>
      <c r="WMG55" s="936"/>
      <c r="WMH55" s="936"/>
      <c r="WMI55" s="936"/>
      <c r="WMJ55" s="936"/>
      <c r="WMK55" s="936"/>
      <c r="WML55" s="936"/>
      <c r="WMM55" s="936"/>
      <c r="WMN55" s="936"/>
      <c r="WMO55" s="936"/>
      <c r="WMP55" s="936"/>
      <c r="WMQ55" s="936"/>
      <c r="WMR55" s="936"/>
      <c r="WMS55" s="936"/>
      <c r="WMT55" s="936"/>
      <c r="WMU55" s="936"/>
      <c r="WMV55" s="936"/>
      <c r="WMW55" s="936"/>
      <c r="WMX55" s="936"/>
      <c r="WMY55" s="936"/>
      <c r="WMZ55" s="936"/>
      <c r="WNA55" s="936"/>
      <c r="WNB55" s="936"/>
      <c r="WNC55" s="936"/>
      <c r="WND55" s="936"/>
      <c r="WNE55" s="936"/>
      <c r="WNF55" s="936"/>
      <c r="WNG55" s="936"/>
      <c r="WNH55" s="936"/>
      <c r="WNI55" s="936"/>
      <c r="WNJ55" s="936"/>
      <c r="WNK55" s="936"/>
      <c r="WNL55" s="936"/>
      <c r="WNM55" s="936"/>
      <c r="WNN55" s="936"/>
      <c r="WNO55" s="936"/>
      <c r="WNP55" s="936"/>
      <c r="WNQ55" s="936"/>
      <c r="WNR55" s="936"/>
      <c r="WNS55" s="936"/>
      <c r="WNT55" s="936"/>
      <c r="WNU55" s="936"/>
      <c r="WNV55" s="936"/>
      <c r="WNW55" s="936"/>
      <c r="WNX55" s="936"/>
      <c r="WNY55" s="936"/>
      <c r="WNZ55" s="936"/>
      <c r="WOA55" s="936"/>
      <c r="WOB55" s="936"/>
      <c r="WOC55" s="936"/>
      <c r="WOD55" s="936"/>
      <c r="WOE55" s="936"/>
      <c r="WOF55" s="936"/>
      <c r="WOG55" s="936"/>
      <c r="WOH55" s="936"/>
      <c r="WOI55" s="936"/>
      <c r="WOJ55" s="936"/>
      <c r="WOK55" s="936"/>
      <c r="WOL55" s="936"/>
      <c r="WOM55" s="936"/>
      <c r="WON55" s="936"/>
      <c r="WOO55" s="936"/>
      <c r="WOP55" s="936"/>
      <c r="WOQ55" s="936"/>
      <c r="WOR55" s="936"/>
      <c r="WOS55" s="936"/>
      <c r="WOT55" s="936"/>
      <c r="WOU55" s="936"/>
      <c r="WOV55" s="936"/>
      <c r="WOW55" s="936"/>
      <c r="WOX55" s="936"/>
      <c r="WOY55" s="936"/>
      <c r="WOZ55" s="936"/>
      <c r="WPA55" s="936"/>
      <c r="WPB55" s="936"/>
      <c r="WPC55" s="936"/>
      <c r="WPD55" s="936"/>
      <c r="WPE55" s="936"/>
      <c r="WPF55" s="936"/>
      <c r="WPG55" s="936"/>
      <c r="WPH55" s="936"/>
      <c r="WPI55" s="936"/>
      <c r="WPJ55" s="936"/>
      <c r="WPK55" s="936"/>
      <c r="WPL55" s="936"/>
      <c r="WPM55" s="936"/>
      <c r="WPN55" s="936"/>
      <c r="WPO55" s="936"/>
      <c r="WPP55" s="936"/>
      <c r="WPQ55" s="936"/>
      <c r="WPR55" s="936"/>
      <c r="WPS55" s="936"/>
      <c r="WPT55" s="936"/>
      <c r="WPU55" s="936"/>
      <c r="WPV55" s="936"/>
      <c r="WPW55" s="936"/>
      <c r="WPX55" s="936"/>
      <c r="WPY55" s="936"/>
      <c r="WPZ55" s="936"/>
      <c r="WQA55" s="936"/>
      <c r="WQB55" s="936"/>
      <c r="WQC55" s="936"/>
      <c r="WQD55" s="936"/>
      <c r="WQE55" s="936"/>
      <c r="WQF55" s="936"/>
      <c r="WQG55" s="936"/>
      <c r="WQH55" s="936"/>
      <c r="WQI55" s="936"/>
      <c r="WQJ55" s="936"/>
      <c r="WQK55" s="936"/>
      <c r="WQL55" s="936"/>
      <c r="WQM55" s="936"/>
      <c r="WQN55" s="936"/>
      <c r="WQO55" s="936"/>
      <c r="WQP55" s="936"/>
      <c r="WQQ55" s="936"/>
      <c r="WQR55" s="936"/>
      <c r="WQS55" s="936"/>
      <c r="WQT55" s="936"/>
      <c r="WQU55" s="936"/>
      <c r="WQV55" s="936"/>
      <c r="WQW55" s="936"/>
      <c r="WQX55" s="936"/>
      <c r="WQY55" s="936"/>
      <c r="WQZ55" s="936"/>
      <c r="WRA55" s="936"/>
      <c r="WRB55" s="936"/>
      <c r="WRC55" s="936"/>
      <c r="WRD55" s="936"/>
      <c r="WRE55" s="936"/>
      <c r="WRF55" s="936"/>
      <c r="WRG55" s="936"/>
      <c r="WRH55" s="936"/>
      <c r="WRI55" s="936"/>
      <c r="WRJ55" s="936"/>
      <c r="WRK55" s="936"/>
      <c r="WRL55" s="936"/>
      <c r="WRM55" s="936"/>
      <c r="WRN55" s="936"/>
      <c r="WRO55" s="936"/>
      <c r="WRP55" s="936"/>
      <c r="WRQ55" s="936"/>
      <c r="WRR55" s="936"/>
      <c r="WRS55" s="936"/>
      <c r="WRT55" s="936"/>
      <c r="WRU55" s="936"/>
      <c r="WRV55" s="936"/>
      <c r="WRW55" s="936"/>
      <c r="WRX55" s="936"/>
      <c r="WRY55" s="936"/>
      <c r="WRZ55" s="936"/>
      <c r="WSA55" s="936"/>
      <c r="WSB55" s="936"/>
      <c r="WSC55" s="936"/>
      <c r="WSD55" s="936"/>
      <c r="WSE55" s="936"/>
      <c r="WSF55" s="936"/>
      <c r="WSG55" s="936"/>
      <c r="WSH55" s="936"/>
      <c r="WSI55" s="936"/>
      <c r="WSJ55" s="936"/>
      <c r="WSK55" s="936"/>
      <c r="WSL55" s="936"/>
      <c r="WSM55" s="936"/>
      <c r="WSN55" s="936"/>
      <c r="WSO55" s="936"/>
      <c r="WSP55" s="936"/>
      <c r="WSQ55" s="936"/>
      <c r="WSR55" s="936"/>
      <c r="WSS55" s="936"/>
      <c r="WST55" s="936"/>
      <c r="WSU55" s="936"/>
      <c r="WSV55" s="936"/>
      <c r="WSW55" s="936"/>
      <c r="WSX55" s="936"/>
      <c r="WSY55" s="936"/>
      <c r="WSZ55" s="936"/>
      <c r="WTA55" s="936"/>
      <c r="WTB55" s="936"/>
      <c r="WTC55" s="936"/>
      <c r="WTD55" s="936"/>
      <c r="WTE55" s="936"/>
      <c r="WTF55" s="936"/>
      <c r="WTG55" s="936"/>
      <c r="WTH55" s="936"/>
      <c r="WTI55" s="936"/>
      <c r="WTJ55" s="936"/>
      <c r="WTK55" s="936"/>
      <c r="WTL55" s="936"/>
      <c r="WTM55" s="936"/>
      <c r="WTN55" s="936"/>
      <c r="WTO55" s="936"/>
      <c r="WTP55" s="936"/>
      <c r="WTQ55" s="936"/>
      <c r="WTR55" s="936"/>
      <c r="WTS55" s="936"/>
      <c r="WTT55" s="936"/>
      <c r="WTU55" s="936"/>
      <c r="WTV55" s="936"/>
      <c r="WTW55" s="936"/>
      <c r="WTX55" s="936"/>
      <c r="WTY55" s="936"/>
      <c r="WTZ55" s="936"/>
      <c r="WUA55" s="936"/>
      <c r="WUB55" s="936"/>
      <c r="WUC55" s="936"/>
      <c r="WUD55" s="936"/>
      <c r="WUE55" s="936"/>
      <c r="WUF55" s="936"/>
      <c r="WUG55" s="936"/>
      <c r="WUH55" s="936"/>
      <c r="WUI55" s="936"/>
      <c r="WUJ55" s="936"/>
      <c r="WUK55" s="936"/>
      <c r="WUL55" s="936"/>
      <c r="WUM55" s="936"/>
      <c r="WUN55" s="936"/>
      <c r="WUO55" s="936"/>
      <c r="WUP55" s="936"/>
      <c r="WUQ55" s="936"/>
      <c r="WUR55" s="936"/>
      <c r="WUS55" s="936"/>
      <c r="WUT55" s="936"/>
      <c r="WUU55" s="936"/>
      <c r="WUV55" s="936"/>
      <c r="WUW55" s="936"/>
      <c r="WUX55" s="936"/>
      <c r="WUY55" s="936"/>
      <c r="WUZ55" s="936"/>
      <c r="WVA55" s="936"/>
      <c r="WVB55" s="936"/>
      <c r="WVC55" s="936"/>
      <c r="WVD55" s="936"/>
      <c r="WVE55" s="936"/>
      <c r="WVF55" s="936"/>
      <c r="WVG55" s="936"/>
      <c r="WVH55" s="936"/>
      <c r="WVI55" s="936"/>
      <c r="WVJ55" s="936"/>
      <c r="WVK55" s="936"/>
      <c r="WVL55" s="936"/>
      <c r="WVM55" s="936"/>
      <c r="WVN55" s="936"/>
      <c r="WVO55" s="936"/>
      <c r="WVP55" s="936"/>
      <c r="WVQ55" s="936"/>
      <c r="WVR55" s="936"/>
      <c r="WVS55" s="936"/>
      <c r="WVT55" s="936"/>
      <c r="WVU55" s="936"/>
      <c r="WVV55" s="936"/>
      <c r="WVW55" s="936"/>
      <c r="WVX55" s="936"/>
      <c r="WVY55" s="936"/>
      <c r="WVZ55" s="936"/>
      <c r="WWA55" s="936"/>
      <c r="WWB55" s="936"/>
      <c r="WWC55" s="936"/>
      <c r="WWD55" s="936"/>
      <c r="WWE55" s="936"/>
      <c r="WWF55" s="936"/>
      <c r="WWG55" s="936"/>
      <c r="WWH55" s="936"/>
      <c r="WWI55" s="936"/>
      <c r="WWJ55" s="936"/>
      <c r="WWK55" s="936"/>
      <c r="WWL55" s="936"/>
      <c r="WWM55" s="936"/>
      <c r="WWN55" s="936"/>
      <c r="WWO55" s="936"/>
      <c r="WWP55" s="936"/>
      <c r="WWQ55" s="936"/>
      <c r="WWR55" s="936"/>
      <c r="WWS55" s="936"/>
      <c r="WWT55" s="936"/>
      <c r="WWU55" s="936"/>
      <c r="WWV55" s="936"/>
      <c r="WWW55" s="936"/>
      <c r="WWX55" s="936"/>
      <c r="WWY55" s="936"/>
      <c r="WWZ55" s="936"/>
      <c r="WXA55" s="936"/>
      <c r="WXB55" s="936"/>
      <c r="WXC55" s="936"/>
      <c r="WXD55" s="936"/>
      <c r="WXE55" s="936"/>
      <c r="WXF55" s="936"/>
      <c r="WXG55" s="936"/>
      <c r="WXH55" s="936"/>
      <c r="WXI55" s="936"/>
      <c r="WXJ55" s="936"/>
      <c r="WXK55" s="936"/>
      <c r="WXL55" s="936"/>
      <c r="WXM55" s="936"/>
      <c r="WXN55" s="936"/>
      <c r="WXO55" s="936"/>
      <c r="WXP55" s="936"/>
      <c r="WXQ55" s="936"/>
      <c r="WXR55" s="936"/>
      <c r="WXS55" s="936"/>
      <c r="WXT55" s="936"/>
      <c r="WXU55" s="936"/>
      <c r="WXV55" s="936"/>
      <c r="WXW55" s="936"/>
      <c r="WXX55" s="936"/>
      <c r="WXY55" s="936"/>
      <c r="WXZ55" s="936"/>
      <c r="WYA55" s="936"/>
      <c r="WYB55" s="936"/>
      <c r="WYC55" s="936"/>
      <c r="WYD55" s="936"/>
      <c r="WYE55" s="936"/>
      <c r="WYF55" s="936"/>
      <c r="WYG55" s="936"/>
      <c r="WYH55" s="936"/>
      <c r="WYI55" s="936"/>
      <c r="WYJ55" s="936"/>
      <c r="WYK55" s="936"/>
      <c r="WYL55" s="936"/>
      <c r="WYM55" s="936"/>
      <c r="WYN55" s="936"/>
      <c r="WYO55" s="936"/>
      <c r="WYP55" s="936"/>
      <c r="WYQ55" s="936"/>
      <c r="WYR55" s="936"/>
      <c r="WYS55" s="936"/>
      <c r="WYT55" s="936"/>
      <c r="WYU55" s="936"/>
      <c r="WYV55" s="936"/>
      <c r="WYW55" s="936"/>
      <c r="WYX55" s="936"/>
      <c r="WYY55" s="936"/>
      <c r="WYZ55" s="936"/>
      <c r="WZA55" s="936"/>
      <c r="WZB55" s="936"/>
      <c r="WZC55" s="936"/>
      <c r="WZD55" s="936"/>
      <c r="WZE55" s="936"/>
      <c r="WZF55" s="936"/>
      <c r="WZG55" s="936"/>
      <c r="WZH55" s="936"/>
      <c r="WZI55" s="936"/>
      <c r="WZJ55" s="936"/>
      <c r="WZK55" s="936"/>
      <c r="WZL55" s="936"/>
      <c r="WZM55" s="936"/>
      <c r="WZN55" s="936"/>
      <c r="WZO55" s="936"/>
      <c r="WZP55" s="936"/>
      <c r="WZQ55" s="936"/>
      <c r="WZR55" s="936"/>
      <c r="WZS55" s="936"/>
      <c r="WZT55" s="936"/>
      <c r="WZU55" s="936"/>
      <c r="WZV55" s="936"/>
      <c r="WZW55" s="936"/>
      <c r="WZX55" s="936"/>
      <c r="WZY55" s="936"/>
      <c r="WZZ55" s="936"/>
      <c r="XAA55" s="936"/>
      <c r="XAB55" s="936"/>
      <c r="XAC55" s="936"/>
      <c r="XAD55" s="936"/>
      <c r="XAE55" s="936"/>
      <c r="XAF55" s="936"/>
      <c r="XAG55" s="936"/>
      <c r="XAH55" s="936"/>
      <c r="XAI55" s="936"/>
      <c r="XAJ55" s="936"/>
      <c r="XAK55" s="936"/>
      <c r="XAL55" s="936"/>
      <c r="XAM55" s="936"/>
      <c r="XAN55" s="936"/>
      <c r="XAO55" s="936"/>
      <c r="XAP55" s="936"/>
      <c r="XAQ55" s="936"/>
      <c r="XAR55" s="936"/>
      <c r="XAS55" s="936"/>
      <c r="XAT55" s="936"/>
      <c r="XAU55" s="936"/>
      <c r="XAV55" s="936"/>
      <c r="XAW55" s="936"/>
      <c r="XAX55" s="936"/>
      <c r="XAY55" s="936"/>
      <c r="XAZ55" s="936"/>
      <c r="XBA55" s="936"/>
      <c r="XBB55" s="936"/>
      <c r="XBC55" s="936"/>
      <c r="XBD55" s="936"/>
      <c r="XBE55" s="936"/>
      <c r="XBF55" s="936"/>
      <c r="XBG55" s="936"/>
      <c r="XBH55" s="936"/>
      <c r="XBI55" s="936"/>
      <c r="XBJ55" s="936"/>
      <c r="XBK55" s="936"/>
      <c r="XBL55" s="936"/>
      <c r="XBM55" s="936"/>
      <c r="XBN55" s="936"/>
      <c r="XBO55" s="936"/>
      <c r="XBP55" s="936"/>
      <c r="XBQ55" s="936"/>
      <c r="XBR55" s="936"/>
      <c r="XBS55" s="936"/>
      <c r="XBT55" s="936"/>
      <c r="XBU55" s="936"/>
      <c r="XBV55" s="936"/>
      <c r="XBW55" s="936"/>
      <c r="XBX55" s="936"/>
      <c r="XBY55" s="936"/>
      <c r="XBZ55" s="936"/>
      <c r="XCA55" s="936"/>
      <c r="XCB55" s="936"/>
      <c r="XCC55" s="936"/>
      <c r="XCD55" s="936"/>
      <c r="XCE55" s="936"/>
      <c r="XCF55" s="936"/>
      <c r="XCG55" s="936"/>
      <c r="XCH55" s="936"/>
      <c r="XCI55" s="936"/>
      <c r="XCJ55" s="936"/>
      <c r="XCK55" s="936"/>
      <c r="XCL55" s="936"/>
      <c r="XCM55" s="936"/>
      <c r="XCN55" s="936"/>
      <c r="XCO55" s="936"/>
      <c r="XCP55" s="936"/>
      <c r="XCQ55" s="936"/>
      <c r="XCR55" s="936"/>
      <c r="XCS55" s="936"/>
      <c r="XCT55" s="936"/>
      <c r="XCU55" s="936"/>
      <c r="XCV55" s="936"/>
      <c r="XCW55" s="936"/>
      <c r="XCX55" s="936"/>
      <c r="XCY55" s="936"/>
      <c r="XCZ55" s="936"/>
      <c r="XDA55" s="936"/>
      <c r="XDB55" s="936"/>
      <c r="XDC55" s="936"/>
      <c r="XDD55" s="936"/>
      <c r="XDE55" s="936"/>
      <c r="XDF55" s="936"/>
      <c r="XDG55" s="936"/>
      <c r="XDH55" s="936"/>
      <c r="XDI55" s="936"/>
      <c r="XDJ55" s="936"/>
      <c r="XDK55" s="936"/>
      <c r="XDL55" s="936"/>
      <c r="XDM55" s="936"/>
      <c r="XDN55" s="936"/>
      <c r="XDO55" s="936"/>
      <c r="XDP55" s="936"/>
      <c r="XDQ55" s="936"/>
      <c r="XDR55" s="936"/>
      <c r="XDS55" s="936"/>
      <c r="XDT55" s="936"/>
      <c r="XDU55" s="936"/>
      <c r="XDV55" s="936"/>
      <c r="XDW55" s="936"/>
      <c r="XDX55" s="936"/>
      <c r="XDY55" s="936"/>
      <c r="XDZ55" s="936"/>
      <c r="XEA55" s="936"/>
      <c r="XEB55" s="936"/>
      <c r="XEC55" s="936"/>
      <c r="XED55" s="936"/>
      <c r="XEE55" s="936"/>
      <c r="XEF55" s="936"/>
      <c r="XEG55" s="936"/>
      <c r="XEH55" s="936"/>
      <c r="XEI55" s="936"/>
      <c r="XEJ55" s="936"/>
      <c r="XEK55" s="936"/>
      <c r="XEL55" s="936"/>
      <c r="XEM55" s="936"/>
      <c r="XEN55" s="936"/>
      <c r="XEO55" s="936"/>
      <c r="XEP55" s="936"/>
      <c r="XEQ55" s="936"/>
      <c r="XER55" s="936"/>
      <c r="XES55" s="936"/>
      <c r="XET55" s="936"/>
      <c r="XEU55" s="936"/>
      <c r="XEV55" s="936"/>
      <c r="XEW55" s="936"/>
      <c r="XEX55" s="936"/>
      <c r="XEY55" s="936"/>
      <c r="XEZ55" s="936"/>
      <c r="XFA55" s="936"/>
      <c r="XFB55" s="936"/>
      <c r="XFC55" s="936"/>
      <c r="XFD55" s="936"/>
    </row>
    <row r="56" spans="1:16384" s="905" customFormat="1" ht="14.25">
      <c r="A56" s="903"/>
      <c r="B56" s="904" t="s">
        <v>1044</v>
      </c>
      <c r="C56" s="904"/>
      <c r="D56" s="903" t="s">
        <v>335</v>
      </c>
      <c r="F56" s="933"/>
      <c r="G56" s="953">
        <f>'Data dubieuze debiteuren'!G148</f>
        <v>0</v>
      </c>
      <c r="H56" s="953">
        <f>'Data dubieuze debiteuren'!H148</f>
        <v>0</v>
      </c>
      <c r="I56" s="953">
        <f>'Data dubieuze debiteuren'!I148</f>
        <v>93179875.565403104</v>
      </c>
      <c r="J56" s="953">
        <f>'Data dubieuze debiteuren'!J148</f>
        <v>1114712049.4485216</v>
      </c>
      <c r="K56" s="953">
        <f>'Data dubieuze debiteuren'!K148</f>
        <v>1062585671.0900681</v>
      </c>
      <c r="L56" s="953">
        <f>'Data dubieuze debiteuren'!L148</f>
        <v>0</v>
      </c>
      <c r="M56" s="953">
        <f>'Data dubieuze debiteuren'!M148</f>
        <v>0</v>
      </c>
      <c r="N56" s="953">
        <f>'Data dubieuze debiteuren'!N148</f>
        <v>51138500.858057149</v>
      </c>
    </row>
    <row r="57" spans="1:16384" s="905" customFormat="1" ht="14.25">
      <c r="A57" s="903"/>
      <c r="B57" s="904" t="s">
        <v>1045</v>
      </c>
      <c r="C57" s="904"/>
      <c r="D57" s="903" t="s">
        <v>336</v>
      </c>
      <c r="E57" s="928"/>
      <c r="F57" s="944"/>
      <c r="G57" s="953">
        <f>'Data dubieuze debiteuren'!G149</f>
        <v>0</v>
      </c>
      <c r="H57" s="953">
        <f>'Data dubieuze debiteuren'!H149</f>
        <v>0</v>
      </c>
      <c r="I57" s="953">
        <f>'Data dubieuze debiteuren'!I149</f>
        <v>95767363.939788759</v>
      </c>
      <c r="J57" s="953">
        <f>'Data dubieuze debiteuren'!J149</f>
        <v>1193203416.3117929</v>
      </c>
      <c r="K57" s="953">
        <f>'Data dubieuze debiteuren'!K149</f>
        <v>0</v>
      </c>
      <c r="L57" s="953">
        <f>'Data dubieuze debiteuren'!L149</f>
        <v>0</v>
      </c>
      <c r="M57" s="953">
        <f>'Data dubieuze debiteuren'!M149</f>
        <v>0</v>
      </c>
      <c r="N57" s="953">
        <f>'Data dubieuze debiteuren'!N149</f>
        <v>55337719.616803363</v>
      </c>
      <c r="P57" s="928"/>
    </row>
    <row r="58" spans="1:16384" s="905" customFormat="1" ht="14.25">
      <c r="A58" s="903"/>
      <c r="B58" s="904" t="s">
        <v>1046</v>
      </c>
      <c r="C58" s="904"/>
      <c r="D58" s="903" t="s">
        <v>337</v>
      </c>
      <c r="E58" s="928"/>
      <c r="F58" s="944"/>
      <c r="G58" s="953">
        <f>'Data dubieuze debiteuren'!G150</f>
        <v>0</v>
      </c>
      <c r="H58" s="953">
        <f>'Data dubieuze debiteuren'!H150</f>
        <v>0</v>
      </c>
      <c r="I58" s="953">
        <f>'Data dubieuze debiteuren'!I150</f>
        <v>102054343.55670802</v>
      </c>
      <c r="J58" s="953">
        <f>'Data dubieuze debiteuren'!J150</f>
        <v>1225507105.6520903</v>
      </c>
      <c r="K58" s="953">
        <f>'Data dubieuze debiteuren'!K150</f>
        <v>0</v>
      </c>
      <c r="L58" s="953">
        <f>'Data dubieuze debiteuren'!L150</f>
        <v>0</v>
      </c>
      <c r="M58" s="953">
        <f>'Data dubieuze debiteuren'!M150</f>
        <v>0</v>
      </c>
      <c r="N58" s="953">
        <f>'Data dubieuze debiteuren'!N150</f>
        <v>62997395.719044387</v>
      </c>
      <c r="P58" s="928"/>
    </row>
    <row r="60" spans="1:16384" s="916" customFormat="1">
      <c r="B60" s="917" t="s">
        <v>1047</v>
      </c>
      <c r="F60" s="955"/>
      <c r="G60" s="956"/>
      <c r="H60" s="956"/>
      <c r="I60" s="956"/>
      <c r="J60" s="956"/>
      <c r="K60" s="956"/>
      <c r="L60" s="956"/>
      <c r="M60" s="956"/>
      <c r="N60" s="956"/>
      <c r="O60" s="956"/>
      <c r="P60" s="956"/>
    </row>
    <row r="61" spans="1:16384">
      <c r="B61" s="936" t="s">
        <v>1048</v>
      </c>
      <c r="C61" s="961"/>
      <c r="D61" s="961"/>
    </row>
    <row r="62" spans="1:16384">
      <c r="B62" s="964" t="s">
        <v>1049</v>
      </c>
      <c r="C62" s="961"/>
      <c r="D62" s="961"/>
    </row>
    <row r="63" spans="1:16384">
      <c r="B63" s="943" t="s">
        <v>1050</v>
      </c>
      <c r="C63" s="961"/>
      <c r="D63" s="961"/>
    </row>
    <row r="64" spans="1:16384">
      <c r="B64" s="904"/>
      <c r="C64" s="961"/>
      <c r="D64" s="961"/>
      <c r="F64" s="962"/>
      <c r="N64" s="962"/>
    </row>
    <row r="65" spans="2:16">
      <c r="B65" s="904" t="s">
        <v>1051</v>
      </c>
      <c r="C65" s="961"/>
      <c r="D65" s="903" t="s">
        <v>335</v>
      </c>
      <c r="F65" s="962"/>
      <c r="G65" s="115"/>
      <c r="H65" s="115"/>
      <c r="I65" s="115">
        <f>(I9+I14)*(I42/I56)</f>
        <v>130681.04661508219</v>
      </c>
      <c r="J65" s="115">
        <f t="shared" ref="I65:J67" si="0">(J9+J14)*(J42/J56)</f>
        <v>0</v>
      </c>
      <c r="K65" s="115"/>
      <c r="L65" s="115"/>
      <c r="M65" s="115"/>
      <c r="N65" s="115">
        <f>(N9+N14)*(N42/N56)</f>
        <v>0</v>
      </c>
    </row>
    <row r="66" spans="2:16">
      <c r="B66" s="904" t="s">
        <v>1052</v>
      </c>
      <c r="C66" s="961"/>
      <c r="D66" s="903" t="s">
        <v>336</v>
      </c>
      <c r="F66" s="962"/>
      <c r="G66" s="115"/>
      <c r="H66" s="115"/>
      <c r="I66" s="115">
        <f t="shared" si="0"/>
        <v>146458.59077682366</v>
      </c>
      <c r="J66" s="115">
        <f>(J10+J15)*(J43/J57)</f>
        <v>778591.92990003177</v>
      </c>
      <c r="K66" s="115"/>
      <c r="L66" s="115"/>
      <c r="M66" s="115"/>
      <c r="N66" s="115">
        <f>(N10+N15)*(N43/N57)</f>
        <v>0</v>
      </c>
      <c r="P66" s="965"/>
    </row>
    <row r="67" spans="2:16">
      <c r="B67" s="904" t="s">
        <v>1053</v>
      </c>
      <c r="C67" s="961"/>
      <c r="D67" s="903" t="s">
        <v>337</v>
      </c>
      <c r="F67" s="962"/>
      <c r="G67" s="115"/>
      <c r="H67" s="115"/>
      <c r="I67" s="115">
        <f t="shared" si="0"/>
        <v>163121.95004177393</v>
      </c>
      <c r="J67" s="115">
        <f t="shared" si="0"/>
        <v>2508338.4880316001</v>
      </c>
      <c r="K67" s="115"/>
      <c r="L67" s="115"/>
      <c r="M67" s="115"/>
      <c r="N67" s="115">
        <f>(N11+N16)*(N44/N58)</f>
        <v>0</v>
      </c>
    </row>
    <row r="68" spans="2:16">
      <c r="B68" s="922"/>
      <c r="C68" s="961"/>
      <c r="D68" s="903"/>
      <c r="F68" s="962"/>
      <c r="G68" s="962"/>
      <c r="H68" s="962"/>
      <c r="I68" s="962"/>
      <c r="J68" s="962"/>
      <c r="K68" s="962"/>
      <c r="L68" s="962"/>
      <c r="M68" s="962"/>
      <c r="N68" s="962"/>
    </row>
    <row r="69" spans="2:16">
      <c r="B69" s="904" t="s">
        <v>1054</v>
      </c>
      <c r="C69" s="961"/>
      <c r="D69" s="903" t="s">
        <v>335</v>
      </c>
      <c r="F69" s="962"/>
      <c r="G69" s="115"/>
      <c r="H69" s="115"/>
      <c r="I69" s="115">
        <f t="shared" ref="I69:J71" si="1">(I9+I14)*(I46/I56)</f>
        <v>245972.21058625169</v>
      </c>
      <c r="J69" s="115">
        <f t="shared" si="1"/>
        <v>0</v>
      </c>
      <c r="K69" s="115"/>
      <c r="L69" s="115"/>
      <c r="M69" s="115"/>
      <c r="N69" s="115">
        <f>(N9+N14)*(N46/N56)</f>
        <v>0</v>
      </c>
    </row>
    <row r="70" spans="2:16">
      <c r="B70" s="904" t="s">
        <v>1055</v>
      </c>
      <c r="C70" s="961"/>
      <c r="D70" s="903" t="s">
        <v>336</v>
      </c>
      <c r="F70" s="962"/>
      <c r="G70" s="115"/>
      <c r="H70" s="115"/>
      <c r="I70" s="115">
        <f t="shared" si="1"/>
        <v>262875.06765063881</v>
      </c>
      <c r="J70" s="115">
        <f t="shared" si="1"/>
        <v>264469.92536360439</v>
      </c>
      <c r="K70" s="115"/>
      <c r="L70" s="115"/>
      <c r="M70" s="115"/>
      <c r="N70" s="115">
        <f>(N10+N15)*(N47/N57)</f>
        <v>0</v>
      </c>
      <c r="P70" s="965"/>
    </row>
    <row r="71" spans="2:16">
      <c r="B71" s="904" t="s">
        <v>1056</v>
      </c>
      <c r="C71" s="961"/>
      <c r="D71" s="903" t="s">
        <v>337</v>
      </c>
      <c r="F71" s="962"/>
      <c r="G71" s="115"/>
      <c r="H71" s="115"/>
      <c r="I71" s="115">
        <f t="shared" si="1"/>
        <v>279128.49749486631</v>
      </c>
      <c r="J71" s="115">
        <f t="shared" si="1"/>
        <v>834318.88587106334</v>
      </c>
      <c r="K71" s="115"/>
      <c r="L71" s="115"/>
      <c r="M71" s="115"/>
      <c r="N71" s="115">
        <f>(N11+N16)*(N48/N58)</f>
        <v>0</v>
      </c>
    </row>
    <row r="72" spans="2:16">
      <c r="B72" s="922"/>
      <c r="C72" s="961"/>
      <c r="D72" s="961"/>
      <c r="F72" s="962"/>
      <c r="G72" s="962"/>
      <c r="H72" s="962"/>
      <c r="I72" s="962"/>
      <c r="J72" s="962"/>
      <c r="K72" s="962"/>
      <c r="L72" s="962"/>
      <c r="M72" s="962"/>
      <c r="N72" s="962"/>
    </row>
    <row r="73" spans="2:16" s="916" customFormat="1">
      <c r="B73" s="917" t="s">
        <v>1057</v>
      </c>
      <c r="F73" s="955"/>
      <c r="G73" s="956"/>
      <c r="H73" s="956"/>
      <c r="I73" s="956"/>
      <c r="J73" s="956"/>
      <c r="K73" s="956"/>
      <c r="L73" s="956"/>
      <c r="M73" s="956"/>
      <c r="N73" s="956"/>
      <c r="O73" s="956"/>
      <c r="P73" s="956"/>
    </row>
    <row r="74" spans="2:16">
      <c r="B74" s="936" t="s">
        <v>1048</v>
      </c>
      <c r="C74" s="961"/>
      <c r="D74" s="961"/>
    </row>
    <row r="75" spans="2:16">
      <c r="B75" s="943" t="s">
        <v>1050</v>
      </c>
      <c r="C75" s="961"/>
      <c r="D75" s="961"/>
    </row>
    <row r="76" spans="2:16">
      <c r="B76" s="904"/>
      <c r="C76" s="961"/>
      <c r="D76" s="961"/>
      <c r="F76" s="962"/>
      <c r="N76" s="962"/>
    </row>
    <row r="77" spans="2:16">
      <c r="B77" s="904" t="s">
        <v>1051</v>
      </c>
      <c r="C77" s="961"/>
      <c r="D77" s="903" t="s">
        <v>335</v>
      </c>
      <c r="F77" s="962"/>
      <c r="G77" s="115"/>
      <c r="H77" s="115"/>
      <c r="I77" s="115">
        <f t="shared" ref="I77:J79" si="2">I19*(I42/(I46+I42))</f>
        <v>0</v>
      </c>
      <c r="J77" s="115">
        <f t="shared" si="2"/>
        <v>0</v>
      </c>
      <c r="K77" s="115"/>
      <c r="L77" s="115"/>
      <c r="M77" s="115"/>
      <c r="N77" s="115">
        <f>N19*(N42/(N46+N42))</f>
        <v>0</v>
      </c>
    </row>
    <row r="78" spans="2:16">
      <c r="B78" s="904" t="s">
        <v>1052</v>
      </c>
      <c r="C78" s="961"/>
      <c r="D78" s="903" t="s">
        <v>336</v>
      </c>
      <c r="F78" s="962"/>
      <c r="G78" s="115"/>
      <c r="H78" s="115"/>
      <c r="I78" s="115">
        <f t="shared" si="2"/>
        <v>0</v>
      </c>
      <c r="J78" s="115">
        <f t="shared" si="2"/>
        <v>0</v>
      </c>
      <c r="K78" s="115"/>
      <c r="L78" s="115"/>
      <c r="M78" s="115"/>
      <c r="N78" s="115">
        <f>N20*(N43/(N47+N43))</f>
        <v>74882.484242333376</v>
      </c>
      <c r="P78" s="965"/>
    </row>
    <row r="79" spans="2:16">
      <c r="B79" s="904" t="s">
        <v>1053</v>
      </c>
      <c r="C79" s="961"/>
      <c r="D79" s="903" t="s">
        <v>337</v>
      </c>
      <c r="F79" s="962"/>
      <c r="G79" s="115"/>
      <c r="H79" s="115"/>
      <c r="I79" s="115">
        <f t="shared" si="2"/>
        <v>0</v>
      </c>
      <c r="J79" s="115">
        <f t="shared" si="2"/>
        <v>0</v>
      </c>
      <c r="K79" s="115"/>
      <c r="L79" s="115"/>
      <c r="M79" s="115"/>
      <c r="N79" s="115">
        <f>N21*(N44/(N48+N44))</f>
        <v>0</v>
      </c>
    </row>
    <row r="80" spans="2:16">
      <c r="B80" s="922"/>
      <c r="C80" s="961"/>
      <c r="D80" s="903"/>
      <c r="F80" s="962"/>
      <c r="G80" s="28"/>
      <c r="H80" s="28"/>
      <c r="I80" s="28"/>
      <c r="J80" s="28"/>
      <c r="K80" s="28"/>
      <c r="L80" s="28"/>
      <c r="M80" s="28"/>
      <c r="N80" s="28"/>
    </row>
    <row r="81" spans="2:16">
      <c r="B81" s="904" t="s">
        <v>1054</v>
      </c>
      <c r="C81" s="961"/>
      <c r="D81" s="903" t="s">
        <v>335</v>
      </c>
      <c r="F81" s="962"/>
      <c r="G81" s="115"/>
      <c r="H81" s="115"/>
      <c r="I81" s="115">
        <f t="shared" ref="I81:J83" si="3">I19*(I46/(I46+I42))</f>
        <v>0</v>
      </c>
      <c r="J81" s="115">
        <f t="shared" si="3"/>
        <v>0</v>
      </c>
      <c r="K81" s="115"/>
      <c r="L81" s="115"/>
      <c r="M81" s="115"/>
      <c r="N81" s="115">
        <f>N19*(N46/(N46+N42))</f>
        <v>0</v>
      </c>
    </row>
    <row r="82" spans="2:16">
      <c r="B82" s="904" t="s">
        <v>1055</v>
      </c>
      <c r="C82" s="961"/>
      <c r="D82" s="903" t="s">
        <v>336</v>
      </c>
      <c r="F82" s="962"/>
      <c r="G82" s="115"/>
      <c r="H82" s="115"/>
      <c r="I82" s="115">
        <f t="shared" si="3"/>
        <v>0</v>
      </c>
      <c r="J82" s="115">
        <f t="shared" si="3"/>
        <v>0</v>
      </c>
      <c r="K82" s="981"/>
      <c r="L82" s="115"/>
      <c r="M82" s="115"/>
      <c r="N82" s="115">
        <f>N20*(N47/(N47+N43))</f>
        <v>28117.515757666621</v>
      </c>
      <c r="P82" s="965"/>
    </row>
    <row r="83" spans="2:16">
      <c r="B83" s="904" t="s">
        <v>1056</v>
      </c>
      <c r="C83" s="961"/>
      <c r="D83" s="903" t="s">
        <v>337</v>
      </c>
      <c r="F83" s="962"/>
      <c r="G83" s="115"/>
      <c r="H83" s="115"/>
      <c r="I83" s="115">
        <f t="shared" si="3"/>
        <v>0</v>
      </c>
      <c r="J83" s="115">
        <f t="shared" si="3"/>
        <v>0</v>
      </c>
      <c r="K83" s="115"/>
      <c r="L83" s="115"/>
      <c r="M83" s="115"/>
      <c r="N83" s="115">
        <f>N21*(N48/(N48+N44))</f>
        <v>0</v>
      </c>
    </row>
    <row r="84" spans="2:16">
      <c r="B84" s="922"/>
      <c r="C84" s="961"/>
      <c r="D84" s="961"/>
      <c r="F84" s="962"/>
      <c r="G84" s="962"/>
      <c r="H84" s="962"/>
      <c r="I84" s="962"/>
      <c r="J84" s="962"/>
      <c r="K84" s="962"/>
      <c r="L84" s="962"/>
      <c r="M84" s="962"/>
      <c r="N84" s="962"/>
    </row>
    <row r="85" spans="2:16" s="916" customFormat="1">
      <c r="B85" s="966" t="s">
        <v>1058</v>
      </c>
      <c r="F85" s="955"/>
      <c r="G85" s="956"/>
      <c r="H85" s="956"/>
      <c r="I85" s="956"/>
      <c r="J85" s="956"/>
      <c r="K85" s="956"/>
      <c r="L85" s="956"/>
      <c r="M85" s="956"/>
      <c r="N85" s="956"/>
      <c r="O85" s="956"/>
      <c r="P85" s="956"/>
    </row>
    <row r="86" spans="2:16">
      <c r="B86" s="967" t="s">
        <v>1048</v>
      </c>
      <c r="C86" s="961"/>
      <c r="D86" s="961"/>
    </row>
    <row r="87" spans="2:16">
      <c r="B87" s="968" t="s">
        <v>1059</v>
      </c>
      <c r="C87" s="961"/>
      <c r="D87" s="961"/>
    </row>
    <row r="88" spans="2:16">
      <c r="B88" s="968" t="s">
        <v>1060</v>
      </c>
      <c r="C88" s="961"/>
      <c r="D88" s="961"/>
    </row>
    <row r="89" spans="2:16">
      <c r="B89" s="968"/>
      <c r="C89" s="961"/>
      <c r="D89" s="961"/>
    </row>
    <row r="90" spans="2:16">
      <c r="B90" s="969" t="s">
        <v>1072</v>
      </c>
      <c r="C90" s="961"/>
      <c r="D90" s="961"/>
      <c r="F90" s="919"/>
      <c r="G90" s="970"/>
      <c r="H90" s="970"/>
      <c r="I90" s="970"/>
      <c r="J90" s="970"/>
      <c r="K90" s="970"/>
      <c r="L90" s="970"/>
      <c r="M90" s="970"/>
      <c r="N90" s="970"/>
    </row>
    <row r="91" spans="2:16">
      <c r="B91" s="904" t="s">
        <v>1051</v>
      </c>
      <c r="C91" s="961"/>
      <c r="D91" s="903" t="s">
        <v>335</v>
      </c>
      <c r="F91" s="962"/>
      <c r="G91" s="963">
        <f>G24+G65+G77</f>
        <v>119000</v>
      </c>
      <c r="H91" s="963">
        <f t="shared" ref="H91:N91" si="4">H24+H65+H77</f>
        <v>130000</v>
      </c>
      <c r="I91" s="963">
        <f t="shared" si="4"/>
        <v>130681.04661508219</v>
      </c>
      <c r="J91" s="963">
        <f>J24+J65+J77</f>
        <v>2006000</v>
      </c>
      <c r="K91" s="963">
        <f t="shared" si="4"/>
        <v>4095000</v>
      </c>
      <c r="L91" s="963">
        <f t="shared" si="4"/>
        <v>44046</v>
      </c>
      <c r="M91" s="963">
        <f t="shared" si="4"/>
        <v>6592000</v>
      </c>
      <c r="N91" s="963">
        <f t="shared" si="4"/>
        <v>0</v>
      </c>
    </row>
    <row r="92" spans="2:16">
      <c r="B92" s="904" t="s">
        <v>1052</v>
      </c>
      <c r="C92" s="961"/>
      <c r="D92" s="903" t="s">
        <v>336</v>
      </c>
      <c r="F92" s="962"/>
      <c r="G92" s="963">
        <f t="shared" ref="G92:M93" si="5">G25+G66+G78</f>
        <v>116392</v>
      </c>
      <c r="H92" s="963">
        <f t="shared" si="5"/>
        <v>307300</v>
      </c>
      <c r="I92" s="963">
        <f t="shared" si="5"/>
        <v>146458.59077682366</v>
      </c>
      <c r="J92" s="963">
        <f t="shared" si="5"/>
        <v>778591.92990003177</v>
      </c>
      <c r="K92" s="963">
        <f t="shared" si="5"/>
        <v>3506307.5553520401</v>
      </c>
      <c r="L92" s="963">
        <f t="shared" si="5"/>
        <v>35346</v>
      </c>
      <c r="M92" s="963">
        <f t="shared" si="5"/>
        <v>5217000</v>
      </c>
      <c r="N92" s="963">
        <f>N25+N66+N78</f>
        <v>74882.484242333376</v>
      </c>
      <c r="P92" s="965"/>
    </row>
    <row r="93" spans="2:16">
      <c r="B93" s="904" t="s">
        <v>1053</v>
      </c>
      <c r="C93" s="961"/>
      <c r="D93" s="903" t="s">
        <v>337</v>
      </c>
      <c r="F93" s="962"/>
      <c r="G93" s="963">
        <f t="shared" si="5"/>
        <v>-9612</v>
      </c>
      <c r="H93" s="963">
        <f t="shared" si="5"/>
        <v>0</v>
      </c>
      <c r="I93" s="963">
        <f>I26+I67+I79</f>
        <v>163121.95004177393</v>
      </c>
      <c r="J93" s="982"/>
      <c r="K93" s="963">
        <f t="shared" si="5"/>
        <v>0</v>
      </c>
      <c r="L93" s="963">
        <f t="shared" si="5"/>
        <v>28104</v>
      </c>
      <c r="M93" s="963">
        <f t="shared" si="5"/>
        <v>0</v>
      </c>
      <c r="N93" s="963">
        <f>N26+N67+N79</f>
        <v>105500</v>
      </c>
    </row>
    <row r="94" spans="2:16">
      <c r="B94" s="922"/>
      <c r="C94" s="961"/>
      <c r="D94" s="903"/>
      <c r="F94" s="962"/>
      <c r="G94" s="970"/>
      <c r="H94" s="970"/>
      <c r="I94" s="970"/>
      <c r="J94" s="970"/>
      <c r="K94" s="970"/>
      <c r="L94" s="970"/>
      <c r="M94" s="970"/>
      <c r="N94" s="970"/>
    </row>
    <row r="95" spans="2:16">
      <c r="B95" s="904" t="s">
        <v>1054</v>
      </c>
      <c r="C95" s="961"/>
      <c r="D95" s="903" t="s">
        <v>335</v>
      </c>
      <c r="F95" s="962"/>
      <c r="G95" s="963">
        <f>G28+G69+G81</f>
        <v>160000</v>
      </c>
      <c r="H95" s="963">
        <f t="shared" ref="H95:N95" si="6">H28+H69+H81</f>
        <v>62000</v>
      </c>
      <c r="I95" s="963">
        <f t="shared" si="6"/>
        <v>290972.21058625169</v>
      </c>
      <c r="J95" s="963">
        <f t="shared" si="6"/>
        <v>837000</v>
      </c>
      <c r="K95" s="963">
        <f t="shared" si="6"/>
        <v>1565000</v>
      </c>
      <c r="L95" s="963">
        <f t="shared" si="6"/>
        <v>51086.58</v>
      </c>
      <c r="M95" s="963">
        <f t="shared" si="6"/>
        <v>2721000</v>
      </c>
      <c r="N95" s="963">
        <f t="shared" si="6"/>
        <v>0</v>
      </c>
    </row>
    <row r="96" spans="2:16">
      <c r="B96" s="904" t="s">
        <v>1055</v>
      </c>
      <c r="C96" s="961"/>
      <c r="D96" s="903" t="s">
        <v>336</v>
      </c>
      <c r="F96" s="962"/>
      <c r="G96" s="963">
        <f t="shared" ref="G96:N97" si="7">G29+G70+G82</f>
        <v>143353</v>
      </c>
      <c r="H96" s="963">
        <f t="shared" si="7"/>
        <v>131700</v>
      </c>
      <c r="I96" s="963">
        <f t="shared" si="7"/>
        <v>262875.06765063881</v>
      </c>
      <c r="J96" s="963">
        <f t="shared" si="7"/>
        <v>442469.92536360439</v>
      </c>
      <c r="K96" s="963">
        <f t="shared" si="7"/>
        <v>1213830</v>
      </c>
      <c r="L96" s="963">
        <f t="shared" si="7"/>
        <v>59420</v>
      </c>
      <c r="M96" s="963">
        <f t="shared" si="7"/>
        <v>2123000</v>
      </c>
      <c r="N96" s="963">
        <f t="shared" si="7"/>
        <v>28117.515757666621</v>
      </c>
      <c r="P96" s="965"/>
    </row>
    <row r="97" spans="2:16">
      <c r="B97" s="904" t="s">
        <v>1056</v>
      </c>
      <c r="C97" s="961"/>
      <c r="D97" s="903" t="s">
        <v>337</v>
      </c>
      <c r="F97" s="962"/>
      <c r="G97" s="963">
        <f t="shared" si="7"/>
        <v>62365</v>
      </c>
      <c r="H97" s="963">
        <f t="shared" si="7"/>
        <v>0</v>
      </c>
      <c r="I97" s="963">
        <f t="shared" si="7"/>
        <v>279128.49749486631</v>
      </c>
      <c r="J97" s="982"/>
      <c r="K97" s="963">
        <f t="shared" si="7"/>
        <v>1011023</v>
      </c>
      <c r="L97" s="963">
        <f t="shared" si="7"/>
        <v>38631</v>
      </c>
      <c r="M97" s="963">
        <f t="shared" si="7"/>
        <v>2388348</v>
      </c>
      <c r="N97" s="963">
        <f>N30+N71+N83</f>
        <v>63300</v>
      </c>
    </row>
    <row r="98" spans="2:16">
      <c r="B98" s="904"/>
      <c r="C98" s="961"/>
      <c r="D98" s="961"/>
      <c r="F98" s="962"/>
      <c r="G98" s="971"/>
      <c r="H98" s="971"/>
      <c r="I98" s="971"/>
      <c r="J98" s="971"/>
      <c r="K98" s="971"/>
      <c r="L98" s="971"/>
      <c r="M98" s="971"/>
      <c r="N98" s="971"/>
    </row>
    <row r="99" spans="2:16">
      <c r="B99" s="972" t="s">
        <v>1061</v>
      </c>
      <c r="C99" s="961"/>
      <c r="D99" s="961"/>
      <c r="F99" s="919"/>
      <c r="G99" s="973"/>
      <c r="H99" s="970"/>
      <c r="I99" s="970"/>
      <c r="J99" s="970"/>
      <c r="K99" s="970"/>
      <c r="L99" s="970"/>
      <c r="M99" s="970"/>
      <c r="N99" s="970"/>
    </row>
    <row r="100" spans="2:16">
      <c r="B100" s="974" t="s">
        <v>1062</v>
      </c>
      <c r="C100" s="961"/>
      <c r="D100" s="903" t="s">
        <v>338</v>
      </c>
      <c r="F100" s="919"/>
      <c r="G100" s="980">
        <f>'BeginInkomsten (obv RV&amp;Tar2013)'!G274</f>
        <v>13104711.018088084</v>
      </c>
      <c r="H100" s="980">
        <f>'BeginInkomsten (obv RV&amp;Tar2013)'!H274</f>
        <v>50593569.589056611</v>
      </c>
      <c r="I100" s="980">
        <f>'BeginInkomsten (obv RV&amp;Tar2013)'!I274</f>
        <v>22839760.802474037</v>
      </c>
      <c r="J100" s="980">
        <f>'BeginInkomsten (obv RV&amp;Tar2013)'!J274</f>
        <v>612920301.49791312</v>
      </c>
      <c r="K100" s="980">
        <f>'BeginInkomsten (obv RV&amp;Tar2013)'!K274</f>
        <v>653564098.87396908</v>
      </c>
      <c r="L100" s="980">
        <f>'BeginInkomsten (obv RV&amp;Tar2013)'!L274</f>
        <v>7653957.0868422622</v>
      </c>
      <c r="M100" s="980">
        <f>'BeginInkomsten (obv RV&amp;Tar2013)'!M274</f>
        <v>441023010.0544154</v>
      </c>
      <c r="N100" s="980">
        <f>'BeginInkomsten (obv RV&amp;Tar2013)'!N274</f>
        <v>16696548.925374772</v>
      </c>
    </row>
    <row r="101" spans="2:16">
      <c r="B101" s="974" t="s">
        <v>1063</v>
      </c>
      <c r="C101" s="961"/>
      <c r="D101" s="903" t="s">
        <v>338</v>
      </c>
      <c r="F101" s="919"/>
      <c r="G101" s="980">
        <f>'BeginInkomsten (obv RV&amp;Tar2013)'!G275</f>
        <v>7135593.5713494718</v>
      </c>
      <c r="H101" s="980">
        <f>'BeginInkomsten (obv RV&amp;Tar2013)'!H275</f>
        <v>25526256.575553939</v>
      </c>
      <c r="I101" s="980">
        <f>'BeginInkomsten (obv RV&amp;Tar2013)'!I275</f>
        <v>15408126.697760299</v>
      </c>
      <c r="J101" s="980">
        <f>'BeginInkomsten (obv RV&amp;Tar2013)'!J275</f>
        <v>389726451.44453156</v>
      </c>
      <c r="K101" s="980">
        <f>'BeginInkomsten (obv RV&amp;Tar2013)'!K275</f>
        <v>387005280.7102648</v>
      </c>
      <c r="L101" s="980">
        <f>'BeginInkomsten (obv RV&amp;Tar2013)'!L275</f>
        <v>5231213.553394082</v>
      </c>
      <c r="M101" s="980">
        <f>'BeginInkomsten (obv RV&amp;Tar2013)'!M275</f>
        <v>295722200.94099373</v>
      </c>
      <c r="N101" s="980">
        <f>'BeginInkomsten (obv RV&amp;Tar2013)'!N275</f>
        <v>30399390.128908794</v>
      </c>
    </row>
    <row r="102" spans="2:16">
      <c r="B102" s="974"/>
      <c r="C102" s="961"/>
      <c r="D102" s="903"/>
      <c r="F102" s="919"/>
      <c r="G102" s="970"/>
      <c r="H102" s="970"/>
      <c r="I102" s="970"/>
      <c r="J102" s="970"/>
      <c r="K102" s="970"/>
      <c r="L102" s="970"/>
      <c r="M102" s="970"/>
      <c r="N102" s="970"/>
    </row>
    <row r="103" spans="2:16">
      <c r="B103" s="967" t="s">
        <v>1060</v>
      </c>
      <c r="C103" s="961"/>
      <c r="D103" s="903"/>
      <c r="F103" s="919"/>
      <c r="G103" s="971"/>
      <c r="H103" s="971"/>
      <c r="I103" s="971"/>
      <c r="J103" s="971"/>
      <c r="K103" s="971"/>
      <c r="L103" s="971"/>
      <c r="M103" s="971"/>
      <c r="N103" s="970"/>
    </row>
    <row r="104" spans="2:16">
      <c r="B104" s="904" t="s">
        <v>1064</v>
      </c>
      <c r="C104" s="961"/>
      <c r="D104" s="903" t="s">
        <v>335</v>
      </c>
      <c r="F104" s="919"/>
      <c r="G104" s="115">
        <f>G91*(G$100/(G$100+G$101))</f>
        <v>77047.289691790982</v>
      </c>
      <c r="H104" s="115">
        <f t="shared" ref="G104:N106" si="8">H91*(H$100/(H$100+H$101))</f>
        <v>86405.400248210222</v>
      </c>
      <c r="I104" s="115">
        <f t="shared" si="8"/>
        <v>78036.305824397496</v>
      </c>
      <c r="J104" s="115">
        <f t="shared" si="8"/>
        <v>1226272.4844982291</v>
      </c>
      <c r="K104" s="115">
        <f t="shared" si="8"/>
        <v>2572000.5195215852</v>
      </c>
      <c r="L104" s="115">
        <f t="shared" si="8"/>
        <v>26163.890511027847</v>
      </c>
      <c r="M104" s="115">
        <f t="shared" si="8"/>
        <v>3946036.755842343</v>
      </c>
      <c r="N104" s="115">
        <f t="shared" si="8"/>
        <v>0</v>
      </c>
    </row>
    <row r="105" spans="2:16">
      <c r="B105" s="904" t="s">
        <v>1065</v>
      </c>
      <c r="C105" s="961"/>
      <c r="D105" s="903" t="s">
        <v>336</v>
      </c>
      <c r="F105" s="919"/>
      <c r="G105" s="115">
        <f t="shared" si="8"/>
        <v>75358.723880730555</v>
      </c>
      <c r="H105" s="115">
        <f t="shared" si="8"/>
        <v>204249.07304826926</v>
      </c>
      <c r="I105" s="115">
        <f t="shared" si="8"/>
        <v>87457.880668300655</v>
      </c>
      <c r="J105" s="115">
        <f t="shared" si="8"/>
        <v>475955.06494954287</v>
      </c>
      <c r="K105" s="115">
        <f t="shared" si="8"/>
        <v>2202252.7115916745</v>
      </c>
      <c r="L105" s="115">
        <f t="shared" si="8"/>
        <v>20995.978613331295</v>
      </c>
      <c r="M105" s="115">
        <f t="shared" si="8"/>
        <v>3122948.0818005921</v>
      </c>
      <c r="N105" s="115">
        <f t="shared" si="8"/>
        <v>26547.491926313054</v>
      </c>
    </row>
    <row r="106" spans="2:16">
      <c r="B106" s="904" t="s">
        <v>1066</v>
      </c>
      <c r="C106" s="961"/>
      <c r="D106" s="903" t="s">
        <v>337</v>
      </c>
      <c r="F106" s="919"/>
      <c r="G106" s="115">
        <f t="shared" si="8"/>
        <v>-6223.3491472058395</v>
      </c>
      <c r="H106" s="115">
        <f t="shared" si="8"/>
        <v>0</v>
      </c>
      <c r="I106" s="115">
        <f t="shared" si="8"/>
        <v>97408.420806623908</v>
      </c>
      <c r="J106" s="982">
        <f>J67</f>
        <v>2508338.4880316001</v>
      </c>
      <c r="K106" s="115">
        <f t="shared" si="8"/>
        <v>0</v>
      </c>
      <c r="L106" s="115">
        <f t="shared" si="8"/>
        <v>16694.137468145273</v>
      </c>
      <c r="M106" s="115">
        <f t="shared" si="8"/>
        <v>0</v>
      </c>
      <c r="N106" s="115">
        <f t="shared" si="8"/>
        <v>37402.076420999278</v>
      </c>
    </row>
    <row r="107" spans="2:16">
      <c r="B107" s="922"/>
      <c r="C107" s="961"/>
      <c r="D107" s="961"/>
      <c r="F107" s="919"/>
      <c r="G107" s="970"/>
      <c r="H107" s="970"/>
      <c r="I107" s="970"/>
      <c r="J107" s="970"/>
      <c r="K107" s="970"/>
      <c r="L107" s="970"/>
      <c r="M107" s="970"/>
      <c r="N107" s="970"/>
    </row>
    <row r="108" spans="2:16" s="916" customFormat="1">
      <c r="B108" s="966" t="s">
        <v>1075</v>
      </c>
      <c r="F108" s="955"/>
      <c r="G108" s="956"/>
      <c r="H108" s="956"/>
      <c r="I108" s="956"/>
      <c r="J108" s="956"/>
      <c r="K108" s="956"/>
      <c r="L108" s="956"/>
      <c r="M108" s="956"/>
      <c r="N108" s="956"/>
      <c r="O108" s="956"/>
      <c r="P108" s="956"/>
    </row>
    <row r="109" spans="2:16">
      <c r="B109" s="967" t="s">
        <v>1048</v>
      </c>
      <c r="C109" s="961"/>
      <c r="D109" s="961"/>
    </row>
    <row r="110" spans="2:16">
      <c r="B110" s="968" t="s">
        <v>1076</v>
      </c>
      <c r="C110" s="961"/>
      <c r="D110" s="961"/>
    </row>
    <row r="111" spans="2:16">
      <c r="B111" s="968"/>
      <c r="C111" s="961"/>
      <c r="D111" s="961"/>
    </row>
    <row r="112" spans="2:16">
      <c r="B112" s="904" t="s">
        <v>1064</v>
      </c>
      <c r="C112" s="961"/>
      <c r="D112" s="903" t="s">
        <v>335</v>
      </c>
      <c r="F112" s="926">
        <f>SUM(G112:N112)</f>
        <v>8194821.3305318067</v>
      </c>
      <c r="G112" s="926">
        <f t="shared" ref="G112:N114" si="9">G104+G33</f>
        <v>77047.289691790982</v>
      </c>
      <c r="H112" s="926">
        <f t="shared" si="9"/>
        <v>86405.400248210222</v>
      </c>
      <c r="I112" s="926">
        <f t="shared" si="9"/>
        <v>78036.305824397496</v>
      </c>
      <c r="J112" s="926">
        <f t="shared" si="9"/>
        <v>1226272.4844982291</v>
      </c>
      <c r="K112" s="926">
        <f t="shared" si="9"/>
        <v>2572000.5195215852</v>
      </c>
      <c r="L112" s="926">
        <f t="shared" si="9"/>
        <v>26163.890511027847</v>
      </c>
      <c r="M112" s="926">
        <f t="shared" si="9"/>
        <v>3946036.755842343</v>
      </c>
      <c r="N112" s="926">
        <f t="shared" si="9"/>
        <v>182858.68439422306</v>
      </c>
    </row>
    <row r="113" spans="2:16">
      <c r="B113" s="904" t="s">
        <v>1065</v>
      </c>
      <c r="C113" s="961"/>
      <c r="D113" s="903" t="s">
        <v>336</v>
      </c>
      <c r="F113" s="926">
        <f>SUM(G113:N113)</f>
        <v>6215765.0064787548</v>
      </c>
      <c r="G113" s="926">
        <f t="shared" si="9"/>
        <v>75358.723880730555</v>
      </c>
      <c r="H113" s="926">
        <f t="shared" si="9"/>
        <v>204249.07304826926</v>
      </c>
      <c r="I113" s="926">
        <f t="shared" si="9"/>
        <v>87457.880668300655</v>
      </c>
      <c r="J113" s="926">
        <f t="shared" si="9"/>
        <v>475955.06494954287</v>
      </c>
      <c r="K113" s="926">
        <f t="shared" si="9"/>
        <v>2202252.7115916745</v>
      </c>
      <c r="L113" s="926">
        <f t="shared" si="9"/>
        <v>20995.978613331295</v>
      </c>
      <c r="M113" s="926">
        <f t="shared" si="9"/>
        <v>3122948.0818005921</v>
      </c>
      <c r="N113" s="926">
        <f t="shared" si="9"/>
        <v>26547.491926313054</v>
      </c>
    </row>
    <row r="114" spans="2:16">
      <c r="B114" s="904" t="s">
        <v>1066</v>
      </c>
      <c r="C114" s="961"/>
      <c r="D114" s="903" t="s">
        <v>337</v>
      </c>
      <c r="F114" s="926">
        <f>SUM(G114:N114)</f>
        <v>6687797.7735801628</v>
      </c>
      <c r="G114" s="926">
        <f t="shared" si="9"/>
        <v>-6223.3491472058395</v>
      </c>
      <c r="H114" s="926">
        <f t="shared" si="9"/>
        <v>1000</v>
      </c>
      <c r="I114" s="926">
        <f t="shared" si="9"/>
        <v>97408.420806623908</v>
      </c>
      <c r="J114" s="926">
        <f t="shared" si="9"/>
        <v>2508338.4880316001</v>
      </c>
      <c r="K114" s="926">
        <f t="shared" si="9"/>
        <v>1905310</v>
      </c>
      <c r="L114" s="926">
        <f t="shared" si="9"/>
        <v>16694.137468145273</v>
      </c>
      <c r="M114" s="926">
        <f t="shared" si="9"/>
        <v>2127868</v>
      </c>
      <c r="N114" s="926">
        <f t="shared" si="9"/>
        <v>37402.076420999278</v>
      </c>
    </row>
    <row r="115" spans="2:16">
      <c r="B115" s="922"/>
      <c r="C115" s="961"/>
      <c r="D115" s="961"/>
      <c r="F115" s="975"/>
      <c r="G115" s="919"/>
      <c r="H115" s="919"/>
      <c r="I115" s="919"/>
      <c r="J115" s="919"/>
      <c r="K115" s="919"/>
      <c r="L115" s="919"/>
      <c r="M115" s="919"/>
      <c r="N115" s="919"/>
    </row>
    <row r="116" spans="2:16" s="916" customFormat="1">
      <c r="B116" s="966" t="s">
        <v>1067</v>
      </c>
      <c r="F116" s="955"/>
      <c r="G116" s="956"/>
      <c r="H116" s="956"/>
      <c r="I116" s="956"/>
      <c r="J116" s="956"/>
      <c r="K116" s="956"/>
      <c r="L116" s="956"/>
      <c r="M116" s="956"/>
      <c r="N116" s="956"/>
      <c r="O116" s="956"/>
      <c r="P116" s="956"/>
    </row>
    <row r="117" spans="2:16">
      <c r="B117" s="903"/>
      <c r="C117" s="961"/>
      <c r="D117" s="961"/>
      <c r="G117" s="970"/>
      <c r="H117" s="970"/>
      <c r="I117" s="970"/>
      <c r="J117" s="970"/>
      <c r="K117" s="970"/>
      <c r="L117" s="970"/>
      <c r="M117" s="970"/>
      <c r="N117" s="970"/>
    </row>
    <row r="118" spans="2:16">
      <c r="B118" s="972" t="s">
        <v>976</v>
      </c>
      <c r="C118" s="961"/>
      <c r="D118" s="961"/>
      <c r="G118" s="970"/>
      <c r="H118" s="970"/>
      <c r="I118" s="970"/>
      <c r="J118" s="970"/>
      <c r="K118" s="970"/>
      <c r="L118" s="970"/>
      <c r="M118" s="970"/>
      <c r="N118" s="970"/>
    </row>
    <row r="119" spans="2:16">
      <c r="B119" s="976" t="s">
        <v>526</v>
      </c>
      <c r="C119" s="961"/>
      <c r="D119" s="903" t="s">
        <v>335</v>
      </c>
      <c r="F119" s="977">
        <f>F112</f>
        <v>8194821.3305318067</v>
      </c>
      <c r="G119" s="970"/>
      <c r="H119" s="970"/>
      <c r="I119" s="970"/>
      <c r="J119" s="970"/>
      <c r="K119" s="970"/>
      <c r="L119" s="970"/>
      <c r="M119" s="970"/>
      <c r="N119" s="970"/>
    </row>
    <row r="120" spans="2:16">
      <c r="B120" s="976" t="s">
        <v>527</v>
      </c>
      <c r="C120" s="961"/>
      <c r="D120" s="903" t="s">
        <v>336</v>
      </c>
      <c r="F120" s="977">
        <f>F113</f>
        <v>6215765.0064787548</v>
      </c>
      <c r="K120" s="978"/>
    </row>
    <row r="121" spans="2:16">
      <c r="B121" s="976" t="s">
        <v>528</v>
      </c>
      <c r="C121" s="961"/>
      <c r="D121" s="903" t="s">
        <v>337</v>
      </c>
      <c r="F121" s="977">
        <f>F114</f>
        <v>6687797.7735801628</v>
      </c>
      <c r="K121" s="978"/>
    </row>
    <row r="122" spans="2:16">
      <c r="B122" s="922"/>
      <c r="C122" s="961"/>
      <c r="D122" s="903"/>
      <c r="F122" s="979"/>
      <c r="K122" s="978"/>
    </row>
  </sheetData>
  <pageMargins left="0.7" right="0.7" top="0.75" bottom="0.75" header="0.3" footer="0.3"/>
  <pageSetup paperSize="9" orientation="portrait" r:id="rId1"/>
  <ignoredErrors>
    <ignoredError sqref="I70:J71 I69:J69 N70:N71 N69"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enableFormatConditionsCalculation="0">
    <tabColor indexed="43"/>
  </sheetPr>
  <dimension ref="B1:P199"/>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2"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36">
      <c r="B2" s="193" t="s">
        <v>557</v>
      </c>
      <c r="F2" s="5" t="s">
        <v>177</v>
      </c>
      <c r="G2" s="5" t="s">
        <v>168</v>
      </c>
      <c r="H2" s="5" t="s">
        <v>169</v>
      </c>
      <c r="I2" s="5" t="s">
        <v>170</v>
      </c>
      <c r="J2" s="5" t="s">
        <v>171</v>
      </c>
      <c r="K2" s="5" t="s">
        <v>172</v>
      </c>
      <c r="L2" s="5" t="s">
        <v>173</v>
      </c>
      <c r="M2" s="5" t="s">
        <v>174</v>
      </c>
      <c r="N2" s="5" t="s">
        <v>175</v>
      </c>
      <c r="O2" s="5"/>
      <c r="P2" s="5" t="s">
        <v>438</v>
      </c>
    </row>
    <row r="4" spans="2:16">
      <c r="B4" s="50" t="s">
        <v>571</v>
      </c>
    </row>
    <row r="5" spans="2:16">
      <c r="B5" s="50" t="s">
        <v>575</v>
      </c>
    </row>
    <row r="6" spans="2:16">
      <c r="B6" s="13"/>
      <c r="F6" s="51"/>
    </row>
    <row r="7" spans="2:16">
      <c r="F7" s="46"/>
    </row>
    <row r="8" spans="2:16" s="2" customFormat="1">
      <c r="B8" s="2" t="s">
        <v>558</v>
      </c>
      <c r="F8" s="48"/>
    </row>
    <row r="9" spans="2:16">
      <c r="F9" s="46"/>
    </row>
    <row r="10" spans="2:16">
      <c r="B10" s="3" t="s">
        <v>112</v>
      </c>
      <c r="F10" s="46"/>
    </row>
    <row r="11" spans="2:16">
      <c r="F11" s="46"/>
    </row>
    <row r="12" spans="2:16">
      <c r="B12" t="s">
        <v>116</v>
      </c>
      <c r="D12" t="s">
        <v>181</v>
      </c>
      <c r="F12" s="106">
        <f>SUM(G12:N12)</f>
        <v>1373798043.0371046</v>
      </c>
      <c r="G12" s="37">
        <f>'Berekening operationele kosten'!G196</f>
        <v>7617345.7300000004</v>
      </c>
      <c r="H12" s="37">
        <f>'Berekening operationele kosten'!H196</f>
        <v>39396267.590494543</v>
      </c>
      <c r="I12" s="37">
        <f>'Berekening operationele kosten'!I196</f>
        <v>15411543.784085633</v>
      </c>
      <c r="J12" s="37">
        <f>'Berekening operationele kosten'!J196</f>
        <v>419643660.95158249</v>
      </c>
      <c r="K12" s="37">
        <f>'Berekening operationele kosten'!K196</f>
        <v>523647376.49770772</v>
      </c>
      <c r="L12" s="37">
        <f>'Berekening operationele kosten'!L196</f>
        <v>4673909.5297417473</v>
      </c>
      <c r="M12" s="37">
        <f>'Berekening operationele kosten'!M196</f>
        <v>341943560.93034065</v>
      </c>
      <c r="N12" s="37">
        <f>'Berekening operationele kosten'!N196</f>
        <v>21464378.02315186</v>
      </c>
    </row>
    <row r="13" spans="2:16">
      <c r="B13" t="s">
        <v>113</v>
      </c>
      <c r="F13" s="46"/>
    </row>
    <row r="14" spans="2:16">
      <c r="B14" t="s">
        <v>114</v>
      </c>
      <c r="D14" t="s">
        <v>181</v>
      </c>
      <c r="F14" s="106">
        <f>SUM(G14:N14)</f>
        <v>32965074.439999998</v>
      </c>
      <c r="G14" s="37">
        <f>'Berekening operationele kosten'!G188</f>
        <v>0</v>
      </c>
      <c r="H14" s="37">
        <f>'Berekening operationele kosten'!H188</f>
        <v>481846.5</v>
      </c>
      <c r="I14" s="37">
        <f>'Berekening operationele kosten'!I188</f>
        <v>0</v>
      </c>
      <c r="J14" s="37">
        <f>'Berekening operationele kosten'!J188</f>
        <v>1730000</v>
      </c>
      <c r="K14" s="37">
        <f>'Berekening operationele kosten'!K188</f>
        <v>15024290.939999999</v>
      </c>
      <c r="L14" s="37">
        <f>'Berekening operationele kosten'!L188</f>
        <v>0</v>
      </c>
      <c r="M14" s="37">
        <f>'Berekening operationele kosten'!M188</f>
        <v>15702913</v>
      </c>
      <c r="N14" s="37">
        <f>'Berekening operationele kosten'!N188</f>
        <v>26024</v>
      </c>
    </row>
    <row r="15" spans="2:16">
      <c r="B15" t="s">
        <v>115</v>
      </c>
      <c r="D15" t="s">
        <v>181</v>
      </c>
      <c r="F15" s="106">
        <f>SUM(G15:N15)</f>
        <v>2000</v>
      </c>
      <c r="G15" s="37">
        <f>'Berekening operationele kosten'!G189</f>
        <v>2000</v>
      </c>
      <c r="H15" s="37">
        <f>'Berekening operationele kosten'!H189</f>
        <v>0</v>
      </c>
      <c r="I15" s="37">
        <f>'Berekening operationele kosten'!I189</f>
        <v>0</v>
      </c>
      <c r="J15" s="37">
        <f>'Berekening operationele kosten'!J189</f>
        <v>0</v>
      </c>
      <c r="K15" s="37">
        <f>'Berekening operationele kosten'!K189</f>
        <v>0</v>
      </c>
      <c r="L15" s="37">
        <f>'Berekening operationele kosten'!L189</f>
        <v>0</v>
      </c>
      <c r="M15" s="37">
        <f>'Berekening operationele kosten'!M189</f>
        <v>0</v>
      </c>
      <c r="N15" s="37">
        <f>'Berekening operationele kosten'!N189</f>
        <v>0</v>
      </c>
    </row>
    <row r="16" spans="2:16">
      <c r="B16" t="s">
        <v>195</v>
      </c>
      <c r="D16" t="s">
        <v>181</v>
      </c>
      <c r="F16" s="106">
        <f>SUM(G16:N16)</f>
        <v>328469196.11000001</v>
      </c>
      <c r="G16" s="37">
        <f>'Berekening operationele kosten'!G178</f>
        <v>0</v>
      </c>
      <c r="H16" s="37">
        <f>'Berekening operationele kosten'!H178</f>
        <v>9918649.5800000001</v>
      </c>
      <c r="I16" s="37">
        <f>'Berekening operationele kosten'!I178</f>
        <v>0</v>
      </c>
      <c r="J16" s="37">
        <f>'Berekening operationele kosten'!J178</f>
        <v>129166000</v>
      </c>
      <c r="K16" s="37">
        <f>'Berekening operationele kosten'!K178</f>
        <v>114647694.47</v>
      </c>
      <c r="L16" s="37">
        <f>'Berekening operationele kosten'!L178</f>
        <v>0</v>
      </c>
      <c r="M16" s="37">
        <f>'Berekening operationele kosten'!M178</f>
        <v>69138852.060000002</v>
      </c>
      <c r="N16" s="37">
        <f>'Berekening operationele kosten'!N178</f>
        <v>5598000</v>
      </c>
    </row>
    <row r="17" spans="2:16">
      <c r="B17" t="s">
        <v>196</v>
      </c>
      <c r="D17" t="s">
        <v>181</v>
      </c>
      <c r="F17" s="106">
        <f>SUM(G17:N17)</f>
        <v>18560783.280000001</v>
      </c>
      <c r="G17" s="37">
        <f>'Berekening operationele kosten'!G179</f>
        <v>3045000</v>
      </c>
      <c r="H17" s="37">
        <f>'Berekening operationele kosten'!H179</f>
        <v>41425</v>
      </c>
      <c r="I17" s="37">
        <f>'Berekening operationele kosten'!I179</f>
        <v>6624716.3400000008</v>
      </c>
      <c r="J17" s="37">
        <f>'Berekening operationele kosten'!J179</f>
        <v>1027000</v>
      </c>
      <c r="K17" s="37">
        <f>'Berekening operationele kosten'!K179</f>
        <v>708815</v>
      </c>
      <c r="L17" s="37">
        <f>'Berekening operationele kosten'!L179</f>
        <v>1836719</v>
      </c>
      <c r="M17" s="37">
        <f>'Berekening operationele kosten'!M179</f>
        <v>4443042.55</v>
      </c>
      <c r="N17" s="37">
        <f>'Berekening operationele kosten'!N179</f>
        <v>834065.39</v>
      </c>
    </row>
    <row r="18" spans="2:16">
      <c r="B18" s="50" t="s">
        <v>331</v>
      </c>
      <c r="D18" t="s">
        <v>181</v>
      </c>
      <c r="F18" s="106">
        <f>SUM(G18:N18)</f>
        <v>7133100.0584022803</v>
      </c>
      <c r="G18" s="116">
        <f>'Berekening operationele kosten'!G192</f>
        <v>52000</v>
      </c>
      <c r="H18" s="116">
        <f>'Berekening operationele kosten'!H192</f>
        <v>196070.65540000005</v>
      </c>
      <c r="I18" s="116">
        <f>'Berekening operationele kosten'!I192</f>
        <v>85388.18399999995</v>
      </c>
      <c r="J18" s="116">
        <f>'Berekening operationele kosten'!J192</f>
        <v>2430129.2954398002</v>
      </c>
      <c r="K18" s="116">
        <f>'Berekening operationele kosten'!K192</f>
        <v>2580293.2308380585</v>
      </c>
      <c r="L18" s="116">
        <f>'Berekening operationele kosten'!L192</f>
        <v>29469.583077709256</v>
      </c>
      <c r="M18" s="116">
        <f>'Berekening operationele kosten'!M192</f>
        <v>1689715.1152390735</v>
      </c>
      <c r="N18" s="116">
        <f>'Berekening operationele kosten'!N192</f>
        <v>70033.994407639329</v>
      </c>
    </row>
    <row r="19" spans="2:16">
      <c r="F19" s="46"/>
    </row>
    <row r="20" spans="2:16">
      <c r="B20" s="50" t="s">
        <v>562</v>
      </c>
      <c r="D20" t="s">
        <v>181</v>
      </c>
      <c r="F20" s="106">
        <f>SUM(G20:N20)</f>
        <v>791611955.52461421</v>
      </c>
      <c r="G20" s="37">
        <f>'Berekening kapitaalkosten'!G133</f>
        <v>4506675.2065859232</v>
      </c>
      <c r="H20" s="37">
        <f>'Berekening kapitaalkosten'!H133</f>
        <v>20822731.544488084</v>
      </c>
      <c r="I20" s="37">
        <f>'Berekening kapitaalkosten'!I133</f>
        <v>10158205.205661323</v>
      </c>
      <c r="J20" s="37">
        <f>'Berekening kapitaalkosten'!J133</f>
        <v>274279325.53371048</v>
      </c>
      <c r="K20" s="37">
        <f>'Berekening kapitaalkosten'!K133</f>
        <v>251534914.42308924</v>
      </c>
      <c r="L20" s="37">
        <f>'Berekening kapitaalkosten'!L133</f>
        <v>3987388.8909986853</v>
      </c>
      <c r="M20" s="37">
        <f>'Berekening kapitaalkosten'!M133</f>
        <v>211526322.57088602</v>
      </c>
      <c r="N20" s="37">
        <f>'Berekening kapitaalkosten'!N133</f>
        <v>14796392.149194526</v>
      </c>
    </row>
    <row r="21" spans="2:16">
      <c r="B21" s="50" t="s">
        <v>563</v>
      </c>
      <c r="D21" t="s">
        <v>181</v>
      </c>
      <c r="F21" s="106">
        <f>SUM(G21:N21)</f>
        <v>1776168.2681092937</v>
      </c>
      <c r="G21" s="37">
        <f>'Berekening kapitaalkosten'!G119</f>
        <v>961147.86095826142</v>
      </c>
      <c r="H21" s="37">
        <f>'Berekening kapitaalkosten'!H119</f>
        <v>0</v>
      </c>
      <c r="I21" s="37">
        <f>'Berekening kapitaalkosten'!I119</f>
        <v>0</v>
      </c>
      <c r="J21" s="37">
        <f>'Berekening kapitaalkosten'!J119</f>
        <v>0</v>
      </c>
      <c r="K21" s="37">
        <f>'Berekening kapitaalkosten'!K119</f>
        <v>0</v>
      </c>
      <c r="L21" s="37">
        <f>'Berekening kapitaalkosten'!L119</f>
        <v>815020.40715103236</v>
      </c>
      <c r="M21" s="37">
        <f>'Berekening kapitaalkosten'!M119</f>
        <v>0</v>
      </c>
      <c r="N21" s="37">
        <f>'Berekening kapitaalkosten'!N119</f>
        <v>0</v>
      </c>
    </row>
    <row r="22" spans="2:16">
      <c r="F22" s="46"/>
    </row>
    <row r="23" spans="2:16">
      <c r="B23" s="13" t="s">
        <v>92</v>
      </c>
      <c r="D23" t="s">
        <v>181</v>
      </c>
      <c r="F23" s="21">
        <f>SUM(G23:N23)</f>
        <v>113490347.51854995</v>
      </c>
      <c r="G23" s="37">
        <f>'Berekening vergoedingen EAV'!G154</f>
        <v>365289.12999999995</v>
      </c>
      <c r="H23" s="37">
        <f>'Berekening vergoedingen EAV'!H154</f>
        <v>3014865.4489000002</v>
      </c>
      <c r="I23" s="37">
        <f>'Berekening vergoedingen EAV'!I154</f>
        <v>886550.08200000005</v>
      </c>
      <c r="J23" s="37">
        <f>'Berekening vergoedingen EAV'!J154</f>
        <v>40523444.829999983</v>
      </c>
      <c r="K23" s="37">
        <f>'Berekening vergoedingen EAV'!K154</f>
        <v>40653688.729999997</v>
      </c>
      <c r="L23" s="37">
        <f>'Berekening vergoedingen EAV'!L154</f>
        <v>654165.87265000003</v>
      </c>
      <c r="M23" s="37">
        <f>'Berekening vergoedingen EAV'!M154</f>
        <v>25390050.579999983</v>
      </c>
      <c r="N23" s="37">
        <f>'Berekening vergoedingen EAV'!N154</f>
        <v>2002292.8449999997</v>
      </c>
    </row>
    <row r="24" spans="2:16">
      <c r="F24" s="46"/>
    </row>
    <row r="25" spans="2:16">
      <c r="F25" s="46"/>
    </row>
    <row r="26" spans="2:16">
      <c r="B26" s="3" t="s">
        <v>117</v>
      </c>
      <c r="F26" s="46"/>
    </row>
    <row r="27" spans="2:16">
      <c r="F27" s="46"/>
    </row>
    <row r="28" spans="2:16">
      <c r="B28" s="50" t="s">
        <v>564</v>
      </c>
      <c r="D28" t="s">
        <v>181</v>
      </c>
      <c r="F28" s="106">
        <f>SUM(G28:N28)</f>
        <v>2280676514.3483782</v>
      </c>
      <c r="G28" s="21">
        <f>G12+G20+G21+G23</f>
        <v>13450457.927544186</v>
      </c>
      <c r="H28" s="21">
        <f t="shared" ref="H28:N28" si="0">H12+H20+H21+H23</f>
        <v>63233864.58388263</v>
      </c>
      <c r="I28" s="21">
        <f t="shared" si="0"/>
        <v>26456299.071746957</v>
      </c>
      <c r="J28" s="21">
        <f t="shared" si="0"/>
        <v>734446431.31529284</v>
      </c>
      <c r="K28" s="21">
        <f t="shared" si="0"/>
        <v>815835979.65079701</v>
      </c>
      <c r="L28" s="21">
        <f t="shared" si="0"/>
        <v>10130484.700541465</v>
      </c>
      <c r="M28" s="21">
        <f t="shared" si="0"/>
        <v>578859934.08122659</v>
      </c>
      <c r="N28" s="21">
        <f t="shared" si="0"/>
        <v>38263063.017346382</v>
      </c>
      <c r="P28" s="50" t="s">
        <v>443</v>
      </c>
    </row>
    <row r="29" spans="2:16">
      <c r="B29" s="13" t="s">
        <v>113</v>
      </c>
      <c r="F29" s="46"/>
    </row>
    <row r="30" spans="2:16">
      <c r="B30" s="50" t="s">
        <v>565</v>
      </c>
      <c r="D30" t="s">
        <v>181</v>
      </c>
      <c r="F30" s="106">
        <f>SUM(G30:N30)</f>
        <v>34743242.708109289</v>
      </c>
      <c r="G30" s="21">
        <f t="shared" ref="G30:N30" si="1">G14+G15+G21</f>
        <v>963147.86095826142</v>
      </c>
      <c r="H30" s="21">
        <f t="shared" si="1"/>
        <v>481846.5</v>
      </c>
      <c r="I30" s="21">
        <f t="shared" si="1"/>
        <v>0</v>
      </c>
      <c r="J30" s="21">
        <f t="shared" si="1"/>
        <v>1730000</v>
      </c>
      <c r="K30" s="21">
        <f t="shared" si="1"/>
        <v>15024290.939999999</v>
      </c>
      <c r="L30" s="21">
        <f t="shared" si="1"/>
        <v>815020.40715103236</v>
      </c>
      <c r="M30" s="21">
        <f t="shared" si="1"/>
        <v>15702913</v>
      </c>
      <c r="N30" s="21">
        <f t="shared" si="1"/>
        <v>26024</v>
      </c>
    </row>
    <row r="31" spans="2:16">
      <c r="B31" s="13" t="s">
        <v>340</v>
      </c>
      <c r="D31" t="s">
        <v>181</v>
      </c>
      <c r="F31" s="106">
        <f>SUM(G31:N31)</f>
        <v>347029979.38999999</v>
      </c>
      <c r="G31" s="21">
        <f t="shared" ref="G31:N31" si="2">G16+G17</f>
        <v>3045000</v>
      </c>
      <c r="H31" s="21">
        <f t="shared" si="2"/>
        <v>9960074.5800000001</v>
      </c>
      <c r="I31" s="21">
        <f t="shared" si="2"/>
        <v>6624716.3400000008</v>
      </c>
      <c r="J31" s="21">
        <f t="shared" si="2"/>
        <v>130193000</v>
      </c>
      <c r="K31" s="21">
        <f t="shared" si="2"/>
        <v>115356509.47</v>
      </c>
      <c r="L31" s="21">
        <f t="shared" si="2"/>
        <v>1836719</v>
      </c>
      <c r="M31" s="21">
        <f t="shared" si="2"/>
        <v>73581894.609999999</v>
      </c>
      <c r="N31" s="21">
        <f t="shared" si="2"/>
        <v>6432065.3899999997</v>
      </c>
    </row>
    <row r="32" spans="2:16">
      <c r="B32" s="50" t="s">
        <v>331</v>
      </c>
      <c r="D32" t="s">
        <v>181</v>
      </c>
      <c r="F32" s="106">
        <f>SUM(G32:N32)</f>
        <v>7133100.0584022803</v>
      </c>
      <c r="G32" s="156">
        <f>G18</f>
        <v>52000</v>
      </c>
      <c r="H32" s="156">
        <f t="shared" ref="H32:N32" si="3">H18</f>
        <v>196070.65540000005</v>
      </c>
      <c r="I32" s="156">
        <f t="shared" si="3"/>
        <v>85388.18399999995</v>
      </c>
      <c r="J32" s="156">
        <f t="shared" si="3"/>
        <v>2430129.2954398002</v>
      </c>
      <c r="K32" s="156">
        <f t="shared" si="3"/>
        <v>2580293.2308380585</v>
      </c>
      <c r="L32" s="156">
        <f t="shared" si="3"/>
        <v>29469.583077709256</v>
      </c>
      <c r="M32" s="156">
        <f t="shared" si="3"/>
        <v>1689715.1152390735</v>
      </c>
      <c r="N32" s="156">
        <f t="shared" si="3"/>
        <v>70033.994407639329</v>
      </c>
    </row>
    <row r="33" spans="2:14">
      <c r="F33" s="46"/>
    </row>
    <row r="34" spans="2:14">
      <c r="F34" s="46"/>
    </row>
    <row r="35" spans="2:14" s="2" customFormat="1">
      <c r="B35" s="2" t="s">
        <v>559</v>
      </c>
      <c r="F35" s="48"/>
    </row>
    <row r="36" spans="2:14">
      <c r="F36" s="46"/>
    </row>
    <row r="37" spans="2:14">
      <c r="B37" s="3" t="s">
        <v>112</v>
      </c>
      <c r="F37" s="46"/>
    </row>
    <row r="38" spans="2:14">
      <c r="F38" s="46"/>
    </row>
    <row r="39" spans="2:14">
      <c r="B39" t="s">
        <v>116</v>
      </c>
      <c r="D39" t="s">
        <v>182</v>
      </c>
      <c r="F39" s="106">
        <f>SUM(G39:N39)</f>
        <v>1412041063.1100235</v>
      </c>
      <c r="G39" s="37">
        <f>'Berekening operationele kosten'!G292</f>
        <v>7809269.4143000003</v>
      </c>
      <c r="H39" s="37">
        <f>'Berekening operationele kosten'!H292</f>
        <v>36678657.971851148</v>
      </c>
      <c r="I39" s="37">
        <f>'Berekening operationele kosten'!I292</f>
        <v>18298571.173812721</v>
      </c>
      <c r="J39" s="37">
        <f>'Berekening operationele kosten'!J292</f>
        <v>425474476.63812006</v>
      </c>
      <c r="K39" s="37">
        <f>'Berekening operationele kosten'!K292</f>
        <v>557901734.75875843</v>
      </c>
      <c r="L39" s="37">
        <f>'Berekening operationele kosten'!L292</f>
        <v>4935895.5099999988</v>
      </c>
      <c r="M39" s="37">
        <f>'Berekening operationele kosten'!M292</f>
        <v>339621167.09892112</v>
      </c>
      <c r="N39" s="37">
        <f>'Berekening operationele kosten'!N292</f>
        <v>21321290.544259999</v>
      </c>
    </row>
    <row r="40" spans="2:14">
      <c r="B40" t="s">
        <v>113</v>
      </c>
      <c r="F40" s="46"/>
    </row>
    <row r="41" spans="2:14">
      <c r="B41" t="s">
        <v>114</v>
      </c>
      <c r="D41" t="s">
        <v>182</v>
      </c>
      <c r="F41" s="106">
        <f>SUM(G41:N41)</f>
        <v>37381340.960763238</v>
      </c>
      <c r="G41" s="37">
        <f>'Berekening operationele kosten'!G284</f>
        <v>0</v>
      </c>
      <c r="H41" s="37">
        <f>'Berekening operationele kosten'!H284</f>
        <v>821971.5</v>
      </c>
      <c r="I41" s="37">
        <f>'Berekening operationele kosten'!I284</f>
        <v>0</v>
      </c>
      <c r="J41" s="37">
        <f>'Berekening operationele kosten'!J284</f>
        <v>1750320</v>
      </c>
      <c r="K41" s="37">
        <f>'Berekening operationele kosten'!K284</f>
        <v>18867648.890763242</v>
      </c>
      <c r="L41" s="37">
        <f>'Berekening operationele kosten'!L284</f>
        <v>0</v>
      </c>
      <c r="M41" s="37">
        <f>'Berekening operationele kosten'!M284</f>
        <v>15909316</v>
      </c>
      <c r="N41" s="37">
        <f>'Berekening operationele kosten'!N284</f>
        <v>32084.57</v>
      </c>
    </row>
    <row r="42" spans="2:14">
      <c r="B42" t="s">
        <v>115</v>
      </c>
      <c r="D42" t="s">
        <v>182</v>
      </c>
      <c r="F42" s="106">
        <f>SUM(G42:N42)</f>
        <v>4642</v>
      </c>
      <c r="G42" s="37">
        <f>'Berekening operationele kosten'!G285</f>
        <v>4642</v>
      </c>
      <c r="H42" s="37">
        <f>'Berekening operationele kosten'!H285</f>
        <v>0</v>
      </c>
      <c r="I42" s="37">
        <f>'Berekening operationele kosten'!I285</f>
        <v>0</v>
      </c>
      <c r="J42" s="37">
        <f>'Berekening operationele kosten'!J285</f>
        <v>0</v>
      </c>
      <c r="K42" s="37">
        <f>'Berekening operationele kosten'!K285</f>
        <v>0</v>
      </c>
      <c r="L42" s="37">
        <f>'Berekening operationele kosten'!L285</f>
        <v>0</v>
      </c>
      <c r="M42" s="37">
        <f>'Berekening operationele kosten'!M285</f>
        <v>0</v>
      </c>
      <c r="N42" s="37">
        <f>'Berekening operationele kosten'!N285</f>
        <v>0</v>
      </c>
    </row>
    <row r="43" spans="2:14">
      <c r="B43" t="s">
        <v>195</v>
      </c>
      <c r="D43" t="s">
        <v>182</v>
      </c>
      <c r="F43" s="106">
        <f>SUM(G43:N43)</f>
        <v>352669240.13542116</v>
      </c>
      <c r="G43" s="37">
        <f>'Berekening operationele kosten'!G274</f>
        <v>0</v>
      </c>
      <c r="H43" s="37">
        <f>'Berekening operationele kosten'!H274</f>
        <v>8134496.3854211643</v>
      </c>
      <c r="I43" s="37">
        <f>'Berekening operationele kosten'!I274</f>
        <v>0</v>
      </c>
      <c r="J43" s="37">
        <f>'Berekening operationele kosten'!J274</f>
        <v>144636526.41999999</v>
      </c>
      <c r="K43" s="37">
        <f>'Berekening operationele kosten'!K274</f>
        <v>119811255.33</v>
      </c>
      <c r="L43" s="37">
        <f>'Berekening operationele kosten'!L274</f>
        <v>0</v>
      </c>
      <c r="M43" s="37">
        <f>'Berekening operationele kosten'!M274</f>
        <v>73239608</v>
      </c>
      <c r="N43" s="37">
        <f>'Berekening operationele kosten'!N274</f>
        <v>6847354</v>
      </c>
    </row>
    <row r="44" spans="2:14">
      <c r="B44" t="s">
        <v>196</v>
      </c>
      <c r="D44" t="s">
        <v>182</v>
      </c>
      <c r="F44" s="106">
        <f>SUM(G44:N44)</f>
        <v>19341881.041000001</v>
      </c>
      <c r="G44" s="37">
        <f>'Berekening operationele kosten'!G275</f>
        <v>3205889</v>
      </c>
      <c r="H44" s="37">
        <f>'Berekening operationele kosten'!H275</f>
        <v>0</v>
      </c>
      <c r="I44" s="37">
        <f>'Berekening operationele kosten'!I275</f>
        <v>6785819.2400000002</v>
      </c>
      <c r="J44" s="37">
        <f>'Berekening operationele kosten'!J275</f>
        <v>1725180.5109999999</v>
      </c>
      <c r="K44" s="37">
        <f>'Berekening operationele kosten'!K275</f>
        <v>747734.48999999987</v>
      </c>
      <c r="L44" s="37">
        <f>'Berekening operationele kosten'!L275</f>
        <v>1974084.8</v>
      </c>
      <c r="M44" s="37">
        <f>'Berekening operationele kosten'!M275</f>
        <v>4752515</v>
      </c>
      <c r="N44" s="37">
        <f>'Berekening operationele kosten'!N275</f>
        <v>150658</v>
      </c>
    </row>
    <row r="45" spans="2:14">
      <c r="B45" s="50" t="s">
        <v>331</v>
      </c>
      <c r="D45" t="s">
        <v>182</v>
      </c>
      <c r="F45" s="106">
        <f>SUM(G45:N45)</f>
        <v>8022665.5678633489</v>
      </c>
      <c r="G45" s="116">
        <f>'Berekening operationele kosten'!G288</f>
        <v>55891.670000000006</v>
      </c>
      <c r="H45" s="116">
        <f>'Berekening operationele kosten'!H288</f>
        <v>193754.88647000003</v>
      </c>
      <c r="I45" s="116">
        <f>'Berekening operationele kosten'!I288</f>
        <v>90141.403460864283</v>
      </c>
      <c r="J45" s="116">
        <f>'Berekening operationele kosten'!J288</f>
        <v>2854779.6157059204</v>
      </c>
      <c r="K45" s="116">
        <f>'Berekening operationele kosten'!K288</f>
        <v>2889310.0987137407</v>
      </c>
      <c r="L45" s="116">
        <f>'Berekening operationele kosten'!L288</f>
        <v>32445.09</v>
      </c>
      <c r="M45" s="116">
        <f>'Berekening operationele kosten'!M288</f>
        <v>1834913.7005999999</v>
      </c>
      <c r="N45" s="116">
        <f>'Berekening operationele kosten'!N288</f>
        <v>71429.102912824033</v>
      </c>
    </row>
    <row r="46" spans="2:14">
      <c r="F46" s="46"/>
    </row>
    <row r="47" spans="2:14">
      <c r="B47" s="50" t="s">
        <v>562</v>
      </c>
      <c r="D47" t="s">
        <v>182</v>
      </c>
      <c r="F47" s="106">
        <f>SUM(G47:N47)</f>
        <v>830421184.88501954</v>
      </c>
      <c r="G47" s="37">
        <f>'Berekening kapitaalkosten'!G198</f>
        <v>4724152.076785244</v>
      </c>
      <c r="H47" s="37">
        <f>'Berekening kapitaalkosten'!H198</f>
        <v>21791188.073335305</v>
      </c>
      <c r="I47" s="37">
        <f>'Berekening kapitaalkosten'!I198</f>
        <v>10140539.930600967</v>
      </c>
      <c r="J47" s="37">
        <f>'Berekening kapitaalkosten'!J198</f>
        <v>295322135.00128192</v>
      </c>
      <c r="K47" s="37">
        <f>'Berekening kapitaalkosten'!K198</f>
        <v>256753229.09551454</v>
      </c>
      <c r="L47" s="37">
        <f>'Berekening kapitaalkosten'!L198</f>
        <v>3957511.9896470234</v>
      </c>
      <c r="M47" s="37">
        <f>'Berekening kapitaalkosten'!M198</f>
        <v>221123824.53381565</v>
      </c>
      <c r="N47" s="37">
        <f>'Berekening kapitaalkosten'!N198</f>
        <v>16608604.184039054</v>
      </c>
    </row>
    <row r="48" spans="2:14">
      <c r="B48" s="50" t="s">
        <v>563</v>
      </c>
      <c r="D48" t="s">
        <v>182</v>
      </c>
      <c r="F48" s="106">
        <f>SUM(G48:N48)</f>
        <v>804123.93866412167</v>
      </c>
      <c r="G48" s="37">
        <f>'Berekening kapitaalkosten'!G184</f>
        <v>-1.1042394686753781E-10</v>
      </c>
      <c r="H48" s="37">
        <f>'Berekening kapitaalkosten'!H184</f>
        <v>0</v>
      </c>
      <c r="I48" s="37">
        <f>'Berekening kapitaalkosten'!I184</f>
        <v>0</v>
      </c>
      <c r="J48" s="37">
        <f>'Berekening kapitaalkosten'!J184</f>
        <v>0</v>
      </c>
      <c r="K48" s="37">
        <f>'Berekening kapitaalkosten'!K184</f>
        <v>0</v>
      </c>
      <c r="L48" s="37">
        <f>'Berekening kapitaalkosten'!L184</f>
        <v>804123.93866412179</v>
      </c>
      <c r="M48" s="37">
        <f>'Berekening kapitaalkosten'!M184</f>
        <v>0</v>
      </c>
      <c r="N48" s="37">
        <f>'Berekening kapitaalkosten'!N184</f>
        <v>0</v>
      </c>
    </row>
    <row r="49" spans="2:16">
      <c r="F49" s="46"/>
    </row>
    <row r="50" spans="2:16">
      <c r="B50" s="13" t="s">
        <v>92</v>
      </c>
      <c r="D50" t="s">
        <v>182</v>
      </c>
      <c r="F50" s="21">
        <f>SUM(G50:N50)</f>
        <v>119816581.86251201</v>
      </c>
      <c r="G50" s="37">
        <f>'Berekening vergoedingen EAV'!G155</f>
        <v>835747.23</v>
      </c>
      <c r="H50" s="37">
        <f>'Berekening vergoedingen EAV'!H155</f>
        <v>3073798.92</v>
      </c>
      <c r="I50" s="37">
        <f>'Berekening vergoedingen EAV'!I155</f>
        <v>1460015.8825120002</v>
      </c>
      <c r="J50" s="37">
        <f>'Berekening vergoedingen EAV'!J155</f>
        <v>37939341.859999999</v>
      </c>
      <c r="K50" s="37">
        <f>'Berekening vergoedingen EAV'!K155</f>
        <v>50108572.619999997</v>
      </c>
      <c r="L50" s="37">
        <f>'Berekening vergoedingen EAV'!L155</f>
        <v>489293.91</v>
      </c>
      <c r="M50" s="37">
        <f>'Berekening vergoedingen EAV'!M155</f>
        <v>23792226.800000004</v>
      </c>
      <c r="N50" s="37">
        <f>'Berekening vergoedingen EAV'!N155</f>
        <v>2117584.64</v>
      </c>
    </row>
    <row r="51" spans="2:16">
      <c r="F51" s="46"/>
    </row>
    <row r="52" spans="2:16">
      <c r="F52" s="46"/>
    </row>
    <row r="53" spans="2:16">
      <c r="B53" s="3" t="s">
        <v>117</v>
      </c>
      <c r="F53" s="46"/>
    </row>
    <row r="54" spans="2:16">
      <c r="F54" s="46"/>
    </row>
    <row r="55" spans="2:16">
      <c r="B55" s="50" t="s">
        <v>564</v>
      </c>
      <c r="D55" t="s">
        <v>182</v>
      </c>
      <c r="F55" s="106">
        <f>SUM(G55:N55)</f>
        <v>2363082953.7962193</v>
      </c>
      <c r="G55" s="21">
        <f>G39+G47+G48+G50</f>
        <v>13369168.721085245</v>
      </c>
      <c r="H55" s="21">
        <f t="shared" ref="H55:N55" si="4">H39+H47+H48+H50</f>
        <v>61543644.965186454</v>
      </c>
      <c r="I55" s="21">
        <f t="shared" si="4"/>
        <v>29899126.986925688</v>
      </c>
      <c r="J55" s="21">
        <f t="shared" si="4"/>
        <v>758735953.49940193</v>
      </c>
      <c r="K55" s="21">
        <f t="shared" si="4"/>
        <v>864763536.47427297</v>
      </c>
      <c r="L55" s="21">
        <f t="shared" si="4"/>
        <v>10186825.348311143</v>
      </c>
      <c r="M55" s="21">
        <f t="shared" si="4"/>
        <v>584537218.43273675</v>
      </c>
      <c r="N55" s="21">
        <f t="shared" si="4"/>
        <v>40047479.368299052</v>
      </c>
      <c r="P55" s="50" t="s">
        <v>443</v>
      </c>
    </row>
    <row r="56" spans="2:16">
      <c r="B56" s="13" t="s">
        <v>113</v>
      </c>
      <c r="F56" s="46"/>
    </row>
    <row r="57" spans="2:16">
      <c r="B57" s="50" t="s">
        <v>565</v>
      </c>
      <c r="D57" t="s">
        <v>182</v>
      </c>
      <c r="F57" s="106">
        <f>SUM(G57:N57)</f>
        <v>38190106.899427362</v>
      </c>
      <c r="G57" s="21">
        <f t="shared" ref="G57:N57" si="5">G41+G42+G48</f>
        <v>4641.99999999989</v>
      </c>
      <c r="H57" s="21">
        <f t="shared" si="5"/>
        <v>821971.5</v>
      </c>
      <c r="I57" s="21">
        <f t="shared" si="5"/>
        <v>0</v>
      </c>
      <c r="J57" s="21">
        <f t="shared" si="5"/>
        <v>1750320</v>
      </c>
      <c r="K57" s="21">
        <f t="shared" si="5"/>
        <v>18867648.890763242</v>
      </c>
      <c r="L57" s="21">
        <f t="shared" si="5"/>
        <v>804123.93866412179</v>
      </c>
      <c r="M57" s="21">
        <f t="shared" si="5"/>
        <v>15909316</v>
      </c>
      <c r="N57" s="21">
        <f t="shared" si="5"/>
        <v>32084.57</v>
      </c>
    </row>
    <row r="58" spans="2:16">
      <c r="B58" s="13" t="s">
        <v>340</v>
      </c>
      <c r="D58" t="s">
        <v>182</v>
      </c>
      <c r="F58" s="106">
        <f>SUM(G58:N58)</f>
        <v>372011121.17642117</v>
      </c>
      <c r="G58" s="21">
        <f t="shared" ref="G58:N58" si="6">G43+G44</f>
        <v>3205889</v>
      </c>
      <c r="H58" s="21">
        <f t="shared" si="6"/>
        <v>8134496.3854211643</v>
      </c>
      <c r="I58" s="21">
        <f t="shared" si="6"/>
        <v>6785819.2400000002</v>
      </c>
      <c r="J58" s="21">
        <f t="shared" si="6"/>
        <v>146361706.93099999</v>
      </c>
      <c r="K58" s="21">
        <f t="shared" si="6"/>
        <v>120558989.81999999</v>
      </c>
      <c r="L58" s="21">
        <f t="shared" si="6"/>
        <v>1974084.8</v>
      </c>
      <c r="M58" s="21">
        <f t="shared" si="6"/>
        <v>77992123</v>
      </c>
      <c r="N58" s="21">
        <f t="shared" si="6"/>
        <v>6998012</v>
      </c>
    </row>
    <row r="59" spans="2:16">
      <c r="B59" s="50" t="s">
        <v>331</v>
      </c>
      <c r="D59" t="s">
        <v>182</v>
      </c>
      <c r="F59" s="106">
        <f>SUM(G59:N59)</f>
        <v>8022665.5678633489</v>
      </c>
      <c r="G59" s="156">
        <f>G45</f>
        <v>55891.670000000006</v>
      </c>
      <c r="H59" s="156">
        <f t="shared" ref="H59:N59" si="7">H45</f>
        <v>193754.88647000003</v>
      </c>
      <c r="I59" s="156">
        <f t="shared" si="7"/>
        <v>90141.403460864283</v>
      </c>
      <c r="J59" s="156">
        <f t="shared" si="7"/>
        <v>2854779.6157059204</v>
      </c>
      <c r="K59" s="156">
        <f t="shared" si="7"/>
        <v>2889310.0987137407</v>
      </c>
      <c r="L59" s="156">
        <f t="shared" si="7"/>
        <v>32445.09</v>
      </c>
      <c r="M59" s="156">
        <f t="shared" si="7"/>
        <v>1834913.7005999999</v>
      </c>
      <c r="N59" s="156">
        <f t="shared" si="7"/>
        <v>71429.102912824033</v>
      </c>
    </row>
    <row r="60" spans="2:16">
      <c r="F60" s="46"/>
    </row>
    <row r="61" spans="2:16">
      <c r="F61" s="46"/>
    </row>
    <row r="62" spans="2:16" s="2" customFormat="1">
      <c r="B62" s="2" t="s">
        <v>560</v>
      </c>
      <c r="F62" s="48"/>
    </row>
    <row r="63" spans="2:16">
      <c r="F63" s="46"/>
    </row>
    <row r="64" spans="2:16">
      <c r="B64" s="3" t="s">
        <v>112</v>
      </c>
      <c r="F64" s="46"/>
    </row>
    <row r="65" spans="2:14">
      <c r="F65" s="46"/>
    </row>
    <row r="66" spans="2:14">
      <c r="B66" t="s">
        <v>116</v>
      </c>
      <c r="D66" t="s">
        <v>183</v>
      </c>
      <c r="F66" s="106">
        <f>SUM(G66:N66)</f>
        <v>1490016971.9453657</v>
      </c>
      <c r="G66" s="37">
        <f>'Berekening operationele kosten'!G388</f>
        <v>8725906.2597095966</v>
      </c>
      <c r="H66" s="37">
        <f>'Berekening operationele kosten'!H388</f>
        <v>40545300.71939446</v>
      </c>
      <c r="I66" s="37">
        <f>'Berekening operationele kosten'!I388</f>
        <v>17919942.691273496</v>
      </c>
      <c r="J66" s="37">
        <f>'Berekening operationele kosten'!J388</f>
        <v>435461724.28706396</v>
      </c>
      <c r="K66" s="37">
        <f>'Berekening operationele kosten'!K388</f>
        <v>607033467.12528348</v>
      </c>
      <c r="L66" s="37">
        <f>'Berekening operationele kosten'!L388</f>
        <v>5004329.6756999996</v>
      </c>
      <c r="M66" s="37">
        <f>'Berekening operationele kosten'!M388</f>
        <v>353492144.72136015</v>
      </c>
      <c r="N66" s="37">
        <f>'Berekening operationele kosten'!N388</f>
        <v>21834156.465580445</v>
      </c>
    </row>
    <row r="67" spans="2:14">
      <c r="B67" t="s">
        <v>113</v>
      </c>
      <c r="F67" s="46"/>
    </row>
    <row r="68" spans="2:14">
      <c r="B68" t="s">
        <v>114</v>
      </c>
      <c r="D68" t="s">
        <v>183</v>
      </c>
      <c r="F68" s="106">
        <f>SUM(G68:N68)</f>
        <v>48807818.626913533</v>
      </c>
      <c r="G68" s="37">
        <f>'Berekening operationele kosten'!G380</f>
        <v>0</v>
      </c>
      <c r="H68" s="37">
        <f>'Berekening operationele kosten'!H380</f>
        <v>851761.6</v>
      </c>
      <c r="I68" s="37">
        <f>'Berekening operationele kosten'!I380</f>
        <v>0</v>
      </c>
      <c r="J68" s="37">
        <f>'Berekening operationele kosten'!J380</f>
        <v>1612169.4569135276</v>
      </c>
      <c r="K68" s="37">
        <f>'Berekening operationele kosten'!K380</f>
        <v>29496804.710000001</v>
      </c>
      <c r="L68" s="37">
        <f>'Berekening operationele kosten'!L380</f>
        <v>0</v>
      </c>
      <c r="M68" s="37">
        <f>'Berekening operationele kosten'!M380</f>
        <v>16832392</v>
      </c>
      <c r="N68" s="37">
        <f>'Berekening operationele kosten'!N380</f>
        <v>14690.86</v>
      </c>
    </row>
    <row r="69" spans="2:14">
      <c r="B69" t="s">
        <v>115</v>
      </c>
      <c r="D69" t="s">
        <v>183</v>
      </c>
      <c r="F69" s="106">
        <f>SUM(G69:N69)</f>
        <v>1484</v>
      </c>
      <c r="G69" s="37">
        <f>'Berekening operationele kosten'!G381</f>
        <v>1484</v>
      </c>
      <c r="H69" s="37">
        <f>'Berekening operationele kosten'!H381</f>
        <v>0</v>
      </c>
      <c r="I69" s="37">
        <f>'Berekening operationele kosten'!I381</f>
        <v>0</v>
      </c>
      <c r="J69" s="37">
        <f>'Berekening operationele kosten'!J381</f>
        <v>0</v>
      </c>
      <c r="K69" s="37">
        <f>'Berekening operationele kosten'!K381</f>
        <v>0</v>
      </c>
      <c r="L69" s="37">
        <f>'Berekening operationele kosten'!L381</f>
        <v>0</v>
      </c>
      <c r="M69" s="37">
        <f>'Berekening operationele kosten'!M381</f>
        <v>0</v>
      </c>
      <c r="N69" s="37">
        <f>'Berekening operationele kosten'!N381</f>
        <v>0</v>
      </c>
    </row>
    <row r="70" spans="2:14">
      <c r="B70" t="s">
        <v>195</v>
      </c>
      <c r="D70" t="s">
        <v>183</v>
      </c>
      <c r="F70" s="106">
        <f>SUM(G70:N70)</f>
        <v>355594186.6006127</v>
      </c>
      <c r="G70" s="37">
        <f>'Berekening operationele kosten'!G370</f>
        <v>0</v>
      </c>
      <c r="H70" s="37">
        <f>'Berekening operationele kosten'!H370</f>
        <v>8880192.4545788374</v>
      </c>
      <c r="I70" s="37">
        <f>'Berekening operationele kosten'!I370</f>
        <v>0</v>
      </c>
      <c r="J70" s="37">
        <f>'Berekening operationele kosten'!J370</f>
        <v>141855339.68000001</v>
      </c>
      <c r="K70" s="37">
        <f>'Berekening operationele kosten'!K370</f>
        <v>114575797.41666667</v>
      </c>
      <c r="L70" s="37">
        <f>'Berekening operationele kosten'!L370</f>
        <v>0</v>
      </c>
      <c r="M70" s="37">
        <f>'Berekening operationele kosten'!M370</f>
        <v>82955235.159999996</v>
      </c>
      <c r="N70" s="37">
        <f>'Berekening operationele kosten'!N370</f>
        <v>7327621.8893671352</v>
      </c>
    </row>
    <row r="71" spans="2:14">
      <c r="B71" t="s">
        <v>196</v>
      </c>
      <c r="D71" t="s">
        <v>183</v>
      </c>
      <c r="F71" s="106">
        <f>SUM(G71:N71)</f>
        <v>19900655.606179394</v>
      </c>
      <c r="G71" s="37">
        <f>'Berekening operationele kosten'!G371</f>
        <v>3258198</v>
      </c>
      <c r="H71" s="37">
        <f>'Berekening operationele kosten'!H371</f>
        <v>0</v>
      </c>
      <c r="I71" s="37">
        <f>'Berekening operationele kosten'!I371</f>
        <v>6890933.9199999999</v>
      </c>
      <c r="J71" s="37">
        <f>'Berekening operationele kosten'!J371</f>
        <v>701040.53364000004</v>
      </c>
      <c r="K71" s="37">
        <f>'Berekening operationele kosten'!K371</f>
        <v>757117.24166666681</v>
      </c>
      <c r="L71" s="37">
        <f>'Berekening operationele kosten'!L371</f>
        <v>2116603.44</v>
      </c>
      <c r="M71" s="37">
        <f>'Berekening operationele kosten'!M371</f>
        <v>6004607.2448727274</v>
      </c>
      <c r="N71" s="37">
        <f>'Berekening operationele kosten'!N371</f>
        <v>172155.22599999933</v>
      </c>
    </row>
    <row r="72" spans="2:14">
      <c r="B72" s="50" t="s">
        <v>331</v>
      </c>
      <c r="D72" t="s">
        <v>183</v>
      </c>
      <c r="F72" s="106">
        <f>SUM(G72:N72)</f>
        <v>8182035.3200101843</v>
      </c>
      <c r="G72" s="116">
        <f>'Berekening operationele kosten'!G384</f>
        <v>62769</v>
      </c>
      <c r="H72" s="116">
        <f>'Berekening operationele kosten'!H384</f>
        <v>235302.03012499999</v>
      </c>
      <c r="I72" s="116">
        <f>'Berekening operationele kosten'!I384</f>
        <v>102030.37893782025</v>
      </c>
      <c r="J72" s="116">
        <f>'Berekening operationele kosten'!J384</f>
        <v>2620948.3491235389</v>
      </c>
      <c r="K72" s="116">
        <f>'Berekening operationele kosten'!K384</f>
        <v>3025828.3042752063</v>
      </c>
      <c r="L72" s="116">
        <f>'Berekening operationele kosten'!L384</f>
        <v>22011.55</v>
      </c>
      <c r="M72" s="116">
        <f>'Berekening operationele kosten'!M384</f>
        <v>2071522.4875324718</v>
      </c>
      <c r="N72" s="116">
        <f>'Berekening operationele kosten'!N384</f>
        <v>41623.220016147228</v>
      </c>
    </row>
    <row r="73" spans="2:14">
      <c r="F73" s="46"/>
    </row>
    <row r="74" spans="2:14">
      <c r="B74" s="50" t="s">
        <v>562</v>
      </c>
      <c r="D74" t="s">
        <v>183</v>
      </c>
      <c r="F74" s="106">
        <f>SUM(G74:N74)</f>
        <v>871762903.14733088</v>
      </c>
      <c r="G74" s="37">
        <f>'Berekening kapitaalkosten'!G263</f>
        <v>4972985.2906762436</v>
      </c>
      <c r="H74" s="37">
        <f>'Berekening kapitaalkosten'!H263</f>
        <v>22899955.816808313</v>
      </c>
      <c r="I74" s="37">
        <f>'Berekening kapitaalkosten'!I263</f>
        <v>11028541.417239271</v>
      </c>
      <c r="J74" s="37">
        <f>'Berekening kapitaalkosten'!J263</f>
        <v>311511678.01516479</v>
      </c>
      <c r="K74" s="37">
        <f>'Berekening kapitaalkosten'!K263</f>
        <v>265343067.105957</v>
      </c>
      <c r="L74" s="37">
        <f>'Berekening kapitaalkosten'!L263</f>
        <v>3926523.3760872404</v>
      </c>
      <c r="M74" s="37">
        <f>'Berekening kapitaalkosten'!M263</f>
        <v>234751999.29607248</v>
      </c>
      <c r="N74" s="37">
        <f>'Berekening kapitaalkosten'!N263</f>
        <v>17328152.829325549</v>
      </c>
    </row>
    <row r="75" spans="2:14">
      <c r="B75" s="50" t="s">
        <v>563</v>
      </c>
      <c r="D75" t="s">
        <v>183</v>
      </c>
      <c r="F75" s="106">
        <f>SUM(G75:N75)</f>
        <v>801308.22033576423</v>
      </c>
      <c r="G75" s="37">
        <f>'Berekening kapitaalkosten'!G249</f>
        <v>-1.1329496948609379E-10</v>
      </c>
      <c r="H75" s="37">
        <f>'Berekening kapitaalkosten'!H249</f>
        <v>0</v>
      </c>
      <c r="I75" s="37">
        <f>'Berekening kapitaalkosten'!I249</f>
        <v>0</v>
      </c>
      <c r="J75" s="37">
        <f>'Berekening kapitaalkosten'!J249</f>
        <v>0</v>
      </c>
      <c r="K75" s="37">
        <f>'Berekening kapitaalkosten'!K249</f>
        <v>0</v>
      </c>
      <c r="L75" s="37">
        <f>'Berekening kapitaalkosten'!L249</f>
        <v>801308.22033576434</v>
      </c>
      <c r="M75" s="37">
        <f>'Berekening kapitaalkosten'!M249</f>
        <v>0</v>
      </c>
      <c r="N75" s="37">
        <f>'Berekening kapitaalkosten'!N249</f>
        <v>0</v>
      </c>
    </row>
    <row r="76" spans="2:14">
      <c r="F76" s="46"/>
    </row>
    <row r="77" spans="2:14">
      <c r="B77" s="13" t="s">
        <v>92</v>
      </c>
      <c r="D77" t="s">
        <v>183</v>
      </c>
      <c r="F77" s="21">
        <f>SUM(G77:N77)</f>
        <v>121505998.104591</v>
      </c>
      <c r="G77" s="37">
        <f>'Berekening vergoedingen EAV'!G156</f>
        <v>415726.34000000008</v>
      </c>
      <c r="H77" s="37">
        <f>'Berekening vergoedingen EAV'!H156</f>
        <v>3101460.5700000003</v>
      </c>
      <c r="I77" s="37">
        <f>'Berekening vergoedingen EAV'!I156</f>
        <v>1700166.8500000003</v>
      </c>
      <c r="J77" s="37">
        <f>'Berekening vergoedingen EAV'!J156</f>
        <v>35782156.734590985</v>
      </c>
      <c r="K77" s="37">
        <f>'Berekening vergoedingen EAV'!K156</f>
        <v>52238193.199999996</v>
      </c>
      <c r="L77" s="37">
        <f>'Berekening vergoedingen EAV'!L156</f>
        <v>436888.25</v>
      </c>
      <c r="M77" s="37">
        <f>'Berekening vergoedingen EAV'!M156</f>
        <v>25871943.710000001</v>
      </c>
      <c r="N77" s="37">
        <f>'Berekening vergoedingen EAV'!N156</f>
        <v>1959462.45</v>
      </c>
    </row>
    <row r="78" spans="2:14">
      <c r="F78" s="46"/>
    </row>
    <row r="79" spans="2:14">
      <c r="F79" s="46"/>
    </row>
    <row r="80" spans="2:14">
      <c r="B80" s="3" t="s">
        <v>117</v>
      </c>
      <c r="F80" s="46"/>
    </row>
    <row r="81" spans="2:16">
      <c r="F81" s="46"/>
    </row>
    <row r="82" spans="2:16">
      <c r="B82" s="50" t="s">
        <v>564</v>
      </c>
      <c r="D82" t="s">
        <v>183</v>
      </c>
      <c r="F82" s="106">
        <f>SUM(G82:N82)</f>
        <v>2484087181.417623</v>
      </c>
      <c r="G82" s="21">
        <f>G66+G74+G75+G77</f>
        <v>14114617.89038584</v>
      </c>
      <c r="H82" s="21">
        <f t="shared" ref="H82:N82" si="8">H66+H74+H75+H77</f>
        <v>66546717.106202774</v>
      </c>
      <c r="I82" s="21">
        <f t="shared" si="8"/>
        <v>30648650.958512768</v>
      </c>
      <c r="J82" s="21">
        <f t="shared" si="8"/>
        <v>782755559.0368197</v>
      </c>
      <c r="K82" s="21">
        <f t="shared" si="8"/>
        <v>924614727.43124056</v>
      </c>
      <c r="L82" s="21">
        <f t="shared" si="8"/>
        <v>10169049.522123005</v>
      </c>
      <c r="M82" s="21">
        <f t="shared" si="8"/>
        <v>614116087.72743273</v>
      </c>
      <c r="N82" s="21">
        <f t="shared" si="8"/>
        <v>41121771.744905993</v>
      </c>
      <c r="P82" s="50" t="s">
        <v>443</v>
      </c>
    </row>
    <row r="83" spans="2:16">
      <c r="B83" s="13" t="s">
        <v>113</v>
      </c>
      <c r="F83" s="46"/>
    </row>
    <row r="84" spans="2:16">
      <c r="B84" s="50" t="s">
        <v>565</v>
      </c>
      <c r="D84" t="s">
        <v>183</v>
      </c>
      <c r="F84" s="106">
        <f>SUM(G84:N84)</f>
        <v>49610610.847249292</v>
      </c>
      <c r="G84" s="21">
        <f>G68+G69+G75</f>
        <v>1483.9999999998868</v>
      </c>
      <c r="H84" s="21">
        <f t="shared" ref="H84:N84" si="9">H68+H69+H75</f>
        <v>851761.6</v>
      </c>
      <c r="I84" s="21">
        <f t="shared" si="9"/>
        <v>0</v>
      </c>
      <c r="J84" s="21">
        <f t="shared" si="9"/>
        <v>1612169.4569135276</v>
      </c>
      <c r="K84" s="21">
        <f t="shared" si="9"/>
        <v>29496804.710000001</v>
      </c>
      <c r="L84" s="21">
        <f t="shared" si="9"/>
        <v>801308.22033576434</v>
      </c>
      <c r="M84" s="21">
        <f t="shared" si="9"/>
        <v>16832392</v>
      </c>
      <c r="N84" s="21">
        <f t="shared" si="9"/>
        <v>14690.86</v>
      </c>
    </row>
    <row r="85" spans="2:16">
      <c r="B85" s="13" t="s">
        <v>340</v>
      </c>
      <c r="D85" t="s">
        <v>183</v>
      </c>
      <c r="F85" s="106">
        <f>SUM(G85:N85)</f>
        <v>375494842.206792</v>
      </c>
      <c r="G85" s="21">
        <f>G70+G71</f>
        <v>3258198</v>
      </c>
      <c r="H85" s="21">
        <f t="shared" ref="H85:N85" si="10">H70+H71</f>
        <v>8880192.4545788374</v>
      </c>
      <c r="I85" s="21">
        <f t="shared" si="10"/>
        <v>6890933.9199999999</v>
      </c>
      <c r="J85" s="21">
        <f t="shared" si="10"/>
        <v>142556380.21364</v>
      </c>
      <c r="K85" s="21">
        <f t="shared" si="10"/>
        <v>115332914.65833333</v>
      </c>
      <c r="L85" s="21">
        <f t="shared" si="10"/>
        <v>2116603.44</v>
      </c>
      <c r="M85" s="21">
        <f t="shared" si="10"/>
        <v>88959842.40487273</v>
      </c>
      <c r="N85" s="21">
        <f t="shared" si="10"/>
        <v>7499777.115367135</v>
      </c>
    </row>
    <row r="86" spans="2:16">
      <c r="B86" s="50" t="s">
        <v>331</v>
      </c>
      <c r="D86" t="s">
        <v>183</v>
      </c>
      <c r="F86" s="106">
        <f>SUM(G86:N86)</f>
        <v>8182035.3200101843</v>
      </c>
      <c r="G86" s="156">
        <f>G72</f>
        <v>62769</v>
      </c>
      <c r="H86" s="156">
        <f t="shared" ref="H86:N86" si="11">H72</f>
        <v>235302.03012499999</v>
      </c>
      <c r="I86" s="156">
        <f t="shared" si="11"/>
        <v>102030.37893782025</v>
      </c>
      <c r="J86" s="156">
        <f t="shared" si="11"/>
        <v>2620948.3491235389</v>
      </c>
      <c r="K86" s="156">
        <f t="shared" si="11"/>
        <v>3025828.3042752063</v>
      </c>
      <c r="L86" s="156">
        <f t="shared" si="11"/>
        <v>22011.55</v>
      </c>
      <c r="M86" s="156">
        <f t="shared" si="11"/>
        <v>2071522.4875324718</v>
      </c>
      <c r="N86" s="156">
        <f t="shared" si="11"/>
        <v>41623.220016147228</v>
      </c>
    </row>
    <row r="87" spans="2:16">
      <c r="F87" s="46"/>
    </row>
    <row r="88" spans="2:16">
      <c r="F88" s="46"/>
    </row>
    <row r="89" spans="2:16" s="2" customFormat="1">
      <c r="B89" s="2" t="s">
        <v>561</v>
      </c>
      <c r="F89" s="48"/>
    </row>
    <row r="90" spans="2:16">
      <c r="F90" s="46"/>
    </row>
    <row r="91" spans="2:16">
      <c r="F91" s="4"/>
    </row>
    <row r="92" spans="2:16">
      <c r="B92" s="3" t="s">
        <v>112</v>
      </c>
      <c r="F92" s="4"/>
    </row>
    <row r="93" spans="2:16">
      <c r="F93" s="4"/>
    </row>
    <row r="94" spans="2:16">
      <c r="B94" s="3" t="s">
        <v>91</v>
      </c>
    </row>
    <row r="95" spans="2:16">
      <c r="B95" s="50" t="s">
        <v>516</v>
      </c>
      <c r="D95" t="s">
        <v>335</v>
      </c>
      <c r="F95" s="37">
        <f>'Data marktmodel'!I21</f>
        <v>1539000</v>
      </c>
      <c r="H95" s="27"/>
    </row>
    <row r="96" spans="2:16">
      <c r="B96" s="50" t="s">
        <v>519</v>
      </c>
      <c r="D96" t="s">
        <v>336</v>
      </c>
      <c r="F96" s="37">
        <f>'Data marktmodel'!J21</f>
        <v>2126000</v>
      </c>
    </row>
    <row r="97" spans="2:6">
      <c r="B97" s="50" t="s">
        <v>518</v>
      </c>
      <c r="D97" t="s">
        <v>337</v>
      </c>
      <c r="F97" s="37">
        <f>'Data marktmodel'!K21</f>
        <v>2367000</v>
      </c>
    </row>
    <row r="98" spans="2:6">
      <c r="B98" s="11"/>
    </row>
    <row r="99" spans="2:6">
      <c r="B99" s="3" t="s">
        <v>344</v>
      </c>
      <c r="F99" s="4"/>
    </row>
    <row r="100" spans="2:6">
      <c r="B100" s="26" t="s">
        <v>466</v>
      </c>
      <c r="F100" s="4"/>
    </row>
    <row r="101" spans="2:6">
      <c r="B101" s="26" t="s">
        <v>575</v>
      </c>
      <c r="F101" s="4"/>
    </row>
    <row r="102" spans="2:6">
      <c r="F102" s="4"/>
    </row>
    <row r="103" spans="2:6">
      <c r="B103" s="50" t="s">
        <v>566</v>
      </c>
      <c r="D103" t="s">
        <v>335</v>
      </c>
      <c r="F103" s="112">
        <f>F28-F30-F31-F32+F95</f>
        <v>1893309192.1918666</v>
      </c>
    </row>
    <row r="104" spans="2:6">
      <c r="B104" s="50" t="s">
        <v>567</v>
      </c>
      <c r="D104" t="s">
        <v>336</v>
      </c>
      <c r="F104" s="112">
        <f>F55-F57-F58-F59+F96</f>
        <v>1946985060.1525073</v>
      </c>
    </row>
    <row r="105" spans="2:6">
      <c r="B105" s="50" t="s">
        <v>568</v>
      </c>
      <c r="D105" t="s">
        <v>337</v>
      </c>
      <c r="F105" s="112">
        <f>F82-F84-F85-F86+F97</f>
        <v>2053166693.0435715</v>
      </c>
    </row>
    <row r="106" spans="2:6">
      <c r="F106" s="4"/>
    </row>
    <row r="107" spans="2:6">
      <c r="F107" s="4"/>
    </row>
    <row r="108" spans="2:6">
      <c r="F108" s="46"/>
    </row>
    <row r="109" spans="2:6">
      <c r="F109" s="4"/>
    </row>
    <row r="110" spans="2:6">
      <c r="F110" s="4"/>
    </row>
    <row r="111" spans="2:6">
      <c r="F111" s="4"/>
    </row>
    <row r="112" spans="2:6">
      <c r="F112" s="4"/>
    </row>
    <row r="113" spans="6:6">
      <c r="F113" s="4"/>
    </row>
    <row r="114" spans="6:6">
      <c r="F114" s="4"/>
    </row>
    <row r="115" spans="6:6">
      <c r="F115" s="4"/>
    </row>
    <row r="116" spans="6:6">
      <c r="F116" s="4"/>
    </row>
    <row r="117" spans="6:6">
      <c r="F117" s="4"/>
    </row>
    <row r="118" spans="6:6">
      <c r="F118" s="4"/>
    </row>
    <row r="119" spans="6:6">
      <c r="F119" s="4"/>
    </row>
    <row r="120" spans="6:6">
      <c r="F120" s="4"/>
    </row>
    <row r="121" spans="6:6">
      <c r="F121" s="4"/>
    </row>
    <row r="122" spans="6:6">
      <c r="F122" s="4"/>
    </row>
    <row r="123" spans="6:6">
      <c r="F123" s="4"/>
    </row>
    <row r="124" spans="6:6">
      <c r="F124" s="4"/>
    </row>
    <row r="125" spans="6:6">
      <c r="F125" s="4"/>
    </row>
    <row r="126" spans="6:6">
      <c r="F126" s="4"/>
    </row>
    <row r="127" spans="6:6">
      <c r="F127" s="4"/>
    </row>
    <row r="128" spans="6:6">
      <c r="F128" s="4"/>
    </row>
    <row r="129" spans="6:6">
      <c r="F129" s="4"/>
    </row>
    <row r="130" spans="6:6">
      <c r="F130" s="4"/>
    </row>
    <row r="131" spans="6:6">
      <c r="F131" s="4"/>
    </row>
    <row r="132" spans="6:6">
      <c r="F132" s="4"/>
    </row>
    <row r="133" spans="6:6">
      <c r="F133" s="4"/>
    </row>
    <row r="134" spans="6:6">
      <c r="F134" s="4"/>
    </row>
    <row r="135" spans="6:6">
      <c r="F135" s="4"/>
    </row>
    <row r="136" spans="6:6">
      <c r="F136" s="4"/>
    </row>
    <row r="137" spans="6:6">
      <c r="F137" s="4"/>
    </row>
    <row r="138" spans="6:6">
      <c r="F138" s="4"/>
    </row>
    <row r="139" spans="6:6">
      <c r="F139" s="4"/>
    </row>
    <row r="140" spans="6:6">
      <c r="F140" s="4"/>
    </row>
    <row r="141" spans="6:6">
      <c r="F141" s="4"/>
    </row>
    <row r="142" spans="6:6">
      <c r="F142" s="4"/>
    </row>
    <row r="143" spans="6:6">
      <c r="F143" s="4"/>
    </row>
    <row r="144" spans="6:6">
      <c r="F144" s="4"/>
    </row>
    <row r="145" spans="6:6">
      <c r="F145" s="4"/>
    </row>
    <row r="146" spans="6:6">
      <c r="F146" s="4"/>
    </row>
    <row r="147" spans="6:6">
      <c r="F147" s="4"/>
    </row>
    <row r="148" spans="6:6">
      <c r="F148" s="4"/>
    </row>
    <row r="149" spans="6:6">
      <c r="F149" s="4"/>
    </row>
    <row r="150" spans="6:6">
      <c r="F150" s="4"/>
    </row>
    <row r="151" spans="6:6">
      <c r="F151" s="4"/>
    </row>
    <row r="152" spans="6:6">
      <c r="F152" s="4"/>
    </row>
    <row r="153" spans="6:6">
      <c r="F153" s="4"/>
    </row>
    <row r="154" spans="6:6">
      <c r="F154" s="4"/>
    </row>
    <row r="155" spans="6:6">
      <c r="F155" s="4"/>
    </row>
    <row r="156" spans="6:6">
      <c r="F156" s="4"/>
    </row>
    <row r="157" spans="6:6">
      <c r="F157" s="4"/>
    </row>
    <row r="158" spans="6:6">
      <c r="F158" s="4"/>
    </row>
    <row r="159" spans="6:6">
      <c r="F159" s="4"/>
    </row>
    <row r="160" spans="6:6">
      <c r="F160" s="4"/>
    </row>
    <row r="161" spans="6:16">
      <c r="F161" s="4"/>
    </row>
    <row r="162" spans="6:16">
      <c r="F162" s="4"/>
    </row>
    <row r="163" spans="6:16">
      <c r="F163" s="4"/>
    </row>
    <row r="164" spans="6:16">
      <c r="F164" s="4"/>
    </row>
    <row r="165" spans="6:16">
      <c r="F165" s="4"/>
    </row>
    <row r="166" spans="6:16">
      <c r="F166" s="4"/>
    </row>
    <row r="167" spans="6:16">
      <c r="F167" s="4"/>
    </row>
    <row r="168" spans="6:16">
      <c r="F168" s="4"/>
    </row>
    <row r="169" spans="6:16">
      <c r="F169" s="4"/>
    </row>
    <row r="170" spans="6:16">
      <c r="F170" s="4"/>
    </row>
    <row r="171" spans="6:16">
      <c r="F171" s="4"/>
    </row>
    <row r="172" spans="6:16">
      <c r="F172" s="4"/>
    </row>
    <row r="173" spans="6:16">
      <c r="F173" s="4"/>
    </row>
    <row r="174" spans="6:16">
      <c r="F174" s="4"/>
    </row>
    <row r="175" spans="6:16">
      <c r="P175" s="26"/>
    </row>
    <row r="176" spans="6:16">
      <c r="P176" s="26"/>
    </row>
    <row r="177" spans="16:16">
      <c r="P177" s="26"/>
    </row>
    <row r="178" spans="16:16">
      <c r="P178" s="26"/>
    </row>
    <row r="179" spans="16:16">
      <c r="P179" s="26"/>
    </row>
    <row r="180" spans="16:16">
      <c r="P180" s="26"/>
    </row>
    <row r="181" spans="16:16">
      <c r="P181" s="26"/>
    </row>
    <row r="182" spans="16:16">
      <c r="P182" s="26"/>
    </row>
    <row r="183" spans="16:16">
      <c r="P183" s="26"/>
    </row>
    <row r="184" spans="16:16">
      <c r="P184" s="26"/>
    </row>
    <row r="185" spans="16:16">
      <c r="P185" s="26"/>
    </row>
    <row r="186" spans="16:16">
      <c r="P186" s="26"/>
    </row>
    <row r="187" spans="16:16">
      <c r="P187" s="26"/>
    </row>
    <row r="188" spans="16:16">
      <c r="P188" s="26"/>
    </row>
    <row r="189" spans="16:16">
      <c r="P189" s="26"/>
    </row>
    <row r="190" spans="16:16">
      <c r="P190" s="26"/>
    </row>
    <row r="191" spans="16:16">
      <c r="P191" s="26"/>
    </row>
    <row r="192" spans="16:16">
      <c r="P192" s="26"/>
    </row>
    <row r="193" spans="16:16">
      <c r="P193" s="26"/>
    </row>
    <row r="194" spans="16:16">
      <c r="P194" s="26"/>
    </row>
    <row r="195" spans="16:16">
      <c r="P195" s="26"/>
    </row>
    <row r="196" spans="16:16">
      <c r="P196" s="26"/>
    </row>
    <row r="197" spans="16:16">
      <c r="P197" s="26"/>
    </row>
    <row r="198" spans="16:16">
      <c r="P198" s="26"/>
    </row>
    <row r="199" spans="16:16">
      <c r="P199" s="26"/>
    </row>
  </sheetData>
  <phoneticPr fontId="3" type="noConversion"/>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enableFormatConditionsCalculation="0">
    <tabColor rgb="FFFFFF99"/>
  </sheetPr>
  <dimension ref="A1:AU646"/>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7.7109375" customWidth="1"/>
    <col min="3" max="3" width="10" customWidth="1"/>
    <col min="4" max="4" width="14.5703125" customWidth="1"/>
    <col min="5" max="5" width="2.5703125" customWidth="1"/>
    <col min="6" max="6" width="21.42578125" customWidth="1"/>
    <col min="7" max="14" width="14.85546875" customWidth="1"/>
    <col min="15" max="15" width="10.42578125" customWidth="1"/>
    <col min="16" max="16" width="20.42578125" customWidth="1"/>
  </cols>
  <sheetData>
    <row r="1" spans="2:16" ht="12" customHeight="1"/>
    <row r="2" spans="2:16" s="1" customFormat="1" ht="18">
      <c r="B2" s="1" t="s">
        <v>258</v>
      </c>
      <c r="F2" s="5" t="s">
        <v>177</v>
      </c>
      <c r="G2" s="5" t="s">
        <v>168</v>
      </c>
      <c r="H2" s="5" t="s">
        <v>169</v>
      </c>
      <c r="I2" s="5" t="s">
        <v>170</v>
      </c>
      <c r="J2" s="5" t="s">
        <v>171</v>
      </c>
      <c r="K2" s="5" t="s">
        <v>172</v>
      </c>
      <c r="L2" s="5" t="s">
        <v>173</v>
      </c>
      <c r="M2" s="5" t="s">
        <v>174</v>
      </c>
      <c r="N2" s="5" t="s">
        <v>175</v>
      </c>
      <c r="P2" s="5" t="s">
        <v>438</v>
      </c>
    </row>
    <row r="4" spans="2:16">
      <c r="B4" s="50" t="s">
        <v>433</v>
      </c>
    </row>
    <row r="8" spans="2:16" s="2" customFormat="1">
      <c r="B8" s="2" t="s">
        <v>367</v>
      </c>
      <c r="F8" s="48"/>
    </row>
    <row r="9" spans="2:16">
      <c r="F9" s="46"/>
    </row>
    <row r="10" spans="2:16">
      <c r="F10" s="46"/>
    </row>
    <row r="11" spans="2:16">
      <c r="B11" s="3" t="s">
        <v>49</v>
      </c>
      <c r="F11" s="46"/>
      <c r="G11" s="27"/>
    </row>
    <row r="12" spans="2:16">
      <c r="B12" s="3"/>
      <c r="F12" s="46"/>
    </row>
    <row r="13" spans="2:16">
      <c r="B13" s="3"/>
      <c r="F13" s="46"/>
    </row>
    <row r="14" spans="2:16">
      <c r="B14" s="85" t="s">
        <v>212</v>
      </c>
      <c r="F14" s="49"/>
    </row>
    <row r="15" spans="2:16">
      <c r="B15" t="s">
        <v>213</v>
      </c>
      <c r="D15" s="13" t="s">
        <v>338</v>
      </c>
      <c r="F15" s="72"/>
      <c r="G15" s="120">
        <f>'TAR2013 Tarieven TD'!G15</f>
        <v>0</v>
      </c>
      <c r="H15" s="120">
        <f>'TAR2013 Tarieven TD'!H15</f>
        <v>0</v>
      </c>
      <c r="I15" s="120">
        <f>'TAR2013 Tarieven TD'!I15</f>
        <v>0</v>
      </c>
      <c r="J15" s="120">
        <f>'TAR2013 Tarieven TD'!J15</f>
        <v>0</v>
      </c>
      <c r="K15" s="120">
        <f>'TAR2013 Tarieven TD'!K15</f>
        <v>2760</v>
      </c>
      <c r="L15" s="120">
        <f>'TAR2013 Tarieven TD'!L15</f>
        <v>0</v>
      </c>
      <c r="M15" s="120">
        <f>'TAR2013 Tarieven TD'!M15</f>
        <v>2760</v>
      </c>
      <c r="N15" s="120">
        <f>'TAR2013 Tarieven TD'!N15</f>
        <v>0</v>
      </c>
    </row>
    <row r="16" spans="2:16">
      <c r="B16" t="s">
        <v>214</v>
      </c>
      <c r="D16" s="13" t="s">
        <v>338</v>
      </c>
      <c r="F16" s="72"/>
      <c r="G16" s="120">
        <f>'TAR2013 Tarieven TD'!G16</f>
        <v>0</v>
      </c>
      <c r="H16" s="120">
        <f>'TAR2013 Tarieven TD'!H16</f>
        <v>0</v>
      </c>
      <c r="I16" s="120">
        <f>'TAR2013 Tarieven TD'!I16</f>
        <v>0</v>
      </c>
      <c r="J16" s="120">
        <f>'TAR2013 Tarieven TD'!J16</f>
        <v>0</v>
      </c>
      <c r="K16" s="120">
        <f>'TAR2013 Tarieven TD'!K16</f>
        <v>9.6</v>
      </c>
      <c r="L16" s="120">
        <f>'TAR2013 Tarieven TD'!L16</f>
        <v>0</v>
      </c>
      <c r="M16" s="120">
        <f>'TAR2013 Tarieven TD'!M16</f>
        <v>12</v>
      </c>
      <c r="N16" s="120">
        <f>'TAR2013 Tarieven TD'!N16</f>
        <v>0</v>
      </c>
    </row>
    <row r="17" spans="2:14">
      <c r="B17" t="s">
        <v>215</v>
      </c>
      <c r="D17" s="13" t="s">
        <v>338</v>
      </c>
      <c r="F17" s="72"/>
      <c r="G17" s="120">
        <f>'TAR2013 Tarieven TD'!G17</f>
        <v>0</v>
      </c>
      <c r="H17" s="120">
        <f>'TAR2013 Tarieven TD'!H17</f>
        <v>0</v>
      </c>
      <c r="I17" s="120">
        <f>'TAR2013 Tarieven TD'!I17</f>
        <v>0</v>
      </c>
      <c r="J17" s="120">
        <f>'TAR2013 Tarieven TD'!J17</f>
        <v>0</v>
      </c>
      <c r="K17" s="120">
        <f>'TAR2013 Tarieven TD'!K17</f>
        <v>0.89</v>
      </c>
      <c r="L17" s="120">
        <f>'TAR2013 Tarieven TD'!L17</f>
        <v>0</v>
      </c>
      <c r="M17" s="120">
        <f>'TAR2013 Tarieven TD'!M17</f>
        <v>1.17</v>
      </c>
      <c r="N17" s="120">
        <f>'TAR2013 Tarieven TD'!N17</f>
        <v>0</v>
      </c>
    </row>
    <row r="18" spans="2:14">
      <c r="F18" s="49"/>
      <c r="G18" s="89"/>
      <c r="H18" s="89"/>
      <c r="I18" s="89"/>
      <c r="J18" s="89"/>
      <c r="K18" s="89"/>
      <c r="L18" s="89"/>
      <c r="M18" s="89"/>
      <c r="N18" s="89"/>
    </row>
    <row r="19" spans="2:14">
      <c r="B19" s="3" t="s">
        <v>216</v>
      </c>
      <c r="F19" s="49"/>
      <c r="G19" s="89"/>
      <c r="H19" s="89"/>
      <c r="I19" s="89"/>
      <c r="J19" s="89"/>
      <c r="K19" s="89"/>
      <c r="L19" s="89"/>
      <c r="M19" s="89"/>
      <c r="N19" s="89"/>
    </row>
    <row r="20" spans="2:14">
      <c r="B20" t="s">
        <v>213</v>
      </c>
      <c r="D20" s="13" t="s">
        <v>338</v>
      </c>
      <c r="F20" s="72"/>
      <c r="G20" s="120">
        <f>'TAR2013 Tarieven TD'!G20</f>
        <v>0</v>
      </c>
      <c r="H20" s="120">
        <f>'TAR2013 Tarieven TD'!H20</f>
        <v>0</v>
      </c>
      <c r="I20" s="120">
        <f>'TAR2013 Tarieven TD'!I20</f>
        <v>0</v>
      </c>
      <c r="J20" s="120">
        <f>'TAR2013 Tarieven TD'!J20</f>
        <v>0</v>
      </c>
      <c r="K20" s="120">
        <f>'TAR2013 Tarieven TD'!K20</f>
        <v>2760</v>
      </c>
      <c r="L20" s="120">
        <f>'TAR2013 Tarieven TD'!L20</f>
        <v>0</v>
      </c>
      <c r="M20" s="120">
        <f>'TAR2013 Tarieven TD'!M20</f>
        <v>2760</v>
      </c>
      <c r="N20" s="120">
        <f>'TAR2013 Tarieven TD'!N20</f>
        <v>0</v>
      </c>
    </row>
    <row r="21" spans="2:14">
      <c r="B21" t="s">
        <v>214</v>
      </c>
      <c r="D21" s="13" t="s">
        <v>338</v>
      </c>
      <c r="F21" s="72"/>
      <c r="G21" s="120">
        <f>'TAR2013 Tarieven TD'!G21</f>
        <v>0</v>
      </c>
      <c r="H21" s="120">
        <f>'TAR2013 Tarieven TD'!H21</f>
        <v>0</v>
      </c>
      <c r="I21" s="120">
        <f>'TAR2013 Tarieven TD'!I21</f>
        <v>0</v>
      </c>
      <c r="J21" s="120">
        <f>'TAR2013 Tarieven TD'!J21</f>
        <v>0</v>
      </c>
      <c r="K21" s="120">
        <f>'TAR2013 Tarieven TD'!K21</f>
        <v>4.8</v>
      </c>
      <c r="L21" s="120">
        <f>'TAR2013 Tarieven TD'!L21</f>
        <v>0</v>
      </c>
      <c r="M21" s="120">
        <f>'TAR2013 Tarieven TD'!M21</f>
        <v>6</v>
      </c>
      <c r="N21" s="120">
        <f>'TAR2013 Tarieven TD'!N21</f>
        <v>0</v>
      </c>
    </row>
    <row r="22" spans="2:14">
      <c r="B22" t="s">
        <v>217</v>
      </c>
      <c r="D22" s="13" t="s">
        <v>338</v>
      </c>
      <c r="F22" s="72"/>
      <c r="G22" s="120">
        <f>'TAR2013 Tarieven TD'!G22</f>
        <v>0</v>
      </c>
      <c r="H22" s="120">
        <f>'TAR2013 Tarieven TD'!H22</f>
        <v>0</v>
      </c>
      <c r="I22" s="120">
        <f>'TAR2013 Tarieven TD'!I22</f>
        <v>0</v>
      </c>
      <c r="J22" s="120">
        <f>'TAR2013 Tarieven TD'!J22</f>
        <v>0</v>
      </c>
      <c r="K22" s="120">
        <f>'TAR2013 Tarieven TD'!K22</f>
        <v>0.3</v>
      </c>
      <c r="L22" s="120">
        <f>'TAR2013 Tarieven TD'!L22</f>
        <v>0</v>
      </c>
      <c r="M22" s="120">
        <f>'TAR2013 Tarieven TD'!M22</f>
        <v>0.41</v>
      </c>
      <c r="N22" s="120">
        <f>'TAR2013 Tarieven TD'!N22</f>
        <v>0</v>
      </c>
    </row>
    <row r="23" spans="2:14">
      <c r="F23" s="49"/>
      <c r="G23" s="89"/>
      <c r="H23" s="89"/>
      <c r="I23" s="89"/>
      <c r="J23" s="89"/>
      <c r="K23" s="89"/>
      <c r="L23" s="89"/>
      <c r="M23" s="89"/>
      <c r="N23" s="89"/>
    </row>
    <row r="24" spans="2:14">
      <c r="B24" s="3" t="s">
        <v>218</v>
      </c>
      <c r="F24" s="49"/>
      <c r="G24" s="89"/>
      <c r="H24" s="89"/>
      <c r="I24" s="89"/>
      <c r="J24" s="89"/>
      <c r="K24" s="89"/>
      <c r="L24" s="89"/>
      <c r="M24" s="89"/>
      <c r="N24" s="89"/>
    </row>
    <row r="25" spans="2:14">
      <c r="B25" t="s">
        <v>213</v>
      </c>
      <c r="D25" s="13" t="s">
        <v>338</v>
      </c>
      <c r="F25" s="72"/>
      <c r="G25" s="120">
        <f>'TAR2013 Tarieven TD'!G25</f>
        <v>0</v>
      </c>
      <c r="H25" s="120">
        <f>'TAR2013 Tarieven TD'!H25</f>
        <v>2760</v>
      </c>
      <c r="I25" s="120">
        <f>'TAR2013 Tarieven TD'!I25</f>
        <v>0</v>
      </c>
      <c r="J25" s="120">
        <f>'TAR2013 Tarieven TD'!J25</f>
        <v>2760</v>
      </c>
      <c r="K25" s="120">
        <f>'TAR2013 Tarieven TD'!K25</f>
        <v>2760</v>
      </c>
      <c r="L25" s="120">
        <f>'TAR2013 Tarieven TD'!L25</f>
        <v>0</v>
      </c>
      <c r="M25" s="120">
        <f>'TAR2013 Tarieven TD'!M25</f>
        <v>2760</v>
      </c>
      <c r="N25" s="120">
        <f>'TAR2013 Tarieven TD'!N25</f>
        <v>0</v>
      </c>
    </row>
    <row r="26" spans="2:14">
      <c r="B26" t="s">
        <v>214</v>
      </c>
      <c r="D26" s="13" t="s">
        <v>338</v>
      </c>
      <c r="F26" s="72"/>
      <c r="G26" s="120">
        <f>'TAR2013 Tarieven TD'!G26</f>
        <v>0</v>
      </c>
      <c r="H26" s="120">
        <f>'TAR2013 Tarieven TD'!H26</f>
        <v>7.8</v>
      </c>
      <c r="I26" s="120">
        <f>'TAR2013 Tarieven TD'!I26</f>
        <v>0</v>
      </c>
      <c r="J26" s="120">
        <f>'TAR2013 Tarieven TD'!J26</f>
        <v>14.38</v>
      </c>
      <c r="K26" s="120">
        <f>'TAR2013 Tarieven TD'!K26</f>
        <v>21.12</v>
      </c>
      <c r="L26" s="120">
        <f>'TAR2013 Tarieven TD'!L26</f>
        <v>0</v>
      </c>
      <c r="M26" s="120">
        <f>'TAR2013 Tarieven TD'!M26</f>
        <v>20</v>
      </c>
      <c r="N26" s="120">
        <f>'TAR2013 Tarieven TD'!N26</f>
        <v>0</v>
      </c>
    </row>
    <row r="27" spans="2:14">
      <c r="B27" t="s">
        <v>215</v>
      </c>
      <c r="D27" s="13" t="s">
        <v>338</v>
      </c>
      <c r="F27" s="72"/>
      <c r="G27" s="120">
        <f>'TAR2013 Tarieven TD'!G27</f>
        <v>0</v>
      </c>
      <c r="H27" s="120">
        <f>'TAR2013 Tarieven TD'!H27</f>
        <v>0.74</v>
      </c>
      <c r="I27" s="120">
        <f>'TAR2013 Tarieven TD'!I27</f>
        <v>0</v>
      </c>
      <c r="J27" s="120">
        <f>'TAR2013 Tarieven TD'!J27</f>
        <v>1.18</v>
      </c>
      <c r="K27" s="120">
        <f>'TAR2013 Tarieven TD'!K27</f>
        <v>2.0499999999999998</v>
      </c>
      <c r="L27" s="120">
        <f>'TAR2013 Tarieven TD'!L27</f>
        <v>0</v>
      </c>
      <c r="M27" s="120">
        <f>'TAR2013 Tarieven TD'!M27</f>
        <v>2.25</v>
      </c>
      <c r="N27" s="120">
        <f>'TAR2013 Tarieven TD'!N27</f>
        <v>0</v>
      </c>
    </row>
    <row r="28" spans="2:14">
      <c r="F28" s="49"/>
      <c r="G28" s="89"/>
      <c r="H28" s="89"/>
      <c r="I28" s="89"/>
      <c r="J28" s="89"/>
      <c r="K28" s="89"/>
      <c r="L28" s="89"/>
      <c r="M28" s="89"/>
      <c r="N28" s="89"/>
    </row>
    <row r="29" spans="2:14">
      <c r="B29" s="3" t="s">
        <v>219</v>
      </c>
      <c r="F29" s="49"/>
      <c r="G29" s="89"/>
      <c r="H29" s="89"/>
      <c r="I29" s="89"/>
      <c r="J29" s="89"/>
      <c r="K29" s="89"/>
      <c r="L29" s="89"/>
      <c r="M29" s="89"/>
      <c r="N29" s="89"/>
    </row>
    <row r="30" spans="2:14">
      <c r="B30" t="s">
        <v>213</v>
      </c>
      <c r="D30" s="13" t="s">
        <v>338</v>
      </c>
      <c r="F30" s="72"/>
      <c r="G30" s="120">
        <f>'TAR2013 Tarieven TD'!G30</f>
        <v>0</v>
      </c>
      <c r="H30" s="120">
        <f>'TAR2013 Tarieven TD'!H30</f>
        <v>0</v>
      </c>
      <c r="I30" s="120">
        <f>'TAR2013 Tarieven TD'!I30</f>
        <v>0</v>
      </c>
      <c r="J30" s="120">
        <f>'TAR2013 Tarieven TD'!J30</f>
        <v>2760</v>
      </c>
      <c r="K30" s="120">
        <f>'TAR2013 Tarieven TD'!K30</f>
        <v>2760</v>
      </c>
      <c r="L30" s="120">
        <f>'TAR2013 Tarieven TD'!L30</f>
        <v>0</v>
      </c>
      <c r="M30" s="120">
        <f>'TAR2013 Tarieven TD'!M30</f>
        <v>2760</v>
      </c>
      <c r="N30" s="120">
        <f>'TAR2013 Tarieven TD'!N30</f>
        <v>0</v>
      </c>
    </row>
    <row r="31" spans="2:14">
      <c r="B31" t="s">
        <v>214</v>
      </c>
      <c r="D31" s="13" t="s">
        <v>338</v>
      </c>
      <c r="F31" s="72"/>
      <c r="G31" s="120">
        <f>'TAR2013 Tarieven TD'!G31</f>
        <v>0</v>
      </c>
      <c r="H31" s="120">
        <f>'TAR2013 Tarieven TD'!H31</f>
        <v>0</v>
      </c>
      <c r="I31" s="120">
        <f>'TAR2013 Tarieven TD'!I31</f>
        <v>0</v>
      </c>
      <c r="J31" s="120">
        <f>'TAR2013 Tarieven TD'!J31</f>
        <v>7.19</v>
      </c>
      <c r="K31" s="120">
        <f>'TAR2013 Tarieven TD'!K31</f>
        <v>10.56</v>
      </c>
      <c r="L31" s="120">
        <f>'TAR2013 Tarieven TD'!L31</f>
        <v>0</v>
      </c>
      <c r="M31" s="120">
        <f>'TAR2013 Tarieven TD'!M31</f>
        <v>10</v>
      </c>
      <c r="N31" s="120">
        <f>'TAR2013 Tarieven TD'!N31</f>
        <v>0</v>
      </c>
    </row>
    <row r="32" spans="2:14">
      <c r="B32" t="s">
        <v>217</v>
      </c>
      <c r="D32" s="13" t="s">
        <v>338</v>
      </c>
      <c r="F32" s="72"/>
      <c r="G32" s="120">
        <f>'TAR2013 Tarieven TD'!G32</f>
        <v>0</v>
      </c>
      <c r="H32" s="120">
        <f>'TAR2013 Tarieven TD'!H32</f>
        <v>0</v>
      </c>
      <c r="I32" s="120">
        <f>'TAR2013 Tarieven TD'!I32</f>
        <v>0</v>
      </c>
      <c r="J32" s="120">
        <f>'TAR2013 Tarieven TD'!J32</f>
        <v>0.41</v>
      </c>
      <c r="K32" s="120">
        <f>'TAR2013 Tarieven TD'!K32</f>
        <v>0.7</v>
      </c>
      <c r="L32" s="120">
        <f>'TAR2013 Tarieven TD'!L32</f>
        <v>0</v>
      </c>
      <c r="M32" s="120">
        <f>'TAR2013 Tarieven TD'!M32</f>
        <v>0.78</v>
      </c>
      <c r="N32" s="120">
        <f>'TAR2013 Tarieven TD'!N32</f>
        <v>0</v>
      </c>
    </row>
    <row r="33" spans="2:14">
      <c r="F33" s="49"/>
      <c r="G33" s="89"/>
      <c r="H33" s="89"/>
      <c r="I33" s="89"/>
      <c r="J33" s="89"/>
      <c r="K33" s="89"/>
      <c r="L33" s="89"/>
      <c r="M33" s="89"/>
      <c r="N33" s="89"/>
    </row>
    <row r="34" spans="2:14">
      <c r="B34" s="3" t="s">
        <v>220</v>
      </c>
      <c r="F34" s="49"/>
      <c r="G34" s="89"/>
      <c r="H34" s="89"/>
      <c r="I34" s="89"/>
      <c r="J34" s="89"/>
      <c r="K34" s="89"/>
      <c r="L34" s="89"/>
      <c r="M34" s="89"/>
      <c r="N34" s="89"/>
    </row>
    <row r="35" spans="2:14">
      <c r="B35" t="s">
        <v>213</v>
      </c>
      <c r="D35" s="13" t="s">
        <v>338</v>
      </c>
      <c r="F35" s="72"/>
      <c r="G35" s="120">
        <f>'TAR2013 Tarieven TD'!G35</f>
        <v>0</v>
      </c>
      <c r="H35" s="120">
        <f>'TAR2013 Tarieven TD'!H35</f>
        <v>2760</v>
      </c>
      <c r="I35" s="120">
        <f>'TAR2013 Tarieven TD'!I35</f>
        <v>2760</v>
      </c>
      <c r="J35" s="120">
        <f>'TAR2013 Tarieven TD'!J35</f>
        <v>2760</v>
      </c>
      <c r="K35" s="120">
        <f>'TAR2013 Tarieven TD'!K35</f>
        <v>2760</v>
      </c>
      <c r="L35" s="120">
        <f>'TAR2013 Tarieven TD'!L35</f>
        <v>0</v>
      </c>
      <c r="M35" s="120">
        <f>'TAR2013 Tarieven TD'!M35</f>
        <v>2760</v>
      </c>
      <c r="N35" s="120">
        <f>'TAR2013 Tarieven TD'!N35</f>
        <v>2760</v>
      </c>
    </row>
    <row r="36" spans="2:14">
      <c r="B36" t="s">
        <v>214</v>
      </c>
      <c r="D36" s="13" t="s">
        <v>338</v>
      </c>
      <c r="F36" s="72"/>
      <c r="G36" s="120">
        <f>'TAR2013 Tarieven TD'!G36</f>
        <v>0</v>
      </c>
      <c r="H36" s="120">
        <f>'TAR2013 Tarieven TD'!H36</f>
        <v>20.76</v>
      </c>
      <c r="I36" s="120">
        <f>'TAR2013 Tarieven TD'!I36</f>
        <v>18.77</v>
      </c>
      <c r="J36" s="120">
        <f>'TAR2013 Tarieven TD'!J36</f>
        <v>18.41</v>
      </c>
      <c r="K36" s="120">
        <f>'TAR2013 Tarieven TD'!K36</f>
        <v>25.56</v>
      </c>
      <c r="L36" s="120">
        <f>'TAR2013 Tarieven TD'!L36</f>
        <v>0</v>
      </c>
      <c r="M36" s="120">
        <f>'TAR2013 Tarieven TD'!M36</f>
        <v>23</v>
      </c>
      <c r="N36" s="120">
        <f>'TAR2013 Tarieven TD'!N36</f>
        <v>26.45</v>
      </c>
    </row>
    <row r="37" spans="2:14">
      <c r="B37" t="s">
        <v>215</v>
      </c>
      <c r="D37" s="13" t="s">
        <v>338</v>
      </c>
      <c r="F37" s="72"/>
      <c r="G37" s="120">
        <f>'TAR2013 Tarieven TD'!G37</f>
        <v>0</v>
      </c>
      <c r="H37" s="120">
        <f>'TAR2013 Tarieven TD'!H37</f>
        <v>1.99</v>
      </c>
      <c r="I37" s="120">
        <f>'TAR2013 Tarieven TD'!I37</f>
        <v>1.86</v>
      </c>
      <c r="J37" s="120">
        <f>'TAR2013 Tarieven TD'!J37</f>
        <v>1.81</v>
      </c>
      <c r="K37" s="120">
        <f>'TAR2013 Tarieven TD'!K37</f>
        <v>2.12</v>
      </c>
      <c r="L37" s="120">
        <f>'TAR2013 Tarieven TD'!L37</f>
        <v>0</v>
      </c>
      <c r="M37" s="120">
        <f>'TAR2013 Tarieven TD'!M37</f>
        <v>2.4500000000000002</v>
      </c>
      <c r="N37" s="120">
        <f>'TAR2013 Tarieven TD'!N37</f>
        <v>2.91</v>
      </c>
    </row>
    <row r="38" spans="2:14">
      <c r="F38" s="49"/>
      <c r="G38" s="89"/>
      <c r="H38" s="89"/>
      <c r="I38" s="89"/>
      <c r="J38" s="89"/>
      <c r="K38" s="89"/>
      <c r="L38" s="89"/>
      <c r="M38" s="89"/>
      <c r="N38" s="89"/>
    </row>
    <row r="39" spans="2:14">
      <c r="B39" s="3" t="s">
        <v>221</v>
      </c>
      <c r="F39" s="49"/>
      <c r="G39" s="89"/>
      <c r="H39" s="89"/>
      <c r="I39" s="89"/>
      <c r="J39" s="89"/>
      <c r="K39" s="89"/>
      <c r="L39" s="89"/>
      <c r="M39" s="89"/>
      <c r="N39" s="89"/>
    </row>
    <row r="40" spans="2:14">
      <c r="B40" t="s">
        <v>213</v>
      </c>
      <c r="D40" s="13" t="s">
        <v>338</v>
      </c>
      <c r="F40" s="72"/>
      <c r="G40" s="120">
        <f>'TAR2013 Tarieven TD'!G40</f>
        <v>0</v>
      </c>
      <c r="H40" s="120">
        <f>'TAR2013 Tarieven TD'!H40</f>
        <v>2760</v>
      </c>
      <c r="I40" s="120">
        <f>'TAR2013 Tarieven TD'!I40</f>
        <v>0</v>
      </c>
      <c r="J40" s="120">
        <f>'TAR2013 Tarieven TD'!J40</f>
        <v>2760</v>
      </c>
      <c r="K40" s="120">
        <f>'TAR2013 Tarieven TD'!K40</f>
        <v>2760</v>
      </c>
      <c r="L40" s="120">
        <f>'TAR2013 Tarieven TD'!L40</f>
        <v>0</v>
      </c>
      <c r="M40" s="120">
        <f>'TAR2013 Tarieven TD'!M40</f>
        <v>2760</v>
      </c>
      <c r="N40" s="120">
        <f>'TAR2013 Tarieven TD'!N40</f>
        <v>0</v>
      </c>
    </row>
    <row r="41" spans="2:14">
      <c r="B41" t="s">
        <v>214</v>
      </c>
      <c r="D41" s="13" t="s">
        <v>338</v>
      </c>
      <c r="F41" s="72"/>
      <c r="G41" s="120">
        <f>'TAR2013 Tarieven TD'!G41</f>
        <v>0</v>
      </c>
      <c r="H41" s="120">
        <f>'TAR2013 Tarieven TD'!H41</f>
        <v>10.38</v>
      </c>
      <c r="I41" s="120">
        <f>'TAR2013 Tarieven TD'!I41</f>
        <v>0</v>
      </c>
      <c r="J41" s="120">
        <f>'TAR2013 Tarieven TD'!J41</f>
        <v>9.2100000000000009</v>
      </c>
      <c r="K41" s="120">
        <f>'TAR2013 Tarieven TD'!K41</f>
        <v>12.78</v>
      </c>
      <c r="L41" s="120">
        <f>'TAR2013 Tarieven TD'!L41</f>
        <v>0</v>
      </c>
      <c r="M41" s="120">
        <f>'TAR2013 Tarieven TD'!M41</f>
        <v>11.5</v>
      </c>
      <c r="N41" s="120">
        <f>'TAR2013 Tarieven TD'!N41</f>
        <v>0</v>
      </c>
    </row>
    <row r="42" spans="2:14">
      <c r="B42" t="s">
        <v>217</v>
      </c>
      <c r="D42" s="13" t="s">
        <v>338</v>
      </c>
      <c r="F42" s="72"/>
      <c r="G42" s="120">
        <f>'TAR2013 Tarieven TD'!G42</f>
        <v>0</v>
      </c>
      <c r="H42" s="120">
        <f>'TAR2013 Tarieven TD'!H42</f>
        <v>0.68</v>
      </c>
      <c r="I42" s="120">
        <f>'TAR2013 Tarieven TD'!I42</f>
        <v>0</v>
      </c>
      <c r="J42" s="120">
        <f>'TAR2013 Tarieven TD'!J42</f>
        <v>0.63</v>
      </c>
      <c r="K42" s="120">
        <f>'TAR2013 Tarieven TD'!K42</f>
        <v>0.73</v>
      </c>
      <c r="L42" s="120">
        <f>'TAR2013 Tarieven TD'!L42</f>
        <v>0</v>
      </c>
      <c r="M42" s="120">
        <f>'TAR2013 Tarieven TD'!M42</f>
        <v>0.85</v>
      </c>
      <c r="N42" s="120">
        <f>'TAR2013 Tarieven TD'!N42</f>
        <v>0</v>
      </c>
    </row>
    <row r="43" spans="2:14">
      <c r="F43" s="49"/>
      <c r="G43" s="89"/>
      <c r="H43" s="89"/>
      <c r="I43" s="89"/>
      <c r="J43" s="89"/>
      <c r="K43" s="89"/>
      <c r="L43" s="89"/>
      <c r="M43" s="89"/>
      <c r="N43" s="89"/>
    </row>
    <row r="44" spans="2:14">
      <c r="F44" s="49"/>
      <c r="G44" s="89"/>
      <c r="H44" s="89"/>
      <c r="I44" s="89"/>
      <c r="J44" s="89"/>
      <c r="K44" s="89"/>
      <c r="L44" s="89"/>
      <c r="M44" s="89"/>
      <c r="N44" s="89"/>
    </row>
    <row r="45" spans="2:14">
      <c r="F45" s="49"/>
      <c r="G45" s="89"/>
      <c r="H45" s="89"/>
      <c r="I45" s="89"/>
      <c r="J45" s="89"/>
      <c r="K45" s="89"/>
      <c r="L45" s="89"/>
      <c r="M45" s="89"/>
      <c r="N45" s="89"/>
    </row>
    <row r="46" spans="2:14">
      <c r="F46" s="49"/>
      <c r="G46" s="89"/>
      <c r="H46" s="89"/>
      <c r="I46" s="89"/>
      <c r="J46" s="89"/>
      <c r="K46" s="89"/>
      <c r="L46" s="89"/>
      <c r="M46" s="89"/>
      <c r="N46" s="89"/>
    </row>
    <row r="47" spans="2:14">
      <c r="F47" s="49"/>
      <c r="G47" s="89"/>
      <c r="H47" s="89"/>
      <c r="I47" s="89"/>
      <c r="J47" s="89"/>
      <c r="K47" s="89"/>
      <c r="L47" s="89"/>
      <c r="M47" s="89"/>
      <c r="N47" s="89"/>
    </row>
    <row r="48" spans="2:14">
      <c r="B48" s="3" t="s">
        <v>50</v>
      </c>
      <c r="F48" s="49"/>
      <c r="G48" s="89"/>
      <c r="H48" s="89"/>
      <c r="I48" s="89"/>
      <c r="J48" s="89"/>
      <c r="K48" s="89"/>
      <c r="L48" s="89"/>
      <c r="M48" s="89"/>
      <c r="N48" s="89"/>
    </row>
    <row r="49" spans="2:14">
      <c r="F49" s="49"/>
      <c r="G49" s="89"/>
      <c r="H49" s="89"/>
      <c r="I49" s="89"/>
      <c r="J49" s="89"/>
      <c r="K49" s="89"/>
      <c r="L49" s="89"/>
      <c r="M49" s="89"/>
      <c r="N49" s="89"/>
    </row>
    <row r="50" spans="2:14">
      <c r="F50" s="49"/>
      <c r="G50" s="89"/>
      <c r="H50" s="89"/>
      <c r="I50" s="89"/>
      <c r="J50" s="89"/>
      <c r="K50" s="89"/>
      <c r="L50" s="89"/>
      <c r="M50" s="89"/>
      <c r="N50" s="89"/>
    </row>
    <row r="51" spans="2:14">
      <c r="B51" s="3" t="s">
        <v>222</v>
      </c>
      <c r="F51" s="49"/>
      <c r="G51" s="89"/>
      <c r="H51" s="89"/>
      <c r="I51" s="89"/>
      <c r="J51" s="89"/>
      <c r="K51" s="89"/>
      <c r="L51" s="89"/>
      <c r="M51" s="89"/>
      <c r="N51" s="89"/>
    </row>
    <row r="52" spans="2:14">
      <c r="B52" t="s">
        <v>213</v>
      </c>
      <c r="D52" s="13" t="s">
        <v>338</v>
      </c>
      <c r="F52" s="72"/>
      <c r="G52" s="120">
        <f>'TAR2013 Tarieven TD'!G52</f>
        <v>0</v>
      </c>
      <c r="H52" s="120">
        <f>'TAR2013 Tarieven TD'!H52</f>
        <v>0</v>
      </c>
      <c r="I52" s="120">
        <f>'TAR2013 Tarieven TD'!I52</f>
        <v>441</v>
      </c>
      <c r="J52" s="120">
        <f>'TAR2013 Tarieven TD'!J52</f>
        <v>441</v>
      </c>
      <c r="K52" s="120">
        <f>'TAR2013 Tarieven TD'!K52</f>
        <v>0</v>
      </c>
      <c r="L52" s="120">
        <f>'TAR2013 Tarieven TD'!L52</f>
        <v>441</v>
      </c>
      <c r="M52" s="120">
        <f>'TAR2013 Tarieven TD'!M52</f>
        <v>0</v>
      </c>
      <c r="N52" s="120">
        <f>'TAR2013 Tarieven TD'!N52</f>
        <v>0</v>
      </c>
    </row>
    <row r="53" spans="2:14">
      <c r="B53" t="s">
        <v>223</v>
      </c>
      <c r="D53" s="13" t="s">
        <v>338</v>
      </c>
      <c r="F53" s="72"/>
      <c r="G53" s="120">
        <f>'TAR2013 Tarieven TD'!G53</f>
        <v>0</v>
      </c>
      <c r="H53" s="120">
        <f>'TAR2013 Tarieven TD'!H53</f>
        <v>0</v>
      </c>
      <c r="I53" s="120">
        <f>'TAR2013 Tarieven TD'!I53</f>
        <v>16.14</v>
      </c>
      <c r="J53" s="120">
        <f>'TAR2013 Tarieven TD'!J53</f>
        <v>13.66</v>
      </c>
      <c r="K53" s="120">
        <f>'TAR2013 Tarieven TD'!K53</f>
        <v>0</v>
      </c>
      <c r="L53" s="120">
        <f>'TAR2013 Tarieven TD'!L53</f>
        <v>23.5</v>
      </c>
      <c r="M53" s="120">
        <f>'TAR2013 Tarieven TD'!M53</f>
        <v>0</v>
      </c>
      <c r="N53" s="120">
        <f>'TAR2013 Tarieven TD'!N53</f>
        <v>0</v>
      </c>
    </row>
    <row r="54" spans="2:14">
      <c r="B54" t="s">
        <v>215</v>
      </c>
      <c r="D54" s="13" t="s">
        <v>338</v>
      </c>
      <c r="F54" s="72"/>
      <c r="G54" s="120">
        <f>'TAR2013 Tarieven TD'!G54</f>
        <v>0</v>
      </c>
      <c r="H54" s="120">
        <f>'TAR2013 Tarieven TD'!H54</f>
        <v>0</v>
      </c>
      <c r="I54" s="120">
        <f>'TAR2013 Tarieven TD'!I54</f>
        <v>1.37</v>
      </c>
      <c r="J54" s="120">
        <f>'TAR2013 Tarieven TD'!J54</f>
        <v>1.32</v>
      </c>
      <c r="K54" s="120">
        <f>'TAR2013 Tarieven TD'!K54</f>
        <v>0</v>
      </c>
      <c r="L54" s="120">
        <f>'TAR2013 Tarieven TD'!L54</f>
        <v>2.2999999999999998</v>
      </c>
      <c r="M54" s="120">
        <f>'TAR2013 Tarieven TD'!M54</f>
        <v>0</v>
      </c>
      <c r="N54" s="120">
        <f>'TAR2013 Tarieven TD'!N54</f>
        <v>0</v>
      </c>
    </row>
    <row r="55" spans="2:14">
      <c r="B55" t="s">
        <v>224</v>
      </c>
      <c r="D55" s="13" t="s">
        <v>338</v>
      </c>
      <c r="F55" s="72"/>
      <c r="G55" s="120">
        <f>'TAR2013 Tarieven TD'!G55</f>
        <v>0</v>
      </c>
      <c r="H55" s="120">
        <f>'TAR2013 Tarieven TD'!H55</f>
        <v>0</v>
      </c>
      <c r="I55" s="120">
        <f>'TAR2013 Tarieven TD'!I55</f>
        <v>7.3000000000000001E-3</v>
      </c>
      <c r="J55" s="120">
        <f>'TAR2013 Tarieven TD'!J55</f>
        <v>5.1999999999999998E-3</v>
      </c>
      <c r="K55" s="120">
        <f>'TAR2013 Tarieven TD'!K55</f>
        <v>0</v>
      </c>
      <c r="L55" s="120">
        <f>'TAR2013 Tarieven TD'!L55</f>
        <v>3.3999999999999998E-3</v>
      </c>
      <c r="M55" s="120">
        <f>'TAR2013 Tarieven TD'!M55</f>
        <v>0</v>
      </c>
      <c r="N55" s="120">
        <f>'TAR2013 Tarieven TD'!N55</f>
        <v>0</v>
      </c>
    </row>
    <row r="56" spans="2:14">
      <c r="F56" s="49"/>
      <c r="G56" s="89"/>
      <c r="H56" s="89"/>
      <c r="I56" s="89"/>
      <c r="J56" s="89"/>
      <c r="K56" s="89"/>
      <c r="L56" s="89"/>
      <c r="M56" s="89"/>
      <c r="N56" s="89"/>
    </row>
    <row r="57" spans="2:14">
      <c r="B57" s="3" t="s">
        <v>225</v>
      </c>
      <c r="F57" s="49"/>
      <c r="G57" s="89"/>
      <c r="H57" s="89"/>
      <c r="I57" s="89"/>
      <c r="J57" s="89"/>
      <c r="K57" s="89"/>
      <c r="L57" s="89"/>
      <c r="M57" s="89"/>
      <c r="N57" s="89"/>
    </row>
    <row r="58" spans="2:14">
      <c r="B58" t="s">
        <v>213</v>
      </c>
      <c r="D58" s="13" t="s">
        <v>338</v>
      </c>
      <c r="F58" s="72"/>
      <c r="G58" s="120">
        <f>'TAR2013 Tarieven TD'!G58</f>
        <v>441</v>
      </c>
      <c r="H58" s="120">
        <f>'TAR2013 Tarieven TD'!H58</f>
        <v>441</v>
      </c>
      <c r="I58" s="120">
        <f>'TAR2013 Tarieven TD'!I58</f>
        <v>441</v>
      </c>
      <c r="J58" s="120">
        <f>'TAR2013 Tarieven TD'!J58</f>
        <v>441</v>
      </c>
      <c r="K58" s="120">
        <f>'TAR2013 Tarieven TD'!K58</f>
        <v>441</v>
      </c>
      <c r="L58" s="120">
        <f>'TAR2013 Tarieven TD'!L58</f>
        <v>441</v>
      </c>
      <c r="M58" s="120">
        <f>'TAR2013 Tarieven TD'!M58</f>
        <v>441</v>
      </c>
      <c r="N58" s="120">
        <f>'TAR2013 Tarieven TD'!N58</f>
        <v>441</v>
      </c>
    </row>
    <row r="59" spans="2:14">
      <c r="B59" t="s">
        <v>223</v>
      </c>
      <c r="D59" s="13" t="s">
        <v>338</v>
      </c>
      <c r="F59" s="72"/>
      <c r="G59" s="120">
        <f>'TAR2013 Tarieven TD'!G59</f>
        <v>18.03</v>
      </c>
      <c r="H59" s="120">
        <f>'TAR2013 Tarieven TD'!H59</f>
        <v>13.56</v>
      </c>
      <c r="I59" s="120">
        <f>'TAR2013 Tarieven TD'!I59</f>
        <v>17.27</v>
      </c>
      <c r="J59" s="120">
        <f>'TAR2013 Tarieven TD'!J59</f>
        <v>17.22</v>
      </c>
      <c r="K59" s="120">
        <f>'TAR2013 Tarieven TD'!K59</f>
        <v>16.8</v>
      </c>
      <c r="L59" s="120">
        <f>'TAR2013 Tarieven TD'!L59</f>
        <v>18.5</v>
      </c>
      <c r="M59" s="120">
        <f>'TAR2013 Tarieven TD'!M59</f>
        <v>14</v>
      </c>
      <c r="N59" s="120">
        <f>'TAR2013 Tarieven TD'!N59</f>
        <v>13.17</v>
      </c>
    </row>
    <row r="60" spans="2:14">
      <c r="B60" t="s">
        <v>215</v>
      </c>
      <c r="D60" s="13" t="s">
        <v>338</v>
      </c>
      <c r="F60" s="72"/>
      <c r="G60" s="120">
        <f>'TAR2013 Tarieven TD'!G60</f>
        <v>1.69</v>
      </c>
      <c r="H60" s="120">
        <f>'TAR2013 Tarieven TD'!H60</f>
        <v>1.33</v>
      </c>
      <c r="I60" s="120">
        <f>'TAR2013 Tarieven TD'!I60</f>
        <v>1.72</v>
      </c>
      <c r="J60" s="120">
        <f>'TAR2013 Tarieven TD'!J60</f>
        <v>1.73</v>
      </c>
      <c r="K60" s="120">
        <f>'TAR2013 Tarieven TD'!K60</f>
        <v>1.54</v>
      </c>
      <c r="L60" s="120">
        <f>'TAR2013 Tarieven TD'!L60</f>
        <v>2</v>
      </c>
      <c r="M60" s="120">
        <f>'TAR2013 Tarieven TD'!M60</f>
        <v>1.9</v>
      </c>
      <c r="N60" s="120">
        <f>'TAR2013 Tarieven TD'!N60</f>
        <v>1.69</v>
      </c>
    </row>
    <row r="61" spans="2:14">
      <c r="B61" t="s">
        <v>224</v>
      </c>
      <c r="D61" s="13" t="s">
        <v>338</v>
      </c>
      <c r="F61" s="72"/>
      <c r="G61" s="120">
        <f>'TAR2013 Tarieven TD'!G61</f>
        <v>8.8000000000000005E-3</v>
      </c>
      <c r="H61" s="120">
        <f>'TAR2013 Tarieven TD'!H61</f>
        <v>1.01E-2</v>
      </c>
      <c r="I61" s="120">
        <f>'TAR2013 Tarieven TD'!I61</f>
        <v>1.11E-2</v>
      </c>
      <c r="J61" s="120">
        <f>'TAR2013 Tarieven TD'!J61</f>
        <v>0.01</v>
      </c>
      <c r="K61" s="120">
        <f>'TAR2013 Tarieven TD'!K61</f>
        <v>9.4999999999999998E-3</v>
      </c>
      <c r="L61" s="120">
        <f>'TAR2013 Tarieven TD'!L61</f>
        <v>1.23E-2</v>
      </c>
      <c r="M61" s="120">
        <f>'TAR2013 Tarieven TD'!M61</f>
        <v>1.14E-2</v>
      </c>
      <c r="N61" s="120">
        <f>'TAR2013 Tarieven TD'!N61</f>
        <v>1.14E-2</v>
      </c>
    </row>
    <row r="62" spans="2:14">
      <c r="F62" s="49"/>
      <c r="G62" s="89"/>
      <c r="H62" s="89"/>
      <c r="I62" s="89"/>
      <c r="J62" s="89"/>
      <c r="K62" s="89"/>
      <c r="L62" s="89"/>
      <c r="M62" s="89"/>
      <c r="N62" s="89"/>
    </row>
    <row r="63" spans="2:14">
      <c r="B63" s="3" t="s">
        <v>226</v>
      </c>
      <c r="F63" s="49"/>
      <c r="G63" s="89"/>
      <c r="H63" s="89"/>
      <c r="I63" s="89"/>
      <c r="J63" s="89"/>
      <c r="K63" s="89"/>
      <c r="L63" s="89"/>
      <c r="M63" s="89"/>
      <c r="N63" s="89"/>
    </row>
    <row r="64" spans="2:14">
      <c r="B64" t="s">
        <v>213</v>
      </c>
      <c r="D64" s="13" t="s">
        <v>338</v>
      </c>
      <c r="F64" s="72"/>
      <c r="G64" s="120">
        <f>'TAR2013 Tarieven TD'!G64</f>
        <v>441</v>
      </c>
      <c r="H64" s="120">
        <f>'TAR2013 Tarieven TD'!H64</f>
        <v>441</v>
      </c>
      <c r="I64" s="120">
        <f>'TAR2013 Tarieven TD'!I64</f>
        <v>441</v>
      </c>
      <c r="J64" s="120">
        <f>'TAR2013 Tarieven TD'!J64</f>
        <v>441</v>
      </c>
      <c r="K64" s="120">
        <f>'TAR2013 Tarieven TD'!K64</f>
        <v>441</v>
      </c>
      <c r="L64" s="120">
        <f>'TAR2013 Tarieven TD'!L64</f>
        <v>441</v>
      </c>
      <c r="M64" s="120">
        <f>'TAR2013 Tarieven TD'!M64</f>
        <v>441</v>
      </c>
      <c r="N64" s="120">
        <f>'TAR2013 Tarieven TD'!N64</f>
        <v>441</v>
      </c>
    </row>
    <row r="65" spans="2:14">
      <c r="B65" t="s">
        <v>223</v>
      </c>
      <c r="D65" s="13" t="s">
        <v>338</v>
      </c>
      <c r="F65" s="72"/>
      <c r="G65" s="120">
        <f>'TAR2013 Tarieven TD'!G65</f>
        <v>20.149999999999999</v>
      </c>
      <c r="H65" s="120">
        <f>'TAR2013 Tarieven TD'!H65</f>
        <v>24.54</v>
      </c>
      <c r="I65" s="120">
        <f>'TAR2013 Tarieven TD'!I65</f>
        <v>28.66</v>
      </c>
      <c r="J65" s="120">
        <f>'TAR2013 Tarieven TD'!J65</f>
        <v>26.23</v>
      </c>
      <c r="K65" s="120">
        <f>'TAR2013 Tarieven TD'!K65</f>
        <v>24.96</v>
      </c>
      <c r="L65" s="120">
        <f>'TAR2013 Tarieven TD'!L65</f>
        <v>25.75</v>
      </c>
      <c r="M65" s="120">
        <f>'TAR2013 Tarieven TD'!M65</f>
        <v>22.5</v>
      </c>
      <c r="N65" s="120">
        <f>'TAR2013 Tarieven TD'!N65</f>
        <v>26.38</v>
      </c>
    </row>
    <row r="66" spans="2:14">
      <c r="B66" t="s">
        <v>215</v>
      </c>
      <c r="D66" s="13" t="s">
        <v>338</v>
      </c>
      <c r="F66" s="72"/>
      <c r="G66" s="120">
        <f>'TAR2013 Tarieven TD'!G66</f>
        <v>1.69</v>
      </c>
      <c r="H66" s="120">
        <f>'TAR2013 Tarieven TD'!H66</f>
        <v>1.33</v>
      </c>
      <c r="I66" s="120">
        <f>'TAR2013 Tarieven TD'!I66</f>
        <v>1.72</v>
      </c>
      <c r="J66" s="120">
        <f>'TAR2013 Tarieven TD'!J66</f>
        <v>1.73</v>
      </c>
      <c r="K66" s="120">
        <f>'TAR2013 Tarieven TD'!K66</f>
        <v>1.54</v>
      </c>
      <c r="L66" s="120">
        <f>'TAR2013 Tarieven TD'!L66</f>
        <v>2</v>
      </c>
      <c r="M66" s="120">
        <f>'TAR2013 Tarieven TD'!M66</f>
        <v>1.9</v>
      </c>
      <c r="N66" s="120">
        <f>'TAR2013 Tarieven TD'!N66</f>
        <v>1.69</v>
      </c>
    </row>
    <row r="67" spans="2:14">
      <c r="B67" t="s">
        <v>224</v>
      </c>
      <c r="D67" s="13" t="s">
        <v>338</v>
      </c>
      <c r="F67" s="72"/>
      <c r="G67" s="120">
        <f>'TAR2013 Tarieven TD'!G67</f>
        <v>8.8000000000000005E-3</v>
      </c>
      <c r="H67" s="120">
        <f>'TAR2013 Tarieven TD'!H67</f>
        <v>1.01E-2</v>
      </c>
      <c r="I67" s="120">
        <f>'TAR2013 Tarieven TD'!I67</f>
        <v>1.11E-2</v>
      </c>
      <c r="J67" s="120">
        <f>'TAR2013 Tarieven TD'!J67</f>
        <v>0.01</v>
      </c>
      <c r="K67" s="120">
        <f>'TAR2013 Tarieven TD'!K67</f>
        <v>9.4999999999999998E-3</v>
      </c>
      <c r="L67" s="120">
        <f>'TAR2013 Tarieven TD'!L67</f>
        <v>1.23E-2</v>
      </c>
      <c r="M67" s="120">
        <f>'TAR2013 Tarieven TD'!M67</f>
        <v>1.14E-2</v>
      </c>
      <c r="N67" s="120">
        <f>'TAR2013 Tarieven TD'!N67</f>
        <v>1.14E-2</v>
      </c>
    </row>
    <row r="68" spans="2:14">
      <c r="F68" s="49"/>
      <c r="G68" s="89"/>
      <c r="H68" s="89"/>
      <c r="I68" s="89"/>
      <c r="J68" s="89"/>
      <c r="K68" s="89"/>
      <c r="L68" s="89"/>
      <c r="M68" s="89"/>
      <c r="N68" s="89"/>
    </row>
    <row r="69" spans="2:14">
      <c r="F69" s="49"/>
      <c r="G69" s="89"/>
      <c r="H69" s="89"/>
      <c r="I69" s="89"/>
      <c r="J69" s="89"/>
      <c r="K69" s="89"/>
      <c r="L69" s="89"/>
      <c r="M69" s="89"/>
      <c r="N69" s="89"/>
    </row>
    <row r="70" spans="2:14">
      <c r="F70" s="49"/>
      <c r="G70" s="89"/>
      <c r="H70" s="89"/>
      <c r="I70" s="89"/>
      <c r="J70" s="89"/>
      <c r="K70" s="89"/>
      <c r="L70" s="89"/>
      <c r="M70" s="89"/>
      <c r="N70" s="89"/>
    </row>
    <row r="71" spans="2:14">
      <c r="F71" s="49"/>
      <c r="G71" s="89"/>
      <c r="H71" s="89"/>
      <c r="I71" s="89"/>
      <c r="J71" s="89"/>
      <c r="K71" s="89"/>
      <c r="L71" s="89"/>
      <c r="M71" s="89"/>
      <c r="N71" s="89"/>
    </row>
    <row r="72" spans="2:14">
      <c r="F72" s="49"/>
      <c r="G72" s="89"/>
      <c r="H72" s="89"/>
      <c r="I72" s="89"/>
      <c r="J72" s="89"/>
      <c r="K72" s="89"/>
      <c r="L72" s="89"/>
      <c r="M72" s="89"/>
      <c r="N72" s="89"/>
    </row>
    <row r="73" spans="2:14">
      <c r="B73" s="3" t="s">
        <v>51</v>
      </c>
      <c r="F73" s="49"/>
      <c r="G73" s="89"/>
      <c r="H73" s="89"/>
      <c r="I73" s="89"/>
      <c r="J73" s="89"/>
      <c r="K73" s="89"/>
      <c r="L73" s="89"/>
      <c r="M73" s="89"/>
      <c r="N73" s="89"/>
    </row>
    <row r="74" spans="2:14">
      <c r="F74" s="49"/>
      <c r="G74" s="89"/>
      <c r="H74" s="89"/>
      <c r="I74" s="89"/>
      <c r="J74" s="89"/>
      <c r="K74" s="89"/>
      <c r="L74" s="89"/>
      <c r="M74" s="89"/>
      <c r="N74" s="89"/>
    </row>
    <row r="75" spans="2:14">
      <c r="F75" s="49"/>
      <c r="G75" s="89"/>
      <c r="H75" s="89"/>
      <c r="I75" s="89"/>
      <c r="J75" s="89"/>
      <c r="K75" s="89"/>
      <c r="L75" s="89"/>
      <c r="M75" s="89"/>
      <c r="N75" s="89"/>
    </row>
    <row r="76" spans="2:14">
      <c r="B76" s="3" t="s">
        <v>227</v>
      </c>
      <c r="F76" s="49"/>
      <c r="G76" s="89"/>
      <c r="H76" s="89"/>
      <c r="I76" s="89"/>
      <c r="J76" s="89"/>
      <c r="K76" s="89"/>
      <c r="L76" s="89"/>
      <c r="M76" s="89"/>
      <c r="N76" s="89"/>
    </row>
    <row r="77" spans="2:14">
      <c r="B77" t="s">
        <v>213</v>
      </c>
      <c r="D77" s="13" t="s">
        <v>338</v>
      </c>
      <c r="F77" s="72"/>
      <c r="G77" s="120">
        <f>'TAR2013 Tarieven TD'!G77</f>
        <v>18</v>
      </c>
      <c r="H77" s="120">
        <f>'TAR2013 Tarieven TD'!H77</f>
        <v>18</v>
      </c>
      <c r="I77" s="120">
        <f>'TAR2013 Tarieven TD'!I77</f>
        <v>0</v>
      </c>
      <c r="J77" s="120">
        <f>'TAR2013 Tarieven TD'!J77</f>
        <v>18</v>
      </c>
      <c r="K77" s="120">
        <f>'TAR2013 Tarieven TD'!K77</f>
        <v>18</v>
      </c>
      <c r="L77" s="120">
        <f>'TAR2013 Tarieven TD'!L77</f>
        <v>18</v>
      </c>
      <c r="M77" s="120">
        <f>'TAR2013 Tarieven TD'!M77</f>
        <v>18</v>
      </c>
      <c r="N77" s="120">
        <f>'TAR2013 Tarieven TD'!N77</f>
        <v>18</v>
      </c>
    </row>
    <row r="78" spans="2:14">
      <c r="B78" t="s">
        <v>223</v>
      </c>
      <c r="D78" s="13" t="s">
        <v>338</v>
      </c>
      <c r="F78" s="72"/>
      <c r="G78" s="120">
        <f>'TAR2013 Tarieven TD'!G78</f>
        <v>8.58</v>
      </c>
      <c r="H78" s="120">
        <f>'TAR2013 Tarieven TD'!H78</f>
        <v>7.08</v>
      </c>
      <c r="I78" s="120">
        <f>'TAR2013 Tarieven TD'!I78</f>
        <v>0</v>
      </c>
      <c r="J78" s="120">
        <f>'TAR2013 Tarieven TD'!J78</f>
        <v>5.7</v>
      </c>
      <c r="K78" s="120">
        <f>'TAR2013 Tarieven TD'!K78</f>
        <v>5.16</v>
      </c>
      <c r="L78" s="120">
        <f>'TAR2013 Tarieven TD'!L78</f>
        <v>8.75</v>
      </c>
      <c r="M78" s="120">
        <f>'TAR2013 Tarieven TD'!M78</f>
        <v>5.72</v>
      </c>
      <c r="N78" s="120">
        <f>'TAR2013 Tarieven TD'!N78</f>
        <v>7.49</v>
      </c>
    </row>
    <row r="79" spans="2:14">
      <c r="B79" t="s">
        <v>228</v>
      </c>
      <c r="D79" s="13" t="s">
        <v>338</v>
      </c>
      <c r="F79" s="72"/>
      <c r="G79" s="120">
        <f>'TAR2013 Tarieven TD'!G79</f>
        <v>2.12E-2</v>
      </c>
      <c r="H79" s="120">
        <f>'TAR2013 Tarieven TD'!H79</f>
        <v>2.6100000000000002E-2</v>
      </c>
      <c r="I79" s="120">
        <f>'TAR2013 Tarieven TD'!I79</f>
        <v>0</v>
      </c>
      <c r="J79" s="120">
        <f>'TAR2013 Tarieven TD'!J79</f>
        <v>1.8100000000000002E-2</v>
      </c>
      <c r="K79" s="120">
        <f>'TAR2013 Tarieven TD'!K79</f>
        <v>1.4999999999999999E-2</v>
      </c>
      <c r="L79" s="120">
        <f>'TAR2013 Tarieven TD'!L79</f>
        <v>2.4E-2</v>
      </c>
      <c r="M79" s="120">
        <f>'TAR2013 Tarieven TD'!M79</f>
        <v>2.1000000000000001E-2</v>
      </c>
      <c r="N79" s="120">
        <f>'TAR2013 Tarieven TD'!N79</f>
        <v>2.0400000000000001E-2</v>
      </c>
    </row>
    <row r="80" spans="2:14">
      <c r="B80" t="s">
        <v>224</v>
      </c>
      <c r="D80" s="13" t="s">
        <v>338</v>
      </c>
      <c r="F80" s="72"/>
      <c r="G80" s="120">
        <f>'TAR2013 Tarieven TD'!G80</f>
        <v>4.5499999999999999E-2</v>
      </c>
      <c r="H80" s="120">
        <f>'TAR2013 Tarieven TD'!H80</f>
        <v>3.95E-2</v>
      </c>
      <c r="I80" s="120">
        <f>'TAR2013 Tarieven TD'!I80</f>
        <v>0</v>
      </c>
      <c r="J80" s="120">
        <f>'TAR2013 Tarieven TD'!J80</f>
        <v>3.4500000000000003E-2</v>
      </c>
      <c r="K80" s="120">
        <f>'TAR2013 Tarieven TD'!K80</f>
        <v>3.8699999999999998E-2</v>
      </c>
      <c r="L80" s="120">
        <f>'TAR2013 Tarieven TD'!L80</f>
        <v>4.5400000000000003E-2</v>
      </c>
      <c r="M80" s="120">
        <f>'TAR2013 Tarieven TD'!M80</f>
        <v>4.2000000000000003E-2</v>
      </c>
      <c r="N80" s="120">
        <f>'TAR2013 Tarieven TD'!N80</f>
        <v>4.0500000000000001E-2</v>
      </c>
    </row>
    <row r="81" spans="2:14">
      <c r="F81" s="49"/>
      <c r="G81" s="89"/>
      <c r="H81" s="89"/>
      <c r="I81" s="89"/>
      <c r="J81" s="89"/>
      <c r="K81" s="89"/>
      <c r="L81" s="89"/>
      <c r="M81" s="89"/>
      <c r="N81" s="89"/>
    </row>
    <row r="82" spans="2:14">
      <c r="B82" s="3" t="s">
        <v>229</v>
      </c>
      <c r="F82" s="49"/>
      <c r="G82" s="89"/>
      <c r="H82" s="89"/>
      <c r="I82" s="89"/>
      <c r="J82" s="89"/>
      <c r="K82" s="89"/>
      <c r="L82" s="89"/>
      <c r="M82" s="89"/>
      <c r="N82" s="89"/>
    </row>
    <row r="83" spans="2:14">
      <c r="B83" t="s">
        <v>230</v>
      </c>
      <c r="D83" s="13" t="s">
        <v>338</v>
      </c>
      <c r="F83" s="72"/>
      <c r="G83" s="120">
        <f>'TAR2013 Tarieven TD'!G83</f>
        <v>0.54</v>
      </c>
      <c r="H83" s="120">
        <f>'TAR2013 Tarieven TD'!H83</f>
        <v>0.54</v>
      </c>
      <c r="I83" s="120">
        <f>'TAR2013 Tarieven TD'!I83</f>
        <v>0.54</v>
      </c>
      <c r="J83" s="120">
        <f>'TAR2013 Tarieven TD'!J83</f>
        <v>0.54</v>
      </c>
      <c r="K83" s="120">
        <f>'TAR2013 Tarieven TD'!K83</f>
        <v>0.54</v>
      </c>
      <c r="L83" s="120">
        <f>'TAR2013 Tarieven TD'!L83</f>
        <v>0.54</v>
      </c>
      <c r="M83" s="120">
        <f>'TAR2013 Tarieven TD'!M83</f>
        <v>0.54</v>
      </c>
      <c r="N83" s="120">
        <f>'TAR2013 Tarieven TD'!N83</f>
        <v>0.54</v>
      </c>
    </row>
    <row r="84" spans="2:14">
      <c r="B84" t="s">
        <v>231</v>
      </c>
      <c r="D84" s="13" t="s">
        <v>338</v>
      </c>
      <c r="F84" s="72"/>
      <c r="G84" s="120">
        <f>'TAR2013 Tarieven TD'!G84</f>
        <v>18</v>
      </c>
      <c r="H84" s="120">
        <f>'TAR2013 Tarieven TD'!H84</f>
        <v>18</v>
      </c>
      <c r="I84" s="120">
        <f>'TAR2013 Tarieven TD'!I84</f>
        <v>18</v>
      </c>
      <c r="J84" s="120">
        <f>'TAR2013 Tarieven TD'!J84</f>
        <v>18</v>
      </c>
      <c r="K84" s="120">
        <f>'TAR2013 Tarieven TD'!K84</f>
        <v>18</v>
      </c>
      <c r="L84" s="120">
        <f>'TAR2013 Tarieven TD'!L84</f>
        <v>18</v>
      </c>
      <c r="M84" s="120">
        <f>'TAR2013 Tarieven TD'!M84</f>
        <v>18</v>
      </c>
      <c r="N84" s="120">
        <f>'TAR2013 Tarieven TD'!N84</f>
        <v>18</v>
      </c>
    </row>
    <row r="85" spans="2:14">
      <c r="D85" s="13"/>
      <c r="F85" s="49"/>
      <c r="G85" s="89"/>
      <c r="H85" s="89"/>
      <c r="I85" s="89"/>
      <c r="J85" s="89"/>
      <c r="K85" s="89"/>
      <c r="L85" s="89"/>
      <c r="M85" s="89"/>
      <c r="N85" s="89"/>
    </row>
    <row r="86" spans="2:14">
      <c r="B86" s="3" t="s">
        <v>232</v>
      </c>
      <c r="F86" s="49"/>
      <c r="G86" s="89"/>
      <c r="H86" s="89"/>
      <c r="I86" s="89"/>
      <c r="J86" s="89"/>
      <c r="K86" s="89"/>
      <c r="L86" s="89"/>
      <c r="M86" s="89"/>
      <c r="N86" s="89"/>
    </row>
    <row r="87" spans="2:14">
      <c r="B87" t="s">
        <v>233</v>
      </c>
      <c r="D87" s="13" t="s">
        <v>338</v>
      </c>
      <c r="F87" s="72"/>
      <c r="G87" s="120">
        <f>'TAR2013 Tarieven TD'!G87</f>
        <v>2235</v>
      </c>
      <c r="H87" s="120">
        <f>'TAR2013 Tarieven TD'!H87</f>
        <v>2001</v>
      </c>
      <c r="I87" s="120">
        <f>'TAR2013 Tarieven TD'!I87</f>
        <v>1861.5</v>
      </c>
      <c r="J87" s="120">
        <f>'TAR2013 Tarieven TD'!J87</f>
        <v>1721.5</v>
      </c>
      <c r="K87" s="120">
        <f>'TAR2013 Tarieven TD'!K87</f>
        <v>1788</v>
      </c>
      <c r="L87" s="120">
        <f>'TAR2013 Tarieven TD'!L87</f>
        <v>2022.5</v>
      </c>
      <c r="M87" s="120">
        <f>'TAR2013 Tarieven TD'!M87</f>
        <v>1840</v>
      </c>
      <c r="N87" s="120">
        <f>'TAR2013 Tarieven TD'!N87</f>
        <v>2116.5</v>
      </c>
    </row>
    <row r="88" spans="2:14">
      <c r="B88" t="s">
        <v>234</v>
      </c>
      <c r="D88" s="13" t="s">
        <v>338</v>
      </c>
      <c r="F88" s="72"/>
      <c r="G88" s="120">
        <f>'TAR2013 Tarieven TD'!G88</f>
        <v>1788</v>
      </c>
      <c r="H88" s="120">
        <f>'TAR2013 Tarieven TD'!H88</f>
        <v>1600.8</v>
      </c>
      <c r="I88" s="120">
        <f>'TAR2013 Tarieven TD'!I88</f>
        <v>1489.2</v>
      </c>
      <c r="J88" s="120">
        <f>'TAR2013 Tarieven TD'!J88</f>
        <v>1377.2</v>
      </c>
      <c r="K88" s="120">
        <f>'TAR2013 Tarieven TD'!K88</f>
        <v>1430.4</v>
      </c>
      <c r="L88" s="120">
        <f>'TAR2013 Tarieven TD'!L88</f>
        <v>1618</v>
      </c>
      <c r="M88" s="120">
        <f>'TAR2013 Tarieven TD'!M88</f>
        <v>1472</v>
      </c>
      <c r="N88" s="120">
        <f>'TAR2013 Tarieven TD'!N88</f>
        <v>1693.2</v>
      </c>
    </row>
    <row r="89" spans="2:14">
      <c r="B89" t="s">
        <v>235</v>
      </c>
      <c r="D89" s="13" t="s">
        <v>338</v>
      </c>
      <c r="F89" s="72"/>
      <c r="G89" s="120">
        <f>'TAR2013 Tarieven TD'!G89</f>
        <v>1341</v>
      </c>
      <c r="H89" s="120">
        <f>'TAR2013 Tarieven TD'!H89</f>
        <v>1200.5999999999999</v>
      </c>
      <c r="I89" s="120">
        <f>'TAR2013 Tarieven TD'!I89</f>
        <v>1116.9000000000001</v>
      </c>
      <c r="J89" s="120">
        <f>'TAR2013 Tarieven TD'!J89</f>
        <v>1032.9000000000001</v>
      </c>
      <c r="K89" s="120">
        <f>'TAR2013 Tarieven TD'!K89</f>
        <v>1072.8</v>
      </c>
      <c r="L89" s="120">
        <f>'TAR2013 Tarieven TD'!L89</f>
        <v>1213.5</v>
      </c>
      <c r="M89" s="120">
        <f>'TAR2013 Tarieven TD'!M89</f>
        <v>1104</v>
      </c>
      <c r="N89" s="120">
        <f>'TAR2013 Tarieven TD'!N89</f>
        <v>1269.9000000000001</v>
      </c>
    </row>
    <row r="90" spans="2:14">
      <c r="B90" t="s">
        <v>236</v>
      </c>
      <c r="D90" s="13" t="s">
        <v>338</v>
      </c>
      <c r="F90" s="72"/>
      <c r="G90" s="120">
        <f>'TAR2013 Tarieven TD'!G90</f>
        <v>894</v>
      </c>
      <c r="H90" s="120">
        <f>'TAR2013 Tarieven TD'!H90</f>
        <v>800.4</v>
      </c>
      <c r="I90" s="120">
        <f>'TAR2013 Tarieven TD'!I90</f>
        <v>744.6</v>
      </c>
      <c r="J90" s="120">
        <f>'TAR2013 Tarieven TD'!J90</f>
        <v>688.6</v>
      </c>
      <c r="K90" s="120">
        <f>'TAR2013 Tarieven TD'!K90</f>
        <v>715.2</v>
      </c>
      <c r="L90" s="120">
        <f>'TAR2013 Tarieven TD'!L90</f>
        <v>809</v>
      </c>
      <c r="M90" s="120">
        <f>'TAR2013 Tarieven TD'!M90</f>
        <v>736</v>
      </c>
      <c r="N90" s="120">
        <f>'TAR2013 Tarieven TD'!N90</f>
        <v>846.6</v>
      </c>
    </row>
    <row r="91" spans="2:14">
      <c r="B91" t="s">
        <v>237</v>
      </c>
      <c r="D91" s="13" t="s">
        <v>338</v>
      </c>
      <c r="F91" s="72"/>
      <c r="G91" s="120">
        <f>'TAR2013 Tarieven TD'!G91</f>
        <v>178.8</v>
      </c>
      <c r="H91" s="120">
        <f>'TAR2013 Tarieven TD'!H91</f>
        <v>160.08000000000001</v>
      </c>
      <c r="I91" s="120">
        <f>'TAR2013 Tarieven TD'!I91</f>
        <v>148.91999999999999</v>
      </c>
      <c r="J91" s="120">
        <f>'TAR2013 Tarieven TD'!J91</f>
        <v>137.72</v>
      </c>
      <c r="K91" s="120">
        <f>'TAR2013 Tarieven TD'!K91</f>
        <v>143.04</v>
      </c>
      <c r="L91" s="120">
        <f>'TAR2013 Tarieven TD'!L91</f>
        <v>161.80000000000001</v>
      </c>
      <c r="M91" s="120">
        <f>'TAR2013 Tarieven TD'!M91</f>
        <v>147.19999999999999</v>
      </c>
      <c r="N91" s="120">
        <f>'TAR2013 Tarieven TD'!N91</f>
        <v>169.32</v>
      </c>
    </row>
    <row r="92" spans="2:14">
      <c r="B92" t="s">
        <v>238</v>
      </c>
      <c r="D92" s="13" t="s">
        <v>338</v>
      </c>
      <c r="F92" s="72"/>
      <c r="G92" s="120">
        <f>'TAR2013 Tarieven TD'!G92</f>
        <v>2.2349999999999999</v>
      </c>
      <c r="H92" s="120">
        <f>'TAR2013 Tarieven TD'!H92</f>
        <v>2.0009999999999999</v>
      </c>
      <c r="I92" s="120">
        <f>'TAR2013 Tarieven TD'!I92</f>
        <v>1.8614999999999999</v>
      </c>
      <c r="J92" s="120">
        <f>'TAR2013 Tarieven TD'!J92</f>
        <v>1.7215</v>
      </c>
      <c r="K92" s="120">
        <f>'TAR2013 Tarieven TD'!K92</f>
        <v>1.788</v>
      </c>
      <c r="L92" s="120">
        <f>'TAR2013 Tarieven TD'!L92</f>
        <v>2.0225</v>
      </c>
      <c r="M92" s="120">
        <f>'TAR2013 Tarieven TD'!M92</f>
        <v>1.84</v>
      </c>
      <c r="N92" s="120">
        <f>'TAR2013 Tarieven TD'!N92</f>
        <v>2.1164999999999998</v>
      </c>
    </row>
    <row r="93" spans="2:14">
      <c r="F93" s="49"/>
      <c r="G93" s="89"/>
      <c r="H93" s="89"/>
      <c r="I93" s="89"/>
      <c r="J93" s="89"/>
      <c r="K93" s="89"/>
      <c r="L93" s="89"/>
      <c r="M93" s="89"/>
      <c r="N93" s="89"/>
    </row>
    <row r="94" spans="2:14">
      <c r="B94" t="s">
        <v>52</v>
      </c>
      <c r="F94" s="49"/>
      <c r="G94" s="89"/>
      <c r="H94" s="89"/>
      <c r="I94" s="89"/>
      <c r="J94" s="89"/>
      <c r="K94" s="89"/>
      <c r="L94" s="89"/>
      <c r="M94" s="89"/>
      <c r="N94" s="89"/>
    </row>
    <row r="95" spans="2:14">
      <c r="F95" s="49"/>
      <c r="G95" s="89"/>
      <c r="H95" s="89"/>
      <c r="I95" s="89"/>
      <c r="J95" s="89"/>
      <c r="K95" s="89"/>
      <c r="L95" s="89"/>
      <c r="M95" s="89"/>
      <c r="N95" s="89"/>
    </row>
    <row r="96" spans="2:14">
      <c r="F96" s="49"/>
      <c r="G96" s="89"/>
      <c r="H96" s="89"/>
      <c r="I96" s="89"/>
      <c r="J96" s="89"/>
      <c r="K96" s="89"/>
      <c r="L96" s="89"/>
      <c r="M96" s="89"/>
      <c r="N96" s="89"/>
    </row>
    <row r="97" spans="2:15">
      <c r="F97" s="49"/>
      <c r="G97" s="89"/>
      <c r="H97" s="89"/>
      <c r="I97" s="89"/>
      <c r="J97" s="89"/>
      <c r="K97" s="89"/>
      <c r="L97" s="89"/>
      <c r="M97" s="89"/>
      <c r="N97" s="89"/>
    </row>
    <row r="98" spans="2:15">
      <c r="F98" s="49"/>
      <c r="G98" s="89"/>
      <c r="H98" s="89"/>
      <c r="I98" s="89"/>
      <c r="J98" s="89"/>
      <c r="K98" s="89"/>
      <c r="L98" s="89"/>
      <c r="M98" s="89"/>
      <c r="N98" s="89"/>
    </row>
    <row r="99" spans="2:15">
      <c r="F99" s="49"/>
      <c r="G99" s="89"/>
      <c r="H99" s="89"/>
      <c r="I99" s="89"/>
      <c r="J99" s="89"/>
      <c r="K99" s="89"/>
      <c r="L99" s="89"/>
      <c r="M99" s="89"/>
      <c r="N99" s="89"/>
    </row>
    <row r="100" spans="2:15">
      <c r="B100" s="3" t="s">
        <v>53</v>
      </c>
      <c r="F100" s="49"/>
      <c r="G100" s="89"/>
      <c r="H100" s="89"/>
      <c r="I100" s="89"/>
      <c r="J100" s="89"/>
      <c r="K100" s="89"/>
      <c r="L100" s="89"/>
      <c r="M100" s="89"/>
      <c r="N100" s="89"/>
    </row>
    <row r="101" spans="2:15">
      <c r="F101" s="49"/>
      <c r="G101" s="89"/>
      <c r="H101" s="89"/>
      <c r="I101" s="89"/>
      <c r="J101" s="89"/>
      <c r="K101" s="89"/>
      <c r="L101" s="89"/>
      <c r="M101" s="89"/>
      <c r="N101" s="89"/>
    </row>
    <row r="102" spans="2:15">
      <c r="F102" s="49"/>
      <c r="G102" s="89"/>
      <c r="H102" s="89"/>
      <c r="I102" s="89"/>
      <c r="J102" s="89"/>
      <c r="K102" s="89"/>
      <c r="L102" s="89"/>
      <c r="M102" s="89"/>
      <c r="N102" s="89"/>
    </row>
    <row r="103" spans="2:15">
      <c r="B103" t="s">
        <v>239</v>
      </c>
      <c r="D103" s="13" t="s">
        <v>338</v>
      </c>
      <c r="F103" s="72"/>
      <c r="G103" s="121">
        <f>'TAR2013 Tarieven TD'!G103</f>
        <v>1.6400000000000001E-2</v>
      </c>
      <c r="H103" s="121">
        <f>'TAR2013 Tarieven TD'!H103</f>
        <v>1.4999999999999999E-2</v>
      </c>
      <c r="I103" s="121">
        <f>'TAR2013 Tarieven TD'!I103</f>
        <v>8.0000000000000002E-3</v>
      </c>
      <c r="J103" s="121">
        <f>'TAR2013 Tarieven TD'!J103</f>
        <v>7.3000000000000001E-3</v>
      </c>
      <c r="K103" s="121">
        <f>'TAR2013 Tarieven TD'!K103</f>
        <v>0</v>
      </c>
      <c r="L103" s="121">
        <f>'TAR2013 Tarieven TD'!L103</f>
        <v>1.1900000000000001E-2</v>
      </c>
      <c r="M103" s="121">
        <f>'TAR2013 Tarieven TD'!M103</f>
        <v>8.3000000000000001E-3</v>
      </c>
      <c r="N103" s="121">
        <f>'TAR2013 Tarieven TD'!N103</f>
        <v>0</v>
      </c>
    </row>
    <row r="104" spans="2:15">
      <c r="B104" t="s">
        <v>240</v>
      </c>
      <c r="D104" s="13" t="s">
        <v>338</v>
      </c>
      <c r="F104" s="72"/>
      <c r="G104" s="121">
        <f>'TAR2013 Tarieven TD'!G104</f>
        <v>2.46E-2</v>
      </c>
      <c r="H104" s="121">
        <f>'TAR2013 Tarieven TD'!H104</f>
        <v>1.4999999999999999E-2</v>
      </c>
      <c r="I104" s="121">
        <f>'TAR2013 Tarieven TD'!I104</f>
        <v>0</v>
      </c>
      <c r="J104" s="121">
        <f>'TAR2013 Tarieven TD'!J104</f>
        <v>7.3000000000000001E-3</v>
      </c>
      <c r="K104" s="121">
        <f>'TAR2013 Tarieven TD'!K104</f>
        <v>0</v>
      </c>
      <c r="L104" s="121">
        <f>'TAR2013 Tarieven TD'!L104</f>
        <v>1.7999999999999999E-2</v>
      </c>
      <c r="M104" s="121">
        <f>'TAR2013 Tarieven TD'!M104</f>
        <v>8.3000000000000001E-3</v>
      </c>
      <c r="N104" s="121">
        <f>'TAR2013 Tarieven TD'!N104</f>
        <v>0</v>
      </c>
    </row>
    <row r="105" spans="2:15">
      <c r="G105" s="89"/>
      <c r="H105" s="89"/>
      <c r="I105" s="89"/>
      <c r="J105" s="89"/>
      <c r="K105" s="89"/>
      <c r="L105" s="89"/>
      <c r="M105" s="89"/>
      <c r="N105" s="89"/>
    </row>
    <row r="106" spans="2:15">
      <c r="G106" s="89"/>
      <c r="H106" s="89"/>
      <c r="I106" s="89"/>
      <c r="J106" s="89"/>
      <c r="K106" s="89"/>
      <c r="L106" s="89"/>
      <c r="M106" s="89"/>
      <c r="N106" s="89"/>
    </row>
    <row r="107" spans="2:15">
      <c r="G107" s="89"/>
      <c r="H107" s="89"/>
      <c r="I107" s="89"/>
      <c r="J107" s="89"/>
      <c r="K107" s="89"/>
      <c r="L107" s="89"/>
      <c r="M107" s="89"/>
      <c r="N107" s="89"/>
    </row>
    <row r="108" spans="2:15" s="2" customFormat="1">
      <c r="B108" s="2" t="s">
        <v>368</v>
      </c>
      <c r="G108" s="98"/>
      <c r="H108" s="98"/>
      <c r="I108" s="98"/>
      <c r="J108" s="98"/>
      <c r="K108" s="98"/>
      <c r="L108" s="98"/>
      <c r="M108" s="98"/>
      <c r="N108" s="98"/>
    </row>
    <row r="109" spans="2:15">
      <c r="G109" s="89"/>
      <c r="H109" s="89"/>
      <c r="I109" s="89"/>
      <c r="J109" s="89"/>
      <c r="K109" s="89"/>
      <c r="L109" s="89"/>
      <c r="M109" s="89"/>
      <c r="N109" s="89"/>
    </row>
    <row r="110" spans="2:15">
      <c r="G110" s="89"/>
      <c r="H110" s="89"/>
      <c r="I110" s="89"/>
      <c r="J110" s="89"/>
      <c r="K110" s="89"/>
      <c r="L110" s="89"/>
      <c r="M110" s="89"/>
      <c r="N110" s="89"/>
    </row>
    <row r="111" spans="2:15">
      <c r="B111" s="60" t="s">
        <v>325</v>
      </c>
      <c r="C111" s="13"/>
      <c r="D111" s="13"/>
      <c r="E111" s="13"/>
      <c r="F111" s="13"/>
      <c r="G111" s="99"/>
      <c r="H111" s="99"/>
      <c r="I111" s="99"/>
      <c r="J111" s="99"/>
      <c r="K111" s="99"/>
      <c r="L111" s="99"/>
      <c r="M111" s="99"/>
      <c r="N111" s="99"/>
      <c r="O111" s="13"/>
    </row>
    <row r="112" spans="2:15">
      <c r="B112" s="59" t="s">
        <v>251</v>
      </c>
      <c r="C112" s="13"/>
      <c r="D112" s="13" t="s">
        <v>338</v>
      </c>
      <c r="E112" s="13"/>
      <c r="F112" s="13"/>
      <c r="G112" s="122">
        <f>'Gestandaardiseerde PAV en EAV'!G235</f>
        <v>7.4</v>
      </c>
      <c r="H112" s="122">
        <f>'Gestandaardiseerde PAV en EAV'!H235</f>
        <v>2.5499999999999998</v>
      </c>
      <c r="I112" s="122">
        <f>'Gestandaardiseerde PAV en EAV'!I235</f>
        <v>8.2899999999999991</v>
      </c>
      <c r="J112" s="122">
        <f>'Gestandaardiseerde PAV en EAV'!J235</f>
        <v>4.24</v>
      </c>
      <c r="K112" s="122">
        <f>'Gestandaardiseerde PAV en EAV'!K235</f>
        <v>9.7200000000000006</v>
      </c>
      <c r="L112" s="122">
        <f>'Gestandaardiseerde PAV en EAV'!L235</f>
        <v>15.000000000000002</v>
      </c>
      <c r="M112" s="122">
        <f>'Gestandaardiseerde PAV en EAV'!M235</f>
        <v>8.5400000000000009</v>
      </c>
      <c r="N112" s="122">
        <f>'Gestandaardiseerde PAV en EAV'!N235</f>
        <v>2.94</v>
      </c>
      <c r="O112" s="13"/>
    </row>
    <row r="113" spans="2:15">
      <c r="B113" s="59" t="s">
        <v>252</v>
      </c>
      <c r="C113" s="13"/>
      <c r="D113" s="13" t="s">
        <v>338</v>
      </c>
      <c r="E113" s="13"/>
      <c r="F113" s="13"/>
      <c r="G113" s="122">
        <f>'Gestandaardiseerde PAV en EAV'!G236</f>
        <v>21.14</v>
      </c>
      <c r="H113" s="122">
        <f>'Gestandaardiseerde PAV en EAV'!H236</f>
        <v>24.96</v>
      </c>
      <c r="I113" s="122">
        <f>'Gestandaardiseerde PAV en EAV'!I236</f>
        <v>17.930000000000003</v>
      </c>
      <c r="J113" s="122">
        <f>'Gestandaardiseerde PAV en EAV'!J236</f>
        <v>34.200000000000003</v>
      </c>
      <c r="K113" s="122">
        <f>'Gestandaardiseerde PAV en EAV'!K236</f>
        <v>20.399999999999999</v>
      </c>
      <c r="L113" s="122">
        <f>'Gestandaardiseerde PAV en EAV'!L236</f>
        <v>30.45</v>
      </c>
      <c r="M113" s="122">
        <f>'Gestandaardiseerde PAV en EAV'!M236</f>
        <v>19.630000000000003</v>
      </c>
      <c r="N113" s="122">
        <f>'Gestandaardiseerde PAV en EAV'!N236</f>
        <v>15.6</v>
      </c>
      <c r="O113" s="13"/>
    </row>
    <row r="114" spans="2:15">
      <c r="B114" s="59" t="s">
        <v>253</v>
      </c>
      <c r="C114" s="13"/>
      <c r="D114" s="13" t="s">
        <v>338</v>
      </c>
      <c r="E114" s="13"/>
      <c r="F114" s="13"/>
      <c r="G114" s="122">
        <f>'Gestandaardiseerde PAV en EAV'!G237</f>
        <v>21.14</v>
      </c>
      <c r="H114" s="122">
        <f>'Gestandaardiseerde PAV en EAV'!H237</f>
        <v>41.050452126850928</v>
      </c>
      <c r="I114" s="122">
        <f>'Gestandaardiseerde PAV en EAV'!I237</f>
        <v>17.930000000000003</v>
      </c>
      <c r="J114" s="122">
        <f>'Gestandaardiseerde PAV en EAV'!J237</f>
        <v>39</v>
      </c>
      <c r="K114" s="122">
        <f>'Gestandaardiseerde PAV en EAV'!K237</f>
        <v>33.744160213487703</v>
      </c>
      <c r="L114" s="122">
        <f>'Gestandaardiseerde PAV en EAV'!L237</f>
        <v>49</v>
      </c>
      <c r="M114" s="122">
        <f>'Gestandaardiseerde PAV en EAV'!M237</f>
        <v>39.050000000000004</v>
      </c>
      <c r="N114" s="122">
        <f>'Gestandaardiseerde PAV en EAV'!N237</f>
        <v>41.607118999166268</v>
      </c>
      <c r="O114" s="13"/>
    </row>
    <row r="115" spans="2:15">
      <c r="B115" s="59" t="s">
        <v>255</v>
      </c>
      <c r="C115" s="13"/>
      <c r="D115" s="13" t="s">
        <v>338</v>
      </c>
      <c r="E115" s="13"/>
      <c r="F115" s="13"/>
      <c r="G115" s="122">
        <f>'Gestandaardiseerde PAV en EAV'!G238</f>
        <v>25.37</v>
      </c>
      <c r="H115" s="122">
        <f>'Gestandaardiseerde PAV en EAV'!H238</f>
        <v>172.92000000000002</v>
      </c>
      <c r="I115" s="122">
        <f>'Gestandaardiseerde PAV en EAV'!I238</f>
        <v>269.95999999999998</v>
      </c>
      <c r="J115" s="122">
        <f>'Gestandaardiseerde PAV en EAV'!J238</f>
        <v>186</v>
      </c>
      <c r="K115" s="122">
        <f>'Gestandaardiseerde PAV en EAV'!K238</f>
        <v>144.21995556371877</v>
      </c>
      <c r="L115" s="122">
        <f>'Gestandaardiseerde PAV en EAV'!L238</f>
        <v>49</v>
      </c>
      <c r="M115" s="122">
        <f>'Gestandaardiseerde PAV en EAV'!M238</f>
        <v>72</v>
      </c>
      <c r="N115" s="122">
        <f>'Gestandaardiseerde PAV en EAV'!N238</f>
        <v>197.42658682270488</v>
      </c>
      <c r="O115" s="13"/>
    </row>
    <row r="116" spans="2:15">
      <c r="B116" s="59" t="s">
        <v>261</v>
      </c>
      <c r="C116" s="13"/>
      <c r="D116" s="13" t="s">
        <v>338</v>
      </c>
      <c r="E116" s="13"/>
      <c r="F116" s="13"/>
      <c r="G116" s="122">
        <f>'Gestandaardiseerde PAV en EAV'!G239</f>
        <v>515.63991596638664</v>
      </c>
      <c r="H116" s="122">
        <f>'Gestandaardiseerde PAV en EAV'!H239</f>
        <v>1194.24</v>
      </c>
      <c r="I116" s="122">
        <f>'Gestandaardiseerde PAV en EAV'!I239</f>
        <v>776.21</v>
      </c>
      <c r="J116" s="122">
        <f>'Gestandaardiseerde PAV en EAV'!J239</f>
        <v>739</v>
      </c>
      <c r="K116" s="122">
        <f>'Gestandaardiseerde PAV en EAV'!K239</f>
        <v>833.98397662756884</v>
      </c>
      <c r="L116" s="122">
        <f>'Gestandaardiseerde PAV en EAV'!L239</f>
        <v>260.96683656285785</v>
      </c>
      <c r="M116" s="122">
        <f>'Gestandaardiseerde PAV en EAV'!M239</f>
        <v>644.5</v>
      </c>
      <c r="N116" s="122">
        <f>'Gestandaardiseerde PAV en EAV'!N239</f>
        <v>1468.753854971128</v>
      </c>
      <c r="O116" s="13"/>
    </row>
    <row r="117" spans="2:15">
      <c r="B117" s="59" t="s">
        <v>262</v>
      </c>
      <c r="C117" s="13"/>
      <c r="D117" s="13" t="s">
        <v>338</v>
      </c>
      <c r="E117" s="13"/>
      <c r="F117" s="13"/>
      <c r="G117" s="122">
        <f>'Gestandaardiseerde PAV en EAV'!G240</f>
        <v>1537.56</v>
      </c>
      <c r="H117" s="122">
        <f>'Gestandaardiseerde PAV en EAV'!H240</f>
        <v>7955.76</v>
      </c>
      <c r="I117" s="122">
        <f>'Gestandaardiseerde PAV en EAV'!I240</f>
        <v>3288.35</v>
      </c>
      <c r="J117" s="122">
        <f>'Gestandaardiseerde PAV en EAV'!J240</f>
        <v>2035.932307554785</v>
      </c>
      <c r="K117" s="122">
        <f>'Gestandaardiseerde PAV en EAV'!K240</f>
        <v>8824.8210418142698</v>
      </c>
      <c r="L117" s="122">
        <f>'Gestandaardiseerde PAV en EAV'!L240</f>
        <v>1910</v>
      </c>
      <c r="M117" s="122">
        <f>'Gestandaardiseerde PAV en EAV'!M240</f>
        <v>6892.520416709126</v>
      </c>
      <c r="N117" s="122">
        <f>'Gestandaardiseerde PAV en EAV'!N240</f>
        <v>5869.62</v>
      </c>
      <c r="O117" s="13"/>
    </row>
    <row r="118" spans="2:15">
      <c r="B118" s="59" t="s">
        <v>260</v>
      </c>
      <c r="C118" s="13"/>
      <c r="D118" s="13"/>
      <c r="E118" s="13"/>
      <c r="F118" s="13"/>
      <c r="G118" s="101"/>
      <c r="H118" s="101"/>
      <c r="I118" s="101"/>
      <c r="J118" s="101"/>
      <c r="K118" s="101"/>
      <c r="L118" s="101"/>
      <c r="M118" s="101"/>
      <c r="N118" s="101"/>
      <c r="O118" s="13"/>
    </row>
    <row r="119" spans="2:15">
      <c r="B119" s="59" t="s">
        <v>326</v>
      </c>
      <c r="C119" s="13"/>
      <c r="D119" s="13" t="s">
        <v>338</v>
      </c>
      <c r="E119" s="13"/>
      <c r="F119" s="13"/>
      <c r="G119" s="122">
        <f>'Gestandaardiseerde PAV en EAV'!G242</f>
        <v>0</v>
      </c>
      <c r="H119" s="122">
        <f>'Gestandaardiseerde PAV en EAV'!H242</f>
        <v>1.92</v>
      </c>
      <c r="I119" s="122">
        <f>'Gestandaardiseerde PAV en EAV'!I242</f>
        <v>3.8</v>
      </c>
      <c r="J119" s="122">
        <f>'Gestandaardiseerde PAV en EAV'!J242</f>
        <v>2.8455022853979015</v>
      </c>
      <c r="K119" s="122">
        <f>'Gestandaardiseerde PAV en EAV'!K242</f>
        <v>1.92</v>
      </c>
      <c r="L119" s="122">
        <f>'Gestandaardiseerde PAV en EAV'!L242</f>
        <v>15.350000000000001</v>
      </c>
      <c r="M119" s="122">
        <f>'Gestandaardiseerde PAV en EAV'!M242</f>
        <v>6.7000000000000011</v>
      </c>
      <c r="N119" s="122">
        <f>'Gestandaardiseerde PAV en EAV'!N242</f>
        <v>4.41</v>
      </c>
      <c r="O119" s="13"/>
    </row>
    <row r="120" spans="2:15">
      <c r="B120" s="59" t="s">
        <v>260</v>
      </c>
      <c r="C120" s="13"/>
      <c r="D120" s="13"/>
      <c r="E120" s="13"/>
      <c r="F120" s="13"/>
      <c r="G120" s="101"/>
      <c r="H120" s="101"/>
      <c r="I120" s="101"/>
      <c r="J120" s="101"/>
      <c r="K120" s="101"/>
      <c r="L120" s="101"/>
      <c r="M120" s="101"/>
      <c r="N120" s="101"/>
      <c r="O120" s="13"/>
    </row>
    <row r="121" spans="2:15">
      <c r="B121" s="60" t="s">
        <v>327</v>
      </c>
      <c r="C121" s="13"/>
      <c r="D121" s="13"/>
      <c r="E121" s="13"/>
      <c r="F121" s="13"/>
      <c r="G121" s="101"/>
      <c r="H121" s="101"/>
      <c r="I121" s="101"/>
      <c r="J121" s="101"/>
      <c r="K121" s="101"/>
      <c r="L121" s="101"/>
      <c r="M121" s="101"/>
      <c r="N121" s="101"/>
      <c r="O121" s="13"/>
    </row>
    <row r="122" spans="2:15">
      <c r="B122" s="60" t="s">
        <v>328</v>
      </c>
      <c r="C122" s="13"/>
      <c r="D122" s="13"/>
      <c r="E122" s="13"/>
      <c r="F122" s="13"/>
      <c r="G122" s="101"/>
      <c r="H122" s="101"/>
      <c r="I122" s="101"/>
      <c r="J122" s="101"/>
      <c r="K122" s="101"/>
      <c r="L122" s="101"/>
      <c r="M122" s="101"/>
      <c r="N122" s="101"/>
      <c r="O122" s="13"/>
    </row>
    <row r="123" spans="2:15">
      <c r="B123" s="59" t="s">
        <v>251</v>
      </c>
      <c r="C123" s="13"/>
      <c r="D123" s="13" t="s">
        <v>338</v>
      </c>
      <c r="E123" s="13"/>
      <c r="F123" s="13"/>
      <c r="G123" s="122">
        <f>'Gestandaardiseerde PAV en EAV'!G246</f>
        <v>447.45</v>
      </c>
      <c r="H123" s="122">
        <f>'Gestandaardiseerde PAV en EAV'!H246</f>
        <v>371.46999999999997</v>
      </c>
      <c r="I123" s="122">
        <f>'Gestandaardiseerde PAV en EAV'!I246</f>
        <v>460</v>
      </c>
      <c r="J123" s="122">
        <f>'Gestandaardiseerde PAV en EAV'!J246</f>
        <v>372</v>
      </c>
      <c r="K123" s="122">
        <f>'Gestandaardiseerde PAV en EAV'!K246</f>
        <v>421</v>
      </c>
      <c r="L123" s="122">
        <f>'Gestandaardiseerde PAV en EAV'!L246</f>
        <v>482</v>
      </c>
      <c r="M123" s="122">
        <f>'Gestandaardiseerde PAV en EAV'!M246</f>
        <v>430</v>
      </c>
      <c r="N123" s="122">
        <f>'Gestandaardiseerde PAV en EAV'!N246</f>
        <v>409.88</v>
      </c>
      <c r="O123" s="13"/>
    </row>
    <row r="124" spans="2:15">
      <c r="B124" s="59" t="s">
        <v>252</v>
      </c>
      <c r="C124" s="13"/>
      <c r="D124" s="13" t="s">
        <v>338</v>
      </c>
      <c r="E124" s="13"/>
      <c r="F124" s="13"/>
      <c r="G124" s="122">
        <f>'Gestandaardiseerde PAV en EAV'!G247</f>
        <v>705.61</v>
      </c>
      <c r="H124" s="122">
        <f>'Gestandaardiseerde PAV en EAV'!H247</f>
        <v>704.87</v>
      </c>
      <c r="I124" s="122">
        <f>'Gestandaardiseerde PAV en EAV'!I247</f>
        <v>725</v>
      </c>
      <c r="J124" s="122">
        <f>'Gestandaardiseerde PAV en EAV'!J247</f>
        <v>717</v>
      </c>
      <c r="K124" s="122">
        <f>'Gestandaardiseerde PAV en EAV'!K247</f>
        <v>700</v>
      </c>
      <c r="L124" s="122">
        <f>'Gestandaardiseerde PAV en EAV'!L247</f>
        <v>815</v>
      </c>
      <c r="M124" s="122">
        <f>'Gestandaardiseerde PAV en EAV'!M247</f>
        <v>616</v>
      </c>
      <c r="N124" s="122">
        <f>'Gestandaardiseerde PAV en EAV'!N247</f>
        <v>780.19</v>
      </c>
      <c r="O124" s="13"/>
    </row>
    <row r="125" spans="2:15">
      <c r="B125" s="59" t="s">
        <v>253</v>
      </c>
      <c r="C125" s="13"/>
      <c r="D125" s="13" t="s">
        <v>338</v>
      </c>
      <c r="E125" s="13"/>
      <c r="F125" s="13"/>
      <c r="G125" s="122">
        <f>'Gestandaardiseerde PAV en EAV'!G248</f>
        <v>1118.0107042253521</v>
      </c>
      <c r="H125" s="122">
        <f>'Gestandaardiseerde PAV en EAV'!H248</f>
        <v>1105.0117016806723</v>
      </c>
      <c r="I125" s="122">
        <f>'Gestandaardiseerde PAV en EAV'!I248</f>
        <v>1088.1940593076511</v>
      </c>
      <c r="J125" s="122">
        <f>'Gestandaardiseerde PAV en EAV'!J248</f>
        <v>944.02119159431209</v>
      </c>
      <c r="K125" s="122">
        <f>'Gestandaardiseerde PAV en EAV'!K248</f>
        <v>1165.3871566657781</v>
      </c>
      <c r="L125" s="122">
        <f>'Gestandaardiseerde PAV en EAV'!L248</f>
        <v>1216.05</v>
      </c>
      <c r="M125" s="122">
        <f>'Gestandaardiseerde PAV en EAV'!M248</f>
        <v>1090.6206604325271</v>
      </c>
      <c r="N125" s="122">
        <f>'Gestandaardiseerde PAV en EAV'!N248</f>
        <v>1145.9998245614036</v>
      </c>
      <c r="O125" s="13"/>
    </row>
    <row r="126" spans="2:15">
      <c r="B126" s="59" t="s">
        <v>255</v>
      </c>
      <c r="C126" s="13"/>
      <c r="D126" s="13" t="s">
        <v>338</v>
      </c>
      <c r="E126" s="13"/>
      <c r="F126" s="13"/>
      <c r="G126" s="122">
        <f>'Gestandaardiseerde PAV en EAV'!G249</f>
        <v>14200.890540540538</v>
      </c>
      <c r="H126" s="122">
        <f>'Gestandaardiseerde PAV en EAV'!H249</f>
        <v>6474.1189422135149</v>
      </c>
      <c r="I126" s="122">
        <f>'Gestandaardiseerde PAV en EAV'!I249</f>
        <v>8705.1336492043083</v>
      </c>
      <c r="J126" s="122">
        <f>'Gestandaardiseerde PAV en EAV'!J249</f>
        <v>5587.9286905991612</v>
      </c>
      <c r="K126" s="122">
        <f>'Gestandaardiseerde PAV en EAV'!K249</f>
        <v>8665.6720632685556</v>
      </c>
      <c r="L126" s="122">
        <f>'Gestandaardiseerde PAV en EAV'!L249</f>
        <v>7416.8181818181811</v>
      </c>
      <c r="M126" s="122">
        <f>'Gestandaardiseerde PAV en EAV'!M249</f>
        <v>8886.957822337281</v>
      </c>
      <c r="N126" s="122">
        <f>'Gestandaardiseerde PAV en EAV'!N249</f>
        <v>6239.6954237288137</v>
      </c>
      <c r="O126" s="13"/>
    </row>
    <row r="127" spans="2:15">
      <c r="B127" s="59" t="s">
        <v>254</v>
      </c>
      <c r="C127" s="13"/>
      <c r="D127" s="13" t="s">
        <v>338</v>
      </c>
      <c r="E127" s="13"/>
      <c r="F127" s="13"/>
      <c r="G127" s="122">
        <f>'Gestandaardiseerde PAV en EAV'!G250</f>
        <v>211039.72999999998</v>
      </c>
      <c r="H127" s="122">
        <f>'Gestandaardiseerde PAV en EAV'!H250</f>
        <v>156932.06666666665</v>
      </c>
      <c r="I127" s="122">
        <f>'Gestandaardiseerde PAV en EAV'!I250</f>
        <v>67745.585434795066</v>
      </c>
      <c r="J127" s="122">
        <f>'Gestandaardiseerde PAV en EAV'!J250</f>
        <v>35908.473165744872</v>
      </c>
      <c r="K127" s="122">
        <f>'Gestandaardiseerde PAV en EAV'!K250</f>
        <v>95433.21701795148</v>
      </c>
      <c r="L127" s="122">
        <f>'Gestandaardiseerde PAV en EAV'!L250</f>
        <v>64755</v>
      </c>
      <c r="M127" s="122">
        <f>'Gestandaardiseerde PAV en EAV'!M250</f>
        <v>83525.258310990801</v>
      </c>
      <c r="N127" s="122">
        <f>'Gestandaardiseerde PAV en EAV'!N250</f>
        <v>75084.316111111097</v>
      </c>
      <c r="O127" s="13"/>
    </row>
    <row r="128" spans="2:15">
      <c r="B128" s="59" t="s">
        <v>260</v>
      </c>
      <c r="C128" s="13"/>
      <c r="D128" s="13"/>
      <c r="E128" s="13"/>
      <c r="F128" s="13"/>
      <c r="G128" s="101"/>
      <c r="H128" s="101"/>
      <c r="I128" s="101"/>
      <c r="J128" s="101"/>
      <c r="K128" s="101"/>
      <c r="L128" s="101"/>
      <c r="M128" s="101"/>
      <c r="N128" s="101"/>
      <c r="O128" s="13"/>
    </row>
    <row r="129" spans="2:16">
      <c r="B129" s="60" t="s">
        <v>329</v>
      </c>
      <c r="C129" s="13"/>
      <c r="D129" s="13"/>
      <c r="E129" s="13"/>
      <c r="F129" s="13"/>
      <c r="G129" s="101"/>
      <c r="H129" s="101"/>
      <c r="I129" s="101"/>
      <c r="J129" s="101"/>
      <c r="K129" s="101"/>
      <c r="L129" s="101"/>
      <c r="M129" s="101"/>
      <c r="N129" s="101"/>
      <c r="O129" s="13"/>
    </row>
    <row r="130" spans="2:16">
      <c r="B130" s="59" t="s">
        <v>251</v>
      </c>
      <c r="C130" s="13"/>
      <c r="D130" s="13" t="s">
        <v>338</v>
      </c>
      <c r="E130" s="13"/>
      <c r="F130" s="13"/>
      <c r="G130" s="122">
        <f>'Gestandaardiseerde PAV en EAV'!G253</f>
        <v>21.01</v>
      </c>
      <c r="H130" s="122">
        <f>'Gestandaardiseerde PAV en EAV'!H253</f>
        <v>18.440000000000001</v>
      </c>
      <c r="I130" s="122">
        <f>'Gestandaardiseerde PAV en EAV'!I253</f>
        <v>30.6</v>
      </c>
      <c r="J130" s="122">
        <f>'Gestandaardiseerde PAV en EAV'!J253</f>
        <v>17.5</v>
      </c>
      <c r="K130" s="122">
        <f>'Gestandaardiseerde PAV en EAV'!K253</f>
        <v>20.9</v>
      </c>
      <c r="L130" s="122">
        <f>'Gestandaardiseerde PAV en EAV'!L253</f>
        <v>23.5</v>
      </c>
      <c r="M130" s="122">
        <f>'Gestandaardiseerde PAV en EAV'!M253</f>
        <v>20.9</v>
      </c>
      <c r="N130" s="122">
        <f>'Gestandaardiseerde PAV en EAV'!N253</f>
        <v>20.32</v>
      </c>
      <c r="O130" s="13"/>
    </row>
    <row r="131" spans="2:16">
      <c r="B131" s="59" t="s">
        <v>252</v>
      </c>
      <c r="C131" s="13"/>
      <c r="D131" s="13" t="s">
        <v>338</v>
      </c>
      <c r="E131" s="13"/>
      <c r="F131" s="13"/>
      <c r="G131" s="122">
        <f>'Gestandaardiseerde PAV en EAV'!G254</f>
        <v>21.37</v>
      </c>
      <c r="H131" s="122">
        <f>'Gestandaardiseerde PAV en EAV'!H254</f>
        <v>30.02</v>
      </c>
      <c r="I131" s="122">
        <f>'Gestandaardiseerde PAV en EAV'!I254</f>
        <v>31.699999999999996</v>
      </c>
      <c r="J131" s="122">
        <f>'Gestandaardiseerde PAV en EAV'!J254</f>
        <v>19.899999999999999</v>
      </c>
      <c r="K131" s="122">
        <f>'Gestandaardiseerde PAV en EAV'!K254</f>
        <v>27.6</v>
      </c>
      <c r="L131" s="122">
        <f>'Gestandaardiseerde PAV en EAV'!L254</f>
        <v>27.5</v>
      </c>
      <c r="M131" s="122">
        <f>'Gestandaardiseerde PAV en EAV'!M254</f>
        <v>29.3</v>
      </c>
      <c r="N131" s="122">
        <f>'Gestandaardiseerde PAV en EAV'!N254</f>
        <v>29.35</v>
      </c>
      <c r="O131" s="13"/>
    </row>
    <row r="132" spans="2:16">
      <c r="B132" s="59" t="s">
        <v>253</v>
      </c>
      <c r="C132" s="13"/>
      <c r="D132" s="13" t="s">
        <v>338</v>
      </c>
      <c r="E132" s="13"/>
      <c r="F132" s="13"/>
      <c r="G132" s="122">
        <f>'Gestandaardiseerde PAV en EAV'!G255</f>
        <v>29.919999999999998</v>
      </c>
      <c r="H132" s="122">
        <f>'Gestandaardiseerde PAV en EAV'!H255</f>
        <v>38.18917085427136</v>
      </c>
      <c r="I132" s="122">
        <f>'Gestandaardiseerde PAV en EAV'!I255</f>
        <v>41.069982334674634</v>
      </c>
      <c r="J132" s="122">
        <f>'Gestandaardiseerde PAV en EAV'!J255</f>
        <v>25.789946401286766</v>
      </c>
      <c r="K132" s="122">
        <f>'Gestandaardiseerde PAV en EAV'!K255</f>
        <v>36.787173425538256</v>
      </c>
      <c r="L132" s="122">
        <f>'Gestandaardiseerde PAV en EAV'!L255</f>
        <v>35.542056074766357</v>
      </c>
      <c r="M132" s="122">
        <f>'Gestandaardiseerde PAV en EAV'!M255</f>
        <v>37.2771758745033</v>
      </c>
      <c r="N132" s="122">
        <f>'Gestandaardiseerde PAV en EAV'!N255</f>
        <v>34.782665562913905</v>
      </c>
      <c r="O132" s="13"/>
    </row>
    <row r="133" spans="2:16">
      <c r="B133" s="59" t="s">
        <v>255</v>
      </c>
      <c r="C133" s="13"/>
      <c r="D133" s="13" t="s">
        <v>338</v>
      </c>
      <c r="E133" s="13"/>
      <c r="F133" s="13"/>
      <c r="G133" s="122">
        <f>'Gestandaardiseerde PAV en EAV'!G256</f>
        <v>68.660940082644629</v>
      </c>
      <c r="H133" s="122">
        <f>'Gestandaardiseerde PAV en EAV'!H256</f>
        <v>61.928230402016197</v>
      </c>
      <c r="I133" s="122">
        <f>'Gestandaardiseerde PAV en EAV'!I256</f>
        <v>75.667095176285784</v>
      </c>
      <c r="J133" s="122">
        <f>'Gestandaardiseerde PAV en EAV'!J256</f>
        <v>37.32540018080946</v>
      </c>
      <c r="K133" s="122">
        <f>'Gestandaardiseerde PAV en EAV'!K256</f>
        <v>61.710192833949932</v>
      </c>
      <c r="L133" s="122">
        <f>'Gestandaardiseerde PAV en EAV'!L256</f>
        <v>60.171204188481674</v>
      </c>
      <c r="M133" s="122">
        <f>'Gestandaardiseerde PAV en EAV'!M256</f>
        <v>59.735649699023455</v>
      </c>
      <c r="N133" s="122">
        <f>'Gestandaardiseerde PAV en EAV'!N256</f>
        <v>89.571230697859363</v>
      </c>
      <c r="O133" s="13"/>
    </row>
    <row r="134" spans="2:16">
      <c r="B134" s="59" t="s">
        <v>254</v>
      </c>
      <c r="C134" s="13"/>
      <c r="D134" s="13" t="s">
        <v>338</v>
      </c>
      <c r="E134" s="13"/>
      <c r="F134" s="13"/>
      <c r="G134" s="122">
        <f>'Gestandaardiseerde PAV en EAV'!G257</f>
        <v>182.41</v>
      </c>
      <c r="H134" s="122">
        <f>'Gestandaardiseerde PAV en EAV'!H257</f>
        <v>169.63522167487687</v>
      </c>
      <c r="I134" s="122">
        <f>'Gestandaardiseerde PAV en EAV'!I257</f>
        <v>188.40408734282968</v>
      </c>
      <c r="J134" s="122">
        <f>'Gestandaardiseerde PAV en EAV'!J257</f>
        <v>95.012197144290766</v>
      </c>
      <c r="K134" s="122">
        <f>'Gestandaardiseerde PAV en EAV'!K257</f>
        <v>172.0292885617302</v>
      </c>
      <c r="L134" s="122">
        <f>'Gestandaardiseerde PAV en EAV'!L257</f>
        <v>133.69999999999999</v>
      </c>
      <c r="M134" s="122">
        <f>'Gestandaardiseerde PAV en EAV'!M257</f>
        <v>164.86301681391964</v>
      </c>
      <c r="N134" s="122">
        <f>'Gestandaardiseerde PAV en EAV'!N257</f>
        <v>167.24179738562088</v>
      </c>
      <c r="O134" s="13"/>
    </row>
    <row r="135" spans="2:16">
      <c r="B135" s="95"/>
      <c r="C135" s="13"/>
      <c r="D135" s="13"/>
      <c r="E135" s="13"/>
      <c r="F135" s="13"/>
      <c r="G135" s="11"/>
      <c r="H135" s="11"/>
      <c r="I135" s="11"/>
      <c r="J135" s="11"/>
      <c r="K135" s="11"/>
      <c r="L135" s="11"/>
      <c r="M135" s="11"/>
      <c r="N135" s="11"/>
      <c r="O135" s="13"/>
    </row>
    <row r="137" spans="2:16" s="2" customFormat="1">
      <c r="B137" s="2" t="s">
        <v>387</v>
      </c>
      <c r="F137" s="48"/>
    </row>
    <row r="138" spans="2:16">
      <c r="F138" s="46"/>
    </row>
    <row r="139" spans="2:16">
      <c r="F139" s="46"/>
    </row>
    <row r="140" spans="2:16">
      <c r="B140" s="3" t="s">
        <v>49</v>
      </c>
      <c r="F140" s="46"/>
      <c r="G140" s="27"/>
    </row>
    <row r="141" spans="2:16">
      <c r="B141" s="3"/>
      <c r="F141" s="46"/>
    </row>
    <row r="142" spans="2:16">
      <c r="B142" s="3"/>
      <c r="F142" s="46"/>
    </row>
    <row r="143" spans="2:16">
      <c r="B143" s="85" t="s">
        <v>212</v>
      </c>
      <c r="F143" s="49"/>
    </row>
    <row r="144" spans="2:16">
      <c r="B144" t="s">
        <v>213</v>
      </c>
      <c r="F144" s="137">
        <f>SUM(G144:N144)</f>
        <v>12.363656149632011</v>
      </c>
      <c r="G144" s="134">
        <f>'Berekening rekenvolumes'!G15</f>
        <v>0</v>
      </c>
      <c r="H144" s="134">
        <f>'Berekening rekenvolumes'!H15</f>
        <v>0</v>
      </c>
      <c r="I144" s="134">
        <f>'Berekening rekenvolumes'!I15</f>
        <v>0</v>
      </c>
      <c r="J144" s="134">
        <f>'Berekening rekenvolumes'!J15</f>
        <v>0</v>
      </c>
      <c r="K144" s="134">
        <f>'Berekening rekenvolumes'!K15</f>
        <v>9.0000196762020597</v>
      </c>
      <c r="L144" s="134">
        <f>'Berekening rekenvolumes'!L15</f>
        <v>0</v>
      </c>
      <c r="M144" s="134">
        <f>'Berekening rekenvolumes'!M15</f>
        <v>3.3636364734299513</v>
      </c>
      <c r="N144" s="134">
        <f>'Berekening rekenvolumes'!N15</f>
        <v>0</v>
      </c>
      <c r="P144" s="50" t="s">
        <v>1091</v>
      </c>
    </row>
    <row r="145" spans="2:14">
      <c r="B145" t="s">
        <v>214</v>
      </c>
      <c r="F145" s="137">
        <f>SUM(G145:N145)</f>
        <v>741644.25505979266</v>
      </c>
      <c r="G145" s="134">
        <f>'Berekening rekenvolumes'!G16</f>
        <v>0</v>
      </c>
      <c r="H145" s="134">
        <f>'Berekening rekenvolumes'!H16</f>
        <v>0</v>
      </c>
      <c r="I145" s="134">
        <f>'Berekening rekenvolumes'!I16</f>
        <v>0</v>
      </c>
      <c r="J145" s="134">
        <f>'Berekening rekenvolumes'!J16</f>
        <v>0</v>
      </c>
      <c r="K145" s="134">
        <f>'Berekening rekenvolumes'!K16</f>
        <v>471155.73990827746</v>
      </c>
      <c r="L145" s="134">
        <f>'Berekening rekenvolumes'!L16</f>
        <v>0</v>
      </c>
      <c r="M145" s="134">
        <f>'Berekening rekenvolumes'!M16</f>
        <v>270488.51515151514</v>
      </c>
      <c r="N145" s="134">
        <f>'Berekening rekenvolumes'!N16</f>
        <v>0</v>
      </c>
    </row>
    <row r="146" spans="2:14">
      <c r="B146" t="s">
        <v>215</v>
      </c>
      <c r="F146" s="137">
        <f>SUM(G146:N146)</f>
        <v>7554254.1805117428</v>
      </c>
      <c r="G146" s="134">
        <f>'Berekening rekenvolumes'!G17</f>
        <v>0</v>
      </c>
      <c r="H146" s="134">
        <f>'Berekening rekenvolumes'!H17</f>
        <v>0</v>
      </c>
      <c r="I146" s="134">
        <f>'Berekening rekenvolumes'!I17</f>
        <v>0</v>
      </c>
      <c r="J146" s="134">
        <f>'Berekening rekenvolumes'!J17</f>
        <v>0</v>
      </c>
      <c r="K146" s="134">
        <f>'Berekening rekenvolumes'!K17</f>
        <v>4781828.363687682</v>
      </c>
      <c r="L146" s="134">
        <f>'Berekening rekenvolumes'!L17</f>
        <v>0</v>
      </c>
      <c r="M146" s="134">
        <f>'Berekening rekenvolumes'!M17</f>
        <v>2772425.8168240604</v>
      </c>
      <c r="N146" s="134">
        <f>'Berekening rekenvolumes'!N17</f>
        <v>0</v>
      </c>
    </row>
    <row r="147" spans="2:14">
      <c r="F147" s="49"/>
      <c r="G147" s="89"/>
      <c r="H147" s="89"/>
      <c r="I147" s="89"/>
      <c r="J147" s="89"/>
      <c r="K147" s="89"/>
      <c r="L147" s="89"/>
      <c r="M147" s="89"/>
      <c r="N147" s="89"/>
    </row>
    <row r="148" spans="2:14">
      <c r="B148" s="3" t="s">
        <v>216</v>
      </c>
      <c r="F148" s="49"/>
      <c r="G148" s="89"/>
      <c r="H148" s="89"/>
      <c r="I148" s="89"/>
      <c r="J148" s="89"/>
      <c r="K148" s="89"/>
      <c r="L148" s="89"/>
      <c r="M148" s="89"/>
      <c r="N148" s="89"/>
    </row>
    <row r="149" spans="2:14">
      <c r="B149" t="s">
        <v>213</v>
      </c>
      <c r="F149" s="137">
        <f>SUM(G149:N149)</f>
        <v>6</v>
      </c>
      <c r="G149" s="134">
        <f>'Berekening rekenvolumes'!G20</f>
        <v>0</v>
      </c>
      <c r="H149" s="134">
        <f>'Berekening rekenvolumes'!H20</f>
        <v>0</v>
      </c>
      <c r="I149" s="134">
        <f>'Berekening rekenvolumes'!I20</f>
        <v>0</v>
      </c>
      <c r="J149" s="134">
        <f>'Berekening rekenvolumes'!J20</f>
        <v>0</v>
      </c>
      <c r="K149" s="134">
        <f>'Berekening rekenvolumes'!K20</f>
        <v>0</v>
      </c>
      <c r="L149" s="134">
        <f>'Berekening rekenvolumes'!L20</f>
        <v>0</v>
      </c>
      <c r="M149" s="134">
        <f>'Berekening rekenvolumes'!M20</f>
        <v>6</v>
      </c>
      <c r="N149" s="134">
        <f>'Berekening rekenvolumes'!N20</f>
        <v>0</v>
      </c>
    </row>
    <row r="150" spans="2:14">
      <c r="B150" t="s">
        <v>214</v>
      </c>
      <c r="F150" s="137">
        <f>SUM(G150:N150)</f>
        <v>29204.60606060606</v>
      </c>
      <c r="G150" s="134">
        <f>'Berekening rekenvolumes'!G21</f>
        <v>0</v>
      </c>
      <c r="H150" s="134">
        <f>'Berekening rekenvolumes'!H21</f>
        <v>0</v>
      </c>
      <c r="I150" s="134">
        <f>'Berekening rekenvolumes'!I21</f>
        <v>0</v>
      </c>
      <c r="J150" s="134">
        <f>'Berekening rekenvolumes'!J21</f>
        <v>0</v>
      </c>
      <c r="K150" s="134">
        <f>'Berekening rekenvolumes'!K21</f>
        <v>0</v>
      </c>
      <c r="L150" s="134">
        <f>'Berekening rekenvolumes'!L21</f>
        <v>0</v>
      </c>
      <c r="M150" s="134">
        <f>'Berekening rekenvolumes'!M21</f>
        <v>29204.60606060606</v>
      </c>
      <c r="N150" s="134">
        <f>'Berekening rekenvolumes'!N21</f>
        <v>0</v>
      </c>
    </row>
    <row r="151" spans="2:14">
      <c r="B151" t="s">
        <v>217</v>
      </c>
      <c r="F151" s="137">
        <f>SUM(G151:N151)</f>
        <v>225368.36268939392</v>
      </c>
      <c r="G151" s="134">
        <f>'Berekening rekenvolumes'!G22</f>
        <v>0</v>
      </c>
      <c r="H151" s="134">
        <f>'Berekening rekenvolumes'!H22</f>
        <v>0</v>
      </c>
      <c r="I151" s="134">
        <f>'Berekening rekenvolumes'!I22</f>
        <v>0</v>
      </c>
      <c r="J151" s="134">
        <f>'Berekening rekenvolumes'!J22</f>
        <v>0</v>
      </c>
      <c r="K151" s="134">
        <f>'Berekening rekenvolumes'!K22</f>
        <v>0</v>
      </c>
      <c r="L151" s="134">
        <f>'Berekening rekenvolumes'!L22</f>
        <v>0</v>
      </c>
      <c r="M151" s="134">
        <f>'Berekening rekenvolumes'!M22</f>
        <v>225368.36268939392</v>
      </c>
      <c r="N151" s="134">
        <f>'Berekening rekenvolumes'!N22</f>
        <v>0</v>
      </c>
    </row>
    <row r="152" spans="2:14">
      <c r="F152" s="49"/>
      <c r="G152" s="89"/>
      <c r="H152" s="89"/>
      <c r="I152" s="89"/>
      <c r="J152" s="89"/>
      <c r="K152" s="89"/>
      <c r="L152" s="89"/>
      <c r="M152" s="89"/>
      <c r="N152" s="89"/>
    </row>
    <row r="153" spans="2:14">
      <c r="B153" s="3" t="s">
        <v>218</v>
      </c>
      <c r="F153" s="49"/>
      <c r="G153" s="89"/>
      <c r="H153" s="89"/>
      <c r="I153" s="89"/>
      <c r="J153" s="89"/>
      <c r="K153" s="89"/>
      <c r="L153" s="89"/>
      <c r="M153" s="89"/>
      <c r="N153" s="89"/>
    </row>
    <row r="154" spans="2:14">
      <c r="B154" t="s">
        <v>213</v>
      </c>
      <c r="F154" s="137">
        <f>SUM(G154:N154)</f>
        <v>88.566770059458321</v>
      </c>
      <c r="G154" s="134">
        <f>'Berekening rekenvolumes'!G25</f>
        <v>0</v>
      </c>
      <c r="H154" s="134">
        <f>'Berekening rekenvolumes'!H25</f>
        <v>1.9074070048309177</v>
      </c>
      <c r="I154" s="134">
        <f>'Berekening rekenvolumes'!I25</f>
        <v>0</v>
      </c>
      <c r="J154" s="134">
        <f>'Berekening rekenvolumes'!J25</f>
        <v>3.5455070448257615</v>
      </c>
      <c r="K154" s="134">
        <f>'Berekening rekenvolumes'!K25</f>
        <v>18.477492044057254</v>
      </c>
      <c r="L154" s="134">
        <f>'Berekening rekenvolumes'!L25</f>
        <v>0</v>
      </c>
      <c r="M154" s="134">
        <f>'Berekening rekenvolumes'!M25</f>
        <v>64.636363965744394</v>
      </c>
      <c r="N154" s="134">
        <f>'Berekening rekenvolumes'!N25</f>
        <v>0</v>
      </c>
    </row>
    <row r="155" spans="2:14">
      <c r="B155" t="s">
        <v>214</v>
      </c>
      <c r="F155" s="137">
        <f>SUM(G155:N155)</f>
        <v>865638.79371497559</v>
      </c>
      <c r="G155" s="134">
        <f>'Berekening rekenvolumes'!G26</f>
        <v>0</v>
      </c>
      <c r="H155" s="134">
        <f>'Berekening rekenvolumes'!H26</f>
        <v>25570.620370370369</v>
      </c>
      <c r="I155" s="134">
        <f>'Berekening rekenvolumes'!I26</f>
        <v>0</v>
      </c>
      <c r="J155" s="134">
        <f>'Berekening rekenvolumes'!J26</f>
        <v>65246.509240481479</v>
      </c>
      <c r="K155" s="134">
        <f>'Berekening rekenvolumes'!K26</f>
        <v>123410.08821814531</v>
      </c>
      <c r="L155" s="134">
        <f>'Berekening rekenvolumes'!L26</f>
        <v>0</v>
      </c>
      <c r="M155" s="134">
        <f>'Berekening rekenvolumes'!M26</f>
        <v>651411.57588597841</v>
      </c>
      <c r="N155" s="134">
        <f>'Berekening rekenvolumes'!N26</f>
        <v>0</v>
      </c>
    </row>
    <row r="156" spans="2:14">
      <c r="B156" t="s">
        <v>215</v>
      </c>
      <c r="F156" s="137">
        <f>SUM(G156:N156)</f>
        <v>7847816.440094904</v>
      </c>
      <c r="G156" s="134">
        <f>'Berekening rekenvolumes'!G27</f>
        <v>0</v>
      </c>
      <c r="H156" s="134">
        <f>'Berekening rekenvolumes'!H27</f>
        <v>273820.66503267974</v>
      </c>
      <c r="I156" s="134">
        <f>'Berekening rekenvolumes'!I27</f>
        <v>0</v>
      </c>
      <c r="J156" s="134">
        <f>'Berekening rekenvolumes'!J27</f>
        <v>620960.00738594739</v>
      </c>
      <c r="K156" s="134">
        <f>'Berekening rekenvolumes'!K27</f>
        <v>1202933.8280905464</v>
      </c>
      <c r="L156" s="134">
        <f>'Berekening rekenvolumes'!L27</f>
        <v>0</v>
      </c>
      <c r="M156" s="134">
        <f>'Berekening rekenvolumes'!M27</f>
        <v>5750101.9395857304</v>
      </c>
      <c r="N156" s="134">
        <f>'Berekening rekenvolumes'!N27</f>
        <v>0</v>
      </c>
    </row>
    <row r="157" spans="2:14">
      <c r="F157" s="49"/>
      <c r="G157" s="89"/>
      <c r="H157" s="89"/>
      <c r="I157" s="89"/>
      <c r="J157" s="89"/>
      <c r="K157" s="89"/>
      <c r="L157" s="89"/>
      <c r="M157" s="89"/>
      <c r="N157" s="89"/>
    </row>
    <row r="158" spans="2:14">
      <c r="B158" s="3" t="s">
        <v>219</v>
      </c>
      <c r="F158" s="49"/>
      <c r="G158" s="89"/>
      <c r="H158" s="89"/>
      <c r="I158" s="89"/>
      <c r="J158" s="89"/>
      <c r="K158" s="89"/>
      <c r="L158" s="89"/>
      <c r="M158" s="89"/>
      <c r="N158" s="89"/>
    </row>
    <row r="159" spans="2:14">
      <c r="B159" t="s">
        <v>213</v>
      </c>
      <c r="F159" s="137">
        <f>SUM(G159:N159)</f>
        <v>25.00240921159094</v>
      </c>
      <c r="G159" s="134">
        <f>'Berekening rekenvolumes'!G30</f>
        <v>0</v>
      </c>
      <c r="H159" s="134">
        <f>'Berekening rekenvolumes'!H30</f>
        <v>0</v>
      </c>
      <c r="I159" s="134">
        <f>'Berekening rekenvolumes'!I30</f>
        <v>0</v>
      </c>
      <c r="J159" s="134">
        <f>'Berekening rekenvolumes'!J30</f>
        <v>1.6363898860492447</v>
      </c>
      <c r="K159" s="134">
        <f>'Berekening rekenvolumes'!K30</f>
        <v>12.002382852111745</v>
      </c>
      <c r="L159" s="134">
        <f>'Berekening rekenvolumes'!L30</f>
        <v>0</v>
      </c>
      <c r="M159" s="134">
        <f>'Berekening rekenvolumes'!M30</f>
        <v>11.363636473429951</v>
      </c>
      <c r="N159" s="134">
        <f>'Berekening rekenvolumes'!N30</f>
        <v>0</v>
      </c>
    </row>
    <row r="160" spans="2:14">
      <c r="B160" t="s">
        <v>214</v>
      </c>
      <c r="F160" s="137">
        <f>SUM(G160:N160)</f>
        <v>351237.13555039908</v>
      </c>
      <c r="G160" s="134">
        <f>'Berekening rekenvolumes'!G31</f>
        <v>0</v>
      </c>
      <c r="H160" s="134">
        <f>'Berekening rekenvolumes'!H31</f>
        <v>0</v>
      </c>
      <c r="I160" s="134">
        <f>'Berekening rekenvolumes'!I31</f>
        <v>0</v>
      </c>
      <c r="J160" s="134">
        <f>'Berekening rekenvolumes'!J31</f>
        <v>9471.7609484006243</v>
      </c>
      <c r="K160" s="134">
        <f>'Berekening rekenvolumes'!K31</f>
        <v>72674.708063734477</v>
      </c>
      <c r="L160" s="134">
        <f>'Berekening rekenvolumes'!L31</f>
        <v>0</v>
      </c>
      <c r="M160" s="134">
        <f>'Berekening rekenvolumes'!M31</f>
        <v>269090.66653826396</v>
      </c>
      <c r="N160" s="134">
        <f>'Berekening rekenvolumes'!N31</f>
        <v>0</v>
      </c>
    </row>
    <row r="161" spans="2:14">
      <c r="B161" t="s">
        <v>217</v>
      </c>
      <c r="F161" s="137">
        <f>SUM(G161:N161)</f>
        <v>4714837.5043022633</v>
      </c>
      <c r="G161" s="134">
        <f>'Berekening rekenvolumes'!G32</f>
        <v>0</v>
      </c>
      <c r="H161" s="134">
        <f>'Berekening rekenvolumes'!H32</f>
        <v>0</v>
      </c>
      <c r="I161" s="134">
        <f>'Berekening rekenvolumes'!I32</f>
        <v>0</v>
      </c>
      <c r="J161" s="134">
        <f>'Berekening rekenvolumes'!J32</f>
        <v>83121.452813852826</v>
      </c>
      <c r="K161" s="134">
        <f>'Berekening rekenvolumes'!K32</f>
        <v>1121269.1414039603</v>
      </c>
      <c r="L161" s="134">
        <f>'Berekening rekenvolumes'!L32</f>
        <v>0</v>
      </c>
      <c r="M161" s="134">
        <f>'Berekening rekenvolumes'!M32</f>
        <v>3510446.9100844506</v>
      </c>
      <c r="N161" s="134">
        <f>'Berekening rekenvolumes'!N32</f>
        <v>0</v>
      </c>
    </row>
    <row r="162" spans="2:14">
      <c r="F162" s="49"/>
      <c r="G162" s="89"/>
      <c r="H162" s="89"/>
      <c r="I162" s="89"/>
      <c r="J162" s="89"/>
      <c r="K162" s="89"/>
      <c r="L162" s="89"/>
      <c r="M162" s="89"/>
      <c r="N162" s="89"/>
    </row>
    <row r="163" spans="2:14">
      <c r="B163" s="3" t="s">
        <v>220</v>
      </c>
      <c r="F163" s="49"/>
      <c r="G163" s="89"/>
      <c r="H163" s="89"/>
      <c r="I163" s="89"/>
      <c r="J163" s="89"/>
      <c r="K163" s="89"/>
      <c r="L163" s="89"/>
      <c r="M163" s="89"/>
      <c r="N163" s="89"/>
    </row>
    <row r="164" spans="2:14">
      <c r="B164" t="s">
        <v>213</v>
      </c>
      <c r="F164" s="137">
        <f>SUM(G164:N164)</f>
        <v>683.8591889261869</v>
      </c>
      <c r="G164" s="134">
        <f>'Berekening rekenvolumes'!G35</f>
        <v>0</v>
      </c>
      <c r="H164" s="134">
        <f>'Berekening rekenvolumes'!H35</f>
        <v>44.25</v>
      </c>
      <c r="I164" s="134">
        <f>'Berekening rekenvolumes'!I35</f>
        <v>1</v>
      </c>
      <c r="J164" s="134">
        <f>'Berekening rekenvolumes'!J35</f>
        <v>182.93615437156924</v>
      </c>
      <c r="K164" s="134">
        <f>'Berekening rekenvolumes'!K35</f>
        <v>321.79677258711655</v>
      </c>
      <c r="L164" s="134">
        <f>'Berekening rekenvolumes'!L35</f>
        <v>0</v>
      </c>
      <c r="M164" s="134">
        <f>'Berekening rekenvolumes'!M35</f>
        <v>128.84848418972334</v>
      </c>
      <c r="N164" s="134">
        <f>'Berekening rekenvolumes'!N35</f>
        <v>5.0277777777777777</v>
      </c>
    </row>
    <row r="165" spans="2:14">
      <c r="B165" t="s">
        <v>214</v>
      </c>
      <c r="F165" s="137">
        <f>SUM(G165:N165)</f>
        <v>3029266.615022325</v>
      </c>
      <c r="G165" s="134">
        <f>'Berekening rekenvolumes'!G36</f>
        <v>0</v>
      </c>
      <c r="H165" s="134">
        <f>'Berekening rekenvolumes'!H36</f>
        <v>87302.888888888891</v>
      </c>
      <c r="I165" s="134">
        <f>'Berekening rekenvolumes'!I36</f>
        <v>14864.26815717665</v>
      </c>
      <c r="J165" s="134">
        <f>'Berekening rekenvolumes'!J36</f>
        <v>1355587.1943745094</v>
      </c>
      <c r="K165" s="134">
        <f>'Berekening rekenvolumes'!K36</f>
        <v>1086166.1947839276</v>
      </c>
      <c r="L165" s="134">
        <f>'Berekening rekenvolumes'!L36</f>
        <v>0</v>
      </c>
      <c r="M165" s="134">
        <f>'Berekening rekenvolumes'!M36</f>
        <v>453573.45463878807</v>
      </c>
      <c r="N165" s="134">
        <f>'Berekening rekenvolumes'!N36</f>
        <v>31772.614179034095</v>
      </c>
    </row>
    <row r="166" spans="2:14">
      <c r="B166" t="s">
        <v>215</v>
      </c>
      <c r="F166" s="137">
        <f>SUM(G166:N166)</f>
        <v>28668613.047782127</v>
      </c>
      <c r="G166" s="134">
        <f>'Berekening rekenvolumes'!G37</f>
        <v>0</v>
      </c>
      <c r="H166" s="134">
        <f>'Berekening rekenvolumes'!H37</f>
        <v>690124.52380952379</v>
      </c>
      <c r="I166" s="134">
        <f>'Berekening rekenvolumes'!I37</f>
        <v>166831.79892515155</v>
      </c>
      <c r="J166" s="134">
        <f>'Berekening rekenvolumes'!J37</f>
        <v>13434268.934637122</v>
      </c>
      <c r="K166" s="134">
        <f>'Berekening rekenvolumes'!K37</f>
        <v>9985956.5413381048</v>
      </c>
      <c r="L166" s="134">
        <f>'Berekening rekenvolumes'!L37</f>
        <v>0</v>
      </c>
      <c r="M166" s="134">
        <f>'Berekening rekenvolumes'!M37</f>
        <v>4098437.0925608738</v>
      </c>
      <c r="N166" s="134">
        <f>'Berekening rekenvolumes'!N37</f>
        <v>292994.15651135007</v>
      </c>
    </row>
    <row r="167" spans="2:14">
      <c r="F167" s="49"/>
      <c r="G167" s="89"/>
      <c r="H167" s="89"/>
      <c r="I167" s="89"/>
      <c r="J167" s="89"/>
      <c r="K167" s="89"/>
      <c r="L167" s="89"/>
      <c r="M167" s="89"/>
      <c r="N167" s="89"/>
    </row>
    <row r="168" spans="2:14">
      <c r="B168" s="3" t="s">
        <v>221</v>
      </c>
      <c r="F168" s="49"/>
      <c r="G168" s="89"/>
      <c r="H168" s="89"/>
      <c r="I168" s="89"/>
      <c r="J168" s="89"/>
      <c r="K168" s="89"/>
      <c r="L168" s="89"/>
      <c r="M168" s="89"/>
      <c r="N168" s="89"/>
    </row>
    <row r="169" spans="2:14">
      <c r="B169" t="s">
        <v>213</v>
      </c>
      <c r="F169" s="137">
        <f>SUM(G169:N169)</f>
        <v>30.124744912274966</v>
      </c>
      <c r="G169" s="134">
        <f>'Berekening rekenvolumes'!G40</f>
        <v>0</v>
      </c>
      <c r="H169" s="134">
        <f>'Berekening rekenvolumes'!H40</f>
        <v>1</v>
      </c>
      <c r="I169" s="134">
        <f>'Berekening rekenvolumes'!I40</f>
        <v>0</v>
      </c>
      <c r="J169" s="134">
        <f>'Berekening rekenvolumes'!J40</f>
        <v>10.096436133613892</v>
      </c>
      <c r="K169" s="134">
        <f>'Berekening rekenvolumes'!K40</f>
        <v>15.391945252091025</v>
      </c>
      <c r="L169" s="134">
        <f>'Berekening rekenvolumes'!L40</f>
        <v>0</v>
      </c>
      <c r="M169" s="134">
        <f>'Berekening rekenvolumes'!M40</f>
        <v>3.6363635265700487</v>
      </c>
      <c r="N169" s="134">
        <f>'Berekening rekenvolumes'!N40</f>
        <v>0</v>
      </c>
    </row>
    <row r="170" spans="2:14">
      <c r="B170" t="s">
        <v>214</v>
      </c>
      <c r="F170" s="137">
        <f>SUM(G170:N170)</f>
        <v>129537.20687426408</v>
      </c>
      <c r="G170" s="134">
        <f>'Berekening rekenvolumes'!G41</f>
        <v>0</v>
      </c>
      <c r="H170" s="134">
        <f>'Berekening rekenvolumes'!H41</f>
        <v>9116</v>
      </c>
      <c r="I170" s="134">
        <f>'Berekening rekenvolumes'!I41</f>
        <v>0</v>
      </c>
      <c r="J170" s="134">
        <f>'Berekening rekenvolumes'!J41</f>
        <v>63623.429487925016</v>
      </c>
      <c r="K170" s="134">
        <f>'Berekening rekenvolumes'!K41</f>
        <v>41462.746936917305</v>
      </c>
      <c r="L170" s="134">
        <f>'Berekening rekenvolumes'!L41</f>
        <v>0</v>
      </c>
      <c r="M170" s="134">
        <f>'Berekening rekenvolumes'!M41</f>
        <v>15335.030449421756</v>
      </c>
      <c r="N170" s="134">
        <f>'Berekening rekenvolumes'!N41</f>
        <v>0</v>
      </c>
    </row>
    <row r="171" spans="2:14">
      <c r="B171" t="s">
        <v>217</v>
      </c>
      <c r="F171" s="137">
        <f>SUM(G171:N171)</f>
        <v>1988337.0941490501</v>
      </c>
      <c r="G171" s="134">
        <f>'Berekening rekenvolumes'!G42</f>
        <v>0</v>
      </c>
      <c r="H171" s="134">
        <f>'Berekening rekenvolumes'!H42</f>
        <v>166372.38095238095</v>
      </c>
      <c r="I171" s="134">
        <f>'Berekening rekenvolumes'!I42</f>
        <v>0</v>
      </c>
      <c r="J171" s="134">
        <f>'Berekening rekenvolumes'!J42</f>
        <v>1005191.4048389882</v>
      </c>
      <c r="K171" s="134">
        <f>'Berekening rekenvolumes'!K42</f>
        <v>626175.4901758628</v>
      </c>
      <c r="L171" s="134">
        <f>'Berekening rekenvolumes'!L42</f>
        <v>0</v>
      </c>
      <c r="M171" s="134">
        <f>'Berekening rekenvolumes'!M42</f>
        <v>190597.81818181821</v>
      </c>
      <c r="N171" s="134">
        <f>'Berekening rekenvolumes'!N42</f>
        <v>0</v>
      </c>
    </row>
    <row r="172" spans="2:14">
      <c r="F172" s="49"/>
      <c r="G172" s="89"/>
      <c r="H172" s="89"/>
      <c r="I172" s="89"/>
      <c r="J172" s="89"/>
      <c r="K172" s="89"/>
      <c r="L172" s="89"/>
      <c r="M172" s="89"/>
      <c r="N172" s="89"/>
    </row>
    <row r="173" spans="2:14">
      <c r="F173" s="49"/>
      <c r="G173" s="89"/>
      <c r="H173" s="89"/>
      <c r="I173" s="89"/>
      <c r="J173" s="89"/>
      <c r="K173" s="89"/>
      <c r="L173" s="89"/>
      <c r="M173" s="89"/>
      <c r="N173" s="89"/>
    </row>
    <row r="174" spans="2:14">
      <c r="F174" s="49"/>
      <c r="G174" s="89"/>
      <c r="H174" s="89"/>
      <c r="I174" s="89"/>
      <c r="J174" s="89"/>
      <c r="K174" s="89"/>
      <c r="L174" s="89"/>
      <c r="M174" s="89"/>
      <c r="N174" s="89"/>
    </row>
    <row r="175" spans="2:14">
      <c r="F175" s="49"/>
      <c r="G175" s="89"/>
      <c r="H175" s="89"/>
      <c r="I175" s="89"/>
      <c r="J175" s="89"/>
      <c r="K175" s="89"/>
      <c r="L175" s="89"/>
      <c r="M175" s="89"/>
      <c r="N175" s="89"/>
    </row>
    <row r="176" spans="2:14">
      <c r="F176" s="49"/>
      <c r="G176" s="89"/>
      <c r="H176" s="89"/>
      <c r="I176" s="89"/>
      <c r="J176" s="89"/>
      <c r="K176" s="89"/>
      <c r="L176" s="89"/>
      <c r="M176" s="89"/>
      <c r="N176" s="89"/>
    </row>
    <row r="177" spans="2:14">
      <c r="B177" s="3" t="s">
        <v>50</v>
      </c>
      <c r="F177" s="49"/>
      <c r="G177" s="89"/>
      <c r="H177" s="89"/>
      <c r="I177" s="89"/>
      <c r="J177" s="89"/>
      <c r="K177" s="89"/>
      <c r="L177" s="89"/>
      <c r="M177" s="89"/>
      <c r="N177" s="89"/>
    </row>
    <row r="178" spans="2:14">
      <c r="F178" s="49"/>
      <c r="G178" s="89"/>
      <c r="H178" s="89"/>
      <c r="I178" s="89"/>
      <c r="J178" s="89"/>
      <c r="K178" s="89"/>
      <c r="L178" s="89"/>
      <c r="M178" s="89"/>
      <c r="N178" s="89"/>
    </row>
    <row r="179" spans="2:14">
      <c r="F179" s="49"/>
      <c r="G179" s="89"/>
      <c r="H179" s="89"/>
      <c r="I179" s="89"/>
      <c r="J179" s="89"/>
      <c r="K179" s="89"/>
      <c r="L179" s="89"/>
      <c r="M179" s="89"/>
      <c r="N179" s="89"/>
    </row>
    <row r="180" spans="2:14">
      <c r="B180" s="3" t="s">
        <v>222</v>
      </c>
      <c r="F180" s="49"/>
      <c r="G180" s="89"/>
      <c r="H180" s="89"/>
      <c r="I180" s="89"/>
      <c r="J180" s="89"/>
      <c r="K180" s="89"/>
      <c r="L180" s="89"/>
      <c r="M180" s="89"/>
      <c r="N180" s="89"/>
    </row>
    <row r="181" spans="2:14">
      <c r="B181" t="s">
        <v>213</v>
      </c>
      <c r="F181" s="137">
        <f>SUM(G181:N181)</f>
        <v>268.58188690336686</v>
      </c>
      <c r="G181" s="134">
        <f>'Berekening rekenvolumes'!G52</f>
        <v>0</v>
      </c>
      <c r="H181" s="134">
        <f>'Berekening rekenvolumes'!H52</f>
        <v>0</v>
      </c>
      <c r="I181" s="134">
        <f>'Berekening rekenvolumes'!I52</f>
        <v>4</v>
      </c>
      <c r="J181" s="134">
        <f>'Berekening rekenvolumes'!J52</f>
        <v>262.66522023670018</v>
      </c>
      <c r="K181" s="134">
        <f>'Berekening rekenvolumes'!K52</f>
        <v>0</v>
      </c>
      <c r="L181" s="134">
        <f>'Berekening rekenvolumes'!L52</f>
        <v>1.9166666666666667</v>
      </c>
      <c r="M181" s="134">
        <f>'Berekening rekenvolumes'!M52</f>
        <v>0</v>
      </c>
      <c r="N181" s="134">
        <f>'Berekening rekenvolumes'!N52</f>
        <v>0</v>
      </c>
    </row>
    <row r="182" spans="2:14">
      <c r="B182" t="s">
        <v>223</v>
      </c>
      <c r="F182" s="137">
        <f>SUM(G182:N182)</f>
        <v>772761.00368837151</v>
      </c>
      <c r="G182" s="134">
        <f>'Berekening rekenvolumes'!G53</f>
        <v>0</v>
      </c>
      <c r="H182" s="134">
        <f>'Berekening rekenvolumes'!H53</f>
        <v>0</v>
      </c>
      <c r="I182" s="134">
        <f>'Berekening rekenvolumes'!I53</f>
        <v>23095.342988819899</v>
      </c>
      <c r="J182" s="134">
        <f>'Berekening rekenvolumes'!J53</f>
        <v>738066.99403288495</v>
      </c>
      <c r="K182" s="134">
        <f>'Berekening rekenvolumes'!K53</f>
        <v>0</v>
      </c>
      <c r="L182" s="134">
        <f>'Berekening rekenvolumes'!L53</f>
        <v>11598.666666666666</v>
      </c>
      <c r="M182" s="134">
        <f>'Berekening rekenvolumes'!M53</f>
        <v>0</v>
      </c>
      <c r="N182" s="134">
        <f>'Berekening rekenvolumes'!N53</f>
        <v>0</v>
      </c>
    </row>
    <row r="183" spans="2:14">
      <c r="B183" t="s">
        <v>215</v>
      </c>
      <c r="F183" s="137">
        <f>SUM(G183:N183)</f>
        <v>7451785.2381564947</v>
      </c>
      <c r="G183" s="134">
        <f>'Berekening rekenvolumes'!G54</f>
        <v>0</v>
      </c>
      <c r="H183" s="134">
        <f>'Berekening rekenvolumes'!H54</f>
        <v>0</v>
      </c>
      <c r="I183" s="134">
        <f>'Berekening rekenvolumes'!I54</f>
        <v>247535.59175073914</v>
      </c>
      <c r="J183" s="134">
        <f>'Berekening rekenvolumes'!J54</f>
        <v>7095795.9797390886</v>
      </c>
      <c r="K183" s="134">
        <f>'Berekening rekenvolumes'!K54</f>
        <v>0</v>
      </c>
      <c r="L183" s="134">
        <f>'Berekening rekenvolumes'!L54</f>
        <v>108453.66666666667</v>
      </c>
      <c r="M183" s="134">
        <f>'Berekening rekenvolumes'!M54</f>
        <v>0</v>
      </c>
      <c r="N183" s="134">
        <f>'Berekening rekenvolumes'!N54</f>
        <v>0</v>
      </c>
    </row>
    <row r="184" spans="2:14">
      <c r="B184" t="s">
        <v>224</v>
      </c>
      <c r="F184" s="137">
        <f>SUM(G184:N184)</f>
        <v>2976939831.5859709</v>
      </c>
      <c r="G184" s="134">
        <f>'Berekening rekenvolumes'!G55</f>
        <v>0</v>
      </c>
      <c r="H184" s="134">
        <f>'Berekening rekenvolumes'!H55</f>
        <v>0</v>
      </c>
      <c r="I184" s="134">
        <f>'Berekening rekenvolumes'!I55</f>
        <v>90817212.524660364</v>
      </c>
      <c r="J184" s="134">
        <f>'Berekening rekenvolumes'!J55</f>
        <v>2863757785.3946438</v>
      </c>
      <c r="K184" s="134">
        <f>'Berekening rekenvolumes'!K55</f>
        <v>0</v>
      </c>
      <c r="L184" s="134">
        <f>'Berekening rekenvolumes'!L55</f>
        <v>22364833.666666668</v>
      </c>
      <c r="M184" s="134">
        <f>'Berekening rekenvolumes'!M55</f>
        <v>0</v>
      </c>
      <c r="N184" s="134">
        <f>'Berekening rekenvolumes'!N55</f>
        <v>0</v>
      </c>
    </row>
    <row r="185" spans="2:14">
      <c r="F185" s="49"/>
      <c r="G185" s="89"/>
      <c r="H185" s="89"/>
      <c r="I185" s="89"/>
      <c r="J185" s="89"/>
      <c r="K185" s="89"/>
      <c r="L185" s="89"/>
      <c r="M185" s="89"/>
      <c r="N185" s="89"/>
    </row>
    <row r="186" spans="2:14">
      <c r="B186" s="3" t="s">
        <v>225</v>
      </c>
      <c r="F186" s="49"/>
      <c r="G186" s="89"/>
      <c r="H186" s="89"/>
      <c r="I186" s="89"/>
      <c r="J186" s="89"/>
      <c r="K186" s="89"/>
      <c r="L186" s="89"/>
      <c r="M186" s="89"/>
      <c r="N186" s="89"/>
    </row>
    <row r="187" spans="2:14">
      <c r="B187" t="s">
        <v>213</v>
      </c>
      <c r="F187" s="137">
        <f>SUM(G187:N187)</f>
        <v>23726.728475280099</v>
      </c>
      <c r="G187" s="134">
        <f>'Berekening rekenvolumes'!G58</f>
        <v>29.461538461538463</v>
      </c>
      <c r="H187" s="134">
        <f>'Berekening rekenvolumes'!H58</f>
        <v>428.61111111111109</v>
      </c>
      <c r="I187" s="134">
        <f>'Berekening rekenvolumes'!I58</f>
        <v>571</v>
      </c>
      <c r="J187" s="134">
        <f>'Berekening rekenvolumes'!J58</f>
        <v>9688.2809347966813</v>
      </c>
      <c r="K187" s="134">
        <f>'Berekening rekenvolumes'!K58</f>
        <v>9236.5035049422386</v>
      </c>
      <c r="L187" s="134">
        <f>'Berekening rekenvolumes'!L58</f>
        <v>16.056666666666668</v>
      </c>
      <c r="M187" s="134">
        <f>'Berekening rekenvolumes'!M58</f>
        <v>3208.5874857417716</v>
      </c>
      <c r="N187" s="134">
        <f>'Berekening rekenvolumes'!N58</f>
        <v>548.22723356009067</v>
      </c>
    </row>
    <row r="188" spans="2:14">
      <c r="B188" t="s">
        <v>223</v>
      </c>
      <c r="F188" s="137">
        <f>SUM(G188:N188)</f>
        <v>8590339.9680287428</v>
      </c>
      <c r="G188" s="134">
        <f>'Berekening rekenvolumes'!G59</f>
        <v>34721.25</v>
      </c>
      <c r="H188" s="134">
        <f>'Berekening rekenvolumes'!H59</f>
        <v>189767.63888888891</v>
      </c>
      <c r="I188" s="134">
        <f>'Berekening rekenvolumes'!I59</f>
        <v>145204.52111372154</v>
      </c>
      <c r="J188" s="134">
        <f>'Berekening rekenvolumes'!J59</f>
        <v>2966855.5120938788</v>
      </c>
      <c r="K188" s="134">
        <f>'Berekening rekenvolumes'!K59</f>
        <v>3170992.7259910661</v>
      </c>
      <c r="L188" s="134">
        <f>'Berekening rekenvolumes'!L59</f>
        <v>17691.666666666668</v>
      </c>
      <c r="M188" s="134">
        <f>'Berekening rekenvolumes'!M59</f>
        <v>1840447.7877570887</v>
      </c>
      <c r="N188" s="134">
        <f>'Berekening rekenvolumes'!N59</f>
        <v>224658.86551743236</v>
      </c>
    </row>
    <row r="189" spans="2:14">
      <c r="B189" t="s">
        <v>215</v>
      </c>
      <c r="F189" s="137">
        <f>SUM(G189:N189)</f>
        <v>71996779.742324501</v>
      </c>
      <c r="G189" s="134">
        <f>'Berekening rekenvolumes'!G60</f>
        <v>320935.33333333331</v>
      </c>
      <c r="H189" s="134">
        <f>'Berekening rekenvolumes'!H60</f>
        <v>1567660.111111111</v>
      </c>
      <c r="I189" s="134">
        <f>'Berekening rekenvolumes'!I60</f>
        <v>1148239.9146794514</v>
      </c>
      <c r="J189" s="134">
        <f>'Berekening rekenvolumes'!J60</f>
        <v>26106939.69247644</v>
      </c>
      <c r="K189" s="134">
        <f>'Berekening rekenvolumes'!K60</f>
        <v>26834434.225580771</v>
      </c>
      <c r="L189" s="134">
        <f>'Berekening rekenvolumes'!L60</f>
        <v>180289.92333333334</v>
      </c>
      <c r="M189" s="134">
        <f>'Berekening rekenvolumes'!M60</f>
        <v>14051126.66406285</v>
      </c>
      <c r="N189" s="134">
        <f>'Berekening rekenvolumes'!N60</f>
        <v>1787153.8777472128</v>
      </c>
    </row>
    <row r="190" spans="2:14">
      <c r="B190" t="s">
        <v>224</v>
      </c>
      <c r="F190" s="137">
        <f>SUM(G190:N190)</f>
        <v>22995158370.942596</v>
      </c>
      <c r="G190" s="134">
        <f>'Berekening rekenvolumes'!G61</f>
        <v>110373377.66666667</v>
      </c>
      <c r="H190" s="134">
        <f>'Berekening rekenvolumes'!H61</f>
        <v>478601104.70968658</v>
      </c>
      <c r="I190" s="134">
        <f>'Berekening rekenvolumes'!I61</f>
        <v>388427939.12372059</v>
      </c>
      <c r="J190" s="134">
        <f>'Berekening rekenvolumes'!J61</f>
        <v>8034768554.2295141</v>
      </c>
      <c r="K190" s="134">
        <f>'Berekening rekenvolumes'!K61</f>
        <v>8777478028.1547451</v>
      </c>
      <c r="L190" s="134">
        <f>'Berekening rekenvolumes'!L61</f>
        <v>62714232.333333336</v>
      </c>
      <c r="M190" s="134">
        <f>'Berekening rekenvolumes'!M61</f>
        <v>4688119243.8037682</v>
      </c>
      <c r="N190" s="134">
        <f>'Berekening rekenvolumes'!N61</f>
        <v>454675890.92116576</v>
      </c>
    </row>
    <row r="191" spans="2:14">
      <c r="F191" s="49"/>
      <c r="G191" s="36"/>
      <c r="H191" s="36"/>
      <c r="I191" s="36"/>
      <c r="J191" s="36"/>
      <c r="K191" s="36"/>
      <c r="L191" s="36"/>
      <c r="M191" s="36"/>
      <c r="N191" s="36"/>
    </row>
    <row r="192" spans="2:14">
      <c r="B192" s="3" t="s">
        <v>226</v>
      </c>
      <c r="F192" s="49"/>
      <c r="G192" s="89"/>
      <c r="H192" s="89"/>
      <c r="I192" s="89"/>
      <c r="J192" s="89"/>
      <c r="K192" s="89"/>
      <c r="L192" s="89"/>
      <c r="M192" s="89"/>
      <c r="N192" s="89"/>
    </row>
    <row r="193" spans="2:14">
      <c r="B193" t="s">
        <v>213</v>
      </c>
      <c r="F193" s="137">
        <f>SUM(G193:N193)</f>
        <v>41537.154477431934</v>
      </c>
      <c r="G193" s="134">
        <f>'Berekening rekenvolumes'!G64</f>
        <v>217.69230769230771</v>
      </c>
      <c r="H193" s="134">
        <f>'Berekening rekenvolumes'!H64</f>
        <v>1532.75</v>
      </c>
      <c r="I193" s="134">
        <f>'Berekening rekenvolumes'!I64</f>
        <v>692</v>
      </c>
      <c r="J193" s="134">
        <f>'Berekening rekenvolumes'!J64</f>
        <v>14613.038714865668</v>
      </c>
      <c r="K193" s="134">
        <f>'Berekening rekenvolumes'!K64</f>
        <v>13919.157078181866</v>
      </c>
      <c r="L193" s="134">
        <f>'Berekening rekenvolumes'!L64</f>
        <v>132.4</v>
      </c>
      <c r="M193" s="134">
        <f>'Berekening rekenvolumes'!M64</f>
        <v>9426.4848423005551</v>
      </c>
      <c r="N193" s="134">
        <f>'Berekening rekenvolumes'!N64</f>
        <v>1003.6315343915343</v>
      </c>
    </row>
    <row r="194" spans="2:14">
      <c r="B194" t="s">
        <v>223</v>
      </c>
      <c r="F194" s="137">
        <f>SUM(G194:N194)</f>
        <v>3882406.3041436691</v>
      </c>
      <c r="G194" s="134">
        <f>'Berekening rekenvolumes'!G65</f>
        <v>42159.027777777781</v>
      </c>
      <c r="H194" s="134">
        <f>'Berekening rekenvolumes'!H65</f>
        <v>145507</v>
      </c>
      <c r="I194" s="134">
        <f>'Berekening rekenvolumes'!I65</f>
        <v>43148.053908278096</v>
      </c>
      <c r="J194" s="134">
        <f>'Berekening rekenvolumes'!J65</f>
        <v>1060364.4309226701</v>
      </c>
      <c r="K194" s="134">
        <f>'Berekening rekenvolumes'!K65</f>
        <v>1221001.8635716394</v>
      </c>
      <c r="L194" s="134">
        <f>'Berekening rekenvolumes'!L65</f>
        <v>23168.366666666669</v>
      </c>
      <c r="M194" s="134">
        <f>'Berekening rekenvolumes'!M65</f>
        <v>1149539.3636457163</v>
      </c>
      <c r="N194" s="134">
        <f>'Berekening rekenvolumes'!N65</f>
        <v>197518.19765092045</v>
      </c>
    </row>
    <row r="195" spans="2:14">
      <c r="B195" t="s">
        <v>215</v>
      </c>
      <c r="F195" s="137">
        <f>SUM(G195:N195)</f>
        <v>29017578.28290822</v>
      </c>
      <c r="G195" s="134">
        <f>'Berekening rekenvolumes'!G66</f>
        <v>372992</v>
      </c>
      <c r="H195" s="134">
        <f>'Berekening rekenvolumes'!H66</f>
        <v>1113537.42</v>
      </c>
      <c r="I195" s="134">
        <f>'Berekening rekenvolumes'!I66</f>
        <v>282330.99912649975</v>
      </c>
      <c r="J195" s="134">
        <f>'Berekening rekenvolumes'!J66</f>
        <v>8301833.4831808507</v>
      </c>
      <c r="K195" s="134">
        <f>'Berekening rekenvolumes'!K66</f>
        <v>9254668.3084617928</v>
      </c>
      <c r="L195" s="134">
        <f>'Berekening rekenvolumes'!L66</f>
        <v>213062.02333333335</v>
      </c>
      <c r="M195" s="134">
        <f>'Berekening rekenvolumes'!M66</f>
        <v>7954017.0934006721</v>
      </c>
      <c r="N195" s="134">
        <f>'Berekening rekenvolumes'!N66</f>
        <v>1525136.9554050723</v>
      </c>
    </row>
    <row r="196" spans="2:14">
      <c r="B196" t="s">
        <v>224</v>
      </c>
      <c r="F196" s="137">
        <f>SUM(G196:N196)</f>
        <v>7929719972.9250908</v>
      </c>
      <c r="G196" s="134">
        <f>'Berekening rekenvolumes'!G67</f>
        <v>103948925</v>
      </c>
      <c r="H196" s="134">
        <f>'Berekening rekenvolumes'!H67</f>
        <v>285067629.17407411</v>
      </c>
      <c r="I196" s="134">
        <f>'Berekening rekenvolumes'!I67</f>
        <v>71762585.471251354</v>
      </c>
      <c r="J196" s="134">
        <f>'Berekening rekenvolumes'!J67</f>
        <v>2173614445.7117639</v>
      </c>
      <c r="K196" s="134">
        <f>'Berekening rekenvolumes'!K67</f>
        <v>2560211290.5485816</v>
      </c>
      <c r="L196" s="134">
        <f>'Berekening rekenvolumes'!L67</f>
        <v>56807758.666666664</v>
      </c>
      <c r="M196" s="134">
        <f>'Berekening rekenvolumes'!M67</f>
        <v>2263013768.8886456</v>
      </c>
      <c r="N196" s="134">
        <f>'Berekening rekenvolumes'!N67</f>
        <v>415293569.46410704</v>
      </c>
    </row>
    <row r="197" spans="2:14">
      <c r="F197" s="49"/>
      <c r="G197" s="89"/>
      <c r="H197" s="89"/>
      <c r="I197" s="89"/>
      <c r="J197" s="89"/>
      <c r="K197" s="89"/>
      <c r="L197" s="89"/>
      <c r="M197" s="89"/>
      <c r="N197" s="89"/>
    </row>
    <row r="198" spans="2:14">
      <c r="F198" s="49"/>
      <c r="G198" s="89"/>
      <c r="H198" s="89"/>
      <c r="I198" s="89"/>
      <c r="J198" s="89"/>
      <c r="K198" s="89"/>
      <c r="L198" s="89"/>
      <c r="M198" s="89"/>
      <c r="N198" s="89"/>
    </row>
    <row r="199" spans="2:14">
      <c r="F199" s="49"/>
      <c r="G199" s="89"/>
      <c r="H199" s="89"/>
      <c r="I199" s="89"/>
      <c r="J199" s="89"/>
      <c r="K199" s="89"/>
      <c r="L199" s="89"/>
      <c r="M199" s="89"/>
      <c r="N199" s="89"/>
    </row>
    <row r="200" spans="2:14">
      <c r="F200" s="49"/>
      <c r="G200" s="89"/>
      <c r="H200" s="89"/>
      <c r="I200" s="89"/>
      <c r="J200" s="89"/>
      <c r="K200" s="89"/>
      <c r="L200" s="89"/>
      <c r="M200" s="89"/>
      <c r="N200" s="89"/>
    </row>
    <row r="201" spans="2:14">
      <c r="F201" s="49"/>
      <c r="G201" s="89"/>
      <c r="H201" s="89"/>
      <c r="I201" s="89"/>
      <c r="J201" s="89"/>
      <c r="K201" s="89"/>
      <c r="L201" s="89"/>
      <c r="M201" s="89"/>
      <c r="N201" s="89"/>
    </row>
    <row r="202" spans="2:14">
      <c r="B202" s="3" t="s">
        <v>51</v>
      </c>
      <c r="F202" s="49"/>
      <c r="G202" s="89"/>
      <c r="H202" s="89"/>
      <c r="I202" s="89"/>
      <c r="J202" s="89"/>
      <c r="K202" s="89"/>
      <c r="L202" s="89"/>
      <c r="M202" s="89"/>
      <c r="N202" s="89"/>
    </row>
    <row r="203" spans="2:14">
      <c r="F203" s="49"/>
      <c r="G203" s="89"/>
      <c r="H203" s="89"/>
      <c r="I203" s="89"/>
      <c r="J203" s="89"/>
      <c r="K203" s="89"/>
      <c r="L203" s="89"/>
      <c r="M203" s="89"/>
      <c r="N203" s="89"/>
    </row>
    <row r="204" spans="2:14">
      <c r="F204" s="49"/>
      <c r="G204" s="89"/>
      <c r="H204" s="89"/>
      <c r="I204" s="89"/>
      <c r="J204" s="89"/>
      <c r="K204" s="89"/>
      <c r="L204" s="89"/>
      <c r="M204" s="89"/>
      <c r="N204" s="89"/>
    </row>
    <row r="205" spans="2:14">
      <c r="B205" s="3" t="s">
        <v>227</v>
      </c>
      <c r="F205" s="49"/>
      <c r="G205" s="89"/>
      <c r="H205" s="89"/>
      <c r="I205" s="89"/>
      <c r="J205" s="89"/>
      <c r="K205" s="89"/>
      <c r="L205" s="89"/>
      <c r="M205" s="89"/>
      <c r="N205" s="89"/>
    </row>
    <row r="206" spans="2:14">
      <c r="B206" t="s">
        <v>213</v>
      </c>
      <c r="F206" s="137">
        <f>SUM(G206:N206)</f>
        <v>17591.05483437076</v>
      </c>
      <c r="G206" s="134">
        <f>'Berekening rekenvolumes'!G77</f>
        <v>309</v>
      </c>
      <c r="H206" s="134">
        <f>'Berekening rekenvolumes'!H77</f>
        <v>358.0555555555556</v>
      </c>
      <c r="I206" s="134">
        <f>'Berekening rekenvolumes'!I77</f>
        <v>0</v>
      </c>
      <c r="J206" s="134">
        <f>'Berekening rekenvolumes'!J77</f>
        <v>3402.5176536497424</v>
      </c>
      <c r="K206" s="134">
        <f>'Berekening rekenvolumes'!K77</f>
        <v>6065.2114399802767</v>
      </c>
      <c r="L206" s="134">
        <f>'Berekening rekenvolumes'!L77</f>
        <v>134.41666666666666</v>
      </c>
      <c r="M206" s="134">
        <f>'Berekening rekenvolumes'!M77</f>
        <v>7106.6061111111112</v>
      </c>
      <c r="N206" s="134">
        <f>'Berekening rekenvolumes'!N77</f>
        <v>215.24740740740739</v>
      </c>
    </row>
    <row r="207" spans="2:14">
      <c r="B207" t="s">
        <v>223</v>
      </c>
      <c r="F207" s="137">
        <f>SUM(G207:N207)</f>
        <v>952385.10752306238</v>
      </c>
      <c r="G207" s="134">
        <f>'Berekening rekenvolumes'!G78</f>
        <v>24223.388888888887</v>
      </c>
      <c r="H207" s="134">
        <f>'Berekening rekenvolumes'!H78</f>
        <v>17651.444444444445</v>
      </c>
      <c r="I207" s="134">
        <f>'Berekening rekenvolumes'!I78</f>
        <v>0</v>
      </c>
      <c r="J207" s="134">
        <f>'Berekening rekenvolumes'!J78</f>
        <v>112737.48600977665</v>
      </c>
      <c r="K207" s="134">
        <f>'Berekening rekenvolumes'!K78</f>
        <v>219824.81518819407</v>
      </c>
      <c r="L207" s="134">
        <f>'Berekening rekenvolumes'!L78</f>
        <v>8441.4666666666672</v>
      </c>
      <c r="M207" s="134">
        <f>'Berekening rekenvolumes'!M78</f>
        <v>563227.2115571365</v>
      </c>
      <c r="N207" s="134">
        <f>'Berekening rekenvolumes'!N78</f>
        <v>6279.2947679552135</v>
      </c>
    </row>
    <row r="208" spans="2:14">
      <c r="B208" t="s">
        <v>228</v>
      </c>
      <c r="F208" s="137">
        <f>SUM(G208:N208)</f>
        <v>605069617.5474894</v>
      </c>
      <c r="G208" s="134">
        <f>'Berekening rekenvolumes'!G79</f>
        <v>14508512</v>
      </c>
      <c r="H208" s="134">
        <f>'Berekening rekenvolumes'!H79</f>
        <v>7717334.4515989637</v>
      </c>
      <c r="I208" s="134">
        <f>'Berekening rekenvolumes'!I79</f>
        <v>0</v>
      </c>
      <c r="J208" s="134">
        <f>'Berekening rekenvolumes'!J79</f>
        <v>68348144.513242409</v>
      </c>
      <c r="K208" s="134">
        <f>'Berekening rekenvolumes'!K79</f>
        <v>157458312.75707</v>
      </c>
      <c r="L208" s="134">
        <f>'Berekening rekenvolumes'!L79</f>
        <v>6385917.666666667</v>
      </c>
      <c r="M208" s="134">
        <f>'Berekening rekenvolumes'!M79</f>
        <v>345177266.59740257</v>
      </c>
      <c r="N208" s="134">
        <f>'Berekening rekenvolumes'!N79</f>
        <v>5474129.5615087533</v>
      </c>
    </row>
    <row r="209" spans="2:14">
      <c r="B209" t="s">
        <v>224</v>
      </c>
      <c r="F209" s="137">
        <f>SUM(G209:N209)</f>
        <v>955967491.68132675</v>
      </c>
      <c r="G209" s="134">
        <f>'Berekening rekenvolumes'!G80</f>
        <v>28424163</v>
      </c>
      <c r="H209" s="134">
        <f>'Berekening rekenvolumes'!H80</f>
        <v>10105588.11879169</v>
      </c>
      <c r="I209" s="134">
        <f>'Berekening rekenvolumes'!I80</f>
        <v>0</v>
      </c>
      <c r="J209" s="134">
        <f>'Berekening rekenvolumes'!J80</f>
        <v>106904342.78655021</v>
      </c>
      <c r="K209" s="134">
        <f>'Berekening rekenvolumes'!K80</f>
        <v>238544084.38004461</v>
      </c>
      <c r="L209" s="134">
        <f>'Berekening rekenvolumes'!L80</f>
        <v>12163289.333333334</v>
      </c>
      <c r="M209" s="134">
        <f>'Berekening rekenvolumes'!M80</f>
        <v>553023218.51226556</v>
      </c>
      <c r="N209" s="134">
        <f>'Berekening rekenvolumes'!N80</f>
        <v>6802805.5503414124</v>
      </c>
    </row>
    <row r="210" spans="2:14">
      <c r="F210" s="49"/>
      <c r="G210" s="89"/>
      <c r="H210" s="89"/>
      <c r="I210" s="89"/>
      <c r="J210" s="89"/>
      <c r="K210" s="89"/>
      <c r="L210" s="89"/>
      <c r="M210" s="89"/>
      <c r="N210" s="89"/>
    </row>
    <row r="211" spans="2:14">
      <c r="B211" s="3" t="s">
        <v>229</v>
      </c>
      <c r="F211" s="49"/>
      <c r="G211" s="89"/>
      <c r="H211" s="89"/>
      <c r="I211" s="89"/>
      <c r="J211" s="89"/>
      <c r="K211" s="89"/>
      <c r="L211" s="89"/>
      <c r="M211" s="89"/>
      <c r="N211" s="89"/>
    </row>
    <row r="212" spans="2:14">
      <c r="B212" t="s">
        <v>230</v>
      </c>
      <c r="F212" s="137">
        <f>SUM(G212:N212)</f>
        <v>2637857.5649597058</v>
      </c>
      <c r="G212" s="134">
        <f>'Berekening rekenvolumes'!G83</f>
        <v>23252.333333333332</v>
      </c>
      <c r="H212" s="134">
        <f>'Berekening rekenvolumes'!H83</f>
        <v>86556.777777777796</v>
      </c>
      <c r="I212" s="134">
        <f>'Berekening rekenvolumes'!I83</f>
        <v>44664.666666666664</v>
      </c>
      <c r="J212" s="134">
        <f>'Berekening rekenvolumes'!J83</f>
        <v>1096825.0528899145</v>
      </c>
      <c r="K212" s="134">
        <f>'Berekening rekenvolumes'!K83</f>
        <v>757955.40346656984</v>
      </c>
      <c r="L212" s="134">
        <f>'Berekening rekenvolumes'!L83</f>
        <v>18684.833333333332</v>
      </c>
      <c r="M212" s="134">
        <f>'Berekening rekenvolumes'!M83</f>
        <v>585422.93225913309</v>
      </c>
      <c r="N212" s="134">
        <f>'Berekening rekenvolumes'!N83</f>
        <v>24495.565232977297</v>
      </c>
    </row>
    <row r="213" spans="2:14">
      <c r="B213" t="s">
        <v>231</v>
      </c>
      <c r="F213" s="137">
        <f>SUM(G213:N213)</f>
        <v>7860325.7089242917</v>
      </c>
      <c r="G213" s="134">
        <f>'Berekening rekenvolumes'!G84</f>
        <v>52116.948717948719</v>
      </c>
      <c r="H213" s="134">
        <f>'Berekening rekenvolumes'!H84</f>
        <v>204916.55555555559</v>
      </c>
      <c r="I213" s="134">
        <f>'Berekening rekenvolumes'!I84</f>
        <v>104509.33333333333</v>
      </c>
      <c r="J213" s="134">
        <f>'Berekening rekenvolumes'!J84</f>
        <v>2564129.5448696087</v>
      </c>
      <c r="K213" s="134">
        <f>'Berekening rekenvolumes'!K84</f>
        <v>2880705.8158347351</v>
      </c>
      <c r="L213" s="134">
        <f>'Berekening rekenvolumes'!L84</f>
        <v>31353.400000000005</v>
      </c>
      <c r="M213" s="134">
        <f>'Berekening rekenvolumes'!M84</f>
        <v>1969170.910629293</v>
      </c>
      <c r="N213" s="134">
        <f>'Berekening rekenvolumes'!N84</f>
        <v>53423.199983816383</v>
      </c>
    </row>
    <row r="214" spans="2:14">
      <c r="F214" s="49"/>
      <c r="G214" s="89"/>
      <c r="H214" s="89"/>
      <c r="I214" s="89"/>
      <c r="J214" s="89"/>
      <c r="K214" s="89"/>
      <c r="L214" s="89"/>
      <c r="M214" s="89"/>
      <c r="N214" s="89"/>
    </row>
    <row r="215" spans="2:14">
      <c r="B215" s="3" t="s">
        <v>232</v>
      </c>
      <c r="F215" s="49"/>
      <c r="G215" s="89"/>
      <c r="H215" s="89"/>
      <c r="I215" s="89"/>
      <c r="J215" s="89"/>
      <c r="K215" s="89"/>
      <c r="L215" s="89"/>
      <c r="M215" s="89"/>
      <c r="N215" s="89"/>
    </row>
    <row r="216" spans="2:14">
      <c r="B216" t="s">
        <v>233</v>
      </c>
      <c r="F216" s="137">
        <f t="shared" ref="F216:F221" si="0">SUM(G216:N216)</f>
        <v>46662.019524741649</v>
      </c>
      <c r="G216" s="134">
        <f>'Berekening rekenvolumes'!G87</f>
        <v>260.35897435897436</v>
      </c>
      <c r="H216" s="134">
        <f>'Berekening rekenvolumes'!H87</f>
        <v>1151.1944444444443</v>
      </c>
      <c r="I216" s="134">
        <f>'Berekening rekenvolumes'!I87</f>
        <v>143.33333333333334</v>
      </c>
      <c r="J216" s="134">
        <f>'Berekening rekenvolumes'!J87</f>
        <v>18106.634091573782</v>
      </c>
      <c r="K216" s="134">
        <f>'Berekening rekenvolumes'!K87</f>
        <v>17754.665302920581</v>
      </c>
      <c r="L216" s="134">
        <f>'Berekening rekenvolumes'!L87</f>
        <v>175.66666666666666</v>
      </c>
      <c r="M216" s="134">
        <f>'Berekening rekenvolumes'!M87</f>
        <v>8467.342719431761</v>
      </c>
      <c r="N216" s="134">
        <f>'Berekening rekenvolumes'!N87</f>
        <v>602.82399201211501</v>
      </c>
    </row>
    <row r="217" spans="2:14">
      <c r="B217" t="s">
        <v>234</v>
      </c>
      <c r="F217" s="137">
        <f t="shared" si="0"/>
        <v>61697.290375691606</v>
      </c>
      <c r="G217" s="134">
        <f>'Berekening rekenvolumes'!G88</f>
        <v>265.58974358974359</v>
      </c>
      <c r="H217" s="134">
        <f>'Berekening rekenvolumes'!H88</f>
        <v>1242.0277777777781</v>
      </c>
      <c r="I217" s="134">
        <f>'Berekening rekenvolumes'!I88</f>
        <v>1264</v>
      </c>
      <c r="J217" s="134">
        <f>'Berekening rekenvolumes'!J88</f>
        <v>22525.967686870019</v>
      </c>
      <c r="K217" s="134">
        <f>'Berekening rekenvolumes'!K88</f>
        <v>20691.588056278411</v>
      </c>
      <c r="L217" s="134">
        <f>'Berekening rekenvolumes'!L88</f>
        <v>224.73333333333335</v>
      </c>
      <c r="M217" s="134">
        <f>'Berekening rekenvolumes'!M88</f>
        <v>14853.388889836939</v>
      </c>
      <c r="N217" s="134">
        <f>'Berekening rekenvolumes'!N88</f>
        <v>629.99488800538222</v>
      </c>
    </row>
    <row r="218" spans="2:14">
      <c r="B218" t="s">
        <v>235</v>
      </c>
      <c r="F218" s="137">
        <f t="shared" si="0"/>
        <v>64908.005663142496</v>
      </c>
      <c r="G218" s="134">
        <f>'Berekening rekenvolumes'!G89</f>
        <v>292.02564102564105</v>
      </c>
      <c r="H218" s="134">
        <f>'Berekening rekenvolumes'!H89</f>
        <v>1803.3055555555557</v>
      </c>
      <c r="I218" s="134">
        <f>'Berekening rekenvolumes'!I89</f>
        <v>721</v>
      </c>
      <c r="J218" s="134">
        <f>'Berekening rekenvolumes'!J89</f>
        <v>24154.977839928975</v>
      </c>
      <c r="K218" s="134">
        <f>'Berekening rekenvolumes'!K89</f>
        <v>23719.774736970852</v>
      </c>
      <c r="L218" s="134">
        <f>'Berekening rekenvolumes'!L89</f>
        <v>288.86666666666662</v>
      </c>
      <c r="M218" s="134">
        <f>'Berekening rekenvolumes'!M89</f>
        <v>13148.472222222221</v>
      </c>
      <c r="N218" s="134">
        <f>'Berekening rekenvolumes'!N89</f>
        <v>779.58300077259071</v>
      </c>
    </row>
    <row r="219" spans="2:14">
      <c r="B219" t="s">
        <v>236</v>
      </c>
      <c r="F219" s="137">
        <f t="shared" si="0"/>
        <v>161015.10721294835</v>
      </c>
      <c r="G219" s="134">
        <f>'Berekening rekenvolumes'!G90</f>
        <v>865.25641025641016</v>
      </c>
      <c r="H219" s="134">
        <f>'Berekening rekenvolumes'!H90</f>
        <v>3667.6388888888891</v>
      </c>
      <c r="I219" s="134">
        <f>'Berekening rekenvolumes'!I90</f>
        <v>1334.3333333333333</v>
      </c>
      <c r="J219" s="134">
        <f>'Berekening rekenvolumes'!J90</f>
        <v>60759.802105860173</v>
      </c>
      <c r="K219" s="134">
        <f>'Berekening rekenvolumes'!K90</f>
        <v>52700.413454374502</v>
      </c>
      <c r="L219" s="134">
        <f>'Berekening rekenvolumes'!L90</f>
        <v>531.19999999999993</v>
      </c>
      <c r="M219" s="134">
        <f>'Berekening rekenvolumes'!M90</f>
        <v>39763.502477850183</v>
      </c>
      <c r="N219" s="134">
        <f>'Berekening rekenvolumes'!N90</f>
        <v>1392.9605423848632</v>
      </c>
    </row>
    <row r="220" spans="2:14">
      <c r="B220" t="s">
        <v>237</v>
      </c>
      <c r="F220" s="137">
        <f t="shared" si="0"/>
        <v>7527279.3081591865</v>
      </c>
      <c r="G220" s="134">
        <f>'Berekening rekenvolumes'!G91</f>
        <v>50433.717948717946</v>
      </c>
      <c r="H220" s="134">
        <f>'Berekening rekenvolumes'!H91</f>
        <v>197052.38888888891</v>
      </c>
      <c r="I220" s="134">
        <f>'Berekening rekenvolumes'!I91</f>
        <v>101046.66666666667</v>
      </c>
      <c r="J220" s="134">
        <f>'Berekening rekenvolumes'!J91</f>
        <v>2438250.2628558222</v>
      </c>
      <c r="K220" s="134">
        <f>'Berekening rekenvolumes'!K91</f>
        <v>2765387.0046706246</v>
      </c>
      <c r="L220" s="134">
        <f>'Berekening rekenvolumes'!L91</f>
        <v>30132.933333333331</v>
      </c>
      <c r="M220" s="134">
        <f>'Berekening rekenvolumes'!M91</f>
        <v>1894958.4962344917</v>
      </c>
      <c r="N220" s="134">
        <f>'Berekening rekenvolumes'!N91</f>
        <v>50017.837560641434</v>
      </c>
    </row>
    <row r="221" spans="2:14">
      <c r="B221" t="s">
        <v>238</v>
      </c>
      <c r="F221" s="137">
        <f t="shared" si="0"/>
        <v>2637854.0154259913</v>
      </c>
      <c r="G221" s="134">
        <f>'Berekening rekenvolumes'!G92</f>
        <v>23252.333333333332</v>
      </c>
      <c r="H221" s="134">
        <f>'Berekening rekenvolumes'!H92</f>
        <v>86556.777777777796</v>
      </c>
      <c r="I221" s="134">
        <f>'Berekening rekenvolumes'!I92</f>
        <v>44664.666666666664</v>
      </c>
      <c r="J221" s="134">
        <f>'Berekening rekenvolumes'!J92</f>
        <v>1096825.0528899147</v>
      </c>
      <c r="K221" s="134">
        <f>'Berekening rekenvolumes'!K92</f>
        <v>757951.85393285507</v>
      </c>
      <c r="L221" s="134">
        <f>'Berekening rekenvolumes'!L92</f>
        <v>18684.833333333332</v>
      </c>
      <c r="M221" s="134">
        <f>'Berekening rekenvolumes'!M92</f>
        <v>585422.93225913309</v>
      </c>
      <c r="N221" s="134">
        <f>'Berekening rekenvolumes'!N92</f>
        <v>24495.565232977297</v>
      </c>
    </row>
    <row r="222" spans="2:14">
      <c r="F222" s="49"/>
      <c r="G222" s="89"/>
      <c r="H222" s="89"/>
      <c r="I222" s="89"/>
      <c r="J222" s="89"/>
      <c r="K222" s="89"/>
      <c r="L222" s="89"/>
      <c r="M222" s="89"/>
      <c r="N222" s="89"/>
    </row>
    <row r="223" spans="2:14">
      <c r="B223" t="s">
        <v>52</v>
      </c>
      <c r="F223" s="49"/>
      <c r="G223" s="89"/>
      <c r="H223" s="89"/>
      <c r="I223" s="89"/>
      <c r="J223" s="89"/>
      <c r="K223" s="89"/>
      <c r="L223" s="89"/>
      <c r="M223" s="89"/>
      <c r="N223" s="89"/>
    </row>
    <row r="224" spans="2:14">
      <c r="F224" s="49"/>
      <c r="G224" s="89"/>
      <c r="H224" s="89"/>
      <c r="I224" s="89"/>
      <c r="J224" s="89"/>
      <c r="K224" s="89"/>
      <c r="L224" s="89"/>
      <c r="M224" s="89"/>
      <c r="N224" s="89"/>
    </row>
    <row r="225" spans="2:15">
      <c r="F225" s="49"/>
      <c r="G225" s="89"/>
      <c r="H225" s="89"/>
      <c r="I225" s="89"/>
      <c r="J225" s="89"/>
      <c r="K225" s="89"/>
      <c r="L225" s="89"/>
      <c r="M225" s="89"/>
      <c r="N225" s="89"/>
    </row>
    <row r="226" spans="2:15">
      <c r="F226" s="49"/>
      <c r="G226" s="89"/>
      <c r="H226" s="89"/>
      <c r="I226" s="89"/>
      <c r="J226" s="89"/>
      <c r="K226" s="89"/>
      <c r="L226" s="89"/>
      <c r="M226" s="89"/>
      <c r="N226" s="89"/>
    </row>
    <row r="227" spans="2:15">
      <c r="F227" s="49"/>
      <c r="G227" s="89"/>
      <c r="H227" s="89"/>
      <c r="I227" s="89"/>
      <c r="J227" s="89"/>
      <c r="K227" s="89"/>
      <c r="L227" s="89"/>
      <c r="M227" s="89"/>
      <c r="N227" s="89"/>
    </row>
    <row r="228" spans="2:15">
      <c r="F228" s="49"/>
      <c r="G228" s="89"/>
      <c r="H228" s="89"/>
      <c r="I228" s="89"/>
      <c r="J228" s="89"/>
      <c r="K228" s="89"/>
      <c r="L228" s="89"/>
      <c r="M228" s="89"/>
      <c r="N228" s="89"/>
    </row>
    <row r="229" spans="2:15">
      <c r="B229" s="3" t="s">
        <v>53</v>
      </c>
      <c r="F229" s="49"/>
      <c r="G229" s="89"/>
      <c r="H229" s="89"/>
      <c r="I229" s="89"/>
      <c r="J229" s="89"/>
      <c r="K229" s="89"/>
      <c r="L229" s="89"/>
      <c r="M229" s="89"/>
      <c r="N229" s="89"/>
    </row>
    <row r="230" spans="2:15">
      <c r="F230" s="49"/>
      <c r="G230" s="89"/>
      <c r="H230" s="89"/>
      <c r="I230" s="89"/>
      <c r="J230" s="89"/>
      <c r="K230" s="89"/>
      <c r="L230" s="89"/>
      <c r="M230" s="89"/>
      <c r="N230" s="89"/>
    </row>
    <row r="231" spans="2:15">
      <c r="F231" s="49"/>
      <c r="G231" s="89"/>
      <c r="H231" s="89"/>
      <c r="I231" s="89"/>
      <c r="J231" s="89"/>
      <c r="K231" s="89"/>
      <c r="L231" s="89"/>
      <c r="M231" s="89"/>
      <c r="N231" s="89"/>
    </row>
    <row r="232" spans="2:15">
      <c r="B232" t="s">
        <v>239</v>
      </c>
      <c r="F232" s="137">
        <f>SUM(G232:N232)</f>
        <v>648397883.75500751</v>
      </c>
      <c r="G232" s="134">
        <f>'Berekening rekenvolumes'!G103</f>
        <v>3789875</v>
      </c>
      <c r="H232" s="134">
        <f>'Berekening rekenvolumes'!H103</f>
        <v>0</v>
      </c>
      <c r="I232" s="134">
        <f>'Berekening rekenvolumes'!I103</f>
        <v>4078036.5645219549</v>
      </c>
      <c r="J232" s="134">
        <f>'Berekening rekenvolumes'!J103</f>
        <v>341783801.28543502</v>
      </c>
      <c r="K232" s="134">
        <f>'Berekening rekenvolumes'!K103</f>
        <v>86472334.733333334</v>
      </c>
      <c r="L232" s="134">
        <f>'Berekening rekenvolumes'!L103</f>
        <v>1993891.3333333333</v>
      </c>
      <c r="M232" s="134">
        <f>'Berekening rekenvolumes'!M103</f>
        <v>210279944.83838382</v>
      </c>
      <c r="N232" s="134">
        <f>'Berekening rekenvolumes'!N103</f>
        <v>0</v>
      </c>
    </row>
    <row r="233" spans="2:15">
      <c r="B233" t="s">
        <v>240</v>
      </c>
      <c r="F233" s="137">
        <f>SUM(G233:N233)</f>
        <v>32485909.664646465</v>
      </c>
      <c r="G233" s="134">
        <f>'Berekening rekenvolumes'!G104</f>
        <v>785853.66666666663</v>
      </c>
      <c r="H233" s="134">
        <f>'Berekening rekenvolumes'!H104</f>
        <v>0</v>
      </c>
      <c r="I233" s="134">
        <f>'Berekening rekenvolumes'!I104</f>
        <v>0</v>
      </c>
      <c r="J233" s="134">
        <f>'Berekening rekenvolumes'!J104</f>
        <v>9315848.8888888899</v>
      </c>
      <c r="K233" s="134">
        <f>'Berekening rekenvolumes'!K104</f>
        <v>5045241.8666666662</v>
      </c>
      <c r="L233" s="134">
        <f>'Berekening rekenvolumes'!L104</f>
        <v>474107</v>
      </c>
      <c r="M233" s="134">
        <f>'Berekening rekenvolumes'!M104</f>
        <v>16864858.242424242</v>
      </c>
      <c r="N233" s="134">
        <f>'Berekening rekenvolumes'!N104</f>
        <v>0</v>
      </c>
    </row>
    <row r="234" spans="2:15">
      <c r="G234" s="89"/>
      <c r="H234" s="89"/>
      <c r="I234" s="89"/>
      <c r="J234" s="89"/>
      <c r="K234" s="89"/>
      <c r="L234" s="89"/>
      <c r="M234" s="89"/>
      <c r="N234" s="89"/>
    </row>
    <row r="235" spans="2:15">
      <c r="G235" s="89"/>
      <c r="H235" s="89"/>
      <c r="I235" s="89"/>
      <c r="J235" s="89"/>
      <c r="K235" s="89"/>
      <c r="L235" s="89"/>
      <c r="M235" s="89"/>
      <c r="N235" s="89"/>
    </row>
    <row r="236" spans="2:15">
      <c r="G236" s="89"/>
      <c r="H236" s="89"/>
      <c r="I236" s="89"/>
      <c r="J236" s="89"/>
      <c r="K236" s="89"/>
      <c r="L236" s="89"/>
      <c r="M236" s="89"/>
      <c r="N236" s="89"/>
    </row>
    <row r="237" spans="2:15" s="2" customFormat="1">
      <c r="B237" s="2" t="s">
        <v>386</v>
      </c>
      <c r="G237" s="98"/>
      <c r="H237" s="98"/>
      <c r="I237" s="98"/>
      <c r="J237" s="98"/>
      <c r="K237" s="98"/>
      <c r="L237" s="98"/>
      <c r="M237" s="98"/>
      <c r="N237" s="98"/>
    </row>
    <row r="238" spans="2:15">
      <c r="G238" s="89"/>
      <c r="H238" s="89"/>
      <c r="I238" s="89"/>
      <c r="J238" s="89"/>
      <c r="K238" s="89"/>
      <c r="L238" s="89"/>
      <c r="M238" s="89"/>
      <c r="N238" s="89"/>
    </row>
    <row r="239" spans="2:15">
      <c r="G239" s="89"/>
      <c r="H239" s="89"/>
      <c r="I239" s="89"/>
      <c r="J239" s="89"/>
      <c r="K239" s="89"/>
      <c r="L239" s="89"/>
      <c r="M239" s="89"/>
      <c r="N239" s="89"/>
    </row>
    <row r="240" spans="2:15">
      <c r="B240" s="60" t="s">
        <v>325</v>
      </c>
      <c r="C240" s="13"/>
      <c r="E240" s="13"/>
      <c r="F240" s="13"/>
      <c r="G240" s="99"/>
      <c r="H240" s="99"/>
      <c r="I240" s="99"/>
      <c r="J240" s="99"/>
      <c r="K240" s="99"/>
      <c r="L240" s="99"/>
      <c r="M240" s="99"/>
      <c r="N240" s="99"/>
      <c r="O240" s="13"/>
    </row>
    <row r="241" spans="2:16">
      <c r="B241" s="59" t="s">
        <v>251</v>
      </c>
      <c r="C241" s="13"/>
      <c r="E241" s="13"/>
      <c r="F241" s="137">
        <f t="shared" ref="F241:F246" si="1">SUM(G241:N241)</f>
        <v>2638439.5400584475</v>
      </c>
      <c r="G241" s="134">
        <f>'Berekening rekenvolumes'!G112</f>
        <v>23252.333333333332</v>
      </c>
      <c r="H241" s="134">
        <f>'Berekening rekenvolumes'!H112</f>
        <v>86556.777777777796</v>
      </c>
      <c r="I241" s="134">
        <f>'Berekening rekenvolumes'!I112</f>
        <v>44664.666666666664</v>
      </c>
      <c r="J241" s="134">
        <f>'Berekening rekenvolumes'!J112</f>
        <v>1097407.0757186192</v>
      </c>
      <c r="K241" s="134">
        <f>'Berekening rekenvolumes'!K112</f>
        <v>757955.35573660675</v>
      </c>
      <c r="L241" s="134">
        <f>'Berekening rekenvolumes'!L112</f>
        <v>18684.833333333332</v>
      </c>
      <c r="M241" s="134">
        <f>'Berekening rekenvolumes'!M112</f>
        <v>585422.9322591332</v>
      </c>
      <c r="N241" s="134">
        <f>'Berekening rekenvolumes'!N112</f>
        <v>24495.565232977297</v>
      </c>
      <c r="O241" s="13"/>
      <c r="P241" s="50" t="s">
        <v>1091</v>
      </c>
    </row>
    <row r="242" spans="2:16">
      <c r="B242" s="59" t="s">
        <v>252</v>
      </c>
      <c r="C242" s="13"/>
      <c r="E242" s="13"/>
      <c r="F242" s="137">
        <f t="shared" si="1"/>
        <v>7527688.5057244059</v>
      </c>
      <c r="G242" s="134">
        <f>'Berekening rekenvolumes'!G113</f>
        <v>50433.743589743586</v>
      </c>
      <c r="H242" s="134">
        <f>'Berekening rekenvolumes'!H113</f>
        <v>197052.38888888891</v>
      </c>
      <c r="I242" s="134">
        <f>'Berekening rekenvolumes'!I113</f>
        <v>101046.66666666667</v>
      </c>
      <c r="J242" s="134">
        <f>'Berekening rekenvolumes'!J113</f>
        <v>2438235.0180991953</v>
      </c>
      <c r="K242" s="134">
        <f>'Berekening rekenvolumes'!K113</f>
        <v>2765769.1496971273</v>
      </c>
      <c r="L242" s="134">
        <f>'Berekening rekenvolumes'!L113</f>
        <v>30132.933333333331</v>
      </c>
      <c r="M242" s="134">
        <f>'Berekening rekenvolumes'!M113</f>
        <v>1895009.4118550618</v>
      </c>
      <c r="N242" s="134">
        <f>'Berekening rekenvolumes'!N113</f>
        <v>50009.193594389937</v>
      </c>
      <c r="O242" s="13"/>
    </row>
    <row r="243" spans="2:16">
      <c r="B243" s="59" t="s">
        <v>253</v>
      </c>
      <c r="C243" s="13"/>
      <c r="E243" s="13"/>
      <c r="F243" s="137">
        <f t="shared" si="1"/>
        <v>342349.5528141539</v>
      </c>
      <c r="G243" s="134">
        <f>'Berekening rekenvolumes'!G114</f>
        <v>1683.2564102564102</v>
      </c>
      <c r="H243" s="134">
        <f>'Berekening rekenvolumes'!H114</f>
        <v>8222.25</v>
      </c>
      <c r="I243" s="134">
        <f>'Berekening rekenvolumes'!I114</f>
        <v>3462.6666666666665</v>
      </c>
      <c r="J243" s="134">
        <f>'Berekening rekenvolumes'!J114</f>
        <v>125584.99373603147</v>
      </c>
      <c r="K243" s="134">
        <f>'Berekening rekenvolumes'!K114</f>
        <v>116312.70902675971</v>
      </c>
      <c r="L243" s="134">
        <f>'Berekening rekenvolumes'!L114</f>
        <v>1220.4666666666669</v>
      </c>
      <c r="M243" s="134">
        <f>'Berekening rekenvolumes'!M114</f>
        <v>82451.631432669485</v>
      </c>
      <c r="N243" s="134">
        <f>'Berekening rekenvolumes'!N114</f>
        <v>3411.5788751034988</v>
      </c>
      <c r="O243" s="13"/>
    </row>
    <row r="244" spans="2:16">
      <c r="B244" s="59" t="s">
        <v>255</v>
      </c>
      <c r="C244" s="13"/>
      <c r="E244" s="13"/>
      <c r="F244" s="137">
        <f t="shared" si="1"/>
        <v>40954.832268082544</v>
      </c>
      <c r="G244" s="134">
        <f>'Berekening rekenvolumes'!G115</f>
        <v>309</v>
      </c>
      <c r="H244" s="134">
        <f>'Berekening rekenvolumes'!H115</f>
        <v>1532.75</v>
      </c>
      <c r="I244" s="134">
        <f>'Berekening rekenvolumes'!I115</f>
        <v>692</v>
      </c>
      <c r="J244" s="134">
        <f>'Berekening rekenvolumes'!J115</f>
        <v>13138.854708250414</v>
      </c>
      <c r="K244" s="134">
        <f>'Berekening rekenvolumes'!K115</f>
        <v>14151.977613911382</v>
      </c>
      <c r="L244" s="134">
        <f>'Berekening rekenvolumes'!L115</f>
        <v>134.41666666666666</v>
      </c>
      <c r="M244" s="134">
        <f>'Berekening rekenvolumes'!M115</f>
        <v>10029.616161616163</v>
      </c>
      <c r="N244" s="134">
        <f>'Berekening rekenvolumes'!N115</f>
        <v>966.21711763791507</v>
      </c>
      <c r="O244" s="13"/>
    </row>
    <row r="245" spans="2:16">
      <c r="B245" s="59" t="s">
        <v>261</v>
      </c>
      <c r="C245" s="13"/>
      <c r="E245" s="13"/>
      <c r="F245" s="137">
        <f t="shared" si="1"/>
        <v>32274.697059674018</v>
      </c>
      <c r="G245" s="134">
        <f>'Berekening rekenvolumes'!G116</f>
        <v>247.15384615384616</v>
      </c>
      <c r="H245" s="134">
        <f>'Berekening rekenvolumes'!H116</f>
        <v>411.36111111111114</v>
      </c>
      <c r="I245" s="134">
        <f>'Berekening rekenvolumes'!I116</f>
        <v>571</v>
      </c>
      <c r="J245" s="134">
        <f>'Berekening rekenvolumes'!J116</f>
        <v>14198.338953071201</v>
      </c>
      <c r="K245" s="134">
        <f>'Berekening rekenvolumes'!K116</f>
        <v>12567.016104666061</v>
      </c>
      <c r="L245" s="134">
        <f>'Berekening rekenvolumes'!L116</f>
        <v>148.45666666666668</v>
      </c>
      <c r="M245" s="134">
        <f>'Berekening rekenvolumes'!M116</f>
        <v>3729.2777777777769</v>
      </c>
      <c r="N245" s="134">
        <f>'Berekening rekenvolumes'!N116</f>
        <v>402.09260022735668</v>
      </c>
      <c r="O245" s="13"/>
    </row>
    <row r="246" spans="2:16">
      <c r="B246" s="59" t="s">
        <v>262</v>
      </c>
      <c r="C246" s="13"/>
      <c r="E246" s="13"/>
      <c r="F246" s="137">
        <f t="shared" si="1"/>
        <v>1222.3184235266795</v>
      </c>
      <c r="G246" s="134">
        <f>'Berekening rekenvolumes'!G117</f>
        <v>0</v>
      </c>
      <c r="H246" s="134">
        <f>'Berekening rekenvolumes'!H117</f>
        <v>10</v>
      </c>
      <c r="I246" s="134">
        <f>'Berekening rekenvolumes'!I117</f>
        <v>5</v>
      </c>
      <c r="J246" s="134">
        <f>'Berekening rekenvolumes'!J117</f>
        <v>861.25238750306903</v>
      </c>
      <c r="K246" s="134">
        <f>'Berekening rekenvolumes'!K117</f>
        <v>137.72459731723387</v>
      </c>
      <c r="L246" s="134">
        <f>'Berekening rekenvolumes'!L117</f>
        <v>1.9166666666666667</v>
      </c>
      <c r="M246" s="134">
        <f>'Berekening rekenvolumes'!M117</f>
        <v>175.41660301885881</v>
      </c>
      <c r="N246" s="134">
        <f>'Berekening rekenvolumes'!N117</f>
        <v>31.008169020850954</v>
      </c>
      <c r="O246" s="13"/>
    </row>
    <row r="247" spans="2:16">
      <c r="B247" s="59" t="s">
        <v>260</v>
      </c>
      <c r="C247" s="13"/>
      <c r="E247" s="13"/>
      <c r="F247" s="13"/>
      <c r="G247" s="101"/>
      <c r="H247" s="101"/>
      <c r="I247" s="101"/>
      <c r="J247" s="101"/>
      <c r="K247" s="101"/>
      <c r="L247" s="101"/>
      <c r="M247" s="101"/>
      <c r="N247" s="101"/>
      <c r="O247" s="13"/>
    </row>
    <row r="248" spans="2:16">
      <c r="B248" s="59" t="s">
        <v>326</v>
      </c>
      <c r="C248" s="13"/>
      <c r="E248" s="13"/>
      <c r="F248" s="137">
        <f>SUM(G248:N248)</f>
        <v>1257440.9699151672</v>
      </c>
      <c r="G248" s="134">
        <f>'Berekening rekenvolumes'!G119</f>
        <v>0</v>
      </c>
      <c r="H248" s="134">
        <f>'Berekening rekenvolumes'!H119</f>
        <v>23200</v>
      </c>
      <c r="I248" s="134">
        <f>'Berekening rekenvolumes'!I119</f>
        <v>2835</v>
      </c>
      <c r="J248" s="134">
        <f>'Berekening rekenvolumes'!J119</f>
        <v>210599.02193991194</v>
      </c>
      <c r="K248" s="134">
        <f>'Berekening rekenvolumes'!K119</f>
        <v>799535.61331670452</v>
      </c>
      <c r="L248" s="134">
        <f>'Berekening rekenvolumes'!L119</f>
        <v>8823.3333333333339</v>
      </c>
      <c r="M248" s="134">
        <f>'Berekening rekenvolumes'!M119</f>
        <v>207047.77742335352</v>
      </c>
      <c r="N248" s="134">
        <f>'Berekening rekenvolumes'!N119</f>
        <v>5400.2239018639511</v>
      </c>
      <c r="O248" s="13"/>
    </row>
    <row r="249" spans="2:16">
      <c r="B249" s="59" t="s">
        <v>260</v>
      </c>
      <c r="C249" s="13"/>
      <c r="E249" s="13"/>
      <c r="F249" s="13"/>
      <c r="G249" s="101"/>
      <c r="H249" s="101"/>
      <c r="I249" s="101"/>
      <c r="J249" s="101"/>
      <c r="K249" s="101"/>
      <c r="L249" s="101"/>
      <c r="M249" s="101"/>
      <c r="N249" s="101"/>
      <c r="O249" s="13"/>
    </row>
    <row r="250" spans="2:16">
      <c r="B250" s="60" t="s">
        <v>327</v>
      </c>
      <c r="C250" s="13"/>
      <c r="E250" s="13"/>
      <c r="F250" s="13"/>
      <c r="G250" s="101"/>
      <c r="H250" s="101"/>
      <c r="I250" s="101"/>
      <c r="J250" s="101"/>
      <c r="K250" s="101"/>
      <c r="L250" s="101"/>
      <c r="M250" s="101"/>
      <c r="N250" s="101"/>
      <c r="O250" s="13"/>
    </row>
    <row r="251" spans="2:16">
      <c r="B251" s="60" t="s">
        <v>328</v>
      </c>
      <c r="C251" s="13"/>
      <c r="E251" s="13"/>
      <c r="F251" s="13"/>
      <c r="G251" s="101"/>
      <c r="H251" s="101"/>
      <c r="I251" s="101"/>
      <c r="J251" s="101"/>
      <c r="K251" s="101"/>
      <c r="L251" s="101"/>
      <c r="M251" s="101"/>
      <c r="N251" s="101"/>
      <c r="O251" s="13"/>
    </row>
    <row r="252" spans="2:16">
      <c r="B252" s="59" t="s">
        <v>251</v>
      </c>
      <c r="C252" s="13"/>
      <c r="E252" s="13"/>
      <c r="F252" s="137">
        <f>SUM(G252:N252)</f>
        <v>43661.378608696919</v>
      </c>
      <c r="G252" s="134">
        <f>'Berekening rekenvolumes'!G123</f>
        <v>239.33333333333334</v>
      </c>
      <c r="H252" s="134">
        <f>'Berekening rekenvolumes'!H123</f>
        <v>1290</v>
      </c>
      <c r="I252" s="134">
        <f>'Berekening rekenvolumes'!I123</f>
        <v>744.53663683606328</v>
      </c>
      <c r="J252" s="134">
        <f>'Berekening rekenvolumes'!J123</f>
        <v>23978.365156737796</v>
      </c>
      <c r="K252" s="134">
        <f>'Berekening rekenvolumes'!K123</f>
        <v>9302</v>
      </c>
      <c r="L252" s="134">
        <f>'Berekening rekenvolumes'!L123</f>
        <v>441</v>
      </c>
      <c r="M252" s="134">
        <f>'Berekening rekenvolumes'!M123</f>
        <v>7218.8101484563858</v>
      </c>
      <c r="N252" s="134">
        <f>'Berekening rekenvolumes'!N123</f>
        <v>447.33333333333331</v>
      </c>
      <c r="O252" s="13"/>
    </row>
    <row r="253" spans="2:16">
      <c r="B253" s="59" t="s">
        <v>252</v>
      </c>
      <c r="C253" s="13"/>
      <c r="E253" s="13"/>
      <c r="F253" s="137">
        <f>SUM(G253:N253)</f>
        <v>70635.056416203428</v>
      </c>
      <c r="G253" s="134">
        <f>'Berekening rekenvolumes'!G124</f>
        <v>222.66666666666666</v>
      </c>
      <c r="H253" s="134">
        <f>'Berekening rekenvolumes'!H124</f>
        <v>1750.6666666666667</v>
      </c>
      <c r="I253" s="134">
        <f>'Berekening rekenvolumes'!I124</f>
        <v>843.24900389512788</v>
      </c>
      <c r="J253" s="134">
        <f>'Berekening rekenvolumes'!J124</f>
        <v>21585.902037927353</v>
      </c>
      <c r="K253" s="134">
        <f>'Berekening rekenvolumes'!K124</f>
        <v>28544.590342052314</v>
      </c>
      <c r="L253" s="134">
        <f>'Berekening rekenvolumes'!L124</f>
        <v>234.66666666666666</v>
      </c>
      <c r="M253" s="134">
        <f>'Berekening rekenvolumes'!M124</f>
        <v>16455.64836566196</v>
      </c>
      <c r="N253" s="134">
        <f>'Berekening rekenvolumes'!N124</f>
        <v>997.66666666666663</v>
      </c>
      <c r="O253" s="13"/>
    </row>
    <row r="254" spans="2:16">
      <c r="B254" s="59" t="s">
        <v>253</v>
      </c>
      <c r="C254" s="13"/>
      <c r="E254" s="13"/>
      <c r="F254" s="137">
        <f>SUM(G254:N254)</f>
        <v>8589.4289824406405</v>
      </c>
      <c r="G254" s="134">
        <f>'Berekening rekenvolumes'!G125</f>
        <v>23.666666666666664</v>
      </c>
      <c r="H254" s="134">
        <f>'Berekening rekenvolumes'!H125</f>
        <v>317.33333333333331</v>
      </c>
      <c r="I254" s="134">
        <f>'Berekening rekenvolumes'!I125</f>
        <v>97.473697737579812</v>
      </c>
      <c r="J254" s="134">
        <f>'Berekening rekenvolumes'!J125</f>
        <v>2298.2466467360064</v>
      </c>
      <c r="K254" s="134">
        <f>'Berekening rekenvolumes'!K125</f>
        <v>3655.6141999052179</v>
      </c>
      <c r="L254" s="134">
        <f>'Berekening rekenvolumes'!L125</f>
        <v>26.666666666666668</v>
      </c>
      <c r="M254" s="134">
        <f>'Berekening rekenvolumes'!M125</f>
        <v>2094.4277713951701</v>
      </c>
      <c r="N254" s="134">
        <f>'Berekening rekenvolumes'!N125</f>
        <v>76</v>
      </c>
      <c r="O254" s="13"/>
    </row>
    <row r="255" spans="2:16">
      <c r="B255" s="59" t="s">
        <v>255</v>
      </c>
      <c r="C255" s="13"/>
      <c r="E255" s="13"/>
      <c r="F255" s="137">
        <f>SUM(G255:N255)</f>
        <v>2316.1351273600435</v>
      </c>
      <c r="G255" s="134">
        <f>'Berekening rekenvolumes'!G126</f>
        <v>12.333333333333334</v>
      </c>
      <c r="H255" s="134">
        <f>'Berekening rekenvolumes'!H126</f>
        <v>68.066666666666663</v>
      </c>
      <c r="I255" s="134">
        <f>'Berekening rekenvolumes'!I126</f>
        <v>24.678589347412554</v>
      </c>
      <c r="J255" s="134">
        <f>'Berekening rekenvolumes'!J126</f>
        <v>1008.7039834871424</v>
      </c>
      <c r="K255" s="134">
        <f>'Berekening rekenvolumes'!K126</f>
        <v>731.05800305308401</v>
      </c>
      <c r="L255" s="134">
        <f>'Berekening rekenvolumes'!L126</f>
        <v>7.333333333333333</v>
      </c>
      <c r="M255" s="134">
        <f>'Berekening rekenvolumes'!M126</f>
        <v>444.29455147240509</v>
      </c>
      <c r="N255" s="134">
        <f>'Berekening rekenvolumes'!N126</f>
        <v>19.666666666666664</v>
      </c>
      <c r="O255" s="13"/>
    </row>
    <row r="256" spans="2:16">
      <c r="B256" s="59" t="s">
        <v>254</v>
      </c>
      <c r="C256" s="13"/>
      <c r="E256" s="13"/>
      <c r="F256" s="137">
        <f>SUM(G256:N256)</f>
        <v>254.97589848360025</v>
      </c>
      <c r="G256" s="134">
        <f>'Berekening rekenvolumes'!G127</f>
        <v>0.33333333333333331</v>
      </c>
      <c r="H256" s="134">
        <f>'Berekening rekenvolumes'!H127</f>
        <v>2</v>
      </c>
      <c r="I256" s="134">
        <f>'Berekening rekenvolumes'!I127</f>
        <v>2.4939880561719843</v>
      </c>
      <c r="J256" s="134">
        <f>'Berekening rekenvolumes'!J127</f>
        <v>108.02731041854648</v>
      </c>
      <c r="K256" s="134">
        <f>'Berekening rekenvolumes'!K127</f>
        <v>84.052543116467049</v>
      </c>
      <c r="L256" s="134">
        <f>'Berekening rekenvolumes'!L127</f>
        <v>0.33333333333333331</v>
      </c>
      <c r="M256" s="134">
        <f>'Berekening rekenvolumes'!M127</f>
        <v>51.735390225748048</v>
      </c>
      <c r="N256" s="134">
        <f>'Berekening rekenvolumes'!N127</f>
        <v>6</v>
      </c>
      <c r="O256" s="13"/>
    </row>
    <row r="257" spans="2:15">
      <c r="B257" s="59" t="s">
        <v>260</v>
      </c>
      <c r="C257" s="13"/>
      <c r="E257" s="13"/>
      <c r="F257" s="13"/>
      <c r="G257" s="101"/>
      <c r="H257" s="101"/>
      <c r="I257" s="101"/>
      <c r="J257" s="101"/>
      <c r="K257" s="101"/>
      <c r="L257" s="101"/>
      <c r="M257" s="101"/>
      <c r="N257" s="101"/>
      <c r="O257" s="13"/>
    </row>
    <row r="258" spans="2:15">
      <c r="B258" s="60" t="s">
        <v>329</v>
      </c>
      <c r="C258" s="13"/>
      <c r="E258" s="13"/>
      <c r="F258" s="13"/>
      <c r="G258" s="101"/>
      <c r="H258" s="101"/>
      <c r="I258" s="101"/>
      <c r="J258" s="101"/>
      <c r="K258" s="101"/>
      <c r="L258" s="101"/>
      <c r="M258" s="101"/>
      <c r="N258" s="101"/>
      <c r="O258" s="13"/>
    </row>
    <row r="259" spans="2:15">
      <c r="B259" s="59" t="s">
        <v>251</v>
      </c>
      <c r="C259" s="13"/>
      <c r="E259" s="13"/>
      <c r="F259" s="137">
        <f>SUM(G259:N259)</f>
        <v>36513.230842630997</v>
      </c>
      <c r="G259" s="134">
        <f>'Berekening rekenvolumes'!G130</f>
        <v>364.66666666666669</v>
      </c>
      <c r="H259" s="134">
        <f>'Berekening rekenvolumes'!H130</f>
        <v>1887.6666666666667</v>
      </c>
      <c r="I259" s="134">
        <f>'Berekening rekenvolumes'!I130</f>
        <v>67.960258152173907</v>
      </c>
      <c r="J259" s="134">
        <f>'Berekening rekenvolumes'!J130</f>
        <v>18313.749474011827</v>
      </c>
      <c r="K259" s="134">
        <f>'Berekening rekenvolumes'!K130</f>
        <v>10918.5</v>
      </c>
      <c r="L259" s="134">
        <f>'Berekening rekenvolumes'!L130</f>
        <v>302</v>
      </c>
      <c r="M259" s="134">
        <f>'Berekening rekenvolumes'!M130</f>
        <v>4231.3544438003282</v>
      </c>
      <c r="N259" s="134">
        <f>'Berekening rekenvolumes'!N130</f>
        <v>427.33333333333331</v>
      </c>
      <c r="O259" s="13"/>
    </row>
    <row r="260" spans="2:15">
      <c r="B260" s="59" t="s">
        <v>252</v>
      </c>
      <c r="C260" s="13"/>
      <c r="E260" s="13"/>
      <c r="F260" s="137">
        <f>SUM(G260:N260)</f>
        <v>123967.15281520667</v>
      </c>
      <c r="G260" s="134">
        <f>'Berekening rekenvolumes'!G131</f>
        <v>250</v>
      </c>
      <c r="H260" s="134">
        <f>'Berekening rekenvolumes'!H131</f>
        <v>4417.333333333333</v>
      </c>
      <c r="I260" s="134">
        <f>'Berekening rekenvolumes'!I131</f>
        <v>621.61926249311898</v>
      </c>
      <c r="J260" s="134">
        <f>'Berekening rekenvolumes'!J131</f>
        <v>69655.663219799419</v>
      </c>
      <c r="K260" s="134">
        <f>'Berekening rekenvolumes'!K131</f>
        <v>33369.666666666664</v>
      </c>
      <c r="L260" s="134">
        <f>'Berekening rekenvolumes'!L131</f>
        <v>451.33333333333331</v>
      </c>
      <c r="M260" s="134">
        <f>'Berekening rekenvolumes'!M131</f>
        <v>13814.53699958082</v>
      </c>
      <c r="N260" s="134">
        <f>'Berekening rekenvolumes'!N131</f>
        <v>1387</v>
      </c>
      <c r="O260" s="13"/>
    </row>
    <row r="261" spans="2:15">
      <c r="B261" s="59" t="s">
        <v>253</v>
      </c>
      <c r="C261" s="13"/>
      <c r="E261" s="13"/>
      <c r="F261" s="137">
        <f>SUM(G261:N261)</f>
        <v>95700.933613496411</v>
      </c>
      <c r="G261" s="134">
        <f>'Berekening rekenvolumes'!G132</f>
        <v>256</v>
      </c>
      <c r="H261" s="134">
        <f>'Berekening rekenvolumes'!H132</f>
        <v>2653.333333333333</v>
      </c>
      <c r="I261" s="134">
        <f>'Berekening rekenvolumes'!I132</f>
        <v>554.3896266777291</v>
      </c>
      <c r="J261" s="134">
        <f>'Berekening rekenvolumes'!J132</f>
        <v>38145.544788359781</v>
      </c>
      <c r="K261" s="134">
        <f>'Berekening rekenvolumes'!K132</f>
        <v>30174.333333333336</v>
      </c>
      <c r="L261" s="134">
        <f>'Berekening rekenvolumes'!L132</f>
        <v>214</v>
      </c>
      <c r="M261" s="134">
        <f>'Berekening rekenvolumes'!M132</f>
        <v>22092.665865125575</v>
      </c>
      <c r="N261" s="134">
        <f>'Berekening rekenvolumes'!N132</f>
        <v>1610.6666666666667</v>
      </c>
      <c r="O261" s="13"/>
    </row>
    <row r="262" spans="2:15">
      <c r="B262" s="59" t="s">
        <v>255</v>
      </c>
      <c r="C262" s="13"/>
      <c r="E262" s="13"/>
      <c r="F262" s="137">
        <f>SUM(G262:N262)</f>
        <v>275261.81926263531</v>
      </c>
      <c r="G262" s="134">
        <f>'Berekening rekenvolumes'!G133</f>
        <v>967.99999999999989</v>
      </c>
      <c r="H262" s="134">
        <f>'Berekening rekenvolumes'!H133</f>
        <v>8586.4700000000012</v>
      </c>
      <c r="I262" s="134">
        <f>'Berekening rekenvolumes'!I133</f>
        <v>1418.9349925679983</v>
      </c>
      <c r="J262" s="134">
        <f>'Berekening rekenvolumes'!J133</f>
        <v>133547.16333097886</v>
      </c>
      <c r="K262" s="134">
        <f>'Berekening rekenvolumes'!K133</f>
        <v>79472.994343405255</v>
      </c>
      <c r="L262" s="134">
        <f>'Berekening rekenvolumes'!L133</f>
        <v>955</v>
      </c>
      <c r="M262" s="134">
        <f>'Berekening rekenvolumes'!M133</f>
        <v>47798.423262349905</v>
      </c>
      <c r="N262" s="134">
        <f>'Berekening rekenvolumes'!N133</f>
        <v>2514.833333333333</v>
      </c>
      <c r="O262" s="13"/>
    </row>
    <row r="263" spans="2:15">
      <c r="B263" s="59" t="s">
        <v>254</v>
      </c>
      <c r="C263" s="13"/>
      <c r="E263" s="13"/>
      <c r="F263" s="137">
        <f>SUM(G263:N263)</f>
        <v>54998.37468716719</v>
      </c>
      <c r="G263" s="134">
        <f>'Berekening rekenvolumes'!G134</f>
        <v>50</v>
      </c>
      <c r="H263" s="134">
        <f>'Berekening rekenvolumes'!H134</f>
        <v>338.33333333333331</v>
      </c>
      <c r="I263" s="134">
        <f>'Berekening rekenvolumes'!I134</f>
        <v>194.48679181080618</v>
      </c>
      <c r="J263" s="134">
        <f>'Berekening rekenvolumes'!J134</f>
        <v>10156.607388010605</v>
      </c>
      <c r="K263" s="134">
        <f>'Berekening rekenvolumes'!K134</f>
        <v>32192.83337286843</v>
      </c>
      <c r="L263" s="134">
        <f>'Berekening rekenvolumes'!L134</f>
        <v>466.66666666666669</v>
      </c>
      <c r="M263" s="134">
        <f>'Berekening rekenvolumes'!M134</f>
        <v>10783.447134477352</v>
      </c>
      <c r="N263" s="134">
        <f>'Berekening rekenvolumes'!N134</f>
        <v>816.00000000000011</v>
      </c>
      <c r="O263" s="13"/>
    </row>
    <row r="264" spans="2:15">
      <c r="B264" s="95"/>
      <c r="C264" s="13"/>
      <c r="D264" s="13"/>
      <c r="E264" s="13"/>
      <c r="F264" s="13"/>
      <c r="G264" s="11"/>
      <c r="H264" s="11"/>
      <c r="I264" s="11"/>
      <c r="J264" s="11"/>
      <c r="K264" s="11"/>
      <c r="L264" s="11"/>
      <c r="M264" s="11"/>
      <c r="N264" s="11"/>
      <c r="O264" s="13"/>
    </row>
    <row r="266" spans="2:15" s="9" customFormat="1">
      <c r="B266" s="2" t="s">
        <v>388</v>
      </c>
    </row>
    <row r="268" spans="2:15">
      <c r="B268" s="3" t="s">
        <v>281</v>
      </c>
    </row>
    <row r="269" spans="2:15">
      <c r="B269" s="13" t="s">
        <v>176</v>
      </c>
      <c r="F269" s="21">
        <f>SUM(G269:N269)</f>
        <v>2614336429.3801341</v>
      </c>
      <c r="G269" s="24">
        <f>SUMPRODUCT(G15:G104,G144:G233)</f>
        <v>18781162.803711962</v>
      </c>
      <c r="H269" s="24">
        <f t="shared" ref="H269:N269" si="2">SUMPRODUCT(H15:H104,H144:H233)</f>
        <v>67790744.329924405</v>
      </c>
      <c r="I269" s="24">
        <f t="shared" si="2"/>
        <v>34855584.196190894</v>
      </c>
      <c r="J269" s="24">
        <f t="shared" si="2"/>
        <v>860103198.09197724</v>
      </c>
      <c r="K269" s="24">
        <f t="shared" si="2"/>
        <v>910104406.75528872</v>
      </c>
      <c r="L269" s="24">
        <f t="shared" si="2"/>
        <v>11646026.323450001</v>
      </c>
      <c r="M269" s="24">
        <f t="shared" si="2"/>
        <v>670533691.4516232</v>
      </c>
      <c r="N269" s="24">
        <f t="shared" si="2"/>
        <v>40521615.427967481</v>
      </c>
    </row>
    <row r="270" spans="2:15">
      <c r="B270" s="13" t="s">
        <v>389</v>
      </c>
      <c r="F270" s="21">
        <f>SUM(G270:N270)</f>
        <v>2334730.283155235</v>
      </c>
      <c r="G270" s="24">
        <f>G15*G144+G20*G149+G25*G154+G30*G159+G35*G164+G40*G169</f>
        <v>0</v>
      </c>
      <c r="H270" s="24">
        <f t="shared" ref="H270:N270" si="3">H15*H144+H20*H149+H25*H154+H30*H159+H35*H164+H40*H169</f>
        <v>130154.44333333333</v>
      </c>
      <c r="I270" s="24">
        <f t="shared" si="3"/>
        <v>2760</v>
      </c>
      <c r="J270" s="24">
        <f t="shared" si="3"/>
        <v>547071.98532352049</v>
      </c>
      <c r="K270" s="24">
        <f t="shared" si="3"/>
        <v>1039605.370255957</v>
      </c>
      <c r="L270" s="24">
        <f t="shared" si="3"/>
        <v>0</v>
      </c>
      <c r="M270" s="24">
        <f t="shared" si="3"/>
        <v>601261.81757575751</v>
      </c>
      <c r="N270" s="24">
        <f t="shared" si="3"/>
        <v>13876.666666666666</v>
      </c>
    </row>
    <row r="271" spans="2:15">
      <c r="B271" s="13" t="s">
        <v>390</v>
      </c>
      <c r="F271" s="21">
        <f>SUM(G271:N271)</f>
        <v>28899816.994270388</v>
      </c>
      <c r="G271" s="24">
        <f>G52*G181+G58*G187+G64*G193</f>
        <v>108994.84615384617</v>
      </c>
      <c r="H271" s="24">
        <f t="shared" ref="H271:N271" si="4">H52*H181+H58*H187+H64*H193</f>
        <v>864960.25</v>
      </c>
      <c r="I271" s="24">
        <f t="shared" si="4"/>
        <v>558747</v>
      </c>
      <c r="J271" s="24">
        <f t="shared" si="4"/>
        <v>10832717.32762548</v>
      </c>
      <c r="K271" s="24">
        <f t="shared" si="4"/>
        <v>10211646.31715773</v>
      </c>
      <c r="L271" s="24">
        <f t="shared" si="4"/>
        <v>66314.64</v>
      </c>
      <c r="M271" s="24">
        <f t="shared" si="4"/>
        <v>5572066.8966666665</v>
      </c>
      <c r="N271" s="24">
        <f t="shared" si="4"/>
        <v>684369.71666666656</v>
      </c>
    </row>
    <row r="272" spans="2:15">
      <c r="B272" s="13" t="s">
        <v>391</v>
      </c>
      <c r="F272" s="21">
        <f>SUM(G272:N272)</f>
        <v>143226944.83273414</v>
      </c>
      <c r="G272" s="24">
        <f>G77*G206+G83*G212+G84*G213</f>
        <v>956223.336923077</v>
      </c>
      <c r="H272" s="24">
        <f t="shared" ref="H272:N272" si="5">H77*H206+H83*H212+H84*H213</f>
        <v>3741683.6600000006</v>
      </c>
      <c r="I272" s="24">
        <f t="shared" si="5"/>
        <v>1905286.92</v>
      </c>
      <c r="J272" s="24">
        <f t="shared" si="5"/>
        <v>46807862.653979205</v>
      </c>
      <c r="K272" s="24">
        <f t="shared" si="5"/>
        <v>52371174.408816822</v>
      </c>
      <c r="L272" s="24">
        <f t="shared" si="5"/>
        <v>576870.51000000013</v>
      </c>
      <c r="M272" s="24">
        <f t="shared" si="5"/>
        <v>35889123.684747212</v>
      </c>
      <c r="N272" s="24">
        <f t="shared" si="5"/>
        <v>978719.65826783597</v>
      </c>
    </row>
    <row r="273" spans="2:14">
      <c r="B273" s="13" t="s">
        <v>392</v>
      </c>
      <c r="F273" s="21">
        <f>SUM(G273:N273)</f>
        <v>2439874937.2699742</v>
      </c>
      <c r="G273" s="24">
        <f>G269-SUM(G270:G272)</f>
        <v>17715944.62063504</v>
      </c>
      <c r="H273" s="24">
        <f t="shared" ref="H273:N273" si="6">H269-SUM(H270:H272)</f>
        <v>63053945.976591073</v>
      </c>
      <c r="I273" s="24">
        <f t="shared" si="6"/>
        <v>32388790.276190892</v>
      </c>
      <c r="J273" s="24">
        <f t="shared" si="6"/>
        <v>801915546.125049</v>
      </c>
      <c r="K273" s="24">
        <f t="shared" si="6"/>
        <v>846481980.65905821</v>
      </c>
      <c r="L273" s="24">
        <f t="shared" si="6"/>
        <v>11002841.173450001</v>
      </c>
      <c r="M273" s="24">
        <f t="shared" si="6"/>
        <v>628471239.05263352</v>
      </c>
      <c r="N273" s="24">
        <f t="shared" si="6"/>
        <v>38844649.386366315</v>
      </c>
    </row>
    <row r="275" spans="2:14">
      <c r="B275" s="3" t="s">
        <v>267</v>
      </c>
    </row>
    <row r="276" spans="2:14">
      <c r="B276" s="103" t="s">
        <v>272</v>
      </c>
      <c r="F276" s="21">
        <f>SUM(G276:N276)</f>
        <v>256444730.34061518</v>
      </c>
      <c r="G276" s="24">
        <f>SUMPRODUCT(G112:G119,G241:G248)</f>
        <v>1409102.3651282052</v>
      </c>
      <c r="H276" s="24">
        <f t="shared" ref="H276:N276" si="7">SUMPRODUCT(H112:H119,H241:H248)</f>
        <v>6357083.1133333333</v>
      </c>
      <c r="I276" s="24">
        <f t="shared" si="7"/>
        <v>2901365.4133333336</v>
      </c>
      <c r="J276" s="24">
        <f t="shared" si="7"/>
        <v>108227569.39670762</v>
      </c>
      <c r="K276" s="24">
        <f t="shared" si="7"/>
        <v>82986082.349722713</v>
      </c>
      <c r="L276" s="24">
        <f t="shared" si="7"/>
        <v>1442050.8699999999</v>
      </c>
      <c r="M276" s="24">
        <f t="shared" si="7"/>
        <v>51140217.321541466</v>
      </c>
      <c r="N276" s="24">
        <f t="shared" si="7"/>
        <v>1981259.5108485166</v>
      </c>
    </row>
    <row r="277" spans="2:14">
      <c r="B277" s="103" t="s">
        <v>81</v>
      </c>
      <c r="F277" s="21">
        <f>SUM(G277:N277)</f>
        <v>138371866.67156768</v>
      </c>
      <c r="G277" s="24">
        <f>SUMPRODUCT(G123:G134,G252:G263)</f>
        <v>632403.96333333338</v>
      </c>
      <c r="H277" s="24">
        <f t="shared" ref="H277:N277" si="8">SUMPRODUCT(H123:H134,H252:H263)</f>
        <v>3676265.2518333332</v>
      </c>
      <c r="I277" s="24">
        <f t="shared" si="8"/>
        <v>1632262.2613987792</v>
      </c>
      <c r="J277" s="24">
        <f t="shared" si="8"/>
        <v>44722411.611727595</v>
      </c>
      <c r="K277" s="24">
        <f t="shared" si="8"/>
        <v>55215706.4908389</v>
      </c>
      <c r="L277" s="24">
        <f t="shared" si="8"/>
        <v>659189.83333333337</v>
      </c>
      <c r="M277" s="24">
        <f t="shared" si="8"/>
        <v>29744447.655769091</v>
      </c>
      <c r="N277" s="24">
        <f t="shared" si="8"/>
        <v>2089179.603333333</v>
      </c>
    </row>
    <row r="280" spans="2:14" s="54" customFormat="1">
      <c r="B280" s="55" t="s">
        <v>393</v>
      </c>
      <c r="C280" s="55"/>
    </row>
    <row r="281" spans="2:14" s="128" customFormat="1">
      <c r="B281" s="57"/>
      <c r="C281" s="57"/>
      <c r="E281" s="57"/>
      <c r="F281" s="57"/>
      <c r="G281" s="57"/>
      <c r="H281" s="57"/>
      <c r="I281" s="57"/>
      <c r="J281" s="57"/>
      <c r="K281" s="57"/>
      <c r="L281" s="57"/>
      <c r="M281" s="129"/>
    </row>
    <row r="282" spans="2:14" s="128" customFormat="1">
      <c r="B282" s="127" t="s">
        <v>426</v>
      </c>
      <c r="C282" s="57"/>
      <c r="E282" s="57"/>
      <c r="F282" s="57"/>
      <c r="G282" s="57"/>
      <c r="H282" s="57"/>
      <c r="I282" s="57"/>
      <c r="J282" s="57"/>
      <c r="K282" s="57"/>
      <c r="L282" s="57"/>
      <c r="M282" s="129"/>
    </row>
    <row r="283" spans="2:14" s="128" customFormat="1">
      <c r="B283" s="57" t="s">
        <v>369</v>
      </c>
      <c r="C283" s="57"/>
      <c r="D283" s="13" t="s">
        <v>338</v>
      </c>
      <c r="E283" s="57"/>
      <c r="F283" s="126">
        <f t="shared" ref="F283:F297" si="9">SUM(G283:N283)</f>
        <v>12985862.90342506</v>
      </c>
      <c r="G283" s="123">
        <v>331796.689517716</v>
      </c>
      <c r="H283" s="123">
        <v>151297.41839005332</v>
      </c>
      <c r="I283" s="123">
        <v>16691.24992280982</v>
      </c>
      <c r="J283" s="123">
        <v>547294.20365188667</v>
      </c>
      <c r="K283" s="123">
        <v>6180148.2420021594</v>
      </c>
      <c r="L283" s="123">
        <v>347361.04882503493</v>
      </c>
      <c r="M283" s="124">
        <v>5396677.1883083843</v>
      </c>
      <c r="N283" s="124">
        <v>14596.862807017236</v>
      </c>
    </row>
    <row r="284" spans="2:14" s="128" customFormat="1">
      <c r="B284" s="57" t="s">
        <v>370</v>
      </c>
      <c r="C284" s="57"/>
      <c r="D284" s="13" t="s">
        <v>338</v>
      </c>
      <c r="E284" s="57"/>
      <c r="F284" s="126">
        <f t="shared" si="9"/>
        <v>7264131.392473436</v>
      </c>
      <c r="G284" s="123">
        <v>42580.115271337701</v>
      </c>
      <c r="H284" s="123">
        <v>40805.945050111099</v>
      </c>
      <c r="I284" s="123">
        <v>31232.158974282163</v>
      </c>
      <c r="J284" s="123">
        <v>473101.3095131974</v>
      </c>
      <c r="K284" s="123">
        <v>3739809.6491792556</v>
      </c>
      <c r="L284" s="123">
        <v>140793.19469493805</v>
      </c>
      <c r="M284" s="124">
        <v>2781455.6515774825</v>
      </c>
      <c r="N284" s="124">
        <v>14353.368212831549</v>
      </c>
    </row>
    <row r="285" spans="2:14" s="128" customFormat="1">
      <c r="B285" s="57" t="s">
        <v>371</v>
      </c>
      <c r="C285" s="57"/>
      <c r="D285" s="13" t="s">
        <v>338</v>
      </c>
      <c r="E285" s="57"/>
      <c r="F285" s="126">
        <f t="shared" si="9"/>
        <v>2070962.9871027416</v>
      </c>
      <c r="G285" s="123">
        <v>-244896.51143599613</v>
      </c>
      <c r="H285" s="123">
        <v>-46042.827937604037</v>
      </c>
      <c r="I285" s="123">
        <v>44199.147989093646</v>
      </c>
      <c r="J285" s="123">
        <v>416873.26756115508</v>
      </c>
      <c r="K285" s="123">
        <v>1465662.9553451121</v>
      </c>
      <c r="L285" s="123">
        <v>-54320.789452610152</v>
      </c>
      <c r="M285" s="124">
        <v>475478.98980850785</v>
      </c>
      <c r="N285" s="124">
        <v>14008.755225082998</v>
      </c>
    </row>
    <row r="286" spans="2:14" s="128" customFormat="1">
      <c r="B286" s="57" t="s">
        <v>372</v>
      </c>
      <c r="C286" s="57"/>
      <c r="D286" s="13" t="s">
        <v>338</v>
      </c>
      <c r="E286" s="57"/>
      <c r="F286" s="126">
        <f t="shared" si="9"/>
        <v>12750187.846092107</v>
      </c>
      <c r="G286" s="123">
        <v>55274.423644860741</v>
      </c>
      <c r="H286" s="123">
        <v>286164.12421206199</v>
      </c>
      <c r="I286" s="123">
        <v>143082.06210603099</v>
      </c>
      <c r="J286" s="123">
        <v>4425599.9981907895</v>
      </c>
      <c r="K286" s="123">
        <v>4657072.5233739046</v>
      </c>
      <c r="L286" s="123">
        <v>44476.9761396006</v>
      </c>
      <c r="M286" s="124">
        <v>2971024.4401785126</v>
      </c>
      <c r="N286" s="124">
        <v>167493.2982463449</v>
      </c>
    </row>
    <row r="287" spans="2:14" s="128" customFormat="1">
      <c r="B287" s="57" t="s">
        <v>373</v>
      </c>
      <c r="C287" s="57"/>
      <c r="D287" s="13" t="s">
        <v>338</v>
      </c>
      <c r="E287" s="57"/>
      <c r="F287" s="126">
        <f t="shared" si="9"/>
        <v>3961664.1066616336</v>
      </c>
      <c r="G287" s="123">
        <v>20515.647967373367</v>
      </c>
      <c r="H287" s="123">
        <v>112575.36297996834</v>
      </c>
      <c r="I287" s="123">
        <v>65175.210146297453</v>
      </c>
      <c r="J287" s="123">
        <v>1681951.3322547805</v>
      </c>
      <c r="K287" s="123">
        <v>2005349.6477245076</v>
      </c>
      <c r="L287" s="123">
        <v>14318.347303421093</v>
      </c>
      <c r="M287" s="124">
        <v>-5925.01910420886</v>
      </c>
      <c r="N287" s="124">
        <v>67703.577389493497</v>
      </c>
    </row>
    <row r="288" spans="2:14" s="128" customFormat="1">
      <c r="B288" s="57" t="s">
        <v>374</v>
      </c>
      <c r="C288" s="57"/>
      <c r="D288" s="13" t="s">
        <v>338</v>
      </c>
      <c r="E288" s="57"/>
      <c r="F288" s="126">
        <f t="shared" si="9"/>
        <v>-8558611.9004839417</v>
      </c>
      <c r="G288" s="123">
        <v>136305.47290881866</v>
      </c>
      <c r="H288" s="123">
        <v>-902320.59310223395</v>
      </c>
      <c r="I288" s="123">
        <v>219880.18910930143</v>
      </c>
      <c r="J288" s="123">
        <v>-837208.05304991466</v>
      </c>
      <c r="K288" s="123">
        <v>-5065461.5262936773</v>
      </c>
      <c r="L288" s="123">
        <v>80807.93947790454</v>
      </c>
      <c r="M288" s="124">
        <v>-1186205.1926732094</v>
      </c>
      <c r="N288" s="124">
        <v>-1004410.1368609307</v>
      </c>
    </row>
    <row r="289" spans="2:14" s="128" customFormat="1">
      <c r="B289" s="57" t="s">
        <v>375</v>
      </c>
      <c r="C289" s="57"/>
      <c r="D289" s="13" t="s">
        <v>338</v>
      </c>
      <c r="E289" s="57"/>
      <c r="F289" s="126">
        <f t="shared" si="9"/>
        <v>-18130865.978139464</v>
      </c>
      <c r="G289" s="123">
        <v>284288.55643165507</v>
      </c>
      <c r="H289" s="123">
        <v>-1897316.895129448</v>
      </c>
      <c r="I289" s="123">
        <v>465468.97510318761</v>
      </c>
      <c r="J289" s="123">
        <v>-1763990.2329271368</v>
      </c>
      <c r="K289" s="123">
        <v>-10712333.109294422</v>
      </c>
      <c r="L289" s="123">
        <v>171583.20494055277</v>
      </c>
      <c r="M289" s="124">
        <v>-2538816.4185172049</v>
      </c>
      <c r="N289" s="124">
        <v>-2139750.0587466457</v>
      </c>
    </row>
    <row r="290" spans="2:14" s="128" customFormat="1">
      <c r="B290" s="57" t="s">
        <v>376</v>
      </c>
      <c r="C290" s="57"/>
      <c r="D290" s="13" t="s">
        <v>338</v>
      </c>
      <c r="E290" s="57"/>
      <c r="F290" s="126">
        <f t="shared" si="9"/>
        <v>1452110.9858288534</v>
      </c>
      <c r="G290" s="123">
        <v>-345077.14660459862</v>
      </c>
      <c r="H290" s="123">
        <v>128902.94187174436</v>
      </c>
      <c r="I290" s="123">
        <v>0</v>
      </c>
      <c r="J290" s="123">
        <v>0</v>
      </c>
      <c r="K290" s="123">
        <v>1688487.175431184</v>
      </c>
      <c r="L290" s="123">
        <v>-20201.984869476135</v>
      </c>
      <c r="M290" s="124">
        <v>0</v>
      </c>
      <c r="N290" s="124">
        <v>0</v>
      </c>
    </row>
    <row r="291" spans="2:14" s="128" customFormat="1">
      <c r="B291" s="57" t="s">
        <v>377</v>
      </c>
      <c r="C291" s="57"/>
      <c r="D291" s="13" t="s">
        <v>338</v>
      </c>
      <c r="E291" s="57"/>
      <c r="F291" s="126">
        <f t="shared" si="9"/>
        <v>9997573.0763782766</v>
      </c>
      <c r="G291" s="123">
        <v>64104.489748089014</v>
      </c>
      <c r="H291" s="123">
        <v>249297.70465264691</v>
      </c>
      <c r="I291" s="123">
        <v>129390.9000299965</v>
      </c>
      <c r="J291" s="123">
        <v>3408048.4745855811</v>
      </c>
      <c r="K291" s="123">
        <v>3497723.6914440989</v>
      </c>
      <c r="L291" s="123">
        <v>39137.916353226305</v>
      </c>
      <c r="M291" s="124">
        <v>2460641.7655134494</v>
      </c>
      <c r="N291" s="124">
        <v>149228.13405118883</v>
      </c>
    </row>
    <row r="292" spans="2:14" s="128" customFormat="1">
      <c r="B292" s="57" t="s">
        <v>378</v>
      </c>
      <c r="C292" s="57"/>
      <c r="D292" s="13" t="s">
        <v>338</v>
      </c>
      <c r="E292" s="57"/>
      <c r="F292" s="126">
        <f t="shared" si="9"/>
        <v>2929960.0100212311</v>
      </c>
      <c r="G292" s="123">
        <v>114316.64932251256</v>
      </c>
      <c r="H292" s="123">
        <v>180252.44774211678</v>
      </c>
      <c r="I292" s="123">
        <v>12429.854608774804</v>
      </c>
      <c r="J292" s="123">
        <v>290765.62526017963</v>
      </c>
      <c r="K292" s="123">
        <v>133790.63933562153</v>
      </c>
      <c r="L292" s="123">
        <v>45908.729071953567</v>
      </c>
      <c r="M292" s="124">
        <v>2050291.3247680867</v>
      </c>
      <c r="N292" s="124">
        <v>102204.73991198544</v>
      </c>
    </row>
    <row r="293" spans="2:14" s="128" customFormat="1">
      <c r="B293" s="57" t="s">
        <v>379</v>
      </c>
      <c r="C293" s="57"/>
      <c r="D293" s="13" t="s">
        <v>338</v>
      </c>
      <c r="E293" s="57"/>
      <c r="F293" s="126">
        <f t="shared" si="9"/>
        <v>3220942.1289085806</v>
      </c>
      <c r="G293" s="123">
        <v>123156.1559641713</v>
      </c>
      <c r="H293" s="123">
        <v>192517.42213747173</v>
      </c>
      <c r="I293" s="123">
        <v>13774.622698900917</v>
      </c>
      <c r="J293" s="123">
        <v>313486.34938302136</v>
      </c>
      <c r="K293" s="123">
        <v>146566.12336833627</v>
      </c>
      <c r="L293" s="123">
        <v>52231.804062437986</v>
      </c>
      <c r="M293" s="124">
        <v>2268522.7036648551</v>
      </c>
      <c r="N293" s="124">
        <v>110686.94762938606</v>
      </c>
    </row>
    <row r="294" spans="2:14" s="128" customFormat="1">
      <c r="B294" s="57" t="s">
        <v>380</v>
      </c>
      <c r="C294" s="57"/>
      <c r="D294" s="13" t="s">
        <v>338</v>
      </c>
      <c r="E294" s="57"/>
      <c r="F294" s="126">
        <f t="shared" si="9"/>
        <v>1612573.4923621526</v>
      </c>
      <c r="G294" s="123"/>
      <c r="H294" s="123">
        <v>1612573.4923621526</v>
      </c>
      <c r="I294" s="123"/>
      <c r="J294" s="123"/>
      <c r="K294" s="123"/>
      <c r="L294" s="123"/>
      <c r="M294" s="124"/>
      <c r="N294" s="124"/>
    </row>
    <row r="295" spans="2:14" s="128" customFormat="1">
      <c r="B295" s="57" t="s">
        <v>381</v>
      </c>
      <c r="C295" s="57"/>
      <c r="D295" s="13" t="s">
        <v>338</v>
      </c>
      <c r="E295" s="57"/>
      <c r="F295" s="126">
        <f t="shared" si="9"/>
        <v>1595559.9872514866</v>
      </c>
      <c r="G295" s="123"/>
      <c r="H295" s="123">
        <v>1595559.9872514866</v>
      </c>
      <c r="I295" s="123"/>
      <c r="J295" s="123"/>
      <c r="K295" s="123"/>
      <c r="L295" s="123"/>
      <c r="M295" s="124"/>
      <c r="N295" s="124"/>
    </row>
    <row r="296" spans="2:14" s="128" customFormat="1">
      <c r="B296" s="57" t="s">
        <v>382</v>
      </c>
      <c r="C296" s="57"/>
      <c r="D296" s="13" t="s">
        <v>338</v>
      </c>
      <c r="E296" s="57"/>
      <c r="F296" s="126">
        <f t="shared" si="9"/>
        <v>1450503.8835441156</v>
      </c>
      <c r="G296" s="123"/>
      <c r="H296" s="123"/>
      <c r="I296" s="123"/>
      <c r="J296" s="123">
        <v>1450503.8835441156</v>
      </c>
      <c r="K296" s="123"/>
      <c r="L296" s="123"/>
      <c r="M296" s="124"/>
      <c r="N296" s="124"/>
    </row>
    <row r="297" spans="2:14" s="128" customFormat="1">
      <c r="B297" s="57" t="s">
        <v>176</v>
      </c>
      <c r="C297" s="57"/>
      <c r="D297" s="13" t="s">
        <v>338</v>
      </c>
      <c r="E297" s="57"/>
      <c r="F297" s="126">
        <f t="shared" si="9"/>
        <v>34602554.921426274</v>
      </c>
      <c r="G297" s="126">
        <f t="shared" ref="G297:N297" si="10">SUM(G283:G296)</f>
        <v>582364.54273593961</v>
      </c>
      <c r="H297" s="126">
        <f t="shared" si="10"/>
        <v>1704266.530480528</v>
      </c>
      <c r="I297" s="126">
        <f t="shared" si="10"/>
        <v>1141324.3706886754</v>
      </c>
      <c r="J297" s="126">
        <f t="shared" si="10"/>
        <v>10406426.157967655</v>
      </c>
      <c r="K297" s="126">
        <f t="shared" si="10"/>
        <v>7736816.0116160829</v>
      </c>
      <c r="L297" s="126">
        <f t="shared" si="10"/>
        <v>862096.3865469835</v>
      </c>
      <c r="M297" s="126">
        <f t="shared" si="10"/>
        <v>14673145.433524653</v>
      </c>
      <c r="N297" s="126">
        <f t="shared" si="10"/>
        <v>-2503884.5121342456</v>
      </c>
    </row>
    <row r="298" spans="2:14" s="128" customFormat="1">
      <c r="B298" s="57"/>
      <c r="C298" s="57"/>
      <c r="E298" s="57"/>
      <c r="F298" s="57"/>
      <c r="G298" s="57"/>
      <c r="H298" s="57"/>
      <c r="I298" s="57"/>
      <c r="J298" s="57"/>
      <c r="K298" s="57"/>
      <c r="L298" s="57"/>
      <c r="M298" s="129"/>
    </row>
    <row r="299" spans="2:14" s="128" customFormat="1">
      <c r="B299" s="127" t="s">
        <v>383</v>
      </c>
      <c r="C299" s="57"/>
      <c r="E299" s="57"/>
      <c r="F299" s="57"/>
      <c r="G299" s="57"/>
      <c r="H299" s="57"/>
      <c r="I299" s="57"/>
      <c r="J299" s="57"/>
      <c r="K299" s="57"/>
      <c r="L299" s="57"/>
      <c r="M299" s="129"/>
    </row>
    <row r="300" spans="2:14" s="128" customFormat="1">
      <c r="B300" s="57" t="s">
        <v>380</v>
      </c>
      <c r="C300" s="57"/>
      <c r="D300" s="13" t="s">
        <v>338</v>
      </c>
      <c r="E300" s="57"/>
      <c r="F300" s="126">
        <f>SUM(G300:N300)</f>
        <v>1612573.4923621526</v>
      </c>
      <c r="G300" s="130">
        <f t="shared" ref="G300:N301" si="11">G294</f>
        <v>0</v>
      </c>
      <c r="H300" s="130">
        <f t="shared" si="11"/>
        <v>1612573.4923621526</v>
      </c>
      <c r="I300" s="130">
        <f t="shared" si="11"/>
        <v>0</v>
      </c>
      <c r="J300" s="130">
        <f t="shared" si="11"/>
        <v>0</v>
      </c>
      <c r="K300" s="130">
        <f t="shared" si="11"/>
        <v>0</v>
      </c>
      <c r="L300" s="130">
        <f t="shared" si="11"/>
        <v>0</v>
      </c>
      <c r="M300" s="130">
        <f t="shared" si="11"/>
        <v>0</v>
      </c>
      <c r="N300" s="130">
        <f t="shared" si="11"/>
        <v>0</v>
      </c>
    </row>
    <row r="301" spans="2:14" s="128" customFormat="1">
      <c r="B301" s="57" t="s">
        <v>381</v>
      </c>
      <c r="C301" s="57"/>
      <c r="D301" s="13" t="s">
        <v>338</v>
      </c>
      <c r="E301" s="57"/>
      <c r="F301" s="126">
        <f>SUM(G301:N301)</f>
        <v>1595559.9872514866</v>
      </c>
      <c r="G301" s="130">
        <f t="shared" si="11"/>
        <v>0</v>
      </c>
      <c r="H301" s="130">
        <f t="shared" si="11"/>
        <v>1595559.9872514866</v>
      </c>
      <c r="I301" s="130">
        <f t="shared" si="11"/>
        <v>0</v>
      </c>
      <c r="J301" s="130">
        <f t="shared" si="11"/>
        <v>0</v>
      </c>
      <c r="K301" s="130">
        <f t="shared" si="11"/>
        <v>0</v>
      </c>
      <c r="L301" s="130">
        <f t="shared" si="11"/>
        <v>0</v>
      </c>
      <c r="M301" s="130">
        <f t="shared" si="11"/>
        <v>0</v>
      </c>
      <c r="N301" s="130">
        <f t="shared" si="11"/>
        <v>0</v>
      </c>
    </row>
    <row r="302" spans="2:14" s="128" customFormat="1">
      <c r="B302" s="57" t="s">
        <v>176</v>
      </c>
      <c r="C302" s="57"/>
      <c r="D302" s="13" t="s">
        <v>338</v>
      </c>
      <c r="E302" s="57"/>
      <c r="F302" s="126">
        <f>SUM(G302:N302)</f>
        <v>3208133.4796136394</v>
      </c>
      <c r="G302" s="126">
        <f>SUM(G300:G301)</f>
        <v>0</v>
      </c>
      <c r="H302" s="126">
        <f t="shared" ref="H302:N302" si="12">SUM(H300:H301)</f>
        <v>3208133.4796136394</v>
      </c>
      <c r="I302" s="126">
        <f t="shared" si="12"/>
        <v>0</v>
      </c>
      <c r="J302" s="126">
        <f t="shared" si="12"/>
        <v>0</v>
      </c>
      <c r="K302" s="126">
        <f t="shared" si="12"/>
        <v>0</v>
      </c>
      <c r="L302" s="126">
        <f t="shared" si="12"/>
        <v>0</v>
      </c>
      <c r="M302" s="126">
        <f t="shared" si="12"/>
        <v>0</v>
      </c>
      <c r="N302" s="126">
        <f t="shared" si="12"/>
        <v>0</v>
      </c>
    </row>
    <row r="303" spans="2:14" s="128" customFormat="1">
      <c r="B303" s="57"/>
      <c r="C303" s="57"/>
      <c r="E303" s="57"/>
      <c r="F303" s="57"/>
      <c r="G303" s="125"/>
      <c r="H303" s="125"/>
      <c r="I303" s="125"/>
      <c r="J303" s="125"/>
      <c r="K303" s="125"/>
      <c r="L303" s="125"/>
      <c r="M303" s="131"/>
      <c r="N303" s="132"/>
    </row>
    <row r="304" spans="2:14" s="128" customFormat="1">
      <c r="B304" s="127" t="s">
        <v>384</v>
      </c>
      <c r="C304" s="57"/>
      <c r="E304" s="57"/>
      <c r="F304" s="57"/>
      <c r="G304" s="125"/>
      <c r="H304" s="125"/>
      <c r="I304" s="125"/>
      <c r="J304" s="125"/>
      <c r="K304" s="125"/>
      <c r="L304" s="125"/>
      <c r="M304" s="131"/>
      <c r="N304" s="132"/>
    </row>
    <row r="305" spans="2:14" s="128" customFormat="1">
      <c r="B305" s="57" t="s">
        <v>369</v>
      </c>
      <c r="C305" s="57"/>
      <c r="D305" s="13" t="s">
        <v>338</v>
      </c>
      <c r="E305" s="57"/>
      <c r="F305" s="126">
        <f t="shared" ref="F305:F314" si="13">SUM(G305:N305)</f>
        <v>12985862.90342506</v>
      </c>
      <c r="G305" s="130">
        <f t="shared" ref="G305:N309" si="14">G283</f>
        <v>331796.689517716</v>
      </c>
      <c r="H305" s="130">
        <f t="shared" si="14"/>
        <v>151297.41839005332</v>
      </c>
      <c r="I305" s="130">
        <f t="shared" si="14"/>
        <v>16691.24992280982</v>
      </c>
      <c r="J305" s="130">
        <f t="shared" si="14"/>
        <v>547294.20365188667</v>
      </c>
      <c r="K305" s="130">
        <f t="shared" si="14"/>
        <v>6180148.2420021594</v>
      </c>
      <c r="L305" s="130">
        <f t="shared" si="14"/>
        <v>347361.04882503493</v>
      </c>
      <c r="M305" s="130">
        <f t="shared" si="14"/>
        <v>5396677.1883083843</v>
      </c>
      <c r="N305" s="130">
        <f t="shared" si="14"/>
        <v>14596.862807017236</v>
      </c>
    </row>
    <row r="306" spans="2:14" s="128" customFormat="1">
      <c r="B306" s="57" t="s">
        <v>370</v>
      </c>
      <c r="C306" s="57"/>
      <c r="D306" s="13" t="s">
        <v>338</v>
      </c>
      <c r="E306" s="57"/>
      <c r="F306" s="126">
        <f t="shared" si="13"/>
        <v>7264131.392473436</v>
      </c>
      <c r="G306" s="130">
        <f t="shared" si="14"/>
        <v>42580.115271337701</v>
      </c>
      <c r="H306" s="130">
        <f t="shared" si="14"/>
        <v>40805.945050111099</v>
      </c>
      <c r="I306" s="130">
        <f t="shared" si="14"/>
        <v>31232.158974282163</v>
      </c>
      <c r="J306" s="130">
        <f t="shared" si="14"/>
        <v>473101.3095131974</v>
      </c>
      <c r="K306" s="130">
        <f t="shared" si="14"/>
        <v>3739809.6491792556</v>
      </c>
      <c r="L306" s="130">
        <f t="shared" si="14"/>
        <v>140793.19469493805</v>
      </c>
      <c r="M306" s="130">
        <f t="shared" si="14"/>
        <v>2781455.6515774825</v>
      </c>
      <c r="N306" s="130">
        <f t="shared" si="14"/>
        <v>14353.368212831549</v>
      </c>
    </row>
    <row r="307" spans="2:14" s="128" customFormat="1">
      <c r="B307" s="57" t="s">
        <v>371</v>
      </c>
      <c r="C307" s="57"/>
      <c r="D307" s="13" t="s">
        <v>338</v>
      </c>
      <c r="E307" s="57"/>
      <c r="F307" s="126">
        <f t="shared" si="13"/>
        <v>2070962.9871027416</v>
      </c>
      <c r="G307" s="130">
        <f t="shared" si="14"/>
        <v>-244896.51143599613</v>
      </c>
      <c r="H307" s="130">
        <f t="shared" si="14"/>
        <v>-46042.827937604037</v>
      </c>
      <c r="I307" s="130">
        <f t="shared" si="14"/>
        <v>44199.147989093646</v>
      </c>
      <c r="J307" s="130">
        <f t="shared" si="14"/>
        <v>416873.26756115508</v>
      </c>
      <c r="K307" s="130">
        <f t="shared" si="14"/>
        <v>1465662.9553451121</v>
      </c>
      <c r="L307" s="130">
        <f t="shared" si="14"/>
        <v>-54320.789452610152</v>
      </c>
      <c r="M307" s="130">
        <f t="shared" si="14"/>
        <v>475478.98980850785</v>
      </c>
      <c r="N307" s="130">
        <f t="shared" si="14"/>
        <v>14008.755225082998</v>
      </c>
    </row>
    <row r="308" spans="2:14" s="128" customFormat="1">
      <c r="B308" s="57" t="s">
        <v>372</v>
      </c>
      <c r="C308" s="57"/>
      <c r="D308" s="13" t="s">
        <v>338</v>
      </c>
      <c r="E308" s="57"/>
      <c r="F308" s="126">
        <f t="shared" si="13"/>
        <v>12750187.846092107</v>
      </c>
      <c r="G308" s="130">
        <f t="shared" si="14"/>
        <v>55274.423644860741</v>
      </c>
      <c r="H308" s="130">
        <f t="shared" si="14"/>
        <v>286164.12421206199</v>
      </c>
      <c r="I308" s="130">
        <f t="shared" si="14"/>
        <v>143082.06210603099</v>
      </c>
      <c r="J308" s="130">
        <f t="shared" si="14"/>
        <v>4425599.9981907895</v>
      </c>
      <c r="K308" s="130">
        <f t="shared" si="14"/>
        <v>4657072.5233739046</v>
      </c>
      <c r="L308" s="130">
        <f t="shared" si="14"/>
        <v>44476.9761396006</v>
      </c>
      <c r="M308" s="130">
        <f t="shared" si="14"/>
        <v>2971024.4401785126</v>
      </c>
      <c r="N308" s="130">
        <f t="shared" si="14"/>
        <v>167493.2982463449</v>
      </c>
    </row>
    <row r="309" spans="2:14" s="128" customFormat="1">
      <c r="B309" s="57" t="s">
        <v>373</v>
      </c>
      <c r="C309" s="57"/>
      <c r="D309" s="13" t="s">
        <v>338</v>
      </c>
      <c r="E309" s="57"/>
      <c r="F309" s="126">
        <f t="shared" si="13"/>
        <v>3961664.1066616336</v>
      </c>
      <c r="G309" s="130">
        <f t="shared" si="14"/>
        <v>20515.647967373367</v>
      </c>
      <c r="H309" s="130">
        <f t="shared" si="14"/>
        <v>112575.36297996834</v>
      </c>
      <c r="I309" s="130">
        <f t="shared" si="14"/>
        <v>65175.210146297453</v>
      </c>
      <c r="J309" s="130">
        <f t="shared" si="14"/>
        <v>1681951.3322547805</v>
      </c>
      <c r="K309" s="130">
        <f t="shared" si="14"/>
        <v>2005349.6477245076</v>
      </c>
      <c r="L309" s="130">
        <f t="shared" si="14"/>
        <v>14318.347303421093</v>
      </c>
      <c r="M309" s="130">
        <f t="shared" si="14"/>
        <v>-5925.01910420886</v>
      </c>
      <c r="N309" s="130">
        <f t="shared" si="14"/>
        <v>67703.577389493497</v>
      </c>
    </row>
    <row r="310" spans="2:14" s="128" customFormat="1">
      <c r="B310" s="57" t="s">
        <v>376</v>
      </c>
      <c r="C310" s="57"/>
      <c r="D310" s="13" t="s">
        <v>338</v>
      </c>
      <c r="E310" s="57"/>
      <c r="F310" s="126">
        <f t="shared" si="13"/>
        <v>1452110.9858288534</v>
      </c>
      <c r="G310" s="130">
        <f t="shared" ref="G310:N313" si="15">G290</f>
        <v>-345077.14660459862</v>
      </c>
      <c r="H310" s="130">
        <f t="shared" si="15"/>
        <v>128902.94187174436</v>
      </c>
      <c r="I310" s="130">
        <f t="shared" si="15"/>
        <v>0</v>
      </c>
      <c r="J310" s="130">
        <f t="shared" si="15"/>
        <v>0</v>
      </c>
      <c r="K310" s="130">
        <f t="shared" si="15"/>
        <v>1688487.175431184</v>
      </c>
      <c r="L310" s="130">
        <f t="shared" si="15"/>
        <v>-20201.984869476135</v>
      </c>
      <c r="M310" s="130">
        <f t="shared" si="15"/>
        <v>0</v>
      </c>
      <c r="N310" s="130">
        <f t="shared" si="15"/>
        <v>0</v>
      </c>
    </row>
    <row r="311" spans="2:14" s="128" customFormat="1">
      <c r="B311" s="57" t="s">
        <v>377</v>
      </c>
      <c r="C311" s="57"/>
      <c r="D311" s="13" t="s">
        <v>338</v>
      </c>
      <c r="E311" s="57"/>
      <c r="F311" s="126">
        <f t="shared" si="13"/>
        <v>9997573.0763782766</v>
      </c>
      <c r="G311" s="130">
        <f t="shared" si="15"/>
        <v>64104.489748089014</v>
      </c>
      <c r="H311" s="130">
        <f t="shared" si="15"/>
        <v>249297.70465264691</v>
      </c>
      <c r="I311" s="130">
        <f t="shared" si="15"/>
        <v>129390.9000299965</v>
      </c>
      <c r="J311" s="130">
        <f t="shared" si="15"/>
        <v>3408048.4745855811</v>
      </c>
      <c r="K311" s="130">
        <f t="shared" si="15"/>
        <v>3497723.6914440989</v>
      </c>
      <c r="L311" s="130">
        <f t="shared" si="15"/>
        <v>39137.916353226305</v>
      </c>
      <c r="M311" s="130">
        <f t="shared" si="15"/>
        <v>2460641.7655134494</v>
      </c>
      <c r="N311" s="130">
        <f t="shared" si="15"/>
        <v>149228.13405118883</v>
      </c>
    </row>
    <row r="312" spans="2:14" s="128" customFormat="1">
      <c r="B312" s="57" t="s">
        <v>378</v>
      </c>
      <c r="C312" s="57"/>
      <c r="D312" s="13" t="s">
        <v>338</v>
      </c>
      <c r="E312" s="57"/>
      <c r="F312" s="126">
        <f t="shared" si="13"/>
        <v>2929960.0100212311</v>
      </c>
      <c r="G312" s="130">
        <f t="shared" si="15"/>
        <v>114316.64932251256</v>
      </c>
      <c r="H312" s="130">
        <f t="shared" si="15"/>
        <v>180252.44774211678</v>
      </c>
      <c r="I312" s="130">
        <f t="shared" si="15"/>
        <v>12429.854608774804</v>
      </c>
      <c r="J312" s="130">
        <f t="shared" si="15"/>
        <v>290765.62526017963</v>
      </c>
      <c r="K312" s="130">
        <f t="shared" si="15"/>
        <v>133790.63933562153</v>
      </c>
      <c r="L312" s="130">
        <f t="shared" si="15"/>
        <v>45908.729071953567</v>
      </c>
      <c r="M312" s="130">
        <f t="shared" si="15"/>
        <v>2050291.3247680867</v>
      </c>
      <c r="N312" s="130">
        <f t="shared" si="15"/>
        <v>102204.73991198544</v>
      </c>
    </row>
    <row r="313" spans="2:14" s="128" customFormat="1">
      <c r="B313" s="57" t="s">
        <v>379</v>
      </c>
      <c r="C313" s="57"/>
      <c r="D313" s="13" t="s">
        <v>338</v>
      </c>
      <c r="E313" s="57"/>
      <c r="F313" s="126">
        <f t="shared" si="13"/>
        <v>3220942.1289085806</v>
      </c>
      <c r="G313" s="130">
        <f t="shared" si="15"/>
        <v>123156.1559641713</v>
      </c>
      <c r="H313" s="130">
        <f t="shared" si="15"/>
        <v>192517.42213747173</v>
      </c>
      <c r="I313" s="130">
        <f t="shared" si="15"/>
        <v>13774.622698900917</v>
      </c>
      <c r="J313" s="130">
        <f t="shared" si="15"/>
        <v>313486.34938302136</v>
      </c>
      <c r="K313" s="130">
        <f t="shared" si="15"/>
        <v>146566.12336833627</v>
      </c>
      <c r="L313" s="130">
        <f t="shared" si="15"/>
        <v>52231.804062437986</v>
      </c>
      <c r="M313" s="130">
        <f t="shared" si="15"/>
        <v>2268522.7036648551</v>
      </c>
      <c r="N313" s="130">
        <f t="shared" si="15"/>
        <v>110686.94762938606</v>
      </c>
    </row>
    <row r="314" spans="2:14" s="128" customFormat="1">
      <c r="B314" s="57" t="s">
        <v>176</v>
      </c>
      <c r="C314" s="57"/>
      <c r="D314" s="13" t="s">
        <v>338</v>
      </c>
      <c r="E314" s="57"/>
      <c r="F314" s="126">
        <f t="shared" si="13"/>
        <v>56633395.436891928</v>
      </c>
      <c r="G314" s="126">
        <f>SUM(G305:G313)</f>
        <v>161770.51339546591</v>
      </c>
      <c r="H314" s="126">
        <f t="shared" ref="H314:N314" si="16">SUM(H305:H313)</f>
        <v>1295770.5390985706</v>
      </c>
      <c r="I314" s="126">
        <f t="shared" si="16"/>
        <v>455975.20647618629</v>
      </c>
      <c r="J314" s="126">
        <f t="shared" si="16"/>
        <v>11557120.56040059</v>
      </c>
      <c r="K314" s="126">
        <f t="shared" si="16"/>
        <v>23514610.647204183</v>
      </c>
      <c r="L314" s="126">
        <f t="shared" si="16"/>
        <v>609705.24212852633</v>
      </c>
      <c r="M314" s="126">
        <f t="shared" si="16"/>
        <v>18398167.044715069</v>
      </c>
      <c r="N314" s="126">
        <f t="shared" si="16"/>
        <v>640275.68347333057</v>
      </c>
    </row>
    <row r="315" spans="2:14" s="128" customFormat="1">
      <c r="B315" s="57"/>
      <c r="C315" s="57"/>
      <c r="E315" s="57"/>
      <c r="F315" s="57"/>
      <c r="G315" s="125"/>
      <c r="H315" s="125"/>
      <c r="I315" s="125"/>
      <c r="J315" s="125"/>
      <c r="K315" s="125"/>
      <c r="L315" s="125"/>
      <c r="M315" s="131"/>
      <c r="N315" s="132"/>
    </row>
    <row r="316" spans="2:14" s="128" customFormat="1">
      <c r="B316" s="127" t="s">
        <v>385</v>
      </c>
      <c r="C316" s="57"/>
      <c r="E316" s="57"/>
      <c r="F316" s="57"/>
      <c r="G316" s="125"/>
      <c r="H316" s="125"/>
      <c r="I316" s="125"/>
      <c r="J316" s="125"/>
      <c r="K316" s="125"/>
      <c r="L316" s="125"/>
      <c r="M316" s="131"/>
      <c r="N316" s="132"/>
    </row>
    <row r="317" spans="2:14" s="128" customFormat="1">
      <c r="B317" s="57" t="s">
        <v>374</v>
      </c>
      <c r="C317" s="57"/>
      <c r="D317" s="13" t="s">
        <v>338</v>
      </c>
      <c r="E317" s="57"/>
      <c r="F317" s="126">
        <f>SUM(G317:N317)</f>
        <v>-8558611.9004839417</v>
      </c>
      <c r="G317" s="130">
        <f t="shared" ref="G317:N318" si="17">G288</f>
        <v>136305.47290881866</v>
      </c>
      <c r="H317" s="130">
        <f t="shared" si="17"/>
        <v>-902320.59310223395</v>
      </c>
      <c r="I317" s="130">
        <f t="shared" si="17"/>
        <v>219880.18910930143</v>
      </c>
      <c r="J317" s="130">
        <f t="shared" si="17"/>
        <v>-837208.05304991466</v>
      </c>
      <c r="K317" s="130">
        <f t="shared" si="17"/>
        <v>-5065461.5262936773</v>
      </c>
      <c r="L317" s="130">
        <f t="shared" si="17"/>
        <v>80807.93947790454</v>
      </c>
      <c r="M317" s="130">
        <f t="shared" si="17"/>
        <v>-1186205.1926732094</v>
      </c>
      <c r="N317" s="130">
        <f t="shared" si="17"/>
        <v>-1004410.1368609307</v>
      </c>
    </row>
    <row r="318" spans="2:14" s="128" customFormat="1">
      <c r="B318" s="57" t="s">
        <v>375</v>
      </c>
      <c r="C318" s="57"/>
      <c r="D318" s="13" t="s">
        <v>338</v>
      </c>
      <c r="E318" s="57"/>
      <c r="F318" s="126">
        <f>SUM(G318:N318)</f>
        <v>-18130865.978139464</v>
      </c>
      <c r="G318" s="130">
        <f t="shared" si="17"/>
        <v>284288.55643165507</v>
      </c>
      <c r="H318" s="130">
        <f t="shared" si="17"/>
        <v>-1897316.895129448</v>
      </c>
      <c r="I318" s="130">
        <f t="shared" si="17"/>
        <v>465468.97510318761</v>
      </c>
      <c r="J318" s="130">
        <f t="shared" si="17"/>
        <v>-1763990.2329271368</v>
      </c>
      <c r="K318" s="130">
        <f t="shared" si="17"/>
        <v>-10712333.109294422</v>
      </c>
      <c r="L318" s="130">
        <f t="shared" si="17"/>
        <v>171583.20494055277</v>
      </c>
      <c r="M318" s="130">
        <f t="shared" si="17"/>
        <v>-2538816.4185172049</v>
      </c>
      <c r="N318" s="130">
        <f t="shared" si="17"/>
        <v>-2139750.0587466457</v>
      </c>
    </row>
    <row r="319" spans="2:14" s="128" customFormat="1">
      <c r="B319" s="57" t="s">
        <v>382</v>
      </c>
      <c r="C319" s="57"/>
      <c r="D319" s="13" t="s">
        <v>338</v>
      </c>
      <c r="E319" s="57"/>
      <c r="F319" s="126">
        <f>SUM(G319:N319)</f>
        <v>1450503.8835441156</v>
      </c>
      <c r="G319" s="130">
        <f>G296</f>
        <v>0</v>
      </c>
      <c r="H319" s="130">
        <f t="shared" ref="H319:N319" si="18">H296</f>
        <v>0</v>
      </c>
      <c r="I319" s="130">
        <f t="shared" si="18"/>
        <v>0</v>
      </c>
      <c r="J319" s="130">
        <f t="shared" si="18"/>
        <v>1450503.8835441156</v>
      </c>
      <c r="K319" s="130">
        <f t="shared" si="18"/>
        <v>0</v>
      </c>
      <c r="L319" s="130">
        <f t="shared" si="18"/>
        <v>0</v>
      </c>
      <c r="M319" s="130">
        <f t="shared" si="18"/>
        <v>0</v>
      </c>
      <c r="N319" s="130">
        <f t="shared" si="18"/>
        <v>0</v>
      </c>
    </row>
    <row r="320" spans="2:14" s="128" customFormat="1">
      <c r="B320" s="57" t="s">
        <v>176</v>
      </c>
      <c r="C320" s="57"/>
      <c r="D320" s="13" t="s">
        <v>338</v>
      </c>
      <c r="E320" s="57"/>
      <c r="F320" s="126">
        <f>SUM(G320:N320)</f>
        <v>-25238973.99507929</v>
      </c>
      <c r="G320" s="126">
        <f>SUM(G317:G319)</f>
        <v>420594.0293404737</v>
      </c>
      <c r="H320" s="126">
        <f t="shared" ref="H320:N320" si="19">SUM(H317:H319)</f>
        <v>-2799637.4882316822</v>
      </c>
      <c r="I320" s="126">
        <f t="shared" si="19"/>
        <v>685349.16421248903</v>
      </c>
      <c r="J320" s="126">
        <f t="shared" si="19"/>
        <v>-1150694.402432936</v>
      </c>
      <c r="K320" s="126">
        <f t="shared" si="19"/>
        <v>-15777794.635588098</v>
      </c>
      <c r="L320" s="126">
        <f t="shared" si="19"/>
        <v>252391.14441845729</v>
      </c>
      <c r="M320" s="126">
        <f t="shared" si="19"/>
        <v>-3725021.6111904141</v>
      </c>
      <c r="N320" s="126">
        <f t="shared" si="19"/>
        <v>-3144160.1956075765</v>
      </c>
    </row>
    <row r="321" spans="2:14" s="128" customFormat="1">
      <c r="B321" s="57"/>
      <c r="C321" s="57"/>
      <c r="E321" s="57"/>
      <c r="F321" s="57"/>
      <c r="G321" s="57"/>
      <c r="H321" s="57"/>
      <c r="I321" s="57"/>
      <c r="J321" s="57"/>
      <c r="K321" s="57"/>
      <c r="L321" s="57"/>
      <c r="M321" s="129"/>
    </row>
    <row r="322" spans="2:14" s="128" customFormat="1">
      <c r="B322" s="57"/>
      <c r="C322" s="57"/>
      <c r="E322" s="57"/>
      <c r="F322" s="57"/>
      <c r="G322" s="57"/>
      <c r="H322" s="57"/>
      <c r="I322" s="57"/>
      <c r="J322" s="57"/>
      <c r="K322" s="57"/>
      <c r="L322" s="57"/>
      <c r="M322" s="129"/>
    </row>
    <row r="323" spans="2:14" s="54" customFormat="1">
      <c r="B323" s="55" t="s">
        <v>394</v>
      </c>
      <c r="C323" s="55"/>
    </row>
    <row r="324" spans="2:14" s="128" customFormat="1">
      <c r="B324" s="57"/>
      <c r="C324" s="57"/>
      <c r="E324" s="57"/>
      <c r="F324" s="57"/>
      <c r="G324" s="57"/>
      <c r="H324" s="57"/>
      <c r="I324" s="57"/>
      <c r="J324" s="57"/>
      <c r="K324" s="57"/>
      <c r="L324" s="57"/>
      <c r="M324" s="129"/>
    </row>
    <row r="325" spans="2:14" s="128" customFormat="1">
      <c r="B325" s="127" t="s">
        <v>396</v>
      </c>
      <c r="C325" s="57"/>
      <c r="E325" s="57"/>
      <c r="F325" s="57"/>
      <c r="G325" s="57"/>
      <c r="H325" s="57"/>
      <c r="I325" s="57"/>
      <c r="J325" s="57"/>
      <c r="K325" s="57"/>
      <c r="L325" s="57"/>
      <c r="M325" s="129"/>
    </row>
    <row r="326" spans="2:14" s="128" customFormat="1">
      <c r="B326" s="57" t="s">
        <v>397</v>
      </c>
      <c r="C326" s="57"/>
      <c r="E326" s="57"/>
      <c r="F326" s="57"/>
      <c r="G326" s="135">
        <f t="shared" ref="G326:N326" si="20">G269/(G269+G276)</f>
        <v>0.93020882324503174</v>
      </c>
      <c r="H326" s="135">
        <f t="shared" si="20"/>
        <v>0.91426474203579133</v>
      </c>
      <c r="I326" s="135">
        <f t="shared" si="20"/>
        <v>0.92315678455651884</v>
      </c>
      <c r="J326" s="135">
        <f t="shared" si="20"/>
        <v>0.88823285076710912</v>
      </c>
      <c r="K326" s="135">
        <f t="shared" si="20"/>
        <v>0.9164365349782867</v>
      </c>
      <c r="L326" s="135">
        <f t="shared" si="20"/>
        <v>0.88981950146797106</v>
      </c>
      <c r="M326" s="135">
        <f t="shared" si="20"/>
        <v>0.92913666865346556</v>
      </c>
      <c r="N326" s="135">
        <f t="shared" si="20"/>
        <v>0.95338528243793885</v>
      </c>
    </row>
    <row r="327" spans="2:14" s="128" customFormat="1">
      <c r="B327" s="57" t="s">
        <v>398</v>
      </c>
      <c r="C327" s="57"/>
      <c r="E327" s="57"/>
      <c r="F327" s="57"/>
      <c r="G327" s="135">
        <f t="shared" ref="G327:N327" si="21">G276/(G269+G276)</f>
        <v>6.9791176754968362E-2</v>
      </c>
      <c r="H327" s="135">
        <f t="shared" si="21"/>
        <v>8.573525796420868E-2</v>
      </c>
      <c r="I327" s="135">
        <f t="shared" si="21"/>
        <v>7.6843215443481203E-2</v>
      </c>
      <c r="J327" s="135">
        <f t="shared" si="21"/>
        <v>0.1117671492328909</v>
      </c>
      <c r="K327" s="135">
        <f t="shared" si="21"/>
        <v>8.3563465021713232E-2</v>
      </c>
      <c r="L327" s="135">
        <f t="shared" si="21"/>
        <v>0.11018049853202899</v>
      </c>
      <c r="M327" s="135">
        <f t="shared" si="21"/>
        <v>7.0863331346534483E-2</v>
      </c>
      <c r="N327" s="135">
        <f t="shared" si="21"/>
        <v>4.6614717562061196E-2</v>
      </c>
    </row>
    <row r="328" spans="2:14" s="128" customFormat="1">
      <c r="B328" s="57"/>
      <c r="C328" s="57"/>
      <c r="E328" s="57"/>
      <c r="F328" s="57"/>
      <c r="G328" s="57"/>
      <c r="H328" s="57"/>
      <c r="I328" s="57"/>
      <c r="J328" s="57"/>
      <c r="K328" s="57"/>
      <c r="L328" s="57"/>
      <c r="M328" s="129"/>
    </row>
    <row r="329" spans="2:14" s="128" customFormat="1">
      <c r="B329" s="127" t="s">
        <v>399</v>
      </c>
      <c r="C329" s="57"/>
      <c r="E329" s="57"/>
      <c r="F329" s="57"/>
      <c r="G329" s="57"/>
      <c r="H329" s="57"/>
      <c r="I329" s="57"/>
      <c r="J329" s="57"/>
      <c r="K329" s="57"/>
      <c r="L329" s="57"/>
      <c r="M329" s="129"/>
    </row>
    <row r="330" spans="2:14" s="128" customFormat="1">
      <c r="B330" s="57" t="s">
        <v>397</v>
      </c>
      <c r="C330" s="57"/>
      <c r="E330" s="57"/>
      <c r="F330" s="57"/>
      <c r="G330" s="135">
        <f t="shared" ref="G330:N330" si="22">G269/(G269+G276+G277)</f>
        <v>0.9019575100817806</v>
      </c>
      <c r="H330" s="135">
        <f t="shared" si="22"/>
        <v>0.87107657773182701</v>
      </c>
      <c r="I330" s="135">
        <f t="shared" si="22"/>
        <v>0.88490179266372115</v>
      </c>
      <c r="J330" s="135">
        <f t="shared" si="22"/>
        <v>0.84902077781913254</v>
      </c>
      <c r="K330" s="135">
        <f t="shared" si="22"/>
        <v>0.86816658203378394</v>
      </c>
      <c r="L330" s="135">
        <f t="shared" si="22"/>
        <v>0.84715211399912749</v>
      </c>
      <c r="M330" s="135">
        <f t="shared" si="22"/>
        <v>0.89235734756107155</v>
      </c>
      <c r="N330" s="135">
        <f t="shared" si="22"/>
        <v>0.90871828723804637</v>
      </c>
    </row>
    <row r="331" spans="2:14" s="128" customFormat="1">
      <c r="B331" s="57" t="s">
        <v>398</v>
      </c>
      <c r="C331" s="57"/>
      <c r="E331" s="57"/>
      <c r="F331" s="57"/>
      <c r="G331" s="135">
        <f t="shared" ref="G331:N331" si="23">G276/(G269+G276+G277)</f>
        <v>6.7671553352926031E-2</v>
      </c>
      <c r="H331" s="135">
        <f t="shared" si="23"/>
        <v>8.1685283993478811E-2</v>
      </c>
      <c r="I331" s="135">
        <f t="shared" si="23"/>
        <v>7.3658884641840533E-2</v>
      </c>
      <c r="J331" s="135">
        <f t="shared" si="23"/>
        <v>0.10683305835219165</v>
      </c>
      <c r="K331" s="135">
        <f t="shared" si="23"/>
        <v>7.916206419304235E-2</v>
      </c>
      <c r="L331" s="135">
        <f t="shared" si="23"/>
        <v>0.10489727646887931</v>
      </c>
      <c r="M331" s="135">
        <f t="shared" si="23"/>
        <v>6.8058248622753878E-2</v>
      </c>
      <c r="N331" s="135">
        <f t="shared" si="23"/>
        <v>4.4430774298048759E-2</v>
      </c>
    </row>
    <row r="332" spans="2:14" s="128" customFormat="1">
      <c r="B332" s="57" t="s">
        <v>400</v>
      </c>
      <c r="C332" s="57"/>
      <c r="E332" s="57"/>
      <c r="F332" s="57"/>
      <c r="G332" s="135">
        <f t="shared" ref="G332:N332" si="24">G277/(G269+G276+G277)</f>
        <v>3.0370936565293351E-2</v>
      </c>
      <c r="H332" s="135">
        <f t="shared" si="24"/>
        <v>4.7238138274694232E-2</v>
      </c>
      <c r="I332" s="135">
        <f t="shared" si="24"/>
        <v>4.1439322694438327E-2</v>
      </c>
      <c r="J332" s="135">
        <f t="shared" si="24"/>
        <v>4.4146163828675741E-2</v>
      </c>
      <c r="K332" s="135">
        <f t="shared" si="24"/>
        <v>5.2671353773173737E-2</v>
      </c>
      <c r="L332" s="135">
        <f t="shared" si="24"/>
        <v>4.7950609531993246E-2</v>
      </c>
      <c r="M332" s="135">
        <f t="shared" si="24"/>
        <v>3.9584403816174549E-2</v>
      </c>
      <c r="N332" s="135">
        <f t="shared" si="24"/>
        <v>4.6850938463904986E-2</v>
      </c>
    </row>
    <row r="333" spans="2:14" s="128" customFormat="1">
      <c r="B333" s="57"/>
      <c r="C333" s="57"/>
      <c r="E333" s="57"/>
      <c r="F333" s="57"/>
      <c r="G333" s="57"/>
      <c r="H333" s="57"/>
      <c r="I333" s="57"/>
      <c r="J333" s="57"/>
      <c r="K333" s="57"/>
      <c r="L333" s="57"/>
      <c r="M333" s="129"/>
    </row>
    <row r="334" spans="2:14" s="128" customFormat="1">
      <c r="B334" s="127" t="s">
        <v>405</v>
      </c>
      <c r="C334" s="57"/>
      <c r="E334" s="57"/>
      <c r="F334" s="57"/>
      <c r="G334" s="57"/>
      <c r="H334" s="57"/>
      <c r="I334" s="57"/>
      <c r="J334" s="57"/>
      <c r="K334" s="57"/>
      <c r="L334" s="57"/>
      <c r="M334" s="129"/>
    </row>
    <row r="335" spans="2:14" s="128" customFormat="1">
      <c r="B335" s="57" t="s">
        <v>395</v>
      </c>
      <c r="C335" s="57"/>
      <c r="E335" s="57"/>
      <c r="F335" s="126">
        <f>SUM(G335:N335)</f>
        <v>32931674.798879046</v>
      </c>
      <c r="G335" s="136">
        <f>G302+G326*G314+G330*G320</f>
        <v>529838.30236053793</v>
      </c>
      <c r="H335" s="136">
        <f t="shared" ref="H335:N335" si="25">H302+H326*H314+H330*H320</f>
        <v>1954112.1551415902</v>
      </c>
      <c r="I335" s="136">
        <f t="shared" si="25"/>
        <v>1027403.3094602654</v>
      </c>
      <c r="J335" s="136">
        <f t="shared" si="25"/>
        <v>9288450.6854380537</v>
      </c>
      <c r="K335" s="136">
        <f t="shared" si="25"/>
        <v>7851894.2620778363</v>
      </c>
      <c r="L335" s="136">
        <f t="shared" si="25"/>
        <v>756341.30614196905</v>
      </c>
      <c r="M335" s="136">
        <f t="shared" si="25"/>
        <v>13770361.232686989</v>
      </c>
      <c r="N335" s="136">
        <f t="shared" si="25"/>
        <v>-2246726.4544281922</v>
      </c>
    </row>
    <row r="336" spans="2:14" s="128" customFormat="1">
      <c r="B336" s="57" t="s">
        <v>401</v>
      </c>
      <c r="C336" s="57"/>
      <c r="E336" s="57"/>
      <c r="F336" s="126">
        <f>SUM(G336:N336)</f>
        <v>2439874937.2699742</v>
      </c>
      <c r="G336" s="126">
        <f t="shared" ref="G336:N336" si="26">G273</f>
        <v>17715944.62063504</v>
      </c>
      <c r="H336" s="126">
        <f t="shared" si="26"/>
        <v>63053945.976591073</v>
      </c>
      <c r="I336" s="126">
        <f t="shared" si="26"/>
        <v>32388790.276190892</v>
      </c>
      <c r="J336" s="126">
        <f t="shared" si="26"/>
        <v>801915546.125049</v>
      </c>
      <c r="K336" s="126">
        <f t="shared" si="26"/>
        <v>846481980.65905821</v>
      </c>
      <c r="L336" s="126">
        <f t="shared" si="26"/>
        <v>11002841.173450001</v>
      </c>
      <c r="M336" s="126">
        <f t="shared" si="26"/>
        <v>628471239.05263352</v>
      </c>
      <c r="N336" s="126">
        <f t="shared" si="26"/>
        <v>38844649.386366315</v>
      </c>
    </row>
    <row r="337" spans="2:14" s="128" customFormat="1">
      <c r="B337" s="57" t="s">
        <v>402</v>
      </c>
      <c r="C337" s="57"/>
      <c r="E337" s="57"/>
      <c r="F337" s="57"/>
      <c r="G337" s="135">
        <f>G335/G336</f>
        <v>2.9907425977353585E-2</v>
      </c>
      <c r="H337" s="135">
        <f t="shared" ref="H337:N337" si="27">H335/H336</f>
        <v>3.0991116017815269E-2</v>
      </c>
      <c r="I337" s="135">
        <f t="shared" si="27"/>
        <v>3.1720953474928426E-2</v>
      </c>
      <c r="J337" s="135">
        <f t="shared" si="27"/>
        <v>1.1582829052661404E-2</v>
      </c>
      <c r="K337" s="135">
        <f t="shared" si="27"/>
        <v>9.2759142444644466E-3</v>
      </c>
      <c r="L337" s="135">
        <f t="shared" si="27"/>
        <v>6.8740545666243963E-2</v>
      </c>
      <c r="M337" s="135">
        <f t="shared" si="27"/>
        <v>2.1910885299134177E-2</v>
      </c>
      <c r="N337" s="135">
        <f t="shared" si="27"/>
        <v>-5.7838762607463456E-2</v>
      </c>
    </row>
    <row r="338" spans="2:14" s="128" customFormat="1">
      <c r="B338" s="57"/>
      <c r="C338" s="57"/>
      <c r="E338" s="57"/>
      <c r="F338" s="57"/>
      <c r="G338" s="57"/>
      <c r="H338" s="57"/>
      <c r="I338" s="57"/>
      <c r="J338" s="57"/>
      <c r="K338" s="57"/>
      <c r="L338" s="57"/>
      <c r="M338" s="129"/>
    </row>
    <row r="339" spans="2:14" s="128" customFormat="1">
      <c r="B339" s="127" t="s">
        <v>403</v>
      </c>
      <c r="C339" s="57"/>
      <c r="E339" s="57"/>
      <c r="F339" s="57"/>
      <c r="G339" s="57"/>
      <c r="H339" s="57"/>
      <c r="I339" s="57"/>
      <c r="J339" s="57"/>
      <c r="K339" s="57"/>
      <c r="L339" s="57"/>
      <c r="M339" s="129"/>
    </row>
    <row r="340" spans="2:14" s="128" customFormat="1">
      <c r="B340" s="57" t="s">
        <v>395</v>
      </c>
      <c r="C340" s="57"/>
      <c r="E340" s="57"/>
      <c r="F340" s="126">
        <f>SUM(G340:N340)</f>
        <v>2926449.3985054782</v>
      </c>
      <c r="G340" s="136">
        <f>G327*G314+G331*G320</f>
        <v>39752.405790560937</v>
      </c>
      <c r="H340" s="136">
        <f t="shared" ref="H340:N340" si="28">H327*H314+H331*H320</f>
        <v>-117595.96187295696</v>
      </c>
      <c r="I340" s="136">
        <f t="shared" si="28"/>
        <v>85520.656054244959</v>
      </c>
      <c r="J340" s="136">
        <f t="shared" si="28"/>
        <v>1168774.2161361463</v>
      </c>
      <c r="K340" s="136">
        <f t="shared" si="28"/>
        <v>715959.55254978803</v>
      </c>
      <c r="L340" s="136">
        <f t="shared" si="28"/>
        <v>93652.771189672232</v>
      </c>
      <c r="M340" s="136">
        <f t="shared" si="28"/>
        <v>1050236.9605190067</v>
      </c>
      <c r="N340" s="136">
        <f t="shared" si="28"/>
        <v>-109851.20186098409</v>
      </c>
    </row>
    <row r="341" spans="2:14" s="128" customFormat="1">
      <c r="B341" s="57" t="s">
        <v>401</v>
      </c>
      <c r="C341" s="57"/>
      <c r="E341" s="57"/>
      <c r="F341" s="126">
        <f>SUM(G341:N341)</f>
        <v>256444730.34061518</v>
      </c>
      <c r="G341" s="126">
        <f t="shared" ref="G341:N341" si="29">G276</f>
        <v>1409102.3651282052</v>
      </c>
      <c r="H341" s="126">
        <f t="shared" si="29"/>
        <v>6357083.1133333333</v>
      </c>
      <c r="I341" s="126">
        <f t="shared" si="29"/>
        <v>2901365.4133333336</v>
      </c>
      <c r="J341" s="126">
        <f t="shared" si="29"/>
        <v>108227569.39670762</v>
      </c>
      <c r="K341" s="126">
        <f t="shared" si="29"/>
        <v>82986082.349722713</v>
      </c>
      <c r="L341" s="126">
        <f t="shared" si="29"/>
        <v>1442050.8699999999</v>
      </c>
      <c r="M341" s="126">
        <f t="shared" si="29"/>
        <v>51140217.321541466</v>
      </c>
      <c r="N341" s="126">
        <f t="shared" si="29"/>
        <v>1981259.5108485166</v>
      </c>
    </row>
    <row r="342" spans="2:14" s="128" customFormat="1">
      <c r="B342" s="57" t="s">
        <v>402</v>
      </c>
      <c r="C342" s="57"/>
      <c r="E342" s="57"/>
      <c r="F342" s="57"/>
      <c r="G342" s="135">
        <f t="shared" ref="G342:N342" si="30">G340/G341</f>
        <v>2.8211155395331495E-2</v>
      </c>
      <c r="H342" s="135">
        <f t="shared" si="30"/>
        <v>-1.8498415039802048E-2</v>
      </c>
      <c r="I342" s="135">
        <f t="shared" si="30"/>
        <v>2.9476003147080879E-2</v>
      </c>
      <c r="J342" s="135">
        <f t="shared" si="30"/>
        <v>1.0799228169414119E-2</v>
      </c>
      <c r="K342" s="135">
        <f t="shared" si="30"/>
        <v>8.6274653806715142E-3</v>
      </c>
      <c r="L342" s="135">
        <f t="shared" si="30"/>
        <v>6.4944152205720904E-2</v>
      </c>
      <c r="M342" s="135">
        <f t="shared" si="30"/>
        <v>2.0536419583743578E-2</v>
      </c>
      <c r="N342" s="135">
        <f t="shared" si="30"/>
        <v>-5.5445135409817145E-2</v>
      </c>
    </row>
    <row r="343" spans="2:14" s="128" customFormat="1">
      <c r="B343" s="57"/>
      <c r="C343" s="57"/>
      <c r="E343" s="57"/>
      <c r="F343" s="57"/>
      <c r="G343" s="57"/>
      <c r="H343" s="57"/>
      <c r="I343" s="57"/>
      <c r="J343" s="57"/>
      <c r="K343" s="57"/>
      <c r="L343" s="57"/>
      <c r="M343" s="129"/>
    </row>
    <row r="344" spans="2:14" s="128" customFormat="1">
      <c r="B344" s="127" t="s">
        <v>404</v>
      </c>
      <c r="C344" s="57"/>
      <c r="E344" s="57"/>
      <c r="F344" s="57"/>
      <c r="G344" s="57"/>
      <c r="H344" s="57"/>
      <c r="I344" s="57"/>
      <c r="J344" s="57"/>
      <c r="K344" s="57"/>
      <c r="L344" s="57"/>
      <c r="M344" s="129"/>
    </row>
    <row r="345" spans="2:14" s="128" customFormat="1">
      <c r="B345" s="57" t="s">
        <v>395</v>
      </c>
      <c r="C345" s="57"/>
      <c r="E345" s="57"/>
      <c r="F345" s="126">
        <f>SUM(G345:N345)</f>
        <v>-1255569.2759582545</v>
      </c>
      <c r="G345" s="136">
        <f>G332*G320</f>
        <v>12773.834584840657</v>
      </c>
      <c r="H345" s="136">
        <f t="shared" ref="H345:N345" si="31">H332*H320</f>
        <v>-132249.66278810584</v>
      </c>
      <c r="I345" s="136">
        <f t="shared" si="31"/>
        <v>28400.405174164938</v>
      </c>
      <c r="J345" s="136">
        <f t="shared" si="31"/>
        <v>-50798.743606544529</v>
      </c>
      <c r="K345" s="136">
        <f t="shared" si="31"/>
        <v>-831037.80301154358</v>
      </c>
      <c r="L345" s="136">
        <f t="shared" si="31"/>
        <v>12102.309215342362</v>
      </c>
      <c r="M345" s="136">
        <f t="shared" si="31"/>
        <v>-147452.7596813385</v>
      </c>
      <c r="N345" s="136">
        <f t="shared" si="31"/>
        <v>-147306.85584507004</v>
      </c>
    </row>
    <row r="346" spans="2:14" s="128" customFormat="1">
      <c r="B346" s="57" t="s">
        <v>401</v>
      </c>
      <c r="C346" s="57"/>
      <c r="E346" s="57"/>
      <c r="F346" s="126">
        <f>SUM(G346:N346)</f>
        <v>138371866.67156768</v>
      </c>
      <c r="G346" s="126">
        <f t="shared" ref="G346:N346" si="32">G277</f>
        <v>632403.96333333338</v>
      </c>
      <c r="H346" s="126">
        <f t="shared" si="32"/>
        <v>3676265.2518333332</v>
      </c>
      <c r="I346" s="126">
        <f t="shared" si="32"/>
        <v>1632262.2613987792</v>
      </c>
      <c r="J346" s="126">
        <f t="shared" si="32"/>
        <v>44722411.611727595</v>
      </c>
      <c r="K346" s="126">
        <f t="shared" si="32"/>
        <v>55215706.4908389</v>
      </c>
      <c r="L346" s="126">
        <f t="shared" si="32"/>
        <v>659189.83333333337</v>
      </c>
      <c r="M346" s="126">
        <f t="shared" si="32"/>
        <v>29744447.655769091</v>
      </c>
      <c r="N346" s="126">
        <f t="shared" si="32"/>
        <v>2089179.603333333</v>
      </c>
    </row>
    <row r="347" spans="2:14" s="128" customFormat="1">
      <c r="B347" s="57" t="s">
        <v>402</v>
      </c>
      <c r="C347" s="57"/>
      <c r="E347" s="57"/>
      <c r="F347" s="57"/>
      <c r="G347" s="135">
        <f t="shared" ref="G347:N347" si="33">G345/G346</f>
        <v>2.0198852830572323E-2</v>
      </c>
      <c r="H347" s="135">
        <f t="shared" si="33"/>
        <v>-3.5973917475664648E-2</v>
      </c>
      <c r="I347" s="135">
        <f t="shared" si="33"/>
        <v>1.739941297780603E-2</v>
      </c>
      <c r="J347" s="135">
        <f t="shared" si="33"/>
        <v>-1.1358677176796863E-3</v>
      </c>
      <c r="K347" s="135">
        <f t="shared" si="33"/>
        <v>-1.505075015474854E-2</v>
      </c>
      <c r="L347" s="135">
        <f t="shared" si="33"/>
        <v>1.8359368733198548E-2</v>
      </c>
      <c r="M347" s="135">
        <f t="shared" si="33"/>
        <v>-4.9573204850801552E-3</v>
      </c>
      <c r="N347" s="135">
        <f t="shared" si="33"/>
        <v>-7.0509426575885881E-2</v>
      </c>
    </row>
    <row r="348" spans="2:14" s="128" customFormat="1">
      <c r="B348" s="57"/>
      <c r="C348" s="57"/>
      <c r="E348" s="57"/>
      <c r="F348" s="57"/>
      <c r="G348" s="57"/>
      <c r="H348" s="57"/>
      <c r="I348" s="57"/>
      <c r="J348" s="57"/>
      <c r="K348" s="57"/>
      <c r="L348" s="57"/>
      <c r="M348" s="129"/>
    </row>
    <row r="349" spans="2:14" s="128" customFormat="1">
      <c r="B349" s="57"/>
      <c r="C349" s="57"/>
      <c r="E349" s="57"/>
      <c r="F349" s="57"/>
      <c r="G349" s="57"/>
      <c r="H349" s="57"/>
      <c r="I349" s="57"/>
      <c r="J349" s="57"/>
      <c r="K349" s="57"/>
      <c r="L349" s="57"/>
      <c r="M349" s="129"/>
    </row>
    <row r="350" spans="2:14" s="2" customFormat="1">
      <c r="B350" s="2" t="s">
        <v>422</v>
      </c>
    </row>
    <row r="351" spans="2:14" s="13" customFormat="1"/>
    <row r="352" spans="2:14" s="13" customFormat="1"/>
    <row r="353" spans="2:16" s="13" customFormat="1">
      <c r="B353" s="3" t="s">
        <v>49</v>
      </c>
      <c r="F353" s="133"/>
      <c r="G353" s="11"/>
    </row>
    <row r="354" spans="2:16">
      <c r="B354" s="3"/>
      <c r="F354" s="46"/>
    </row>
    <row r="355" spans="2:16">
      <c r="B355" s="3"/>
      <c r="F355" s="46"/>
    </row>
    <row r="356" spans="2:16">
      <c r="B356" s="85" t="s">
        <v>212</v>
      </c>
      <c r="F356" s="49"/>
    </row>
    <row r="357" spans="2:16">
      <c r="B357" t="s">
        <v>213</v>
      </c>
      <c r="D357" s="13" t="s">
        <v>338</v>
      </c>
      <c r="F357" s="72"/>
      <c r="G357" s="120">
        <f t="shared" ref="G357:N357" si="34">G15</f>
        <v>0</v>
      </c>
      <c r="H357" s="120">
        <f t="shared" si="34"/>
        <v>0</v>
      </c>
      <c r="I357" s="120">
        <f t="shared" si="34"/>
        <v>0</v>
      </c>
      <c r="J357" s="120">
        <f t="shared" si="34"/>
        <v>0</v>
      </c>
      <c r="K357" s="120">
        <f t="shared" si="34"/>
        <v>2760</v>
      </c>
      <c r="L357" s="120">
        <f t="shared" si="34"/>
        <v>0</v>
      </c>
      <c r="M357" s="120">
        <f t="shared" si="34"/>
        <v>2760</v>
      </c>
      <c r="N357" s="120">
        <f t="shared" si="34"/>
        <v>0</v>
      </c>
      <c r="P357" s="50" t="s">
        <v>449</v>
      </c>
    </row>
    <row r="358" spans="2:16">
      <c r="B358" t="s">
        <v>214</v>
      </c>
      <c r="D358" s="13" t="s">
        <v>338</v>
      </c>
      <c r="F358" s="72"/>
      <c r="G358" s="97">
        <f t="shared" ref="G358:N359" si="35">(1-G$337)*G16</f>
        <v>0</v>
      </c>
      <c r="H358" s="97">
        <f t="shared" si="35"/>
        <v>0</v>
      </c>
      <c r="I358" s="97">
        <f t="shared" si="35"/>
        <v>0</v>
      </c>
      <c r="J358" s="97">
        <f t="shared" si="35"/>
        <v>0</v>
      </c>
      <c r="K358" s="97">
        <f t="shared" si="35"/>
        <v>9.5109512232531408</v>
      </c>
      <c r="L358" s="97">
        <f t="shared" si="35"/>
        <v>0</v>
      </c>
      <c r="M358" s="97">
        <f t="shared" si="35"/>
        <v>11.737069376410389</v>
      </c>
      <c r="N358" s="97">
        <f t="shared" si="35"/>
        <v>0</v>
      </c>
      <c r="P358" s="50" t="s">
        <v>444</v>
      </c>
    </row>
    <row r="359" spans="2:16">
      <c r="B359" t="s">
        <v>215</v>
      </c>
      <c r="D359" s="13" t="s">
        <v>338</v>
      </c>
      <c r="F359" s="72"/>
      <c r="G359" s="97">
        <f t="shared" si="35"/>
        <v>0</v>
      </c>
      <c r="H359" s="97">
        <f t="shared" si="35"/>
        <v>0</v>
      </c>
      <c r="I359" s="97">
        <f t="shared" si="35"/>
        <v>0</v>
      </c>
      <c r="J359" s="97">
        <f t="shared" si="35"/>
        <v>0</v>
      </c>
      <c r="K359" s="97">
        <f t="shared" si="35"/>
        <v>0.88174443632242661</v>
      </c>
      <c r="L359" s="97">
        <f t="shared" si="35"/>
        <v>0</v>
      </c>
      <c r="M359" s="97">
        <f t="shared" si="35"/>
        <v>1.1443642642000129</v>
      </c>
      <c r="N359" s="97">
        <f t="shared" si="35"/>
        <v>0</v>
      </c>
      <c r="P359" s="50" t="s">
        <v>444</v>
      </c>
    </row>
    <row r="360" spans="2:16">
      <c r="F360" s="49"/>
      <c r="G360" s="89"/>
      <c r="H360" s="89"/>
      <c r="I360" s="89"/>
      <c r="J360" s="89"/>
      <c r="K360" s="89"/>
      <c r="L360" s="89"/>
      <c r="M360" s="89"/>
      <c r="N360" s="89"/>
    </row>
    <row r="361" spans="2:16">
      <c r="B361" s="3" t="s">
        <v>216</v>
      </c>
      <c r="F361" s="49"/>
      <c r="G361" s="89"/>
      <c r="H361" s="89"/>
      <c r="I361" s="89"/>
      <c r="J361" s="89"/>
      <c r="K361" s="89"/>
      <c r="L361" s="89"/>
      <c r="M361" s="89"/>
      <c r="N361" s="89"/>
    </row>
    <row r="362" spans="2:16">
      <c r="B362" t="s">
        <v>213</v>
      </c>
      <c r="D362" s="13" t="s">
        <v>338</v>
      </c>
      <c r="F362" s="72"/>
      <c r="G362" s="120">
        <f t="shared" ref="G362:N362" si="36">G20</f>
        <v>0</v>
      </c>
      <c r="H362" s="120">
        <f t="shared" si="36"/>
        <v>0</v>
      </c>
      <c r="I362" s="120">
        <f t="shared" si="36"/>
        <v>0</v>
      </c>
      <c r="J362" s="120">
        <f t="shared" si="36"/>
        <v>0</v>
      </c>
      <c r="K362" s="120">
        <f t="shared" si="36"/>
        <v>2760</v>
      </c>
      <c r="L362" s="120">
        <f t="shared" si="36"/>
        <v>0</v>
      </c>
      <c r="M362" s="120">
        <f t="shared" si="36"/>
        <v>2760</v>
      </c>
      <c r="N362" s="120">
        <f t="shared" si="36"/>
        <v>0</v>
      </c>
    </row>
    <row r="363" spans="2:16">
      <c r="B363" t="s">
        <v>214</v>
      </c>
      <c r="D363" s="13" t="s">
        <v>338</v>
      </c>
      <c r="F363" s="72"/>
      <c r="G363" s="97">
        <f t="shared" ref="G363:N364" si="37">(1-G$337)*G21</f>
        <v>0</v>
      </c>
      <c r="H363" s="97">
        <f t="shared" si="37"/>
        <v>0</v>
      </c>
      <c r="I363" s="97">
        <f t="shared" si="37"/>
        <v>0</v>
      </c>
      <c r="J363" s="97">
        <f t="shared" si="37"/>
        <v>0</v>
      </c>
      <c r="K363" s="97">
        <f t="shared" si="37"/>
        <v>4.7554756116265704</v>
      </c>
      <c r="L363" s="97">
        <f t="shared" si="37"/>
        <v>0</v>
      </c>
      <c r="M363" s="97">
        <f t="shared" si="37"/>
        <v>5.8685346882051945</v>
      </c>
      <c r="N363" s="97">
        <f t="shared" si="37"/>
        <v>0</v>
      </c>
    </row>
    <row r="364" spans="2:16">
      <c r="B364" t="s">
        <v>217</v>
      </c>
      <c r="D364" s="13" t="s">
        <v>338</v>
      </c>
      <c r="F364" s="72"/>
      <c r="G364" s="97">
        <f t="shared" si="37"/>
        <v>0</v>
      </c>
      <c r="H364" s="97">
        <f t="shared" si="37"/>
        <v>0</v>
      </c>
      <c r="I364" s="97">
        <f t="shared" si="37"/>
        <v>0</v>
      </c>
      <c r="J364" s="97">
        <f t="shared" si="37"/>
        <v>0</v>
      </c>
      <c r="K364" s="97">
        <f t="shared" si="37"/>
        <v>0.29721722572666065</v>
      </c>
      <c r="L364" s="97">
        <f t="shared" si="37"/>
        <v>0</v>
      </c>
      <c r="M364" s="97">
        <f t="shared" si="37"/>
        <v>0.40101653702735496</v>
      </c>
      <c r="N364" s="97">
        <f t="shared" si="37"/>
        <v>0</v>
      </c>
    </row>
    <row r="365" spans="2:16">
      <c r="F365" s="49"/>
      <c r="G365" s="89"/>
      <c r="H365" s="89"/>
      <c r="I365" s="89"/>
      <c r="J365" s="89"/>
      <c r="K365" s="89"/>
      <c r="L365" s="89"/>
      <c r="M365" s="89"/>
      <c r="N365" s="89"/>
    </row>
    <row r="366" spans="2:16">
      <c r="B366" s="3" t="s">
        <v>218</v>
      </c>
      <c r="F366" s="49"/>
      <c r="G366" s="89"/>
      <c r="H366" s="89"/>
      <c r="I366" s="89"/>
      <c r="J366" s="89"/>
      <c r="K366" s="89"/>
      <c r="L366" s="89"/>
      <c r="M366" s="89"/>
      <c r="N366" s="89"/>
    </row>
    <row r="367" spans="2:16">
      <c r="B367" t="s">
        <v>213</v>
      </c>
      <c r="D367" s="13" t="s">
        <v>338</v>
      </c>
      <c r="F367" s="72"/>
      <c r="G367" s="120">
        <f t="shared" ref="G367:N367" si="38">G25</f>
        <v>0</v>
      </c>
      <c r="H367" s="120">
        <f t="shared" si="38"/>
        <v>2760</v>
      </c>
      <c r="I367" s="120">
        <f t="shared" si="38"/>
        <v>0</v>
      </c>
      <c r="J367" s="120">
        <f t="shared" si="38"/>
        <v>2760</v>
      </c>
      <c r="K367" s="120">
        <f t="shared" si="38"/>
        <v>2760</v>
      </c>
      <c r="L367" s="120">
        <f t="shared" si="38"/>
        <v>0</v>
      </c>
      <c r="M367" s="120">
        <f t="shared" si="38"/>
        <v>2760</v>
      </c>
      <c r="N367" s="120">
        <f t="shared" si="38"/>
        <v>0</v>
      </c>
    </row>
    <row r="368" spans="2:16">
      <c r="B368" t="s">
        <v>214</v>
      </c>
      <c r="D368" s="13" t="s">
        <v>338</v>
      </c>
      <c r="F368" s="72"/>
      <c r="G368" s="97">
        <f t="shared" ref="G368:N369" si="39">(1-G$337)*G26</f>
        <v>0</v>
      </c>
      <c r="H368" s="97">
        <f t="shared" si="39"/>
        <v>7.5582692950610406</v>
      </c>
      <c r="I368" s="97">
        <f t="shared" si="39"/>
        <v>0</v>
      </c>
      <c r="J368" s="97">
        <f t="shared" si="39"/>
        <v>14.21343891822273</v>
      </c>
      <c r="K368" s="97">
        <f t="shared" si="39"/>
        <v>20.924092691156911</v>
      </c>
      <c r="L368" s="97">
        <f t="shared" si="39"/>
        <v>0</v>
      </c>
      <c r="M368" s="97">
        <f t="shared" si="39"/>
        <v>19.561782294017316</v>
      </c>
      <c r="N368" s="97">
        <f t="shared" si="39"/>
        <v>0</v>
      </c>
    </row>
    <row r="369" spans="2:14">
      <c r="B369" t="s">
        <v>215</v>
      </c>
      <c r="D369" s="13" t="s">
        <v>338</v>
      </c>
      <c r="F369" s="72"/>
      <c r="G369" s="97">
        <f t="shared" si="39"/>
        <v>0</v>
      </c>
      <c r="H369" s="97">
        <f t="shared" si="39"/>
        <v>0.71706657414681674</v>
      </c>
      <c r="I369" s="97">
        <f t="shared" si="39"/>
        <v>0</v>
      </c>
      <c r="J369" s="97">
        <f t="shared" si="39"/>
        <v>1.1663322617178595</v>
      </c>
      <c r="K369" s="97">
        <f t="shared" si="39"/>
        <v>2.0309843757988477</v>
      </c>
      <c r="L369" s="97">
        <f t="shared" si="39"/>
        <v>0</v>
      </c>
      <c r="M369" s="97">
        <f t="shared" si="39"/>
        <v>2.2007005080769479</v>
      </c>
      <c r="N369" s="97">
        <f t="shared" si="39"/>
        <v>0</v>
      </c>
    </row>
    <row r="370" spans="2:14">
      <c r="F370" s="49"/>
      <c r="G370" s="89"/>
      <c r="H370" s="89"/>
      <c r="I370" s="89"/>
      <c r="J370" s="89"/>
      <c r="K370" s="89"/>
      <c r="L370" s="89"/>
      <c r="M370" s="89"/>
      <c r="N370" s="89"/>
    </row>
    <row r="371" spans="2:14">
      <c r="B371" s="3" t="s">
        <v>219</v>
      </c>
      <c r="F371" s="49"/>
      <c r="G371" s="89"/>
      <c r="H371" s="89"/>
      <c r="I371" s="89"/>
      <c r="J371" s="89"/>
      <c r="K371" s="89"/>
      <c r="L371" s="89"/>
      <c r="M371" s="89"/>
      <c r="N371" s="89"/>
    </row>
    <row r="372" spans="2:14">
      <c r="B372" t="s">
        <v>213</v>
      </c>
      <c r="D372" s="13" t="s">
        <v>338</v>
      </c>
      <c r="F372" s="72"/>
      <c r="G372" s="120">
        <f t="shared" ref="G372:N372" si="40">G30</f>
        <v>0</v>
      </c>
      <c r="H372" s="120">
        <f t="shared" si="40"/>
        <v>0</v>
      </c>
      <c r="I372" s="120">
        <f t="shared" si="40"/>
        <v>0</v>
      </c>
      <c r="J372" s="120">
        <f t="shared" si="40"/>
        <v>2760</v>
      </c>
      <c r="K372" s="120">
        <f t="shared" si="40"/>
        <v>2760</v>
      </c>
      <c r="L372" s="120">
        <f t="shared" si="40"/>
        <v>0</v>
      </c>
      <c r="M372" s="120">
        <f t="shared" si="40"/>
        <v>2760</v>
      </c>
      <c r="N372" s="120">
        <f t="shared" si="40"/>
        <v>0</v>
      </c>
    </row>
    <row r="373" spans="2:14">
      <c r="B373" t="s">
        <v>214</v>
      </c>
      <c r="D373" s="13" t="s">
        <v>338</v>
      </c>
      <c r="F373" s="72"/>
      <c r="G373" s="97">
        <f t="shared" ref="G373:N374" si="41">(1-G$337)*G31</f>
        <v>0</v>
      </c>
      <c r="H373" s="97">
        <f t="shared" si="41"/>
        <v>0</v>
      </c>
      <c r="I373" s="97">
        <f t="shared" si="41"/>
        <v>0</v>
      </c>
      <c r="J373" s="97">
        <f t="shared" si="41"/>
        <v>7.1067194591113649</v>
      </c>
      <c r="K373" s="97">
        <f t="shared" si="41"/>
        <v>10.462046345578456</v>
      </c>
      <c r="L373" s="97">
        <f t="shared" si="41"/>
        <v>0</v>
      </c>
      <c r="M373" s="97">
        <f t="shared" si="41"/>
        <v>9.7808911470086581</v>
      </c>
      <c r="N373" s="97">
        <f t="shared" si="41"/>
        <v>0</v>
      </c>
    </row>
    <row r="374" spans="2:14">
      <c r="B374" t="s">
        <v>217</v>
      </c>
      <c r="D374" s="13" t="s">
        <v>338</v>
      </c>
      <c r="F374" s="72"/>
      <c r="G374" s="97">
        <f t="shared" si="41"/>
        <v>0</v>
      </c>
      <c r="H374" s="97">
        <f t="shared" si="41"/>
        <v>0</v>
      </c>
      <c r="I374" s="97">
        <f t="shared" si="41"/>
        <v>0</v>
      </c>
      <c r="J374" s="97">
        <f t="shared" si="41"/>
        <v>0.40525104008840879</v>
      </c>
      <c r="K374" s="97">
        <f t="shared" si="41"/>
        <v>0.69350686002887485</v>
      </c>
      <c r="L374" s="97">
        <f t="shared" si="41"/>
        <v>0</v>
      </c>
      <c r="M374" s="97">
        <f t="shared" si="41"/>
        <v>0.76290950946667535</v>
      </c>
      <c r="N374" s="97">
        <f t="shared" si="41"/>
        <v>0</v>
      </c>
    </row>
    <row r="375" spans="2:14">
      <c r="F375" s="49"/>
      <c r="G375" s="89"/>
      <c r="H375" s="89"/>
      <c r="I375" s="89"/>
      <c r="J375" s="89"/>
      <c r="K375" s="89"/>
      <c r="L375" s="89"/>
      <c r="M375" s="89"/>
      <c r="N375" s="89"/>
    </row>
    <row r="376" spans="2:14">
      <c r="B376" s="3" t="s">
        <v>220</v>
      </c>
      <c r="F376" s="49"/>
      <c r="G376" s="89"/>
      <c r="H376" s="89"/>
      <c r="I376" s="89"/>
      <c r="J376" s="89"/>
      <c r="K376" s="89"/>
      <c r="L376" s="89"/>
      <c r="M376" s="89"/>
      <c r="N376" s="89"/>
    </row>
    <row r="377" spans="2:14">
      <c r="B377" t="s">
        <v>213</v>
      </c>
      <c r="D377" s="13" t="s">
        <v>338</v>
      </c>
      <c r="F377" s="72"/>
      <c r="G377" s="120">
        <f t="shared" ref="G377:N377" si="42">G35</f>
        <v>0</v>
      </c>
      <c r="H377" s="120">
        <f t="shared" si="42"/>
        <v>2760</v>
      </c>
      <c r="I377" s="120">
        <f t="shared" si="42"/>
        <v>2760</v>
      </c>
      <c r="J377" s="120">
        <f t="shared" si="42"/>
        <v>2760</v>
      </c>
      <c r="K377" s="120">
        <f t="shared" si="42"/>
        <v>2760</v>
      </c>
      <c r="L377" s="120">
        <f t="shared" si="42"/>
        <v>0</v>
      </c>
      <c r="M377" s="120">
        <f t="shared" si="42"/>
        <v>2760</v>
      </c>
      <c r="N377" s="120">
        <f t="shared" si="42"/>
        <v>2760</v>
      </c>
    </row>
    <row r="378" spans="2:14">
      <c r="B378" t="s">
        <v>214</v>
      </c>
      <c r="D378" s="13" t="s">
        <v>338</v>
      </c>
      <c r="F378" s="72"/>
      <c r="G378" s="97">
        <f t="shared" ref="G378:N379" si="43">(1-G$337)*G36</f>
        <v>0</v>
      </c>
      <c r="H378" s="97">
        <f t="shared" si="43"/>
        <v>20.116624431470157</v>
      </c>
      <c r="I378" s="97">
        <f t="shared" si="43"/>
        <v>18.174597703275595</v>
      </c>
      <c r="J378" s="97">
        <f t="shared" si="43"/>
        <v>18.196760117140503</v>
      </c>
      <c r="K378" s="97">
        <f t="shared" si="43"/>
        <v>25.322907631911487</v>
      </c>
      <c r="L378" s="97">
        <f t="shared" si="43"/>
        <v>0</v>
      </c>
      <c r="M378" s="97">
        <f t="shared" si="43"/>
        <v>22.496049638119914</v>
      </c>
      <c r="N378" s="97">
        <f t="shared" si="43"/>
        <v>27.979835270967406</v>
      </c>
    </row>
    <row r="379" spans="2:14">
      <c r="B379" t="s">
        <v>215</v>
      </c>
      <c r="D379" s="13" t="s">
        <v>338</v>
      </c>
      <c r="F379" s="72"/>
      <c r="G379" s="97">
        <f t="shared" si="43"/>
        <v>0</v>
      </c>
      <c r="H379" s="97">
        <f t="shared" si="43"/>
        <v>1.9283276791245476</v>
      </c>
      <c r="I379" s="97">
        <f t="shared" si="43"/>
        <v>1.8009990265366331</v>
      </c>
      <c r="J379" s="97">
        <f t="shared" si="43"/>
        <v>1.789035079414683</v>
      </c>
      <c r="K379" s="97">
        <f t="shared" si="43"/>
        <v>2.1003350618017356</v>
      </c>
      <c r="L379" s="97">
        <f t="shared" si="43"/>
        <v>0</v>
      </c>
      <c r="M379" s="97">
        <f t="shared" si="43"/>
        <v>2.3963183310171212</v>
      </c>
      <c r="N379" s="97">
        <f t="shared" si="43"/>
        <v>3.0783107991877188</v>
      </c>
    </row>
    <row r="380" spans="2:14">
      <c r="F380" s="49"/>
      <c r="G380" s="89"/>
      <c r="H380" s="89"/>
      <c r="I380" s="89"/>
      <c r="J380" s="89"/>
      <c r="K380" s="89"/>
      <c r="L380" s="89"/>
      <c r="M380" s="89"/>
      <c r="N380" s="89"/>
    </row>
    <row r="381" spans="2:14">
      <c r="B381" s="3" t="s">
        <v>221</v>
      </c>
      <c r="F381" s="49"/>
      <c r="G381" s="89"/>
      <c r="H381" s="89"/>
      <c r="I381" s="89"/>
      <c r="J381" s="89"/>
      <c r="K381" s="89"/>
      <c r="L381" s="89"/>
      <c r="M381" s="89"/>
      <c r="N381" s="89"/>
    </row>
    <row r="382" spans="2:14">
      <c r="B382" t="s">
        <v>213</v>
      </c>
      <c r="D382" s="13" t="s">
        <v>338</v>
      </c>
      <c r="F382" s="72"/>
      <c r="G382" s="120">
        <f t="shared" ref="G382:N382" si="44">G40</f>
        <v>0</v>
      </c>
      <c r="H382" s="120">
        <f t="shared" si="44"/>
        <v>2760</v>
      </c>
      <c r="I382" s="120">
        <f t="shared" si="44"/>
        <v>0</v>
      </c>
      <c r="J382" s="120">
        <f t="shared" si="44"/>
        <v>2760</v>
      </c>
      <c r="K382" s="120">
        <f t="shared" si="44"/>
        <v>2760</v>
      </c>
      <c r="L382" s="120">
        <f t="shared" si="44"/>
        <v>0</v>
      </c>
      <c r="M382" s="120">
        <f t="shared" si="44"/>
        <v>2760</v>
      </c>
      <c r="N382" s="120">
        <f t="shared" si="44"/>
        <v>0</v>
      </c>
    </row>
    <row r="383" spans="2:14">
      <c r="B383" t="s">
        <v>214</v>
      </c>
      <c r="D383" s="13" t="s">
        <v>338</v>
      </c>
      <c r="F383" s="72"/>
      <c r="G383" s="97">
        <f t="shared" ref="G383:N384" si="45">(1-G$337)*G41</f>
        <v>0</v>
      </c>
      <c r="H383" s="97">
        <f t="shared" si="45"/>
        <v>10.058312215735079</v>
      </c>
      <c r="I383" s="97">
        <f t="shared" si="45"/>
        <v>0</v>
      </c>
      <c r="J383" s="97">
        <f t="shared" si="45"/>
        <v>9.1033221444249897</v>
      </c>
      <c r="K383" s="97">
        <f t="shared" si="45"/>
        <v>12.661453815955744</v>
      </c>
      <c r="L383" s="97">
        <f t="shared" si="45"/>
        <v>0</v>
      </c>
      <c r="M383" s="97">
        <f t="shared" si="45"/>
        <v>11.248024819059957</v>
      </c>
      <c r="N383" s="97">
        <f t="shared" si="45"/>
        <v>0</v>
      </c>
    </row>
    <row r="384" spans="2:14">
      <c r="B384" t="s">
        <v>217</v>
      </c>
      <c r="D384" s="13" t="s">
        <v>338</v>
      </c>
      <c r="F384" s="72"/>
      <c r="G384" s="97">
        <f t="shared" si="45"/>
        <v>0</v>
      </c>
      <c r="H384" s="97">
        <f t="shared" si="45"/>
        <v>0.65892604110788566</v>
      </c>
      <c r="I384" s="97">
        <f t="shared" si="45"/>
        <v>0</v>
      </c>
      <c r="J384" s="97">
        <f t="shared" si="45"/>
        <v>0.62270281769682334</v>
      </c>
      <c r="K384" s="97">
        <f t="shared" si="45"/>
        <v>0.72322858260154088</v>
      </c>
      <c r="L384" s="97">
        <f t="shared" si="45"/>
        <v>0</v>
      </c>
      <c r="M384" s="97">
        <f t="shared" si="45"/>
        <v>0.83137574749573595</v>
      </c>
      <c r="N384" s="97">
        <f t="shared" si="45"/>
        <v>0</v>
      </c>
    </row>
    <row r="385" spans="2:14">
      <c r="F385" s="49"/>
      <c r="G385" s="89"/>
      <c r="H385" s="89"/>
      <c r="I385" s="89"/>
      <c r="J385" s="89"/>
      <c r="K385" s="89"/>
      <c r="L385" s="89"/>
      <c r="M385" s="89"/>
      <c r="N385" s="89"/>
    </row>
    <row r="386" spans="2:14">
      <c r="F386" s="49"/>
      <c r="G386" s="89"/>
      <c r="H386" s="89"/>
      <c r="I386" s="89"/>
      <c r="J386" s="89"/>
      <c r="K386" s="89"/>
      <c r="L386" s="89"/>
      <c r="M386" s="89"/>
      <c r="N386" s="89"/>
    </row>
    <row r="387" spans="2:14">
      <c r="F387" s="49"/>
      <c r="G387" s="89"/>
      <c r="H387" s="89"/>
      <c r="I387" s="89"/>
      <c r="J387" s="89"/>
      <c r="K387" s="89"/>
      <c r="L387" s="89"/>
      <c r="M387" s="89"/>
      <c r="N387" s="89"/>
    </row>
    <row r="388" spans="2:14">
      <c r="F388" s="49"/>
      <c r="G388" s="89"/>
      <c r="H388" s="89"/>
      <c r="I388" s="89"/>
      <c r="J388" s="89"/>
      <c r="K388" s="89"/>
      <c r="L388" s="89"/>
      <c r="M388" s="89"/>
      <c r="N388" s="89"/>
    </row>
    <row r="389" spans="2:14">
      <c r="F389" s="49"/>
      <c r="G389" s="89"/>
      <c r="H389" s="89"/>
      <c r="I389" s="89"/>
      <c r="J389" s="89"/>
      <c r="K389" s="89"/>
      <c r="L389" s="89"/>
      <c r="M389" s="89"/>
      <c r="N389" s="89"/>
    </row>
    <row r="390" spans="2:14">
      <c r="B390" s="3" t="s">
        <v>50</v>
      </c>
      <c r="F390" s="49"/>
      <c r="G390" s="89"/>
      <c r="H390" s="89"/>
      <c r="I390" s="89"/>
      <c r="J390" s="89"/>
      <c r="K390" s="89"/>
      <c r="L390" s="89"/>
      <c r="M390" s="89"/>
      <c r="N390" s="89"/>
    </row>
    <row r="391" spans="2:14">
      <c r="F391" s="49"/>
      <c r="G391" s="89"/>
      <c r="H391" s="89"/>
      <c r="I391" s="89"/>
      <c r="J391" s="89"/>
      <c r="K391" s="89"/>
      <c r="L391" s="89"/>
      <c r="M391" s="89"/>
      <c r="N391" s="89"/>
    </row>
    <row r="392" spans="2:14">
      <c r="F392" s="49"/>
      <c r="G392" s="89"/>
      <c r="H392" s="89"/>
      <c r="I392" s="89"/>
      <c r="J392" s="89"/>
      <c r="K392" s="89"/>
      <c r="L392" s="89"/>
      <c r="M392" s="89"/>
      <c r="N392" s="89"/>
    </row>
    <row r="393" spans="2:14">
      <c r="B393" s="3" t="s">
        <v>222</v>
      </c>
      <c r="F393" s="49"/>
      <c r="G393" s="89"/>
      <c r="H393" s="89"/>
      <c r="I393" s="89"/>
      <c r="J393" s="89"/>
      <c r="K393" s="89"/>
      <c r="L393" s="89"/>
      <c r="M393" s="89"/>
      <c r="N393" s="89"/>
    </row>
    <row r="394" spans="2:14">
      <c r="B394" t="s">
        <v>213</v>
      </c>
      <c r="D394" s="13" t="s">
        <v>338</v>
      </c>
      <c r="F394" s="72"/>
      <c r="G394" s="120">
        <f t="shared" ref="G394:N394" si="46">G52</f>
        <v>0</v>
      </c>
      <c r="H394" s="120">
        <f t="shared" si="46"/>
        <v>0</v>
      </c>
      <c r="I394" s="120">
        <f t="shared" si="46"/>
        <v>441</v>
      </c>
      <c r="J394" s="120">
        <f t="shared" si="46"/>
        <v>441</v>
      </c>
      <c r="K394" s="120">
        <f t="shared" si="46"/>
        <v>0</v>
      </c>
      <c r="L394" s="120">
        <f t="shared" si="46"/>
        <v>441</v>
      </c>
      <c r="M394" s="120">
        <f t="shared" si="46"/>
        <v>0</v>
      </c>
      <c r="N394" s="120">
        <f t="shared" si="46"/>
        <v>0</v>
      </c>
    </row>
    <row r="395" spans="2:14">
      <c r="B395" t="s">
        <v>223</v>
      </c>
      <c r="D395" s="13" t="s">
        <v>338</v>
      </c>
      <c r="F395" s="72"/>
      <c r="G395" s="97">
        <f t="shared" ref="G395:N397" si="47">(1-G$337)*G53</f>
        <v>0</v>
      </c>
      <c r="H395" s="97">
        <f t="shared" si="47"/>
        <v>0</v>
      </c>
      <c r="I395" s="97">
        <f t="shared" si="47"/>
        <v>15.628023810914655</v>
      </c>
      <c r="J395" s="97">
        <f t="shared" si="47"/>
        <v>13.501778555140646</v>
      </c>
      <c r="K395" s="97">
        <f t="shared" si="47"/>
        <v>0</v>
      </c>
      <c r="L395" s="97">
        <f t="shared" si="47"/>
        <v>21.884597176843265</v>
      </c>
      <c r="M395" s="97">
        <f t="shared" si="47"/>
        <v>0</v>
      </c>
      <c r="N395" s="97">
        <f t="shared" si="47"/>
        <v>0</v>
      </c>
    </row>
    <row r="396" spans="2:14">
      <c r="B396" t="s">
        <v>215</v>
      </c>
      <c r="D396" s="13" t="s">
        <v>338</v>
      </c>
      <c r="F396" s="72"/>
      <c r="G396" s="97">
        <f t="shared" si="47"/>
        <v>0</v>
      </c>
      <c r="H396" s="97">
        <f t="shared" si="47"/>
        <v>0</v>
      </c>
      <c r="I396" s="97">
        <f t="shared" si="47"/>
        <v>1.3265422937393481</v>
      </c>
      <c r="J396" s="97">
        <f t="shared" si="47"/>
        <v>1.304710665650487</v>
      </c>
      <c r="K396" s="97">
        <f t="shared" si="47"/>
        <v>0</v>
      </c>
      <c r="L396" s="97">
        <f t="shared" si="47"/>
        <v>2.1418967449676387</v>
      </c>
      <c r="M396" s="97">
        <f t="shared" si="47"/>
        <v>0</v>
      </c>
      <c r="N396" s="97">
        <f t="shared" si="47"/>
        <v>0</v>
      </c>
    </row>
    <row r="397" spans="2:14">
      <c r="B397" t="s">
        <v>224</v>
      </c>
      <c r="D397" s="13" t="s">
        <v>338</v>
      </c>
      <c r="F397" s="72"/>
      <c r="G397" s="97">
        <f t="shared" si="47"/>
        <v>0</v>
      </c>
      <c r="H397" s="97">
        <f t="shared" si="47"/>
        <v>0</v>
      </c>
      <c r="I397" s="97">
        <f t="shared" si="47"/>
        <v>7.0684370396330229E-3</v>
      </c>
      <c r="J397" s="97">
        <f t="shared" si="47"/>
        <v>5.1397692889261605E-3</v>
      </c>
      <c r="K397" s="97">
        <f t="shared" si="47"/>
        <v>0</v>
      </c>
      <c r="L397" s="97">
        <f t="shared" si="47"/>
        <v>3.16628214473477E-3</v>
      </c>
      <c r="M397" s="97">
        <f t="shared" si="47"/>
        <v>0</v>
      </c>
      <c r="N397" s="97">
        <f t="shared" si="47"/>
        <v>0</v>
      </c>
    </row>
    <row r="398" spans="2:14">
      <c r="F398" s="49"/>
      <c r="G398" s="89"/>
      <c r="H398" s="89"/>
      <c r="I398" s="89"/>
      <c r="J398" s="89"/>
      <c r="K398" s="89"/>
      <c r="L398" s="89"/>
      <c r="M398" s="89"/>
      <c r="N398" s="89"/>
    </row>
    <row r="399" spans="2:14">
      <c r="B399" s="3" t="s">
        <v>225</v>
      </c>
      <c r="F399" s="49"/>
      <c r="G399" s="89"/>
      <c r="H399" s="89"/>
      <c r="I399" s="89"/>
      <c r="J399" s="89"/>
      <c r="K399" s="89"/>
      <c r="L399" s="89"/>
      <c r="M399" s="89"/>
      <c r="N399" s="89"/>
    </row>
    <row r="400" spans="2:14">
      <c r="B400" t="s">
        <v>213</v>
      </c>
      <c r="D400" s="13" t="s">
        <v>338</v>
      </c>
      <c r="F400" s="72"/>
      <c r="G400" s="120">
        <f t="shared" ref="G400:N400" si="48">G58</f>
        <v>441</v>
      </c>
      <c r="H400" s="120">
        <f t="shared" si="48"/>
        <v>441</v>
      </c>
      <c r="I400" s="120">
        <f t="shared" si="48"/>
        <v>441</v>
      </c>
      <c r="J400" s="120">
        <f t="shared" si="48"/>
        <v>441</v>
      </c>
      <c r="K400" s="120">
        <f t="shared" si="48"/>
        <v>441</v>
      </c>
      <c r="L400" s="120">
        <f t="shared" si="48"/>
        <v>441</v>
      </c>
      <c r="M400" s="120">
        <f t="shared" si="48"/>
        <v>441</v>
      </c>
      <c r="N400" s="120">
        <f t="shared" si="48"/>
        <v>441</v>
      </c>
    </row>
    <row r="401" spans="2:14">
      <c r="B401" t="s">
        <v>223</v>
      </c>
      <c r="D401" s="13" t="s">
        <v>338</v>
      </c>
      <c r="F401" s="72"/>
      <c r="G401" s="97">
        <f t="shared" ref="G401:N403" si="49">(1-G$337)*G59</f>
        <v>17.490769109628314</v>
      </c>
      <c r="H401" s="97">
        <f t="shared" si="49"/>
        <v>13.139760466798426</v>
      </c>
      <c r="I401" s="97">
        <f t="shared" si="49"/>
        <v>16.722179133487984</v>
      </c>
      <c r="J401" s="97">
        <f t="shared" si="49"/>
        <v>17.020543683713171</v>
      </c>
      <c r="K401" s="97">
        <f t="shared" si="49"/>
        <v>16.644164640692996</v>
      </c>
      <c r="L401" s="97">
        <f t="shared" si="49"/>
        <v>17.228299905174485</v>
      </c>
      <c r="M401" s="97">
        <f t="shared" si="49"/>
        <v>13.693247605812122</v>
      </c>
      <c r="N401" s="97">
        <f t="shared" si="49"/>
        <v>13.931736503540293</v>
      </c>
    </row>
    <row r="402" spans="2:14">
      <c r="B402" t="s">
        <v>215</v>
      </c>
      <c r="D402" s="13" t="s">
        <v>338</v>
      </c>
      <c r="F402" s="72"/>
      <c r="G402" s="97">
        <f t="shared" si="49"/>
        <v>1.6394564500982722</v>
      </c>
      <c r="H402" s="97">
        <f t="shared" si="49"/>
        <v>1.2887818156963058</v>
      </c>
      <c r="I402" s="97">
        <f t="shared" si="49"/>
        <v>1.6654399600231231</v>
      </c>
      <c r="J402" s="97">
        <f t="shared" si="49"/>
        <v>1.7099617057388958</v>
      </c>
      <c r="K402" s="97">
        <f t="shared" si="49"/>
        <v>1.5257150920635247</v>
      </c>
      <c r="L402" s="97">
        <f t="shared" si="49"/>
        <v>1.862518908667512</v>
      </c>
      <c r="M402" s="97">
        <f t="shared" si="49"/>
        <v>1.8583693179316449</v>
      </c>
      <c r="N402" s="97">
        <f t="shared" si="49"/>
        <v>1.7877475088066133</v>
      </c>
    </row>
    <row r="403" spans="2:14">
      <c r="B403" t="s">
        <v>224</v>
      </c>
      <c r="D403" s="13" t="s">
        <v>338</v>
      </c>
      <c r="F403" s="72"/>
      <c r="G403" s="97">
        <f t="shared" si="49"/>
        <v>8.5368146513992889E-3</v>
      </c>
      <c r="H403" s="97">
        <f t="shared" si="49"/>
        <v>9.7869897282200653E-3</v>
      </c>
      <c r="I403" s="97">
        <f t="shared" si="49"/>
        <v>1.0747897416428296E-2</v>
      </c>
      <c r="J403" s="97">
        <f t="shared" si="49"/>
        <v>9.8841717094733869E-3</v>
      </c>
      <c r="K403" s="97">
        <f t="shared" si="49"/>
        <v>9.4118788146775878E-3</v>
      </c>
      <c r="L403" s="97">
        <f t="shared" si="49"/>
        <v>1.14544912883052E-2</v>
      </c>
      <c r="M403" s="97">
        <f t="shared" si="49"/>
        <v>1.1150215907589871E-2</v>
      </c>
      <c r="N403" s="97">
        <f t="shared" si="49"/>
        <v>1.2059361893725085E-2</v>
      </c>
    </row>
    <row r="404" spans="2:14">
      <c r="F404" s="49"/>
      <c r="G404" s="89"/>
      <c r="H404" s="89"/>
      <c r="I404" s="89"/>
      <c r="J404" s="89"/>
      <c r="K404" s="89"/>
      <c r="L404" s="89"/>
      <c r="M404" s="89"/>
      <c r="N404" s="89"/>
    </row>
    <row r="405" spans="2:14">
      <c r="B405" s="3" t="s">
        <v>226</v>
      </c>
      <c r="F405" s="49"/>
      <c r="G405" s="89"/>
      <c r="H405" s="89"/>
      <c r="I405" s="89"/>
      <c r="J405" s="89"/>
      <c r="K405" s="89"/>
      <c r="L405" s="89"/>
      <c r="M405" s="89"/>
      <c r="N405" s="89"/>
    </row>
    <row r="406" spans="2:14">
      <c r="B406" t="s">
        <v>213</v>
      </c>
      <c r="D406" s="13" t="s">
        <v>338</v>
      </c>
      <c r="F406" s="72"/>
      <c r="G406" s="120">
        <f t="shared" ref="G406:N406" si="50">G64</f>
        <v>441</v>
      </c>
      <c r="H406" s="120">
        <f t="shared" si="50"/>
        <v>441</v>
      </c>
      <c r="I406" s="120">
        <f t="shared" si="50"/>
        <v>441</v>
      </c>
      <c r="J406" s="120">
        <f t="shared" si="50"/>
        <v>441</v>
      </c>
      <c r="K406" s="120">
        <f t="shared" si="50"/>
        <v>441</v>
      </c>
      <c r="L406" s="120">
        <f t="shared" si="50"/>
        <v>441</v>
      </c>
      <c r="M406" s="120">
        <f t="shared" si="50"/>
        <v>441</v>
      </c>
      <c r="N406" s="120">
        <f t="shared" si="50"/>
        <v>441</v>
      </c>
    </row>
    <row r="407" spans="2:14">
      <c r="B407" t="s">
        <v>223</v>
      </c>
      <c r="D407" s="13" t="s">
        <v>338</v>
      </c>
      <c r="F407" s="72"/>
      <c r="G407" s="97">
        <f t="shared" ref="G407:N409" si="51">(1-G$337)*G65</f>
        <v>19.547365366556324</v>
      </c>
      <c r="H407" s="97">
        <f t="shared" si="51"/>
        <v>23.779478012922812</v>
      </c>
      <c r="I407" s="97">
        <f t="shared" si="51"/>
        <v>27.750877473408551</v>
      </c>
      <c r="J407" s="97">
        <f t="shared" si="51"/>
        <v>25.926182393948693</v>
      </c>
      <c r="K407" s="97">
        <f t="shared" si="51"/>
        <v>24.728473180458167</v>
      </c>
      <c r="L407" s="97">
        <f t="shared" si="51"/>
        <v>23.979930949094218</v>
      </c>
      <c r="M407" s="97">
        <f t="shared" si="51"/>
        <v>22.007005080769481</v>
      </c>
      <c r="N407" s="97">
        <f t="shared" si="51"/>
        <v>27.905786557584886</v>
      </c>
    </row>
    <row r="408" spans="2:14">
      <c r="B408" t="s">
        <v>215</v>
      </c>
      <c r="D408" s="13" t="s">
        <v>338</v>
      </c>
      <c r="F408" s="72"/>
      <c r="G408" s="97">
        <f t="shared" si="51"/>
        <v>1.6394564500982722</v>
      </c>
      <c r="H408" s="97">
        <f t="shared" si="51"/>
        <v>1.2887818156963058</v>
      </c>
      <c r="I408" s="97">
        <f t="shared" si="51"/>
        <v>1.6654399600231231</v>
      </c>
      <c r="J408" s="97">
        <f t="shared" si="51"/>
        <v>1.7099617057388958</v>
      </c>
      <c r="K408" s="97">
        <f t="shared" si="51"/>
        <v>1.5257150920635247</v>
      </c>
      <c r="L408" s="97">
        <f t="shared" si="51"/>
        <v>1.862518908667512</v>
      </c>
      <c r="M408" s="97">
        <f t="shared" si="51"/>
        <v>1.8583693179316449</v>
      </c>
      <c r="N408" s="97">
        <f t="shared" si="51"/>
        <v>1.7877475088066133</v>
      </c>
    </row>
    <row r="409" spans="2:14">
      <c r="B409" t="s">
        <v>224</v>
      </c>
      <c r="D409" s="13" t="s">
        <v>338</v>
      </c>
      <c r="F409" s="72"/>
      <c r="G409" s="97">
        <f t="shared" si="51"/>
        <v>8.5368146513992889E-3</v>
      </c>
      <c r="H409" s="97">
        <f t="shared" si="51"/>
        <v>9.7869897282200653E-3</v>
      </c>
      <c r="I409" s="97">
        <f t="shared" si="51"/>
        <v>1.0747897416428296E-2</v>
      </c>
      <c r="J409" s="97">
        <f t="shared" si="51"/>
        <v>9.8841717094733869E-3</v>
      </c>
      <c r="K409" s="97">
        <f t="shared" si="51"/>
        <v>9.4118788146775878E-3</v>
      </c>
      <c r="L409" s="97">
        <f t="shared" si="51"/>
        <v>1.14544912883052E-2</v>
      </c>
      <c r="M409" s="97">
        <f t="shared" si="51"/>
        <v>1.1150215907589871E-2</v>
      </c>
      <c r="N409" s="97">
        <f t="shared" si="51"/>
        <v>1.2059361893725085E-2</v>
      </c>
    </row>
    <row r="410" spans="2:14">
      <c r="F410" s="49"/>
      <c r="G410" s="89"/>
      <c r="H410" s="89"/>
      <c r="I410" s="89"/>
      <c r="J410" s="89"/>
      <c r="K410" s="89"/>
      <c r="L410" s="89"/>
      <c r="M410" s="89"/>
      <c r="N410" s="89"/>
    </row>
    <row r="411" spans="2:14">
      <c r="F411" s="49"/>
      <c r="G411" s="89"/>
      <c r="H411" s="89"/>
      <c r="I411" s="89"/>
      <c r="J411" s="89"/>
      <c r="K411" s="89"/>
      <c r="L411" s="89"/>
      <c r="M411" s="89"/>
      <c r="N411" s="89"/>
    </row>
    <row r="412" spans="2:14">
      <c r="F412" s="49"/>
      <c r="G412" s="89"/>
      <c r="H412" s="89"/>
      <c r="I412" s="89"/>
      <c r="J412" s="89"/>
      <c r="K412" s="89"/>
      <c r="L412" s="89"/>
      <c r="M412" s="89"/>
      <c r="N412" s="89"/>
    </row>
    <row r="413" spans="2:14">
      <c r="F413" s="49"/>
      <c r="G413" s="89"/>
      <c r="H413" s="89"/>
      <c r="I413" s="89"/>
      <c r="J413" s="89"/>
      <c r="K413" s="89"/>
      <c r="L413" s="89"/>
      <c r="M413" s="89"/>
      <c r="N413" s="89"/>
    </row>
    <row r="414" spans="2:14">
      <c r="F414" s="49"/>
      <c r="G414" s="89"/>
      <c r="H414" s="89"/>
      <c r="I414" s="89"/>
      <c r="J414" s="89"/>
      <c r="K414" s="89"/>
      <c r="L414" s="89"/>
      <c r="M414" s="89"/>
      <c r="N414" s="89"/>
    </row>
    <row r="415" spans="2:14">
      <c r="B415" s="3" t="s">
        <v>51</v>
      </c>
      <c r="F415" s="49"/>
      <c r="G415" s="89"/>
      <c r="H415" s="89"/>
      <c r="I415" s="89"/>
      <c r="J415" s="89"/>
      <c r="K415" s="89"/>
      <c r="L415" s="89"/>
      <c r="M415" s="89"/>
      <c r="N415" s="89"/>
    </row>
    <row r="416" spans="2:14">
      <c r="F416" s="49"/>
      <c r="G416" s="89"/>
      <c r="H416" s="89"/>
      <c r="I416" s="89"/>
      <c r="J416" s="89"/>
      <c r="K416" s="89"/>
      <c r="L416" s="89"/>
      <c r="M416" s="89"/>
      <c r="N416" s="89"/>
    </row>
    <row r="417" spans="2:14">
      <c r="F417" s="49"/>
      <c r="G417" s="89"/>
      <c r="H417" s="89"/>
      <c r="I417" s="89"/>
      <c r="J417" s="89"/>
      <c r="K417" s="89"/>
      <c r="L417" s="89"/>
      <c r="M417" s="89"/>
      <c r="N417" s="89"/>
    </row>
    <row r="418" spans="2:14">
      <c r="B418" s="3" t="s">
        <v>227</v>
      </c>
      <c r="F418" s="49"/>
      <c r="G418" s="89"/>
      <c r="H418" s="89"/>
      <c r="I418" s="89"/>
      <c r="J418" s="89"/>
      <c r="K418" s="89"/>
      <c r="L418" s="89"/>
      <c r="M418" s="89"/>
      <c r="N418" s="89"/>
    </row>
    <row r="419" spans="2:14">
      <c r="B419" t="s">
        <v>213</v>
      </c>
      <c r="D419" s="13" t="s">
        <v>338</v>
      </c>
      <c r="F419" s="72"/>
      <c r="G419" s="120">
        <f t="shared" ref="G419:N419" si="52">G77</f>
        <v>18</v>
      </c>
      <c r="H419" s="120">
        <f t="shared" si="52"/>
        <v>18</v>
      </c>
      <c r="I419" s="120">
        <f t="shared" si="52"/>
        <v>0</v>
      </c>
      <c r="J419" s="120">
        <f t="shared" si="52"/>
        <v>18</v>
      </c>
      <c r="K419" s="120">
        <f t="shared" si="52"/>
        <v>18</v>
      </c>
      <c r="L419" s="120">
        <f t="shared" si="52"/>
        <v>18</v>
      </c>
      <c r="M419" s="120">
        <f t="shared" si="52"/>
        <v>18</v>
      </c>
      <c r="N419" s="120">
        <f t="shared" si="52"/>
        <v>18</v>
      </c>
    </row>
    <row r="420" spans="2:14">
      <c r="B420" t="s">
        <v>223</v>
      </c>
      <c r="D420" s="13" t="s">
        <v>338</v>
      </c>
      <c r="F420" s="72"/>
      <c r="G420" s="97">
        <f t="shared" ref="G420:N422" si="53">(1-G$337)*G78</f>
        <v>8.3233942851143059</v>
      </c>
      <c r="H420" s="97">
        <f t="shared" si="53"/>
        <v>6.8605828985938686</v>
      </c>
      <c r="I420" s="97">
        <f t="shared" si="53"/>
        <v>0</v>
      </c>
      <c r="J420" s="97">
        <f t="shared" si="53"/>
        <v>5.6339778743998306</v>
      </c>
      <c r="K420" s="97">
        <f t="shared" si="53"/>
        <v>5.1121362824985637</v>
      </c>
      <c r="L420" s="97">
        <f t="shared" si="53"/>
        <v>8.1485202254203646</v>
      </c>
      <c r="M420" s="97">
        <f t="shared" si="53"/>
        <v>5.5946697360889521</v>
      </c>
      <c r="N420" s="97">
        <f t="shared" si="53"/>
        <v>7.9232123319299017</v>
      </c>
    </row>
    <row r="421" spans="2:14">
      <c r="B421" t="s">
        <v>228</v>
      </c>
      <c r="D421" s="13" t="s">
        <v>338</v>
      </c>
      <c r="F421" s="72"/>
      <c r="G421" s="97">
        <f t="shared" si="53"/>
        <v>2.0565962569280102E-2</v>
      </c>
      <c r="H421" s="97">
        <f t="shared" si="53"/>
        <v>2.5291131871935026E-2</v>
      </c>
      <c r="I421" s="97">
        <f t="shared" si="53"/>
        <v>0</v>
      </c>
      <c r="J421" s="97">
        <f t="shared" si="53"/>
        <v>1.7890350794146831E-2</v>
      </c>
      <c r="K421" s="97">
        <f t="shared" si="53"/>
        <v>1.4860861286333031E-2</v>
      </c>
      <c r="L421" s="97">
        <f t="shared" si="53"/>
        <v>2.2350226904010145E-2</v>
      </c>
      <c r="M421" s="97">
        <f t="shared" si="53"/>
        <v>2.0539871408718182E-2</v>
      </c>
      <c r="N421" s="97">
        <f t="shared" si="53"/>
        <v>2.1579910757192258E-2</v>
      </c>
    </row>
    <row r="422" spans="2:14">
      <c r="B422" t="s">
        <v>224</v>
      </c>
      <c r="D422" s="13" t="s">
        <v>338</v>
      </c>
      <c r="F422" s="72"/>
      <c r="G422" s="97">
        <f t="shared" si="53"/>
        <v>4.4139212118030409E-2</v>
      </c>
      <c r="H422" s="97">
        <f t="shared" si="53"/>
        <v>3.8275850917296302E-2</v>
      </c>
      <c r="I422" s="97">
        <f t="shared" si="53"/>
        <v>0</v>
      </c>
      <c r="J422" s="97">
        <f t="shared" si="53"/>
        <v>3.4100392397683185E-2</v>
      </c>
      <c r="K422" s="97">
        <f t="shared" si="53"/>
        <v>3.8341022118739222E-2</v>
      </c>
      <c r="L422" s="97">
        <f t="shared" si="53"/>
        <v>4.2279179226752527E-2</v>
      </c>
      <c r="M422" s="97">
        <f t="shared" si="53"/>
        <v>4.1079742817436364E-2</v>
      </c>
      <c r="N422" s="97">
        <f t="shared" si="53"/>
        <v>4.2842469885602273E-2</v>
      </c>
    </row>
    <row r="423" spans="2:14">
      <c r="F423" s="49"/>
      <c r="G423" s="89"/>
      <c r="H423" s="89"/>
      <c r="I423" s="89"/>
      <c r="J423" s="89"/>
      <c r="K423" s="89"/>
      <c r="L423" s="89"/>
      <c r="M423" s="89"/>
      <c r="N423" s="89"/>
    </row>
    <row r="424" spans="2:14">
      <c r="B424" s="3" t="s">
        <v>229</v>
      </c>
      <c r="F424" s="49"/>
      <c r="G424" s="89"/>
      <c r="H424" s="89"/>
      <c r="I424" s="89"/>
      <c r="J424" s="89"/>
      <c r="K424" s="89"/>
      <c r="L424" s="89"/>
      <c r="M424" s="89"/>
      <c r="N424" s="89"/>
    </row>
    <row r="425" spans="2:14">
      <c r="B425" t="s">
        <v>230</v>
      </c>
      <c r="D425" s="13" t="s">
        <v>338</v>
      </c>
      <c r="F425" s="72"/>
      <c r="G425" s="120">
        <f t="shared" ref="G425:N426" si="54">G83</f>
        <v>0.54</v>
      </c>
      <c r="H425" s="120">
        <f t="shared" si="54"/>
        <v>0.54</v>
      </c>
      <c r="I425" s="120">
        <f t="shared" si="54"/>
        <v>0.54</v>
      </c>
      <c r="J425" s="120">
        <f t="shared" si="54"/>
        <v>0.54</v>
      </c>
      <c r="K425" s="120">
        <f t="shared" si="54"/>
        <v>0.54</v>
      </c>
      <c r="L425" s="120">
        <f t="shared" si="54"/>
        <v>0.54</v>
      </c>
      <c r="M425" s="120">
        <f t="shared" si="54"/>
        <v>0.54</v>
      </c>
      <c r="N425" s="120">
        <f t="shared" si="54"/>
        <v>0.54</v>
      </c>
    </row>
    <row r="426" spans="2:14">
      <c r="B426" t="s">
        <v>231</v>
      </c>
      <c r="D426" s="13" t="s">
        <v>338</v>
      </c>
      <c r="F426" s="72"/>
      <c r="G426" s="120">
        <f t="shared" si="54"/>
        <v>18</v>
      </c>
      <c r="H426" s="120">
        <f t="shared" si="54"/>
        <v>18</v>
      </c>
      <c r="I426" s="120">
        <f t="shared" si="54"/>
        <v>18</v>
      </c>
      <c r="J426" s="120">
        <f t="shared" si="54"/>
        <v>18</v>
      </c>
      <c r="K426" s="120">
        <f t="shared" si="54"/>
        <v>18</v>
      </c>
      <c r="L426" s="120">
        <f t="shared" si="54"/>
        <v>18</v>
      </c>
      <c r="M426" s="120">
        <f t="shared" si="54"/>
        <v>18</v>
      </c>
      <c r="N426" s="120">
        <f t="shared" si="54"/>
        <v>18</v>
      </c>
    </row>
    <row r="427" spans="2:14">
      <c r="D427" s="13"/>
      <c r="F427" s="49"/>
      <c r="G427" s="89"/>
      <c r="H427" s="89"/>
      <c r="I427" s="89"/>
      <c r="J427" s="89"/>
      <c r="K427" s="89"/>
      <c r="L427" s="89"/>
      <c r="M427" s="89"/>
      <c r="N427" s="89"/>
    </row>
    <row r="428" spans="2:14">
      <c r="B428" s="3" t="s">
        <v>232</v>
      </c>
      <c r="F428" s="49"/>
      <c r="G428" s="89"/>
      <c r="H428" s="89"/>
      <c r="I428" s="89"/>
      <c r="J428" s="89"/>
      <c r="K428" s="89"/>
      <c r="L428" s="89"/>
      <c r="M428" s="89"/>
      <c r="N428" s="89"/>
    </row>
    <row r="429" spans="2:14">
      <c r="B429" t="s">
        <v>233</v>
      </c>
      <c r="D429" s="13" t="s">
        <v>338</v>
      </c>
      <c r="F429" s="72"/>
      <c r="G429" s="97">
        <f t="shared" ref="G429:N434" si="55">(1-G$337)*G87</f>
        <v>2168.1569029406146</v>
      </c>
      <c r="H429" s="97">
        <f t="shared" si="55"/>
        <v>1938.9867768483516</v>
      </c>
      <c r="I429" s="97">
        <f t="shared" si="55"/>
        <v>1802.4514451064208</v>
      </c>
      <c r="J429" s="97">
        <f t="shared" si="55"/>
        <v>1701.5601597858433</v>
      </c>
      <c r="K429" s="97">
        <f t="shared" si="55"/>
        <v>1771.4146653308974</v>
      </c>
      <c r="L429" s="97">
        <f t="shared" si="55"/>
        <v>1883.4722463900216</v>
      </c>
      <c r="M429" s="97">
        <f t="shared" si="55"/>
        <v>1799.6839710495931</v>
      </c>
      <c r="N429" s="97">
        <f t="shared" si="55"/>
        <v>2238.9157410586963</v>
      </c>
    </row>
    <row r="430" spans="2:14">
      <c r="B430" t="s">
        <v>234</v>
      </c>
      <c r="D430" s="13" t="s">
        <v>338</v>
      </c>
      <c r="F430" s="72"/>
      <c r="G430" s="97">
        <f t="shared" si="55"/>
        <v>1734.5255223524916</v>
      </c>
      <c r="H430" s="97">
        <f t="shared" si="55"/>
        <v>1551.1894214786814</v>
      </c>
      <c r="I430" s="97">
        <f t="shared" si="55"/>
        <v>1441.9611560851367</v>
      </c>
      <c r="J430" s="97">
        <f t="shared" si="55"/>
        <v>1361.2481278286748</v>
      </c>
      <c r="K430" s="97">
        <f t="shared" si="55"/>
        <v>1417.131732264718</v>
      </c>
      <c r="L430" s="97">
        <f t="shared" si="55"/>
        <v>1506.7777971120172</v>
      </c>
      <c r="M430" s="97">
        <f t="shared" si="55"/>
        <v>1439.7471768396745</v>
      </c>
      <c r="N430" s="97">
        <f t="shared" si="55"/>
        <v>1791.1325928469571</v>
      </c>
    </row>
    <row r="431" spans="2:14">
      <c r="B431" t="s">
        <v>235</v>
      </c>
      <c r="D431" s="13" t="s">
        <v>338</v>
      </c>
      <c r="F431" s="72"/>
      <c r="G431" s="97">
        <f t="shared" si="55"/>
        <v>1300.8941417643687</v>
      </c>
      <c r="H431" s="97">
        <f t="shared" si="55"/>
        <v>1163.392066109011</v>
      </c>
      <c r="I431" s="97">
        <f t="shared" si="55"/>
        <v>1081.4708670638524</v>
      </c>
      <c r="J431" s="97">
        <f t="shared" si="55"/>
        <v>1020.9360958715062</v>
      </c>
      <c r="K431" s="97">
        <f t="shared" si="55"/>
        <v>1062.8487991985385</v>
      </c>
      <c r="L431" s="97">
        <f t="shared" si="55"/>
        <v>1130.083347834013</v>
      </c>
      <c r="M431" s="97">
        <f t="shared" si="55"/>
        <v>1079.8103826297558</v>
      </c>
      <c r="N431" s="97">
        <f t="shared" si="55"/>
        <v>1343.3494446352179</v>
      </c>
    </row>
    <row r="432" spans="2:14">
      <c r="B432" t="s">
        <v>236</v>
      </c>
      <c r="D432" s="13" t="s">
        <v>338</v>
      </c>
      <c r="F432" s="72"/>
      <c r="G432" s="97">
        <f t="shared" si="55"/>
        <v>867.26276117624582</v>
      </c>
      <c r="H432" s="97">
        <f t="shared" si="55"/>
        <v>775.59471073934071</v>
      </c>
      <c r="I432" s="97">
        <f t="shared" si="55"/>
        <v>720.98057804256837</v>
      </c>
      <c r="J432" s="97">
        <f t="shared" si="55"/>
        <v>680.6240639143374</v>
      </c>
      <c r="K432" s="97">
        <f t="shared" si="55"/>
        <v>708.56586613235902</v>
      </c>
      <c r="L432" s="97">
        <f t="shared" si="55"/>
        <v>753.3888985560086</v>
      </c>
      <c r="M432" s="97">
        <f t="shared" si="55"/>
        <v>719.87358841983723</v>
      </c>
      <c r="N432" s="97">
        <f t="shared" si="55"/>
        <v>895.56629642347855</v>
      </c>
    </row>
    <row r="433" spans="2:14">
      <c r="B433" t="s">
        <v>237</v>
      </c>
      <c r="D433" s="13" t="s">
        <v>338</v>
      </c>
      <c r="F433" s="72"/>
      <c r="G433" s="97">
        <f t="shared" si="55"/>
        <v>173.45255223524919</v>
      </c>
      <c r="H433" s="97">
        <f t="shared" si="55"/>
        <v>155.11894214786815</v>
      </c>
      <c r="I433" s="97">
        <f t="shared" si="55"/>
        <v>144.19611560851365</v>
      </c>
      <c r="J433" s="97">
        <f t="shared" si="55"/>
        <v>136.12481278286748</v>
      </c>
      <c r="K433" s="97">
        <f t="shared" si="55"/>
        <v>141.71317322647178</v>
      </c>
      <c r="L433" s="97">
        <f t="shared" si="55"/>
        <v>150.67777971120174</v>
      </c>
      <c r="M433" s="97">
        <f t="shared" si="55"/>
        <v>143.97471768396744</v>
      </c>
      <c r="N433" s="97">
        <f t="shared" si="55"/>
        <v>179.11325928469572</v>
      </c>
    </row>
    <row r="434" spans="2:14">
      <c r="B434" t="s">
        <v>238</v>
      </c>
      <c r="D434" s="13" t="s">
        <v>338</v>
      </c>
      <c r="F434" s="72"/>
      <c r="G434" s="97">
        <f t="shared" si="55"/>
        <v>2.1681569029406145</v>
      </c>
      <c r="H434" s="97">
        <f t="shared" si="55"/>
        <v>1.9389867768483515</v>
      </c>
      <c r="I434" s="97">
        <f t="shared" si="55"/>
        <v>1.8024514451064206</v>
      </c>
      <c r="J434" s="97">
        <f t="shared" si="55"/>
        <v>1.7015601597858434</v>
      </c>
      <c r="K434" s="97">
        <f t="shared" si="55"/>
        <v>1.7714146653308975</v>
      </c>
      <c r="L434" s="97">
        <f t="shared" si="55"/>
        <v>1.8834722463900215</v>
      </c>
      <c r="M434" s="97">
        <f t="shared" si="55"/>
        <v>1.7996839710495931</v>
      </c>
      <c r="N434" s="97">
        <f t="shared" si="55"/>
        <v>2.2389157410586962</v>
      </c>
    </row>
    <row r="435" spans="2:14">
      <c r="F435" s="49"/>
      <c r="G435" s="89"/>
      <c r="H435" s="89"/>
      <c r="I435" s="89"/>
      <c r="J435" s="89"/>
      <c r="K435" s="89"/>
      <c r="L435" s="89"/>
      <c r="M435" s="89"/>
      <c r="N435" s="89"/>
    </row>
    <row r="436" spans="2:14">
      <c r="B436" t="s">
        <v>52</v>
      </c>
      <c r="F436" s="49"/>
      <c r="G436" s="89"/>
      <c r="H436" s="89"/>
      <c r="I436" s="89"/>
      <c r="J436" s="89"/>
      <c r="K436" s="89"/>
      <c r="L436" s="89"/>
      <c r="M436" s="89"/>
      <c r="N436" s="89"/>
    </row>
    <row r="437" spans="2:14">
      <c r="F437" s="49"/>
      <c r="G437" s="89"/>
      <c r="H437" s="89"/>
      <c r="I437" s="89"/>
      <c r="J437" s="89"/>
      <c r="K437" s="89"/>
      <c r="L437" s="89"/>
      <c r="M437" s="89"/>
      <c r="N437" s="89"/>
    </row>
    <row r="438" spans="2:14">
      <c r="F438" s="49"/>
      <c r="G438" s="89"/>
      <c r="H438" s="89"/>
      <c r="I438" s="89"/>
      <c r="J438" s="89"/>
      <c r="K438" s="89"/>
      <c r="L438" s="89"/>
      <c r="M438" s="89"/>
      <c r="N438" s="89"/>
    </row>
    <row r="439" spans="2:14">
      <c r="F439" s="49"/>
      <c r="G439" s="89"/>
      <c r="H439" s="89"/>
      <c r="I439" s="89"/>
      <c r="J439" s="89"/>
      <c r="K439" s="89"/>
      <c r="L439" s="89"/>
      <c r="M439" s="89"/>
      <c r="N439" s="89"/>
    </row>
    <row r="440" spans="2:14">
      <c r="F440" s="49"/>
      <c r="G440" s="89"/>
      <c r="H440" s="89"/>
      <c r="I440" s="89"/>
      <c r="J440" s="89"/>
      <c r="K440" s="89"/>
      <c r="L440" s="89"/>
      <c r="M440" s="89"/>
      <c r="N440" s="89"/>
    </row>
    <row r="441" spans="2:14">
      <c r="F441" s="49"/>
      <c r="G441" s="89"/>
      <c r="H441" s="89"/>
      <c r="I441" s="89"/>
      <c r="J441" s="89"/>
      <c r="K441" s="89"/>
      <c r="L441" s="89"/>
      <c r="M441" s="89"/>
      <c r="N441" s="89"/>
    </row>
    <row r="442" spans="2:14">
      <c r="B442" s="3" t="s">
        <v>53</v>
      </c>
      <c r="F442" s="49"/>
      <c r="G442" s="89"/>
      <c r="H442" s="89"/>
      <c r="I442" s="89"/>
      <c r="J442" s="89"/>
      <c r="K442" s="89"/>
      <c r="L442" s="89"/>
      <c r="M442" s="89"/>
      <c r="N442" s="89"/>
    </row>
    <row r="443" spans="2:14">
      <c r="F443" s="49"/>
      <c r="G443" s="89"/>
      <c r="H443" s="89"/>
      <c r="I443" s="89"/>
      <c r="J443" s="89"/>
      <c r="K443" s="89"/>
      <c r="L443" s="89"/>
      <c r="M443" s="89"/>
      <c r="N443" s="89"/>
    </row>
    <row r="444" spans="2:14">
      <c r="F444" s="49"/>
      <c r="G444" s="89"/>
      <c r="H444" s="89"/>
      <c r="I444" s="89"/>
      <c r="J444" s="89"/>
      <c r="K444" s="89"/>
      <c r="L444" s="89"/>
      <c r="M444" s="89"/>
      <c r="N444" s="89"/>
    </row>
    <row r="445" spans="2:14">
      <c r="B445" t="s">
        <v>239</v>
      </c>
      <c r="D445" s="13" t="s">
        <v>338</v>
      </c>
      <c r="F445" s="72"/>
      <c r="G445" s="97">
        <f t="shared" ref="G445:N446" si="56">(1-G$337)*G103</f>
        <v>1.5909518213971401E-2</v>
      </c>
      <c r="H445" s="97">
        <f t="shared" si="56"/>
        <v>1.453513325973277E-2</v>
      </c>
      <c r="I445" s="97">
        <f t="shared" si="56"/>
        <v>7.7462323722005729E-3</v>
      </c>
      <c r="J445" s="97">
        <f t="shared" si="56"/>
        <v>7.2154453479155722E-3</v>
      </c>
      <c r="K445" s="97">
        <f t="shared" si="56"/>
        <v>0</v>
      </c>
      <c r="L445" s="97">
        <f t="shared" si="56"/>
        <v>1.1081987506571698E-2</v>
      </c>
      <c r="M445" s="97">
        <f t="shared" si="56"/>
        <v>8.1181396520171867E-3</v>
      </c>
      <c r="N445" s="97">
        <f t="shared" si="56"/>
        <v>0</v>
      </c>
    </row>
    <row r="446" spans="2:14">
      <c r="B446" t="s">
        <v>240</v>
      </c>
      <c r="D446" s="13" t="s">
        <v>338</v>
      </c>
      <c r="F446" s="72"/>
      <c r="G446" s="97">
        <f t="shared" si="56"/>
        <v>2.3864277320957101E-2</v>
      </c>
      <c r="H446" s="97">
        <f t="shared" si="56"/>
        <v>1.453513325973277E-2</v>
      </c>
      <c r="I446" s="97">
        <f t="shared" si="56"/>
        <v>0</v>
      </c>
      <c r="J446" s="97">
        <f t="shared" si="56"/>
        <v>7.2154453479155722E-3</v>
      </c>
      <c r="K446" s="97">
        <f t="shared" si="56"/>
        <v>0</v>
      </c>
      <c r="L446" s="97">
        <f t="shared" si="56"/>
        <v>1.6762670178007606E-2</v>
      </c>
      <c r="M446" s="97">
        <f t="shared" si="56"/>
        <v>8.1181396520171867E-3</v>
      </c>
      <c r="N446" s="97">
        <f t="shared" si="56"/>
        <v>0</v>
      </c>
    </row>
    <row r="447" spans="2:14">
      <c r="G447" s="89"/>
      <c r="H447" s="89"/>
      <c r="I447" s="89"/>
      <c r="J447" s="89"/>
      <c r="K447" s="89"/>
      <c r="L447" s="89"/>
      <c r="M447" s="89"/>
      <c r="N447" s="89"/>
    </row>
    <row r="448" spans="2:14">
      <c r="G448" s="89"/>
      <c r="H448" s="89"/>
      <c r="I448" s="89"/>
      <c r="J448" s="89"/>
      <c r="K448" s="89"/>
      <c r="L448" s="89"/>
      <c r="M448" s="89"/>
      <c r="N448" s="89"/>
    </row>
    <row r="449" spans="2:15">
      <c r="G449" s="89"/>
      <c r="H449" s="89"/>
      <c r="I449" s="89"/>
      <c r="J449" s="89"/>
      <c r="K449" s="89"/>
      <c r="L449" s="89"/>
      <c r="M449" s="89"/>
      <c r="N449" s="89"/>
    </row>
    <row r="450" spans="2:15" s="2" customFormat="1">
      <c r="B450" s="2" t="s">
        <v>423</v>
      </c>
      <c r="G450" s="98"/>
      <c r="H450" s="98"/>
      <c r="I450" s="98"/>
      <c r="J450" s="98"/>
      <c r="K450" s="98"/>
      <c r="L450" s="98"/>
      <c r="M450" s="98"/>
      <c r="N450" s="98"/>
    </row>
    <row r="451" spans="2:15">
      <c r="G451" s="89"/>
      <c r="H451" s="89"/>
      <c r="I451" s="89"/>
      <c r="J451" s="89"/>
      <c r="K451" s="89"/>
      <c r="L451" s="89"/>
      <c r="M451" s="89"/>
      <c r="N451" s="89"/>
    </row>
    <row r="452" spans="2:15">
      <c r="G452" s="89"/>
      <c r="H452" s="89"/>
      <c r="I452" s="89"/>
      <c r="J452" s="89"/>
      <c r="K452" s="89"/>
      <c r="L452" s="89"/>
      <c r="M452" s="89"/>
      <c r="N452" s="89"/>
    </row>
    <row r="453" spans="2:15">
      <c r="B453" s="60" t="s">
        <v>325</v>
      </c>
      <c r="C453" s="13"/>
      <c r="D453" s="13"/>
      <c r="E453" s="13"/>
      <c r="F453" s="13"/>
      <c r="G453" s="99"/>
      <c r="H453" s="99"/>
      <c r="I453" s="99"/>
      <c r="J453" s="99"/>
      <c r="K453" s="99"/>
      <c r="L453" s="99"/>
      <c r="M453" s="99"/>
      <c r="N453" s="99"/>
      <c r="O453" s="13"/>
    </row>
    <row r="454" spans="2:15">
      <c r="B454" s="59" t="s">
        <v>251</v>
      </c>
      <c r="C454" s="13"/>
      <c r="D454" s="13" t="s">
        <v>338</v>
      </c>
      <c r="E454" s="13"/>
      <c r="F454" s="13"/>
      <c r="G454" s="122">
        <f t="shared" ref="G454:N459" si="57">(1-G$342)*G112</f>
        <v>7.1912374500745475</v>
      </c>
      <c r="H454" s="122">
        <f t="shared" si="57"/>
        <v>2.5971709583514948</v>
      </c>
      <c r="I454" s="122">
        <f t="shared" si="57"/>
        <v>8.0456439339106982</v>
      </c>
      <c r="J454" s="122">
        <f t="shared" si="57"/>
        <v>4.1942112725616845</v>
      </c>
      <c r="K454" s="122">
        <f t="shared" si="57"/>
        <v>9.6361410364998736</v>
      </c>
      <c r="L454" s="122">
        <f t="shared" si="57"/>
        <v>14.025837716914188</v>
      </c>
      <c r="M454" s="122">
        <f t="shared" si="57"/>
        <v>8.3646189767548318</v>
      </c>
      <c r="N454" s="122">
        <f t="shared" si="57"/>
        <v>3.1030086981048624</v>
      </c>
      <c r="O454" s="13"/>
    </row>
    <row r="455" spans="2:15">
      <c r="B455" s="59" t="s">
        <v>252</v>
      </c>
      <c r="C455" s="13"/>
      <c r="D455" s="13" t="s">
        <v>338</v>
      </c>
      <c r="E455" s="13"/>
      <c r="F455" s="13"/>
      <c r="G455" s="122">
        <f t="shared" si="57"/>
        <v>20.543616174942692</v>
      </c>
      <c r="H455" s="122">
        <f t="shared" si="57"/>
        <v>25.421720439393457</v>
      </c>
      <c r="I455" s="122">
        <f t="shared" si="57"/>
        <v>17.401495263572844</v>
      </c>
      <c r="J455" s="122">
        <f t="shared" si="57"/>
        <v>33.830666396606041</v>
      </c>
      <c r="K455" s="122">
        <f t="shared" si="57"/>
        <v>20.223999706234299</v>
      </c>
      <c r="L455" s="122">
        <f t="shared" si="57"/>
        <v>28.472450565335798</v>
      </c>
      <c r="M455" s="122">
        <f t="shared" si="57"/>
        <v>19.226870083571118</v>
      </c>
      <c r="N455" s="122">
        <f t="shared" si="57"/>
        <v>16.464944112393148</v>
      </c>
      <c r="O455" s="13"/>
    </row>
    <row r="456" spans="2:15">
      <c r="B456" s="59" t="s">
        <v>253</v>
      </c>
      <c r="C456" s="13"/>
      <c r="D456" s="13" t="s">
        <v>338</v>
      </c>
      <c r="E456" s="13"/>
      <c r="F456" s="13"/>
      <c r="G456" s="122">
        <f t="shared" si="57"/>
        <v>20.543616174942692</v>
      </c>
      <c r="H456" s="122">
        <f t="shared" si="57"/>
        <v>41.809820427864942</v>
      </c>
      <c r="I456" s="122">
        <f t="shared" si="57"/>
        <v>17.401495263572844</v>
      </c>
      <c r="J456" s="122">
        <f t="shared" si="57"/>
        <v>38.578830101392846</v>
      </c>
      <c r="K456" s="122">
        <f t="shared" si="57"/>
        <v>33.453033639446005</v>
      </c>
      <c r="L456" s="122">
        <f t="shared" si="57"/>
        <v>45.817736541919672</v>
      </c>
      <c r="M456" s="122">
        <f t="shared" si="57"/>
        <v>38.248052815254816</v>
      </c>
      <c r="N456" s="122">
        <f t="shared" si="57"/>
        <v>43.914031346087413</v>
      </c>
      <c r="O456" s="13"/>
    </row>
    <row r="457" spans="2:15">
      <c r="B457" s="59" t="s">
        <v>255</v>
      </c>
      <c r="C457" s="13"/>
      <c r="D457" s="13" t="s">
        <v>338</v>
      </c>
      <c r="E457" s="13"/>
      <c r="F457" s="13"/>
      <c r="G457" s="122">
        <f t="shared" si="57"/>
        <v>24.654282987620441</v>
      </c>
      <c r="H457" s="122">
        <f t="shared" si="57"/>
        <v>176.11874592868259</v>
      </c>
      <c r="I457" s="122">
        <f t="shared" si="57"/>
        <v>262.00265819041402</v>
      </c>
      <c r="J457" s="122">
        <f t="shared" si="57"/>
        <v>183.99134356048896</v>
      </c>
      <c r="K457" s="122">
        <f t="shared" si="57"/>
        <v>142.97570288989081</v>
      </c>
      <c r="L457" s="122">
        <f t="shared" si="57"/>
        <v>45.817736541919672</v>
      </c>
      <c r="M457" s="122">
        <f t="shared" si="57"/>
        <v>70.521377789970472</v>
      </c>
      <c r="N457" s="122">
        <f t="shared" si="57"/>
        <v>208.37293066258775</v>
      </c>
      <c r="O457" s="13"/>
    </row>
    <row r="458" spans="2:15">
      <c r="B458" s="59" t="s">
        <v>261</v>
      </c>
      <c r="C458" s="13"/>
      <c r="D458" s="13" t="s">
        <v>338</v>
      </c>
      <c r="E458" s="13"/>
      <c r="F458" s="13"/>
      <c r="G458" s="122">
        <f t="shared" si="57"/>
        <v>501.09311816902323</v>
      </c>
      <c r="H458" s="122">
        <f t="shared" si="57"/>
        <v>1216.3315471771332</v>
      </c>
      <c r="I458" s="122">
        <f t="shared" si="57"/>
        <v>753.33043159720444</v>
      </c>
      <c r="J458" s="122">
        <f t="shared" si="57"/>
        <v>731.019370382803</v>
      </c>
      <c r="K458" s="122">
        <f t="shared" si="57"/>
        <v>826.78880874117976</v>
      </c>
      <c r="L458" s="122">
        <f t="shared" si="57"/>
        <v>244.01856660847412</v>
      </c>
      <c r="M458" s="122">
        <f t="shared" si="57"/>
        <v>631.2642775782773</v>
      </c>
      <c r="N458" s="122">
        <f t="shared" si="57"/>
        <v>1550.1891113436932</v>
      </c>
      <c r="O458" s="13"/>
    </row>
    <row r="459" spans="2:15">
      <c r="B459" s="59" t="s">
        <v>262</v>
      </c>
      <c r="C459" s="13"/>
      <c r="D459" s="13" t="s">
        <v>338</v>
      </c>
      <c r="E459" s="13"/>
      <c r="F459" s="13"/>
      <c r="G459" s="122">
        <f t="shared" si="57"/>
        <v>1494.183655910354</v>
      </c>
      <c r="H459" s="122">
        <f t="shared" si="57"/>
        <v>8102.9289504370554</v>
      </c>
      <c r="I459" s="122">
        <f t="shared" si="57"/>
        <v>3191.4225850512967</v>
      </c>
      <c r="J459" s="122">
        <f t="shared" si="57"/>
        <v>2013.945810028019</v>
      </c>
      <c r="K459" s="122">
        <f t="shared" si="57"/>
        <v>8748.6852037853951</v>
      </c>
      <c r="L459" s="122">
        <f t="shared" si="57"/>
        <v>1785.9566692870731</v>
      </c>
      <c r="M459" s="122">
        <f t="shared" si="57"/>
        <v>6750.9727254420686</v>
      </c>
      <c r="N459" s="122">
        <f t="shared" si="57"/>
        <v>6195.0618757041702</v>
      </c>
      <c r="O459" s="13"/>
    </row>
    <row r="460" spans="2:15">
      <c r="B460" s="59" t="s">
        <v>260</v>
      </c>
      <c r="C460" s="13"/>
      <c r="D460" s="13"/>
      <c r="E460" s="13"/>
      <c r="F460" s="13"/>
      <c r="G460" s="101"/>
      <c r="H460" s="101"/>
      <c r="I460" s="101"/>
      <c r="J460" s="101"/>
      <c r="K460" s="101"/>
      <c r="L460" s="101"/>
      <c r="M460" s="101"/>
      <c r="N460" s="101"/>
      <c r="O460" s="13"/>
    </row>
    <row r="461" spans="2:15">
      <c r="B461" s="59" t="s">
        <v>326</v>
      </c>
      <c r="C461" s="13"/>
      <c r="D461" s="13" t="s">
        <v>338</v>
      </c>
      <c r="E461" s="13"/>
      <c r="F461" s="13"/>
      <c r="G461" s="122">
        <f t="shared" ref="G461:N461" si="58">(1-G$342)*G119</f>
        <v>0</v>
      </c>
      <c r="H461" s="122">
        <f t="shared" si="58"/>
        <v>1.9555169568764197</v>
      </c>
      <c r="I461" s="122">
        <f t="shared" si="58"/>
        <v>3.6879911880410927</v>
      </c>
      <c r="J461" s="122">
        <f t="shared" si="58"/>
        <v>2.8147730569613003</v>
      </c>
      <c r="K461" s="122">
        <f t="shared" si="58"/>
        <v>1.9034352664691108</v>
      </c>
      <c r="L461" s="122">
        <f t="shared" si="58"/>
        <v>14.353107263642185</v>
      </c>
      <c r="M461" s="122">
        <f t="shared" si="58"/>
        <v>6.5624059887889192</v>
      </c>
      <c r="N461" s="122">
        <f t="shared" si="58"/>
        <v>4.6545130471572937</v>
      </c>
      <c r="O461" s="13"/>
    </row>
    <row r="462" spans="2:15">
      <c r="B462" s="59" t="s">
        <v>260</v>
      </c>
      <c r="C462" s="13"/>
      <c r="D462" s="13"/>
      <c r="E462" s="13"/>
      <c r="F462" s="13"/>
      <c r="G462" s="101"/>
      <c r="H462" s="101"/>
      <c r="I462" s="101"/>
      <c r="J462" s="101"/>
      <c r="K462" s="101"/>
      <c r="L462" s="101"/>
      <c r="M462" s="101"/>
      <c r="N462" s="101"/>
      <c r="O462" s="13"/>
    </row>
    <row r="463" spans="2:15">
      <c r="B463" s="60" t="s">
        <v>327</v>
      </c>
      <c r="C463" s="13"/>
      <c r="D463" s="13"/>
      <c r="E463" s="13"/>
      <c r="F463" s="13"/>
      <c r="G463" s="101"/>
      <c r="H463" s="101"/>
      <c r="I463" s="101"/>
      <c r="J463" s="101"/>
      <c r="K463" s="101"/>
      <c r="L463" s="101"/>
      <c r="M463" s="101"/>
      <c r="N463" s="101"/>
      <c r="O463" s="13"/>
    </row>
    <row r="464" spans="2:15">
      <c r="B464" s="60" t="s">
        <v>328</v>
      </c>
      <c r="C464" s="13"/>
      <c r="D464" s="13"/>
      <c r="E464" s="13"/>
      <c r="F464" s="13"/>
      <c r="G464" s="101"/>
      <c r="H464" s="101"/>
      <c r="I464" s="101"/>
      <c r="J464" s="101"/>
      <c r="K464" s="101"/>
      <c r="L464" s="101"/>
      <c r="M464" s="101"/>
      <c r="N464" s="101"/>
      <c r="O464" s="13"/>
    </row>
    <row r="465" spans="2:15">
      <c r="B465" s="59" t="s">
        <v>251</v>
      </c>
      <c r="C465" s="13"/>
      <c r="D465" s="13" t="s">
        <v>338</v>
      </c>
      <c r="E465" s="13"/>
      <c r="F465" s="13"/>
      <c r="G465" s="100">
        <f t="shared" ref="G465:N469" si="59">(1-G$347)*G123</f>
        <v>438.41202330096041</v>
      </c>
      <c r="H465" s="100">
        <f t="shared" si="59"/>
        <v>384.83323112468508</v>
      </c>
      <c r="I465" s="100">
        <f t="shared" si="59"/>
        <v>451.99627003020925</v>
      </c>
      <c r="J465" s="100">
        <f t="shared" si="59"/>
        <v>372.42254279097682</v>
      </c>
      <c r="K465" s="100">
        <f t="shared" si="59"/>
        <v>427.33636581514912</v>
      </c>
      <c r="L465" s="100">
        <f t="shared" si="59"/>
        <v>473.15078427059831</v>
      </c>
      <c r="M465" s="100">
        <f t="shared" si="59"/>
        <v>432.13164780858443</v>
      </c>
      <c r="N465" s="100">
        <f t="shared" si="59"/>
        <v>438.78040376492407</v>
      </c>
      <c r="O465" s="13"/>
    </row>
    <row r="466" spans="2:15">
      <c r="B466" s="59" t="s">
        <v>252</v>
      </c>
      <c r="C466" s="13"/>
      <c r="D466" s="13" t="s">
        <v>338</v>
      </c>
      <c r="E466" s="13"/>
      <c r="F466" s="13"/>
      <c r="G466" s="100">
        <f t="shared" si="59"/>
        <v>691.35748745421984</v>
      </c>
      <c r="H466" s="100">
        <f t="shared" si="59"/>
        <v>730.22693521107169</v>
      </c>
      <c r="I466" s="100">
        <f t="shared" si="59"/>
        <v>712.38542559109067</v>
      </c>
      <c r="J466" s="100">
        <f t="shared" si="59"/>
        <v>717.8144171535763</v>
      </c>
      <c r="K466" s="100">
        <f t="shared" si="59"/>
        <v>710.53552510832401</v>
      </c>
      <c r="L466" s="100">
        <f t="shared" si="59"/>
        <v>800.03711448244314</v>
      </c>
      <c r="M466" s="100">
        <f t="shared" si="59"/>
        <v>619.05370941880938</v>
      </c>
      <c r="N466" s="100">
        <f t="shared" si="59"/>
        <v>835.20074952024049</v>
      </c>
      <c r="O466" s="13"/>
    </row>
    <row r="467" spans="2:15">
      <c r="B467" s="59" t="s">
        <v>253</v>
      </c>
      <c r="C467" s="13"/>
      <c r="D467" s="13" t="s">
        <v>338</v>
      </c>
      <c r="E467" s="13"/>
      <c r="F467" s="13"/>
      <c r="G467" s="100">
        <f t="shared" si="59"/>
        <v>1095.4281705476997</v>
      </c>
      <c r="H467" s="100">
        <f t="shared" si="59"/>
        <v>1144.7633014465766</v>
      </c>
      <c r="I467" s="100">
        <f t="shared" si="59"/>
        <v>1069.2601214697622</v>
      </c>
      <c r="J467" s="100">
        <f t="shared" si="59"/>
        <v>945.09347479064945</v>
      </c>
      <c r="K467" s="100">
        <f t="shared" si="59"/>
        <v>1182.9271075943075</v>
      </c>
      <c r="L467" s="100">
        <f t="shared" si="59"/>
        <v>1193.7240896519938</v>
      </c>
      <c r="M467" s="100">
        <f t="shared" si="59"/>
        <v>1096.0272165739409</v>
      </c>
      <c r="N467" s="100">
        <f t="shared" si="59"/>
        <v>1226.803615047294</v>
      </c>
      <c r="O467" s="13"/>
    </row>
    <row r="468" spans="2:15">
      <c r="B468" s="59" t="s">
        <v>255</v>
      </c>
      <c r="C468" s="13"/>
      <c r="D468" s="13" t="s">
        <v>338</v>
      </c>
      <c r="E468" s="13"/>
      <c r="F468" s="13"/>
      <c r="G468" s="100">
        <f t="shared" si="59"/>
        <v>13914.048842449094</v>
      </c>
      <c r="H468" s="100">
        <f t="shared" si="59"/>
        <v>6707.0183627683409</v>
      </c>
      <c r="I468" s="100">
        <f t="shared" si="59"/>
        <v>8553.6694338148063</v>
      </c>
      <c r="J468" s="100">
        <f t="shared" si="59"/>
        <v>5594.2758384075087</v>
      </c>
      <c r="K468" s="100">
        <f t="shared" si="59"/>
        <v>8796.0969284157945</v>
      </c>
      <c r="L468" s="100">
        <f t="shared" si="59"/>
        <v>7280.6500819910898</v>
      </c>
      <c r="M468" s="100">
        <f t="shared" si="59"/>
        <v>8931.0133203999958</v>
      </c>
      <c r="N468" s="100">
        <f t="shared" si="59"/>
        <v>6679.6527700641118</v>
      </c>
      <c r="O468" s="13"/>
    </row>
    <row r="469" spans="2:15">
      <c r="B469" s="59" t="s">
        <v>254</v>
      </c>
      <c r="C469" s="13"/>
      <c r="D469" s="13" t="s">
        <v>338</v>
      </c>
      <c r="E469" s="13"/>
      <c r="F469" s="13"/>
      <c r="G469" s="100">
        <f t="shared" si="59"/>
        <v>206776.96955232625</v>
      </c>
      <c r="H469" s="100">
        <f t="shared" si="59"/>
        <v>162577.5278822188</v>
      </c>
      <c r="I469" s="100">
        <f t="shared" si="59"/>
        <v>66566.852016391829</v>
      </c>
      <c r="J469" s="100">
        <f t="shared" si="59"/>
        <v>35949.260441205006</v>
      </c>
      <c r="K469" s="100">
        <f t="shared" si="59"/>
        <v>96869.558523752567</v>
      </c>
      <c r="L469" s="100">
        <f t="shared" si="59"/>
        <v>63566.139077681728</v>
      </c>
      <c r="M469" s="100">
        <f>(1-M$347)*M127</f>
        <v>83939.319785037485</v>
      </c>
      <c r="N469" s="100">
        <f t="shared" si="59"/>
        <v>80378.468184948084</v>
      </c>
      <c r="O469" s="13"/>
    </row>
    <row r="470" spans="2:15">
      <c r="B470" s="59" t="s">
        <v>260</v>
      </c>
      <c r="C470" s="13"/>
      <c r="D470" s="13"/>
      <c r="E470" s="13"/>
      <c r="F470" s="13"/>
      <c r="G470" s="101"/>
      <c r="H470" s="101"/>
      <c r="I470" s="101"/>
      <c r="J470" s="101"/>
      <c r="K470" s="101"/>
      <c r="L470" s="101"/>
      <c r="M470" s="101"/>
      <c r="N470" s="101"/>
      <c r="O470" s="13"/>
    </row>
    <row r="471" spans="2:15">
      <c r="B471" s="60" t="s">
        <v>329</v>
      </c>
      <c r="C471" s="13"/>
      <c r="D471" s="13"/>
      <c r="E471" s="13"/>
      <c r="F471" s="13"/>
      <c r="G471" s="101"/>
      <c r="H471" s="101"/>
      <c r="I471" s="101"/>
      <c r="J471" s="101"/>
      <c r="K471" s="101"/>
      <c r="L471" s="101"/>
      <c r="M471" s="101"/>
      <c r="N471" s="101"/>
      <c r="O471" s="13"/>
    </row>
    <row r="472" spans="2:15">
      <c r="B472" s="59" t="s">
        <v>251</v>
      </c>
      <c r="C472" s="13"/>
      <c r="D472" s="13" t="s">
        <v>338</v>
      </c>
      <c r="E472" s="13"/>
      <c r="F472" s="13"/>
      <c r="G472" s="100">
        <f t="shared" ref="G472:N476" si="60">(1-G$347)*G130</f>
        <v>20.585622102029678</v>
      </c>
      <c r="H472" s="100">
        <f t="shared" si="60"/>
        <v>19.103359038251256</v>
      </c>
      <c r="I472" s="100">
        <f t="shared" si="60"/>
        <v>30.067577962879138</v>
      </c>
      <c r="J472" s="100">
        <f t="shared" si="60"/>
        <v>17.519877685059392</v>
      </c>
      <c r="K472" s="100">
        <f t="shared" si="60"/>
        <v>21.214560678234243</v>
      </c>
      <c r="L472" s="100">
        <f t="shared" si="60"/>
        <v>23.068554834769834</v>
      </c>
      <c r="M472" s="100">
        <f t="shared" si="60"/>
        <v>21.003607998138172</v>
      </c>
      <c r="N472" s="100">
        <f t="shared" si="60"/>
        <v>21.752751548022001</v>
      </c>
      <c r="O472" s="13"/>
    </row>
    <row r="473" spans="2:15">
      <c r="B473" s="59" t="s">
        <v>252</v>
      </c>
      <c r="C473" s="13"/>
      <c r="D473" s="13" t="s">
        <v>338</v>
      </c>
      <c r="E473" s="13"/>
      <c r="F473" s="13"/>
      <c r="G473" s="100">
        <f t="shared" si="60"/>
        <v>20.938350515010672</v>
      </c>
      <c r="H473" s="100">
        <f t="shared" si="60"/>
        <v>31.099937002619452</v>
      </c>
      <c r="I473" s="100">
        <f t="shared" si="60"/>
        <v>31.148438608603545</v>
      </c>
      <c r="J473" s="100">
        <f t="shared" si="60"/>
        <v>19.922603767581823</v>
      </c>
      <c r="K473" s="100">
        <f t="shared" si="60"/>
        <v>28.015400704271062</v>
      </c>
      <c r="L473" s="100">
        <f t="shared" si="60"/>
        <v>26.995117359837039</v>
      </c>
      <c r="M473" s="100">
        <f t="shared" si="60"/>
        <v>29.445249490212849</v>
      </c>
      <c r="N473" s="100">
        <f t="shared" si="60"/>
        <v>31.419451670002253</v>
      </c>
      <c r="O473" s="13"/>
    </row>
    <row r="474" spans="2:15">
      <c r="B474" s="59" t="s">
        <v>253</v>
      </c>
      <c r="C474" s="13"/>
      <c r="D474" s="13" t="s">
        <v>338</v>
      </c>
      <c r="E474" s="13"/>
      <c r="F474" s="13"/>
      <c r="G474" s="100">
        <f t="shared" si="60"/>
        <v>29.315650323309274</v>
      </c>
      <c r="H474" s="100">
        <f t="shared" si="60"/>
        <v>39.56298493504697</v>
      </c>
      <c r="I474" s="100">
        <f t="shared" si="60"/>
        <v>40.355388751042433</v>
      </c>
      <c r="J474" s="100">
        <f t="shared" si="60"/>
        <v>25.819240368844675</v>
      </c>
      <c r="K474" s="100">
        <f t="shared" si="60"/>
        <v>37.340847981665441</v>
      </c>
      <c r="L474" s="100">
        <f t="shared" si="60"/>
        <v>34.889526361753703</v>
      </c>
      <c r="M474" s="100">
        <f t="shared" si="60"/>
        <v>37.46197078209191</v>
      </c>
      <c r="N474" s="100">
        <f t="shared" si="60"/>
        <v>37.235171366535781</v>
      </c>
      <c r="O474" s="13"/>
    </row>
    <row r="475" spans="2:15">
      <c r="B475" s="59" t="s">
        <v>255</v>
      </c>
      <c r="C475" s="13"/>
      <c r="D475" s="13" t="s">
        <v>338</v>
      </c>
      <c r="E475" s="13"/>
      <c r="F475" s="13"/>
      <c r="G475" s="100">
        <f t="shared" si="60"/>
        <v>67.274067858706545</v>
      </c>
      <c r="H475" s="100">
        <f t="shared" si="60"/>
        <v>64.15603145191227</v>
      </c>
      <c r="I475" s="100">
        <f t="shared" si="60"/>
        <v>74.350532138482635</v>
      </c>
      <c r="J475" s="100">
        <f t="shared" si="60"/>
        <v>37.367796897924315</v>
      </c>
      <c r="K475" s="100">
        <f t="shared" si="60"/>
        <v>62.638977528295065</v>
      </c>
      <c r="L475" s="100">
        <f t="shared" si="60"/>
        <v>59.066498863664755</v>
      </c>
      <c r="M475" s="100">
        <f t="shared" si="60"/>
        <v>60.031778458965995</v>
      </c>
      <c r="N475" s="100">
        <f t="shared" si="60"/>
        <v>95.886846812061819</v>
      </c>
      <c r="O475" s="13"/>
    </row>
    <row r="476" spans="2:15">
      <c r="B476" s="59" t="s">
        <v>254</v>
      </c>
      <c r="C476" s="13"/>
      <c r="D476" s="13" t="s">
        <v>338</v>
      </c>
      <c r="E476" s="13"/>
      <c r="F476" s="13"/>
      <c r="G476" s="100">
        <f t="shared" si="60"/>
        <v>178.72552725517531</v>
      </c>
      <c r="H476" s="100">
        <f t="shared" si="60"/>
        <v>175.73766514037496</v>
      </c>
      <c r="I476" s="100">
        <f t="shared" si="60"/>
        <v>185.12596682044514</v>
      </c>
      <c r="J476" s="100">
        <f t="shared" si="60"/>
        <v>95.12011843181277</v>
      </c>
      <c r="K476" s="100">
        <f t="shared" si="60"/>
        <v>174.61845840317193</v>
      </c>
      <c r="L476" s="100">
        <f t="shared" si="60"/>
        <v>131.24535240037133</v>
      </c>
      <c r="M476" s="100">
        <f t="shared" si="60"/>
        <v>165.68029562440339</v>
      </c>
      <c r="N476" s="100">
        <f t="shared" si="60"/>
        <v>179.03392061880152</v>
      </c>
      <c r="O476" s="13"/>
    </row>
    <row r="477" spans="2:15">
      <c r="B477" s="95"/>
      <c r="C477" s="13"/>
      <c r="D477" s="13"/>
      <c r="E477" s="13"/>
      <c r="F477" s="13"/>
      <c r="G477" s="11"/>
      <c r="H477" s="11"/>
      <c r="I477" s="11"/>
      <c r="J477" s="11"/>
      <c r="K477" s="11"/>
      <c r="L477" s="11"/>
      <c r="M477" s="11"/>
      <c r="N477" s="11"/>
      <c r="O477" s="13"/>
    </row>
    <row r="481" spans="2:16" s="54" customFormat="1">
      <c r="B481" s="55" t="s">
        <v>266</v>
      </c>
      <c r="C481" s="55"/>
      <c r="E481" s="56"/>
      <c r="F481" s="56"/>
      <c r="G481" s="56"/>
      <c r="H481" s="56"/>
      <c r="I481" s="56"/>
      <c r="J481" s="56"/>
      <c r="K481" s="56"/>
      <c r="L481" s="56"/>
    </row>
    <row r="484" spans="2:16">
      <c r="B484" s="3" t="s">
        <v>49</v>
      </c>
    </row>
    <row r="485" spans="2:16">
      <c r="B485" s="3"/>
    </row>
    <row r="486" spans="2:16">
      <c r="B486" s="3"/>
    </row>
    <row r="487" spans="2:16">
      <c r="B487" s="85" t="s">
        <v>212</v>
      </c>
    </row>
    <row r="488" spans="2:16">
      <c r="B488" t="s">
        <v>213</v>
      </c>
      <c r="D488" s="13" t="s">
        <v>338</v>
      </c>
      <c r="F488" s="102">
        <f>SUMPRODUCT(G357:N357,G144:N144)/F144</f>
        <v>2760</v>
      </c>
      <c r="P488" s="50" t="s">
        <v>1092</v>
      </c>
    </row>
    <row r="489" spans="2:16">
      <c r="B489" t="s">
        <v>214</v>
      </c>
      <c r="D489" s="13" t="s">
        <v>338</v>
      </c>
      <c r="F489" s="102">
        <f>SUMPRODUCT(G358:N358,G145:N145)/F145</f>
        <v>10.322849097053554</v>
      </c>
    </row>
    <row r="490" spans="2:16">
      <c r="B490" t="s">
        <v>215</v>
      </c>
      <c r="D490" s="13" t="s">
        <v>338</v>
      </c>
      <c r="F490" s="102">
        <f>SUMPRODUCT(G359:N359,G146:N146)/F146</f>
        <v>0.97812641837116776</v>
      </c>
    </row>
    <row r="492" spans="2:16">
      <c r="B492" s="3" t="s">
        <v>216</v>
      </c>
    </row>
    <row r="493" spans="2:16">
      <c r="B493" t="s">
        <v>213</v>
      </c>
      <c r="D493" s="13" t="s">
        <v>338</v>
      </c>
      <c r="F493" s="102">
        <f>SUMPRODUCT(G362:N362,G149:N149)/F149</f>
        <v>2760</v>
      </c>
    </row>
    <row r="494" spans="2:16">
      <c r="B494" t="s">
        <v>214</v>
      </c>
      <c r="D494" s="13" t="s">
        <v>338</v>
      </c>
      <c r="F494" s="102">
        <f>SUMPRODUCT(G363:N363,G150:N150)/F150</f>
        <v>5.8685346882051945</v>
      </c>
    </row>
    <row r="495" spans="2:16">
      <c r="B495" t="s">
        <v>217</v>
      </c>
      <c r="D495" s="13" t="s">
        <v>338</v>
      </c>
      <c r="F495" s="102">
        <f>SUMPRODUCT(G364:N364,G151:N151)/F151</f>
        <v>0.40101653702735496</v>
      </c>
    </row>
    <row r="497" spans="2:6">
      <c r="B497" s="3" t="s">
        <v>218</v>
      </c>
    </row>
    <row r="498" spans="2:6">
      <c r="B498" t="s">
        <v>213</v>
      </c>
      <c r="D498" s="13" t="s">
        <v>338</v>
      </c>
      <c r="F498" s="102">
        <f>SUMPRODUCT(G367:N367,G154:N154)/F154</f>
        <v>2760.0000000000005</v>
      </c>
    </row>
    <row r="499" spans="2:6">
      <c r="B499" t="s">
        <v>214</v>
      </c>
      <c r="D499" s="13" t="s">
        <v>338</v>
      </c>
      <c r="F499" s="102">
        <f>SUMPRODUCT(G368:N368,G155:N155)/F155</f>
        <v>18.998296499772426</v>
      </c>
    </row>
    <row r="500" spans="2:6">
      <c r="B500" t="s">
        <v>215</v>
      </c>
      <c r="D500" s="13" t="s">
        <v>338</v>
      </c>
      <c r="F500" s="102">
        <f>SUMPRODUCT(G369:N369,G156:N156)/F156</f>
        <v>2.0410754415880588</v>
      </c>
    </row>
    <row r="501" spans="2:6">
      <c r="F501" s="27"/>
    </row>
    <row r="502" spans="2:6">
      <c r="B502" s="3" t="s">
        <v>219</v>
      </c>
    </row>
    <row r="503" spans="2:6">
      <c r="B503" t="s">
        <v>213</v>
      </c>
      <c r="D503" s="13" t="s">
        <v>338</v>
      </c>
      <c r="F503" s="102">
        <f>SUMPRODUCT(G372:N372,G159:N159)/F159</f>
        <v>2760</v>
      </c>
    </row>
    <row r="504" spans="2:6">
      <c r="B504" t="s">
        <v>214</v>
      </c>
      <c r="D504" s="13" t="s">
        <v>338</v>
      </c>
      <c r="F504" s="102">
        <f>SUMPRODUCT(G373:N373,G160:N160)/F160</f>
        <v>9.8497154192529077</v>
      </c>
    </row>
    <row r="505" spans="2:6">
      <c r="B505" t="s">
        <v>217</v>
      </c>
      <c r="D505" s="13" t="s">
        <v>338</v>
      </c>
      <c r="F505" s="102">
        <f>SUMPRODUCT(G374:N374,G161:N161)/F161</f>
        <v>0.74009893738777655</v>
      </c>
    </row>
    <row r="507" spans="2:6">
      <c r="B507" s="3" t="s">
        <v>220</v>
      </c>
    </row>
    <row r="508" spans="2:6">
      <c r="B508" t="s">
        <v>213</v>
      </c>
      <c r="D508" s="13" t="s">
        <v>338</v>
      </c>
      <c r="F508" s="102">
        <f>SUMPRODUCT(G377:N377,G164:N164)/F164</f>
        <v>2760</v>
      </c>
    </row>
    <row r="509" spans="2:6">
      <c r="B509" t="s">
        <v>214</v>
      </c>
      <c r="D509" s="13" t="s">
        <v>338</v>
      </c>
      <c r="F509" s="102">
        <f>SUMPRODUCT(G378:N378,G165:N165)/F165</f>
        <v>21.553459796490376</v>
      </c>
    </row>
    <row r="510" spans="2:6">
      <c r="B510" t="s">
        <v>215</v>
      </c>
      <c r="D510" s="13" t="s">
        <v>338</v>
      </c>
      <c r="F510" s="102">
        <f>SUMPRODUCT(G379:N379,G166:N166)/F166</f>
        <v>2.0008840358766951</v>
      </c>
    </row>
    <row r="512" spans="2:6">
      <c r="B512" s="3" t="s">
        <v>221</v>
      </c>
    </row>
    <row r="513" spans="2:6">
      <c r="B513" t="s">
        <v>213</v>
      </c>
      <c r="D513" s="13" t="s">
        <v>338</v>
      </c>
      <c r="F513" s="102">
        <f>SUMPRODUCT(G382:N382,G169:N169)/F169</f>
        <v>2760</v>
      </c>
    </row>
    <row r="514" spans="2:6">
      <c r="B514" t="s">
        <v>214</v>
      </c>
      <c r="D514" s="13" t="s">
        <v>338</v>
      </c>
      <c r="F514" s="102">
        <f>SUMPRODUCT(G383:N383,G170:N170)/F170</f>
        <v>10.56332493388633</v>
      </c>
    </row>
    <row r="515" spans="2:6">
      <c r="B515" t="s">
        <v>217</v>
      </c>
      <c r="D515" s="13" t="s">
        <v>338</v>
      </c>
      <c r="F515" s="102">
        <f>SUMPRODUCT(G384:N384,G171:N171)/F171</f>
        <v>0.67739471048123279</v>
      </c>
    </row>
    <row r="516" spans="2:6">
      <c r="F516" s="27"/>
    </row>
    <row r="517" spans="2:6">
      <c r="F517" s="27"/>
    </row>
    <row r="518" spans="2:6">
      <c r="F518" s="27"/>
    </row>
    <row r="519" spans="2:6">
      <c r="F519" s="27"/>
    </row>
    <row r="521" spans="2:6">
      <c r="B521" s="3" t="s">
        <v>50</v>
      </c>
    </row>
    <row r="524" spans="2:6">
      <c r="B524" s="3" t="s">
        <v>222</v>
      </c>
    </row>
    <row r="525" spans="2:6">
      <c r="B525" t="s">
        <v>213</v>
      </c>
      <c r="D525" s="13" t="s">
        <v>338</v>
      </c>
      <c r="F525" s="102">
        <f>SUMPRODUCT(G394:N394,G181:N181)/F181</f>
        <v>440.99999999999994</v>
      </c>
    </row>
    <row r="526" spans="2:6">
      <c r="B526" t="s">
        <v>223</v>
      </c>
      <c r="D526" s="13" t="s">
        <v>338</v>
      </c>
      <c r="F526" s="102">
        <f>SUMPRODUCT(G395:N395,G182:N182)/F182</f>
        <v>13.691146136685585</v>
      </c>
    </row>
    <row r="527" spans="2:6">
      <c r="B527" t="s">
        <v>215</v>
      </c>
      <c r="D527" s="13" t="s">
        <v>338</v>
      </c>
      <c r="F527" s="102">
        <f>SUMPRODUCT(G396:N396,G183:N183)/F183</f>
        <v>1.3176203244621105</v>
      </c>
    </row>
    <row r="528" spans="2:6">
      <c r="B528" t="s">
        <v>224</v>
      </c>
      <c r="D528" s="13" t="s">
        <v>338</v>
      </c>
      <c r="F528" s="102">
        <f>SUMPRODUCT(G397:N397,G184:N184)/F184</f>
        <v>5.1837807653732524E-3</v>
      </c>
    </row>
    <row r="529" spans="2:6">
      <c r="F529" s="27"/>
    </row>
    <row r="530" spans="2:6">
      <c r="B530" s="3" t="s">
        <v>225</v>
      </c>
    </row>
    <row r="531" spans="2:6">
      <c r="B531" t="s">
        <v>213</v>
      </c>
      <c r="D531" s="13" t="s">
        <v>338</v>
      </c>
      <c r="F531" s="102">
        <f>SUMPRODUCT(G400:N400,G187:N187)/F187</f>
        <v>441.00000000000006</v>
      </c>
    </row>
    <row r="532" spans="2:6">
      <c r="B532" t="s">
        <v>223</v>
      </c>
      <c r="D532" s="13" t="s">
        <v>338</v>
      </c>
      <c r="F532" s="102">
        <f>SUMPRODUCT(G401:N401,G188:N188)/F188</f>
        <v>15.999523975026436</v>
      </c>
    </row>
    <row r="533" spans="2:6">
      <c r="B533" t="s">
        <v>215</v>
      </c>
      <c r="D533" s="13" t="s">
        <v>338</v>
      </c>
      <c r="F533" s="102">
        <f>SUMPRODUCT(G402:N402,G189:N189)/F189</f>
        <v>1.6623713002814875</v>
      </c>
    </row>
    <row r="534" spans="2:6">
      <c r="B534" t="s">
        <v>224</v>
      </c>
      <c r="D534" s="13" t="s">
        <v>338</v>
      </c>
      <c r="F534" s="102">
        <f>SUMPRODUCT(G403:N403,G190:N190)/F190</f>
        <v>1.0015398682484791E-2</v>
      </c>
    </row>
    <row r="536" spans="2:6">
      <c r="B536" s="3" t="s">
        <v>226</v>
      </c>
    </row>
    <row r="537" spans="2:6">
      <c r="B537" t="s">
        <v>213</v>
      </c>
      <c r="D537" s="13" t="s">
        <v>338</v>
      </c>
      <c r="F537" s="102">
        <f>SUMPRODUCT(G406:N406,G193:N193)/F193</f>
        <v>441.00000000000006</v>
      </c>
    </row>
    <row r="538" spans="2:6">
      <c r="B538" t="s">
        <v>223</v>
      </c>
      <c r="D538" s="13" t="s">
        <v>338</v>
      </c>
      <c r="F538" s="102">
        <f>SUMPRODUCT(G407:N407,G194:N194)/F194</f>
        <v>24.34873528663335</v>
      </c>
    </row>
    <row r="539" spans="2:6">
      <c r="B539" t="s">
        <v>215</v>
      </c>
      <c r="D539" s="13" t="s">
        <v>338</v>
      </c>
      <c r="F539" s="102">
        <f>SUMPRODUCT(G408:N408,G195:N195)/F195</f>
        <v>1.679585849148125</v>
      </c>
    </row>
    <row r="540" spans="2:6">
      <c r="B540" t="s">
        <v>224</v>
      </c>
      <c r="D540" s="13" t="s">
        <v>338</v>
      </c>
      <c r="F540" s="102">
        <f>SUMPRODUCT(G409:N409,G196:N196)/F196</f>
        <v>1.0204823400325082E-2</v>
      </c>
    </row>
    <row r="546" spans="2:6">
      <c r="B546" s="3" t="s">
        <v>51</v>
      </c>
    </row>
    <row r="549" spans="2:6">
      <c r="B549" s="3" t="s">
        <v>227</v>
      </c>
    </row>
    <row r="550" spans="2:6">
      <c r="B550" t="s">
        <v>213</v>
      </c>
      <c r="D550" s="13" t="s">
        <v>338</v>
      </c>
      <c r="F550" s="102">
        <f>SUMPRODUCT(G419:N419,G206:N206)/F206</f>
        <v>17.999999999999996</v>
      </c>
    </row>
    <row r="551" spans="2:6">
      <c r="B551" t="s">
        <v>223</v>
      </c>
      <c r="D551" s="13" t="s">
        <v>338</v>
      </c>
      <c r="F551" s="102">
        <f>SUMPRODUCT(G420:N420,G207:N207)/F207</f>
        <v>5.6188014388541809</v>
      </c>
    </row>
    <row r="552" spans="2:6">
      <c r="B552" t="s">
        <v>228</v>
      </c>
      <c r="D552" s="13" t="s">
        <v>338</v>
      </c>
      <c r="F552" s="102">
        <f>SUMPRODUCT(G421:N421,G208:N208)/F208</f>
        <v>1.8852466457310032E-2</v>
      </c>
    </row>
    <row r="553" spans="2:6">
      <c r="B553" t="s">
        <v>224</v>
      </c>
      <c r="D553" s="13" t="s">
        <v>338</v>
      </c>
      <c r="F553" s="102">
        <f>SUMPRODUCT(G422:N422,G209:N209)/F209</f>
        <v>3.9704988922986385E-2</v>
      </c>
    </row>
    <row r="555" spans="2:6">
      <c r="B555" s="3" t="s">
        <v>229</v>
      </c>
    </row>
    <row r="556" spans="2:6">
      <c r="B556" t="s">
        <v>230</v>
      </c>
      <c r="D556" s="13" t="s">
        <v>338</v>
      </c>
      <c r="F556" s="102">
        <f>SUMPRODUCT(G425:N425,G212:N212)/F212</f>
        <v>0.54</v>
      </c>
    </row>
    <row r="557" spans="2:6">
      <c r="B557" t="s">
        <v>231</v>
      </c>
      <c r="D557" s="13" t="s">
        <v>338</v>
      </c>
      <c r="F557" s="102">
        <f>SUMPRODUCT(G426:N426,G213:N213)/F213</f>
        <v>18</v>
      </c>
    </row>
    <row r="558" spans="2:6">
      <c r="D558" s="13"/>
    </row>
    <row r="559" spans="2:6">
      <c r="B559" s="3" t="s">
        <v>232</v>
      </c>
    </row>
    <row r="560" spans="2:6">
      <c r="B560" t="s">
        <v>233</v>
      </c>
      <c r="D560" s="13" t="s">
        <v>338</v>
      </c>
      <c r="F560" s="102">
        <f t="shared" ref="F560:F565" si="61">SUMPRODUCT(G429:N429,G216:N216)/F216</f>
        <v>1762.3429119342265</v>
      </c>
    </row>
    <row r="561" spans="2:6">
      <c r="B561" t="s">
        <v>234</v>
      </c>
      <c r="D561" s="13" t="s">
        <v>338</v>
      </c>
      <c r="F561" s="102">
        <f t="shared" si="61"/>
        <v>1410.8921246238319</v>
      </c>
    </row>
    <row r="562" spans="2:6">
      <c r="B562" t="s">
        <v>235</v>
      </c>
      <c r="D562" s="13" t="s">
        <v>338</v>
      </c>
      <c r="F562" s="102">
        <f t="shared" si="61"/>
        <v>1058.4266317442216</v>
      </c>
    </row>
    <row r="563" spans="2:6">
      <c r="B563" t="s">
        <v>236</v>
      </c>
      <c r="D563" s="13" t="s">
        <v>338</v>
      </c>
      <c r="F563" s="102">
        <f t="shared" si="61"/>
        <v>705.06251133926378</v>
      </c>
    </row>
    <row r="564" spans="2:6">
      <c r="B564" t="s">
        <v>237</v>
      </c>
      <c r="D564" s="13" t="s">
        <v>338</v>
      </c>
      <c r="F564" s="102">
        <f t="shared" si="61"/>
        <v>141.3536515087622</v>
      </c>
    </row>
    <row r="565" spans="2:6">
      <c r="B565" t="s">
        <v>238</v>
      </c>
      <c r="D565" s="13" t="s">
        <v>338</v>
      </c>
      <c r="F565" s="102">
        <f t="shared" si="61"/>
        <v>1.7632992581679048</v>
      </c>
    </row>
    <row r="567" spans="2:6">
      <c r="B567" t="s">
        <v>52</v>
      </c>
    </row>
    <row r="573" spans="2:6">
      <c r="B573" s="3" t="s">
        <v>53</v>
      </c>
    </row>
    <row r="575" spans="2:6">
      <c r="F575" s="27"/>
    </row>
    <row r="576" spans="2:6">
      <c r="B576" t="s">
        <v>239</v>
      </c>
      <c r="D576" s="13" t="s">
        <v>338</v>
      </c>
      <c r="F576" s="102">
        <f>SUMPRODUCT(G445:N445,G232:N232)/F232</f>
        <v>6.6119664910134074E-3</v>
      </c>
    </row>
    <row r="577" spans="1:47">
      <c r="B577" t="s">
        <v>240</v>
      </c>
      <c r="D577" s="13" t="s">
        <v>338</v>
      </c>
      <c r="F577" s="102">
        <f>SUMPRODUCT(G446:N446,G233:N233)/F233</f>
        <v>7.1055545139007241E-3</v>
      </c>
    </row>
    <row r="578" spans="1:47">
      <c r="F578" s="27"/>
    </row>
    <row r="579" spans="1:47">
      <c r="F579" s="27"/>
    </row>
    <row r="580" spans="1:47">
      <c r="F580" s="27"/>
    </row>
    <row r="581" spans="1:47">
      <c r="A581" s="2"/>
      <c r="B581" s="2" t="s">
        <v>406</v>
      </c>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row>
    <row r="582" spans="1:47">
      <c r="F582" s="27"/>
    </row>
    <row r="583" spans="1:47">
      <c r="F583" s="27"/>
    </row>
    <row r="584" spans="1:47">
      <c r="B584" s="60" t="s">
        <v>325</v>
      </c>
      <c r="C584" s="13"/>
      <c r="D584" s="13"/>
      <c r="F584" s="27"/>
    </row>
    <row r="585" spans="1:47">
      <c r="B585" s="59" t="s">
        <v>251</v>
      </c>
      <c r="C585" s="13"/>
      <c r="D585" s="13" t="s">
        <v>338</v>
      </c>
      <c r="F585" s="102">
        <f t="shared" ref="F585:F590" si="62">SUMPRODUCT(G454:N454,G241:N241)/F241</f>
        <v>6.7815894690897736</v>
      </c>
      <c r="P585" s="50" t="s">
        <v>1092</v>
      </c>
    </row>
    <row r="586" spans="1:47">
      <c r="B586" s="59" t="s">
        <v>252</v>
      </c>
      <c r="C586" s="13"/>
      <c r="D586" s="13" t="s">
        <v>338</v>
      </c>
      <c r="F586" s="102">
        <f t="shared" si="62"/>
        <v>24.488573342282002</v>
      </c>
    </row>
    <row r="587" spans="1:47">
      <c r="B587" s="59" t="s">
        <v>253</v>
      </c>
      <c r="C587" s="13"/>
      <c r="D587" s="13" t="s">
        <v>338</v>
      </c>
      <c r="F587" s="102">
        <f t="shared" si="62"/>
        <v>36.611384779637831</v>
      </c>
    </row>
    <row r="588" spans="1:47">
      <c r="B588" s="59" t="s">
        <v>255</v>
      </c>
      <c r="C588" s="13"/>
      <c r="D588" s="13" t="s">
        <v>338</v>
      </c>
      <c r="F588" s="102">
        <f t="shared" si="62"/>
        <v>141.97321015066291</v>
      </c>
    </row>
    <row r="589" spans="1:47">
      <c r="B589" s="59" t="s">
        <v>261</v>
      </c>
      <c r="C589" s="13"/>
      <c r="D589" s="13" t="s">
        <v>338</v>
      </c>
      <c r="F589" s="102">
        <f t="shared" si="62"/>
        <v>769.56833680424518</v>
      </c>
    </row>
    <row r="590" spans="1:47">
      <c r="B590" s="59" t="s">
        <v>262</v>
      </c>
      <c r="C590" s="13"/>
      <c r="D590" s="13" t="s">
        <v>338</v>
      </c>
      <c r="F590" s="102">
        <f t="shared" si="62"/>
        <v>3612.9411234313025</v>
      </c>
    </row>
    <row r="591" spans="1:47">
      <c r="B591" s="59" t="s">
        <v>260</v>
      </c>
      <c r="C591" s="13"/>
      <c r="D591" s="13"/>
    </row>
    <row r="592" spans="1:47">
      <c r="B592" s="59" t="s">
        <v>326</v>
      </c>
      <c r="C592" s="13"/>
      <c r="D592" s="13" t="s">
        <v>338</v>
      </c>
      <c r="F592" s="102">
        <f>SUMPRODUCT(G461:N461,G248:N248)/F248</f>
        <v>2.9273624045535174</v>
      </c>
    </row>
    <row r="593" spans="2:16">
      <c r="B593" s="59" t="s">
        <v>260</v>
      </c>
      <c r="C593" s="13"/>
      <c r="D593" s="13"/>
    </row>
    <row r="594" spans="2:16">
      <c r="B594" s="60" t="s">
        <v>327</v>
      </c>
      <c r="C594" s="13"/>
      <c r="D594" s="13"/>
    </row>
    <row r="595" spans="2:16">
      <c r="B595" s="60" t="s">
        <v>328</v>
      </c>
      <c r="C595" s="13"/>
      <c r="D595" s="13"/>
    </row>
    <row r="596" spans="2:16">
      <c r="B596" s="59" t="s">
        <v>251</v>
      </c>
      <c r="C596" s="13"/>
      <c r="D596" s="13" t="s">
        <v>338</v>
      </c>
      <c r="F596" s="102">
        <f>SUMPRODUCT(G465:N465,G252:N252)/F252</f>
        <v>397.77655527253967</v>
      </c>
    </row>
    <row r="597" spans="2:16">
      <c r="B597" s="59" t="s">
        <v>252</v>
      </c>
      <c r="C597" s="13"/>
      <c r="D597" s="13" t="s">
        <v>338</v>
      </c>
      <c r="F597" s="102">
        <f>SUMPRODUCT(G466:N466,G253:N253)/F253</f>
        <v>693.95549942718844</v>
      </c>
    </row>
    <row r="598" spans="2:16">
      <c r="B598" s="59" t="s">
        <v>253</v>
      </c>
      <c r="C598" s="13"/>
      <c r="D598" s="13" t="s">
        <v>338</v>
      </c>
      <c r="F598" s="102">
        <f>SUMPRODUCT(G467:N467,G254:N254)/F254</f>
        <v>1095.5820280733476</v>
      </c>
    </row>
    <row r="599" spans="2:16">
      <c r="B599" s="59" t="s">
        <v>255</v>
      </c>
      <c r="C599" s="13"/>
      <c r="D599" s="13" t="s">
        <v>338</v>
      </c>
      <c r="F599" s="102">
        <f>SUMPRODUCT(G468:N468,G255:N255)/F255</f>
        <v>7368.0534236826707</v>
      </c>
    </row>
    <row r="600" spans="2:16">
      <c r="B600" s="59" t="s">
        <v>254</v>
      </c>
      <c r="C600" s="13"/>
      <c r="D600" s="13" t="s">
        <v>338</v>
      </c>
      <c r="F600" s="139"/>
      <c r="G600" s="138">
        <f t="shared" ref="G600:N600" si="63">G469</f>
        <v>206776.96955232625</v>
      </c>
      <c r="H600" s="138">
        <f t="shared" si="63"/>
        <v>162577.5278822188</v>
      </c>
      <c r="I600" s="138">
        <f t="shared" si="63"/>
        <v>66566.852016391829</v>
      </c>
      <c r="J600" s="138">
        <f t="shared" si="63"/>
        <v>35949.260441205006</v>
      </c>
      <c r="K600" s="138">
        <f t="shared" si="63"/>
        <v>96869.558523752567</v>
      </c>
      <c r="L600" s="138">
        <f t="shared" si="63"/>
        <v>63566.139077681728</v>
      </c>
      <c r="M600" s="138">
        <f t="shared" si="63"/>
        <v>83939.319785037485</v>
      </c>
      <c r="N600" s="138">
        <f t="shared" si="63"/>
        <v>80378.468184948084</v>
      </c>
      <c r="P600" s="50" t="s">
        <v>1093</v>
      </c>
    </row>
    <row r="601" spans="2:16">
      <c r="B601" s="59" t="s">
        <v>260</v>
      </c>
      <c r="C601" s="13"/>
      <c r="D601" s="13"/>
    </row>
    <row r="602" spans="2:16">
      <c r="B602" s="60" t="s">
        <v>329</v>
      </c>
      <c r="C602" s="13"/>
      <c r="D602" s="13"/>
    </row>
    <row r="603" spans="2:16">
      <c r="B603" s="59" t="s">
        <v>251</v>
      </c>
      <c r="C603" s="13"/>
      <c r="D603" s="13" t="s">
        <v>338</v>
      </c>
      <c r="F603" s="102">
        <f>SUMPRODUCT(G472:N472,G259:N259)/F259</f>
        <v>19.259675721225058</v>
      </c>
    </row>
    <row r="604" spans="2:16">
      <c r="B604" s="59" t="s">
        <v>252</v>
      </c>
      <c r="C604" s="13"/>
      <c r="D604" s="13" t="s">
        <v>338</v>
      </c>
      <c r="F604" s="102">
        <f>SUMPRODUCT(G473:N473,G260:N260)/F260</f>
        <v>23.773214148808361</v>
      </c>
    </row>
    <row r="605" spans="2:16">
      <c r="B605" s="59" t="s">
        <v>253</v>
      </c>
      <c r="C605" s="13"/>
      <c r="D605" s="13" t="s">
        <v>338</v>
      </c>
      <c r="F605" s="102">
        <f>SUMPRODUCT(G474:N474,G261:N261)/F261</f>
        <v>32.826743464542702</v>
      </c>
    </row>
    <row r="606" spans="2:16">
      <c r="B606" s="59" t="s">
        <v>255</v>
      </c>
      <c r="C606" s="13"/>
      <c r="D606" s="13" t="s">
        <v>338</v>
      </c>
      <c r="F606" s="102">
        <f>SUMPRODUCT(G475:N475,G262:N262)/F262</f>
        <v>50.340931515177807</v>
      </c>
    </row>
    <row r="607" spans="2:16">
      <c r="B607" s="59" t="s">
        <v>254</v>
      </c>
      <c r="C607" s="13"/>
      <c r="D607" s="13" t="s">
        <v>338</v>
      </c>
      <c r="F607" s="139"/>
      <c r="G607" s="138">
        <f t="shared" ref="G607:N607" si="64">G476</f>
        <v>178.72552725517531</v>
      </c>
      <c r="H607" s="138">
        <f t="shared" si="64"/>
        <v>175.73766514037496</v>
      </c>
      <c r="I607" s="138">
        <f t="shared" si="64"/>
        <v>185.12596682044514</v>
      </c>
      <c r="J607" s="138">
        <f t="shared" si="64"/>
        <v>95.12011843181277</v>
      </c>
      <c r="K607" s="138">
        <f t="shared" si="64"/>
        <v>174.61845840317193</v>
      </c>
      <c r="L607" s="138">
        <f t="shared" si="64"/>
        <v>131.24535240037133</v>
      </c>
      <c r="M607" s="138">
        <f t="shared" si="64"/>
        <v>165.68029562440339</v>
      </c>
      <c r="N607" s="138">
        <f t="shared" si="64"/>
        <v>179.03392061880152</v>
      </c>
      <c r="P607" s="50" t="s">
        <v>1093</v>
      </c>
    </row>
    <row r="608" spans="2:16">
      <c r="B608" s="95"/>
      <c r="C608" s="13"/>
      <c r="D608" s="13"/>
    </row>
    <row r="610" spans="2:13" s="54" customFormat="1">
      <c r="B610" s="55" t="s">
        <v>407</v>
      </c>
      <c r="C610" s="55"/>
      <c r="E610" s="56"/>
      <c r="F610" s="56"/>
      <c r="G610" s="56"/>
      <c r="H610" s="56"/>
      <c r="I610" s="56"/>
      <c r="J610" s="56"/>
      <c r="K610" s="56"/>
      <c r="L610" s="56"/>
    </row>
    <row r="611" spans="2:13" s="140" customFormat="1">
      <c r="B611" s="141"/>
      <c r="C611" s="141"/>
      <c r="E611" s="142"/>
      <c r="F611" s="142"/>
      <c r="G611" s="142"/>
      <c r="H611" s="142"/>
      <c r="I611" s="142"/>
      <c r="J611" s="142"/>
      <c r="K611" s="142"/>
      <c r="L611" s="142"/>
      <c r="M611" s="143"/>
    </row>
    <row r="612" spans="2:13" s="140" customFormat="1">
      <c r="B612" s="127" t="s">
        <v>413</v>
      </c>
      <c r="C612" s="151"/>
      <c r="D612" s="143"/>
      <c r="E612" s="142"/>
      <c r="F612" s="142"/>
      <c r="G612" s="142"/>
      <c r="H612" s="142"/>
      <c r="I612" s="142"/>
      <c r="J612" s="142"/>
      <c r="K612" s="142"/>
      <c r="L612" s="142"/>
      <c r="M612" s="143"/>
    </row>
    <row r="613" spans="2:13" s="140" customFormat="1">
      <c r="B613" s="146"/>
      <c r="C613" s="151"/>
      <c r="D613" s="143"/>
      <c r="E613" s="142"/>
      <c r="F613" s="142"/>
      <c r="G613" s="147"/>
      <c r="H613" s="142"/>
      <c r="I613" s="142"/>
      <c r="J613" s="142"/>
      <c r="K613" s="142"/>
      <c r="L613" s="142"/>
      <c r="M613" s="143"/>
    </row>
    <row r="614" spans="2:13" s="140" customFormat="1">
      <c r="B614" s="144" t="s">
        <v>408</v>
      </c>
      <c r="C614" s="151"/>
      <c r="D614" s="152"/>
      <c r="E614" s="145"/>
      <c r="F614" s="126">
        <f>SUMPRODUCT(F489:F490,F145:F146)+SUMPRODUCT(F494:F495,F150:F151)</f>
        <v>15306661.997811569</v>
      </c>
      <c r="G614" s="142"/>
      <c r="H614" s="142"/>
      <c r="I614" s="142"/>
      <c r="J614" s="142"/>
      <c r="K614" s="142"/>
      <c r="L614" s="142"/>
      <c r="M614" s="143"/>
    </row>
    <row r="615" spans="2:13" s="140" customFormat="1">
      <c r="B615" s="144" t="s">
        <v>409</v>
      </c>
      <c r="C615" s="151"/>
      <c r="D615" s="152"/>
      <c r="E615" s="145"/>
      <c r="F615" s="126">
        <f>SUMPRODUCT(F499:F500,F155:F156)+SUMPRODUCT(F504:F505,F160:F161)</f>
        <v>39412679.927406311</v>
      </c>
      <c r="G615" s="142"/>
      <c r="H615" s="142"/>
      <c r="I615" s="142"/>
      <c r="J615" s="142"/>
      <c r="K615" s="142"/>
      <c r="L615" s="142"/>
      <c r="M615" s="143"/>
    </row>
    <row r="616" spans="2:13" s="140" customFormat="1">
      <c r="B616" s="144" t="s">
        <v>410</v>
      </c>
      <c r="C616" s="151"/>
      <c r="D616" s="152"/>
      <c r="E616" s="145"/>
      <c r="F616" s="126">
        <f>SUMPRODUCT(F509:F510,F165:F166)+SUMPRODUCT(F514:F515,F170:F171)</f>
        <v>125368979.01523885</v>
      </c>
      <c r="G616" s="142"/>
      <c r="H616" s="142"/>
      <c r="I616" s="142"/>
      <c r="J616" s="142"/>
      <c r="K616" s="142"/>
      <c r="L616" s="142"/>
      <c r="M616" s="143"/>
    </row>
    <row r="617" spans="2:13" s="140" customFormat="1">
      <c r="B617" s="144" t="s">
        <v>210</v>
      </c>
      <c r="C617" s="151"/>
      <c r="D617" s="152"/>
      <c r="E617" s="145"/>
      <c r="F617" s="126">
        <f>SUMPRODUCT(F526:F528,F182:F184)</f>
        <v>35830410.952199891</v>
      </c>
      <c r="G617" s="142"/>
      <c r="H617" s="142"/>
      <c r="I617" s="142"/>
      <c r="J617" s="142"/>
      <c r="K617" s="142"/>
      <c r="L617" s="142"/>
      <c r="M617" s="143"/>
    </row>
    <row r="618" spans="2:13" s="140" customFormat="1">
      <c r="B618" s="144" t="s">
        <v>211</v>
      </c>
      <c r="C618" s="151"/>
      <c r="D618" s="152"/>
      <c r="E618" s="145"/>
      <c r="F618" s="126">
        <f>SUMPRODUCT(F532:F534,F188:F190)</f>
        <v>487432409.48029912</v>
      </c>
      <c r="G618" s="142"/>
      <c r="H618" s="142"/>
      <c r="I618" s="142"/>
      <c r="J618" s="142"/>
      <c r="K618" s="142"/>
      <c r="L618" s="142"/>
      <c r="M618" s="143"/>
    </row>
    <row r="619" spans="2:13" s="140" customFormat="1">
      <c r="B619" s="144" t="s">
        <v>226</v>
      </c>
      <c r="C619" s="151"/>
      <c r="D619" s="152"/>
      <c r="E619" s="145"/>
      <c r="F619" s="126">
        <f>SUMPRODUCT(F538:F540,F194:F196)</f>
        <v>224190589.17300245</v>
      </c>
      <c r="G619" s="142"/>
      <c r="H619" s="142"/>
      <c r="I619" s="142"/>
      <c r="J619" s="142"/>
      <c r="K619" s="142"/>
      <c r="L619" s="142"/>
      <c r="M619" s="143"/>
    </row>
    <row r="620" spans="2:13" s="140" customFormat="1">
      <c r="B620" s="57"/>
      <c r="C620" s="151"/>
      <c r="D620" s="143"/>
      <c r="E620" s="142"/>
      <c r="F620" s="142"/>
      <c r="G620" s="142"/>
      <c r="H620" s="142"/>
      <c r="I620" s="142"/>
      <c r="J620" s="142"/>
      <c r="K620" s="142"/>
      <c r="L620" s="142"/>
      <c r="M620" s="143"/>
    </row>
    <row r="621" spans="2:13" s="140" customFormat="1">
      <c r="B621" s="127" t="s">
        <v>411</v>
      </c>
      <c r="C621" s="151"/>
      <c r="D621" s="143"/>
      <c r="E621" s="142"/>
      <c r="F621" s="142"/>
      <c r="G621" s="142"/>
      <c r="H621" s="142"/>
      <c r="I621" s="142"/>
      <c r="J621" s="142"/>
      <c r="K621" s="142"/>
      <c r="L621" s="142"/>
      <c r="M621" s="143"/>
    </row>
    <row r="622" spans="2:13" s="140" customFormat="1">
      <c r="B622" s="57"/>
      <c r="C622" s="151"/>
      <c r="D622" s="143"/>
      <c r="E622" s="142"/>
      <c r="F622" s="142"/>
      <c r="G622" s="142"/>
      <c r="H622" s="142"/>
      <c r="I622" s="142"/>
      <c r="J622" s="142"/>
      <c r="K622" s="142"/>
      <c r="L622" s="142"/>
      <c r="M622" s="143"/>
    </row>
    <row r="623" spans="2:13" s="140" customFormat="1">
      <c r="B623" s="144" t="s">
        <v>408</v>
      </c>
      <c r="C623" s="151"/>
      <c r="D623" s="152"/>
      <c r="E623" s="142"/>
      <c r="F623" s="126">
        <f>F145+F150</f>
        <v>770848.86112039874</v>
      </c>
      <c r="G623" s="142"/>
      <c r="H623" s="142"/>
      <c r="I623" s="142"/>
      <c r="J623" s="142"/>
      <c r="K623" s="142"/>
      <c r="L623" s="142"/>
      <c r="M623" s="143"/>
    </row>
    <row r="624" spans="2:13" s="140" customFormat="1">
      <c r="B624" s="144" t="s">
        <v>409</v>
      </c>
      <c r="C624" s="151"/>
      <c r="D624" s="152"/>
      <c r="E624" s="142"/>
      <c r="F624" s="126">
        <f>F155+F160</f>
        <v>1216875.9292653748</v>
      </c>
      <c r="G624" s="142"/>
      <c r="H624" s="142"/>
      <c r="I624" s="142"/>
      <c r="J624" s="142"/>
      <c r="K624" s="142"/>
      <c r="L624" s="142"/>
      <c r="M624" s="143"/>
    </row>
    <row r="625" spans="2:16" s="140" customFormat="1">
      <c r="B625" s="144" t="s">
        <v>410</v>
      </c>
      <c r="C625" s="151"/>
      <c r="D625" s="152"/>
      <c r="E625" s="142"/>
      <c r="F625" s="126">
        <f>F165+F170</f>
        <v>3158803.8218965889</v>
      </c>
      <c r="G625" s="142"/>
      <c r="H625" s="142"/>
      <c r="I625" s="142"/>
      <c r="J625" s="142"/>
      <c r="K625" s="142"/>
      <c r="L625" s="142"/>
      <c r="M625" s="143"/>
    </row>
    <row r="626" spans="2:16" s="140" customFormat="1">
      <c r="B626" s="144" t="s">
        <v>210</v>
      </c>
      <c r="C626" s="151"/>
      <c r="D626" s="152"/>
      <c r="E626" s="142"/>
      <c r="F626" s="126">
        <f>F182</f>
        <v>772761.00368837151</v>
      </c>
      <c r="G626" s="142"/>
      <c r="H626" s="142"/>
      <c r="I626" s="142"/>
      <c r="J626" s="142"/>
      <c r="K626" s="142"/>
      <c r="L626" s="142"/>
      <c r="M626" s="143"/>
    </row>
    <row r="627" spans="2:16" s="140" customFormat="1">
      <c r="B627" s="144" t="s">
        <v>211</v>
      </c>
      <c r="C627" s="151"/>
      <c r="D627" s="152"/>
      <c r="E627" s="142"/>
      <c r="F627" s="126">
        <f>F188</f>
        <v>8590339.9680287428</v>
      </c>
      <c r="G627" s="142"/>
      <c r="H627" s="142"/>
      <c r="I627" s="142"/>
      <c r="J627" s="142"/>
      <c r="K627" s="142"/>
      <c r="L627" s="142"/>
      <c r="M627" s="143"/>
    </row>
    <row r="628" spans="2:16" s="140" customFormat="1">
      <c r="B628" s="144" t="s">
        <v>226</v>
      </c>
      <c r="C628" s="151"/>
      <c r="D628" s="152"/>
      <c r="E628" s="142"/>
      <c r="F628" s="126">
        <f>F194</f>
        <v>3882406.3041436691</v>
      </c>
      <c r="G628" s="142"/>
      <c r="H628" s="142"/>
      <c r="I628" s="142"/>
      <c r="J628" s="142"/>
      <c r="K628" s="142"/>
      <c r="L628" s="142"/>
      <c r="M628" s="143"/>
    </row>
    <row r="629" spans="2:16" s="140" customFormat="1">
      <c r="B629" s="57"/>
      <c r="C629" s="151"/>
      <c r="D629" s="143"/>
      <c r="E629" s="142"/>
      <c r="F629" s="142"/>
      <c r="G629" s="142"/>
      <c r="H629" s="142"/>
      <c r="I629" s="142"/>
      <c r="J629" s="142"/>
      <c r="K629" s="142"/>
      <c r="L629" s="142"/>
      <c r="M629" s="143"/>
    </row>
    <row r="630" spans="2:16" s="140" customFormat="1">
      <c r="B630" s="127" t="s">
        <v>448</v>
      </c>
      <c r="C630" s="151"/>
      <c r="D630" s="143"/>
      <c r="E630" s="142"/>
      <c r="F630" s="142"/>
      <c r="G630" s="142"/>
      <c r="H630" s="142"/>
      <c r="I630" s="142"/>
      <c r="J630" s="142"/>
      <c r="K630" s="142"/>
      <c r="L630" s="142"/>
      <c r="M630" s="143"/>
    </row>
    <row r="631" spans="2:16" s="140" customFormat="1">
      <c r="B631" s="57"/>
      <c r="C631" s="151"/>
      <c r="D631" s="143"/>
      <c r="E631" s="142"/>
      <c r="F631" s="142"/>
      <c r="G631" s="142"/>
      <c r="H631" s="142"/>
      <c r="I631" s="142"/>
      <c r="J631" s="142"/>
      <c r="K631" s="142"/>
      <c r="L631" s="142"/>
      <c r="M631" s="143"/>
    </row>
    <row r="632" spans="2:16" s="140" customFormat="1">
      <c r="B632" s="144" t="s">
        <v>408</v>
      </c>
      <c r="C632" s="151"/>
      <c r="D632" s="153"/>
      <c r="E632" s="142"/>
      <c r="F632" s="154">
        <f t="shared" ref="F632:F637" si="65">F614/F623</f>
        <v>19.856891240085552</v>
      </c>
      <c r="G632" s="142"/>
      <c r="H632" s="142"/>
      <c r="I632" s="142"/>
      <c r="J632" s="142"/>
      <c r="K632" s="142"/>
      <c r="L632" s="142"/>
      <c r="M632" s="143"/>
      <c r="P632" s="57" t="s">
        <v>1094</v>
      </c>
    </row>
    <row r="633" spans="2:16" s="140" customFormat="1">
      <c r="B633" s="144" t="s">
        <v>409</v>
      </c>
      <c r="C633" s="151"/>
      <c r="D633" s="153"/>
      <c r="E633" s="142"/>
      <c r="F633" s="154">
        <f t="shared" si="65"/>
        <v>32.38841280326718</v>
      </c>
      <c r="G633" s="142"/>
      <c r="H633" s="142"/>
      <c r="I633" s="142"/>
      <c r="J633" s="142"/>
      <c r="K633" s="142"/>
      <c r="L633" s="142"/>
      <c r="M633" s="143"/>
    </row>
    <row r="634" spans="2:16" s="140" customFormat="1">
      <c r="B634" s="144" t="s">
        <v>410</v>
      </c>
      <c r="C634" s="151"/>
      <c r="D634" s="153"/>
      <c r="E634" s="142"/>
      <c r="F634" s="154">
        <f t="shared" si="65"/>
        <v>39.688751212148908</v>
      </c>
      <c r="G634" s="142"/>
      <c r="H634" s="142"/>
      <c r="I634" s="142"/>
      <c r="J634" s="142"/>
      <c r="K634" s="142"/>
      <c r="L634" s="142"/>
      <c r="M634" s="143"/>
    </row>
    <row r="635" spans="2:16" s="140" customFormat="1">
      <c r="B635" s="144" t="s">
        <v>210</v>
      </c>
      <c r="C635" s="151"/>
      <c r="D635" s="153"/>
      <c r="E635" s="142"/>
      <c r="F635" s="154">
        <f t="shared" si="65"/>
        <v>46.366743121330032</v>
      </c>
      <c r="G635" s="142"/>
      <c r="H635" s="142"/>
      <c r="I635" s="142"/>
      <c r="J635" s="142"/>
      <c r="K635" s="142"/>
      <c r="L635" s="142"/>
      <c r="M635" s="143"/>
    </row>
    <row r="636" spans="2:16" s="140" customFormat="1">
      <c r="B636" s="144" t="s">
        <v>211</v>
      </c>
      <c r="C636" s="151"/>
      <c r="D636" s="153"/>
      <c r="E636" s="142"/>
      <c r="F636" s="154">
        <f t="shared" si="65"/>
        <v>56.741923054781267</v>
      </c>
      <c r="G636" s="142"/>
      <c r="H636" s="142"/>
      <c r="I636" s="142"/>
      <c r="J636" s="142"/>
      <c r="K636" s="142"/>
      <c r="L636" s="142"/>
      <c r="M636" s="143"/>
    </row>
    <row r="637" spans="2:16" s="140" customFormat="1">
      <c r="B637" s="144" t="s">
        <v>226</v>
      </c>
      <c r="C637" s="151"/>
      <c r="D637" s="153"/>
      <c r="E637" s="142"/>
      <c r="F637" s="154">
        <f t="shared" si="65"/>
        <v>57.745267138507678</v>
      </c>
      <c r="G637" s="142"/>
      <c r="H637" s="142"/>
      <c r="I637" s="142"/>
      <c r="J637" s="142"/>
      <c r="K637" s="142"/>
      <c r="L637" s="142"/>
      <c r="M637" s="143"/>
    </row>
    <row r="638" spans="2:16" s="140" customFormat="1">
      <c r="B638" s="57"/>
      <c r="C638" s="151"/>
      <c r="D638" s="143"/>
      <c r="E638" s="142"/>
      <c r="F638" s="150"/>
      <c r="G638" s="142"/>
      <c r="H638" s="142"/>
      <c r="I638" s="142"/>
      <c r="J638" s="142"/>
      <c r="K638" s="142"/>
      <c r="L638" s="142"/>
      <c r="M638" s="143"/>
    </row>
    <row r="639" spans="2:16" s="140" customFormat="1">
      <c r="B639" s="127" t="s">
        <v>447</v>
      </c>
      <c r="C639" s="151"/>
      <c r="D639" s="143"/>
      <c r="E639" s="142"/>
      <c r="F639" s="150"/>
      <c r="G639" s="142"/>
      <c r="H639" s="142"/>
      <c r="I639" s="142"/>
      <c r="J639" s="142"/>
      <c r="K639" s="142"/>
      <c r="L639" s="142"/>
      <c r="M639" s="143"/>
    </row>
    <row r="640" spans="2:16" s="140" customFormat="1">
      <c r="B640" s="57"/>
      <c r="C640" s="151"/>
      <c r="D640" s="143"/>
      <c r="E640" s="142"/>
      <c r="F640" s="150"/>
      <c r="G640" s="142"/>
      <c r="H640" s="142"/>
      <c r="I640" s="142"/>
      <c r="J640" s="142"/>
      <c r="K640" s="142"/>
      <c r="L640" s="142"/>
      <c r="M640" s="143"/>
    </row>
    <row r="641" spans="2:16" s="140" customFormat="1">
      <c r="B641" s="148" t="s">
        <v>242</v>
      </c>
      <c r="C641" s="151"/>
      <c r="D641" s="153"/>
      <c r="E641" s="142"/>
      <c r="F641" s="172">
        <f>F633-F632</f>
        <v>12.531521563181627</v>
      </c>
      <c r="G641" s="142"/>
      <c r="H641" s="142"/>
      <c r="I641" s="142"/>
      <c r="J641" s="142"/>
      <c r="K641" s="142"/>
      <c r="L641" s="142"/>
      <c r="M641" s="143"/>
      <c r="P641" s="57" t="s">
        <v>1094</v>
      </c>
    </row>
    <row r="642" spans="2:16" s="140" customFormat="1">
      <c r="B642" s="148" t="s">
        <v>412</v>
      </c>
      <c r="C642" s="151"/>
      <c r="D642" s="153"/>
      <c r="E642" s="142"/>
      <c r="F642" s="172">
        <f>F634-F632</f>
        <v>19.831859972063356</v>
      </c>
      <c r="G642" s="142"/>
      <c r="H642" s="142"/>
      <c r="I642" s="142"/>
      <c r="J642" s="142"/>
      <c r="K642" s="142"/>
      <c r="L642" s="142"/>
      <c r="M642" s="143"/>
    </row>
    <row r="643" spans="2:16" s="140" customFormat="1">
      <c r="B643" s="148" t="s">
        <v>247</v>
      </c>
      <c r="C643" s="151"/>
      <c r="D643" s="153"/>
      <c r="E643" s="142"/>
      <c r="F643" s="172">
        <f>F635-F633</f>
        <v>13.978330318062852</v>
      </c>
      <c r="G643" s="142"/>
      <c r="H643" s="142"/>
      <c r="I643" s="142"/>
      <c r="J643" s="142"/>
      <c r="K643" s="142"/>
      <c r="L643" s="142"/>
      <c r="M643" s="143"/>
    </row>
    <row r="644" spans="2:16" s="140" customFormat="1">
      <c r="B644" s="148" t="s">
        <v>248</v>
      </c>
      <c r="C644" s="151"/>
      <c r="D644" s="153"/>
      <c r="E644" s="142"/>
      <c r="F644" s="172">
        <f>F636-F633</f>
        <v>24.353510251514088</v>
      </c>
      <c r="G644" s="142"/>
      <c r="H644" s="142"/>
      <c r="I644" s="142"/>
      <c r="J644" s="142"/>
      <c r="K644" s="142"/>
      <c r="L644" s="142"/>
      <c r="M644" s="143"/>
    </row>
    <row r="645" spans="2:16" s="140" customFormat="1">
      <c r="B645" s="148" t="s">
        <v>249</v>
      </c>
      <c r="C645" s="151"/>
      <c r="D645" s="153"/>
      <c r="E645" s="142"/>
      <c r="F645" s="172">
        <f>F637-F633</f>
        <v>25.356854335240499</v>
      </c>
      <c r="G645" s="142"/>
      <c r="H645" s="142"/>
      <c r="I645" s="142"/>
      <c r="J645" s="142"/>
      <c r="K645" s="142"/>
      <c r="L645" s="142"/>
      <c r="M645" s="143"/>
    </row>
    <row r="646" spans="2:16" s="140" customFormat="1">
      <c r="B646" s="149"/>
      <c r="C646" s="57"/>
      <c r="D646" s="142"/>
      <c r="E646" s="142"/>
      <c r="F646" s="142"/>
      <c r="G646" s="142"/>
      <c r="H646" s="142"/>
      <c r="I646" s="142"/>
      <c r="J646" s="142"/>
      <c r="K646" s="142"/>
      <c r="L646" s="142"/>
      <c r="M646" s="143"/>
    </row>
  </sheetData>
  <phoneticPr fontId="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enableFormatConditionsCalculation="0">
    <tabColor theme="0"/>
    <pageSetUpPr fitToPage="1"/>
  </sheetPr>
  <dimension ref="B1:D31"/>
  <sheetViews>
    <sheetView showGridLines="0" zoomScale="85" zoomScaleNormal="85" workbookViewId="0"/>
  </sheetViews>
  <sheetFormatPr defaultRowHeight="12.75"/>
  <cols>
    <col min="1" max="1" width="2.5703125" customWidth="1"/>
    <col min="2" max="2" width="75.28515625" customWidth="1"/>
    <col min="3" max="3" width="15" customWidth="1"/>
    <col min="4" max="4" width="27" customWidth="1"/>
    <col min="5" max="5" width="2.5703125" customWidth="1"/>
    <col min="6" max="6" width="21.42578125" customWidth="1"/>
    <col min="7" max="15" width="14.85546875" customWidth="1"/>
  </cols>
  <sheetData>
    <row r="1" spans="2:4" ht="12" customHeight="1"/>
    <row r="2" spans="2:4" s="1" customFormat="1" ht="18">
      <c r="B2" s="1043" t="s">
        <v>1287</v>
      </c>
    </row>
    <row r="4" spans="2:4" s="2" customFormat="1">
      <c r="B4" s="2" t="s">
        <v>84</v>
      </c>
    </row>
    <row r="6" spans="2:4" ht="12.75" customHeight="1">
      <c r="B6" s="1184" t="s">
        <v>1278</v>
      </c>
      <c r="C6" s="1184"/>
      <c r="D6" s="1184"/>
    </row>
    <row r="7" spans="2:4">
      <c r="B7" s="1184"/>
      <c r="C7" s="1184"/>
      <c r="D7" s="1184"/>
    </row>
    <row r="8" spans="2:4">
      <c r="B8" s="985"/>
      <c r="C8" s="986"/>
      <c r="D8" s="986"/>
    </row>
    <row r="9" spans="2:4">
      <c r="B9" s="1044" t="s">
        <v>1304</v>
      </c>
      <c r="C9" s="1044" t="s">
        <v>1105</v>
      </c>
      <c r="D9" s="1044" t="s">
        <v>1106</v>
      </c>
    </row>
    <row r="10" spans="2:4">
      <c r="B10" s="1045" t="s">
        <v>1279</v>
      </c>
      <c r="C10" s="1046" t="s">
        <v>1288</v>
      </c>
      <c r="D10" s="1045" t="s">
        <v>1296</v>
      </c>
    </row>
    <row r="11" spans="2:4">
      <c r="B11" s="1045" t="s">
        <v>1280</v>
      </c>
      <c r="C11" s="1046" t="s">
        <v>1289</v>
      </c>
      <c r="D11" s="1045" t="s">
        <v>1297</v>
      </c>
    </row>
    <row r="12" spans="2:4">
      <c r="B12" s="1045" t="s">
        <v>1281</v>
      </c>
      <c r="C12" s="1046" t="s">
        <v>1290</v>
      </c>
      <c r="D12" s="1045" t="s">
        <v>1298</v>
      </c>
    </row>
    <row r="13" spans="2:4">
      <c r="B13" s="1045" t="s">
        <v>1282</v>
      </c>
      <c r="C13" s="1046" t="s">
        <v>1291</v>
      </c>
      <c r="D13" s="1045" t="s">
        <v>1299</v>
      </c>
    </row>
    <row r="14" spans="2:4">
      <c r="B14" s="1045" t="s">
        <v>1283</v>
      </c>
      <c r="C14" s="1046" t="s">
        <v>1292</v>
      </c>
      <c r="D14" s="1045" t="s">
        <v>1300</v>
      </c>
    </row>
    <row r="15" spans="2:4">
      <c r="B15" s="1045" t="s">
        <v>1284</v>
      </c>
      <c r="C15" s="1046" t="s">
        <v>1293</v>
      </c>
      <c r="D15" s="1045" t="s">
        <v>1301</v>
      </c>
    </row>
    <row r="16" spans="2:4">
      <c r="B16" s="1045" t="s">
        <v>1285</v>
      </c>
      <c r="C16" s="1046" t="s">
        <v>1294</v>
      </c>
      <c r="D16" s="1045" t="s">
        <v>1302</v>
      </c>
    </row>
    <row r="17" spans="2:4">
      <c r="B17" s="1047" t="s">
        <v>1286</v>
      </c>
      <c r="C17" s="1048" t="s">
        <v>1295</v>
      </c>
      <c r="D17" s="1047" t="s">
        <v>1303</v>
      </c>
    </row>
    <row r="19" spans="2:4" s="162" customFormat="1">
      <c r="B19" s="161" t="s">
        <v>415</v>
      </c>
    </row>
    <row r="21" spans="2:4">
      <c r="B21" s="1049" t="s">
        <v>416</v>
      </c>
    </row>
    <row r="22" spans="2:4">
      <c r="B22" s="1050"/>
    </row>
    <row r="23" spans="2:4">
      <c r="B23" s="1051" t="s">
        <v>417</v>
      </c>
    </row>
    <row r="24" spans="2:4">
      <c r="B24" s="1050"/>
    </row>
    <row r="25" spans="2:4">
      <c r="B25" s="1052" t="s">
        <v>418</v>
      </c>
    </row>
    <row r="26" spans="2:4">
      <c r="B26" s="163"/>
    </row>
    <row r="27" spans="2:4">
      <c r="B27" s="1053" t="s">
        <v>419</v>
      </c>
    </row>
    <row r="29" spans="2:4">
      <c r="B29" s="1054" t="s">
        <v>420</v>
      </c>
    </row>
    <row r="31" spans="2:4">
      <c r="B31" s="1055" t="s">
        <v>421</v>
      </c>
    </row>
  </sheetData>
  <mergeCells count="1">
    <mergeCell ref="B6:D7"/>
  </mergeCells>
  <phoneticPr fontId="3" type="noConversion"/>
  <pageMargins left="0.75" right="0.75" top="1" bottom="1" header="0.5" footer="0.5"/>
  <pageSetup paperSize="9" scale="72"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enableFormatConditionsCalculation="0">
    <tabColor indexed="43"/>
  </sheetPr>
  <dimension ref="B1:Y150"/>
  <sheetViews>
    <sheetView showGridLines="0" zoomScale="85" zoomScaleNormal="85" workbookViewId="0">
      <pane xSplit="3" ySplit="2" topLeftCell="D3" activePane="bottomRight" state="frozen"/>
      <selection pane="topRight"/>
      <selection pane="bottomLeft"/>
      <selection pane="bottomRight" activeCell="D3" sqref="D3"/>
    </sheetView>
  </sheetViews>
  <sheetFormatPr defaultRowHeight="12.75"/>
  <cols>
    <col min="1" max="1" width="2.5703125" customWidth="1"/>
    <col min="2" max="2" width="49.28515625" customWidth="1"/>
    <col min="3" max="3" width="2.5703125" customWidth="1"/>
    <col min="4" max="4" width="14.5703125" customWidth="1"/>
    <col min="5" max="5" width="2.5703125" customWidth="1"/>
    <col min="6" max="6" width="21.42578125" customWidth="1"/>
    <col min="7" max="14" width="14.85546875" customWidth="1"/>
    <col min="15" max="15" width="11.140625" customWidth="1"/>
    <col min="16" max="16" width="20.5703125" customWidth="1"/>
  </cols>
  <sheetData>
    <row r="1" spans="2:16" ht="12" customHeight="1"/>
    <row r="2" spans="2:16" s="1" customFormat="1" ht="18">
      <c r="B2" s="1" t="s">
        <v>257</v>
      </c>
      <c r="F2" s="5" t="s">
        <v>177</v>
      </c>
      <c r="G2" s="5" t="s">
        <v>168</v>
      </c>
      <c r="H2" s="5" t="s">
        <v>169</v>
      </c>
      <c r="I2" s="5" t="s">
        <v>170</v>
      </c>
      <c r="J2" s="5" t="s">
        <v>171</v>
      </c>
      <c r="K2" s="5" t="s">
        <v>172</v>
      </c>
      <c r="L2" s="5" t="s">
        <v>173</v>
      </c>
      <c r="M2" s="5" t="s">
        <v>174</v>
      </c>
      <c r="N2" s="5" t="s">
        <v>175</v>
      </c>
      <c r="P2" s="5" t="s">
        <v>438</v>
      </c>
    </row>
    <row r="4" spans="2:16">
      <c r="B4" s="50" t="s">
        <v>435</v>
      </c>
    </row>
    <row r="6" spans="2:16">
      <c r="B6" s="4"/>
    </row>
    <row r="7" spans="2:16">
      <c r="B7" s="4"/>
    </row>
    <row r="8" spans="2:16" s="9" customFormat="1">
      <c r="B8" s="2" t="s">
        <v>324</v>
      </c>
    </row>
    <row r="10" spans="2:16">
      <c r="B10" s="3" t="s">
        <v>540</v>
      </c>
    </row>
    <row r="11" spans="2:16">
      <c r="B11" s="13" t="s">
        <v>268</v>
      </c>
      <c r="F11" s="21">
        <f>SUM(G11:N11)</f>
        <v>160567385.14800608</v>
      </c>
      <c r="G11" s="24">
        <f>SUMPRODUCT('Standaardisatie volumes TD'!G118:G145,'Berekening wegingsfactoren'!$F$488:$F$515)</f>
        <v>0</v>
      </c>
      <c r="H11" s="24">
        <f>SUMPRODUCT('Standaardisatie volumes TD'!H118:H145,'Berekening wegingsfactoren'!$F$488:$F$515)</f>
        <v>3604666.1281261803</v>
      </c>
      <c r="I11" s="24">
        <f>SUMPRODUCT('Standaardisatie volumes TD'!I118:I145,'Berekening wegingsfactoren'!$F$488:$F$515)</f>
        <v>647564.36488436768</v>
      </c>
      <c r="J11" s="24">
        <f>SUMPRODUCT('Standaardisatie volumes TD'!J118:J145,'Berekening wegingsfactoren'!$F$488:$F$515)</f>
        <v>58751689.125897922</v>
      </c>
      <c r="K11" s="24">
        <f>SUMPRODUCT('Standaardisatie volumes TD'!K118:K145,'Berekening wegingsfactoren'!$F$488:$F$515)</f>
        <v>48897093.989431836</v>
      </c>
      <c r="L11" s="24">
        <f>SUMPRODUCT('Standaardisatie volumes TD'!L118:L145,'Berekening wegingsfactoren'!$F$488:$F$515)</f>
        <v>0</v>
      </c>
      <c r="M11" s="24">
        <f>SUMPRODUCT('Standaardisatie volumes TD'!M118:M145,'Berekening wegingsfactoren'!$F$488:$F$515)</f>
        <v>47911159.562487498</v>
      </c>
      <c r="N11" s="24">
        <f>SUMPRODUCT('Standaardisatie volumes TD'!N118:N145,'Berekening wegingsfactoren'!$F$488:$F$515)</f>
        <v>755211.97717828234</v>
      </c>
    </row>
    <row r="12" spans="2:16">
      <c r="B12" s="13" t="s">
        <v>271</v>
      </c>
      <c r="F12" s="21">
        <f>SUM(G12:N12)</f>
        <v>771778117.43470502</v>
      </c>
      <c r="G12" s="24">
        <f>SUMPRODUCT('Standaardisatie volumes TD'!G155:G170,'Berekening wegingsfactoren'!$F$525:$F$540)</f>
        <v>4836843.1699169455</v>
      </c>
      <c r="H12" s="24">
        <f>SUMPRODUCT('Standaardisatie volumes TD'!H155:H170,'Berekening wegingsfactoren'!$F$525:$F$540)</f>
        <v>18664726.899694905</v>
      </c>
      <c r="I12" s="24">
        <f>SUMPRODUCT('Standaardisatie volumes TD'!I155:I170,'Berekening wegingsfactoren'!$F$525:$F$540)</f>
        <v>12174758.421745822</v>
      </c>
      <c r="J12" s="24">
        <f>SUMPRODUCT('Standaardisatie volumes TD'!J155:J170,'Berekening wegingsfactoren'!$F$525:$F$540)</f>
        <v>274032186.55957407</v>
      </c>
      <c r="K12" s="24">
        <f>SUMPRODUCT('Standaardisatie volumes TD'!K155:K170,'Berekening wegingsfactoren'!$F$525:$F$540)</f>
        <v>263238176.78370944</v>
      </c>
      <c r="L12" s="24">
        <f>SUMPRODUCT('Standaardisatie volumes TD'!L155:L170,'Berekening wegingsfactoren'!$F$525:$F$540)</f>
        <v>3171709.7192952232</v>
      </c>
      <c r="M12" s="24">
        <f>SUMPRODUCT('Standaardisatie volumes TD'!M155:M170,'Berekening wegingsfactoren'!$F$525:$F$540)</f>
        <v>170783569.6240761</v>
      </c>
      <c r="N12" s="24">
        <f>SUMPRODUCT('Standaardisatie volumes TD'!N155:N170,'Berekening wegingsfactoren'!$F$525:$F$540)</f>
        <v>24876146.256692413</v>
      </c>
    </row>
    <row r="13" spans="2:16">
      <c r="B13" s="13" t="s">
        <v>269</v>
      </c>
      <c r="F13" s="21">
        <f>SUM(G13:N13)</f>
        <v>1579549301.0313404</v>
      </c>
      <c r="G13" s="24">
        <f>SUMPRODUCT('Standaardisatie volumes TD'!G180:G195,'Berekening wegingsfactoren'!$F$550:$F$565)</f>
        <v>11373919.985147951</v>
      </c>
      <c r="H13" s="24">
        <f>SUMPRODUCT('Standaardisatie volumes TD'!H180:H195,'Berekening wegingsfactoren'!$F$550:$F$565)</f>
        <v>40454399.67005036</v>
      </c>
      <c r="I13" s="24">
        <f>SUMPRODUCT('Standaardisatie volumes TD'!I180:I195,'Berekening wegingsfactoren'!$F$550:$F$565)</f>
        <v>19613269.67440157</v>
      </c>
      <c r="J13" s="24">
        <f>SUMPRODUCT('Standaardisatie volumes TD'!J180:J195,'Berekening wegingsfactoren'!$F$550:$F$565)</f>
        <v>522540823.58488005</v>
      </c>
      <c r="K13" s="24">
        <f>SUMPRODUCT('Standaardisatie volumes TD'!K180:K195,'Berekening wegingsfactoren'!$F$550:$F$565)</f>
        <v>568020487.88737476</v>
      </c>
      <c r="L13" s="24">
        <f>SUMPRODUCT('Standaardisatie volumes TD'!L180:L195,'Berekening wegingsfactoren'!$F$550:$F$565)</f>
        <v>6710050.5628260933</v>
      </c>
      <c r="M13" s="24">
        <f>SUMPRODUCT('Standaardisatie volumes TD'!M180:M195,'Berekening wegingsfactoren'!$F$550:$F$565)</f>
        <v>398774979.63786358</v>
      </c>
      <c r="N13" s="24">
        <f>SUMPRODUCT('Standaardisatie volumes TD'!N180:N195,'Berekening wegingsfactoren'!$F$550:$F$565)</f>
        <v>12061370.028796054</v>
      </c>
    </row>
    <row r="14" spans="2:16">
      <c r="B14" s="13" t="s">
        <v>270</v>
      </c>
      <c r="F14" s="21">
        <f>SUM(G14:N14)</f>
        <v>3334799.9691543407</v>
      </c>
      <c r="G14" s="24">
        <f>SUMPRODUCT('Standaardisatie volumes TD'!G206:G207,'Berekening wegingsfactoren'!$F$576:$F$577)</f>
        <v>21658.982308378101</v>
      </c>
      <c r="H14" s="24">
        <f>SUMPRODUCT('Standaardisatie volumes TD'!H206:H207,'Berekening wegingsfactoren'!$F$576:$F$577)</f>
        <v>0</v>
      </c>
      <c r="I14" s="24">
        <f>SUMPRODUCT('Standaardisatie volumes TD'!I206:I207,'Berekening wegingsfactoren'!$F$576:$F$577)</f>
        <v>36441.955037781794</v>
      </c>
      <c r="J14" s="24">
        <f>SUMPRODUCT('Standaardisatie volumes TD'!J206:J207,'Berekening wegingsfactoren'!$F$576:$F$577)</f>
        <v>2473125.2797641568</v>
      </c>
      <c r="K14" s="24">
        <f>SUMPRODUCT('Standaardisatie volumes TD'!K206:K207,'Berekening wegingsfactoren'!$F$576:$F$577)</f>
        <v>0</v>
      </c>
      <c r="L14" s="24">
        <f>SUMPRODUCT('Standaardisatie volumes TD'!L206:L207,'Berekening wegingsfactoren'!$F$576:$F$577)</f>
        <v>15401.857249820259</v>
      </c>
      <c r="M14" s="24">
        <f>SUMPRODUCT('Standaardisatie volumes TD'!M206:M207,'Berekening wegingsfactoren'!$F$576:$F$577)</f>
        <v>788171.89479420369</v>
      </c>
      <c r="N14" s="24">
        <f>SUMPRODUCT('Standaardisatie volumes TD'!N206:N207,'Berekening wegingsfactoren'!$F$576:$F$577)</f>
        <v>0</v>
      </c>
    </row>
    <row r="16" spans="2:16">
      <c r="B16" s="104" t="s">
        <v>541</v>
      </c>
    </row>
    <row r="17" spans="2:16">
      <c r="B17" s="171" t="s">
        <v>434</v>
      </c>
      <c r="F17" s="21">
        <f>SUM(G17:N17)</f>
        <v>108990847.41383253</v>
      </c>
      <c r="G17" s="115">
        <f>SUMPRODUCT('Berekening wegingsfactoren'!$F$641:$F$645,'PRD Volumes DCO (2009-2012)'!G39:G43)</f>
        <v>2687.8265595354928</v>
      </c>
      <c r="H17" s="115">
        <f>SUMPRODUCT('Berekening wegingsfactoren'!$F$641:$F$645,'PRD Volumes DCO (2009-2012)'!H39:H43)</f>
        <v>4958984.4820276406</v>
      </c>
      <c r="I17" s="115">
        <f>SUMPRODUCT('Berekening wegingsfactoren'!$F$641:$F$645,'PRD Volumes DCO (2009-2012)'!I39:I43)</f>
        <v>185556.66972364215</v>
      </c>
      <c r="J17" s="115">
        <f>SUMPRODUCT('Berekening wegingsfactoren'!$F$641:$F$645,'PRD Volumes DCO (2009-2012)'!J39:J43)</f>
        <v>26417063.927990612</v>
      </c>
      <c r="K17" s="115">
        <f>SUMPRODUCT('Berekening wegingsfactoren'!$F$641:$F$645,'PRD Volumes DCO (2009-2012)'!K39:K43)</f>
        <v>41673223.130538888</v>
      </c>
      <c r="L17" s="115">
        <f>SUMPRODUCT('Berekening wegingsfactoren'!$F$641:$F$645,'PRD Volumes DCO (2009-2012)'!L39:L43)</f>
        <v>5119.4124927134581</v>
      </c>
      <c r="M17" s="115">
        <f>SUMPRODUCT('Berekening wegingsfactoren'!$F$641:$F$645,'PRD Volumes DCO (2009-2012)'!M39:M43)</f>
        <v>21768266.566139903</v>
      </c>
      <c r="N17" s="115">
        <f>SUMPRODUCT('Berekening wegingsfactoren'!$F$641:$F$645,'PRD Volumes DCO (2009-2012)'!N39:N43)</f>
        <v>13979945.3983596</v>
      </c>
    </row>
    <row r="19" spans="2:16">
      <c r="B19" t="s">
        <v>539</v>
      </c>
      <c r="F19" s="191">
        <f>SUM(F11:F14)/SUM(F11:F14,F17)</f>
        <v>0.95846734317902937</v>
      </c>
      <c r="G19" s="32"/>
    </row>
    <row r="21" spans="2:16">
      <c r="B21" s="3" t="s">
        <v>1097</v>
      </c>
    </row>
    <row r="22" spans="2:16">
      <c r="B22" s="13" t="s">
        <v>268</v>
      </c>
      <c r="F22" s="21">
        <f>SUM(G22:N22)</f>
        <v>153898595.04401332</v>
      </c>
      <c r="G22" s="24">
        <f>G11*$F$19</f>
        <v>0</v>
      </c>
      <c r="H22" s="24">
        <f t="shared" ref="H22:N22" si="0">H11*$F$19</f>
        <v>3454954.7668725387</v>
      </c>
      <c r="I22" s="24">
        <f t="shared" si="0"/>
        <v>620669.29634813545</v>
      </c>
      <c r="J22" s="24">
        <f t="shared" si="0"/>
        <v>56311575.383779652</v>
      </c>
      <c r="K22" s="24">
        <f t="shared" si="0"/>
        <v>46866267.765226021</v>
      </c>
      <c r="L22" s="24">
        <f t="shared" si="0"/>
        <v>0</v>
      </c>
      <c r="M22" s="24">
        <f t="shared" si="0"/>
        <v>45921281.814483941</v>
      </c>
      <c r="N22" s="24">
        <f t="shared" si="0"/>
        <v>723846.01730305003</v>
      </c>
    </row>
    <row r="23" spans="2:16">
      <c r="B23" s="13" t="s">
        <v>271</v>
      </c>
      <c r="F23" s="21">
        <f>SUM(G23:N23)</f>
        <v>739724121.74135447</v>
      </c>
      <c r="G23" s="24">
        <f t="shared" ref="G23:N25" si="1">G12*$F$19</f>
        <v>4635956.2224439289</v>
      </c>
      <c r="H23" s="24">
        <f t="shared" si="1"/>
        <v>17889531.202712737</v>
      </c>
      <c r="I23" s="24">
        <f t="shared" si="1"/>
        <v>11669108.358337231</v>
      </c>
      <c r="J23" s="24">
        <f t="shared" si="1"/>
        <v>262650901.79729506</v>
      </c>
      <c r="K23" s="24">
        <f t="shared" si="1"/>
        <v>252305195.92517364</v>
      </c>
      <c r="L23" s="24">
        <f t="shared" si="1"/>
        <v>3039980.1879879977</v>
      </c>
      <c r="M23" s="24">
        <f t="shared" si="1"/>
        <v>163690474.23621899</v>
      </c>
      <c r="N23" s="24">
        <f t="shared" si="1"/>
        <v>23842973.811184935</v>
      </c>
    </row>
    <row r="24" spans="2:16">
      <c r="B24" s="13" t="s">
        <v>269</v>
      </c>
      <c r="F24" s="21">
        <f>SUM(G24:N24)</f>
        <v>1513946421.9798019</v>
      </c>
      <c r="G24" s="24">
        <f t="shared" si="1"/>
        <v>10901530.869695622</v>
      </c>
      <c r="H24" s="24">
        <f t="shared" si="1"/>
        <v>38774220.971655771</v>
      </c>
      <c r="I24" s="24">
        <f t="shared" si="1"/>
        <v>18798678.475877501</v>
      </c>
      <c r="J24" s="24">
        <f t="shared" si="1"/>
        <v>500838314.88398188</v>
      </c>
      <c r="K24" s="24">
        <f t="shared" si="1"/>
        <v>544429087.89666808</v>
      </c>
      <c r="L24" s="24">
        <f t="shared" si="1"/>
        <v>6431364.3355488768</v>
      </c>
      <c r="M24" s="24">
        <f t="shared" si="1"/>
        <v>382212795.25977463</v>
      </c>
      <c r="N24" s="24">
        <f t="shared" si="1"/>
        <v>11560429.286599327</v>
      </c>
    </row>
    <row r="25" spans="2:16">
      <c r="B25" s="13" t="s">
        <v>270</v>
      </c>
      <c r="F25" s="21">
        <f>SUM(G25:N25)</f>
        <v>3196296.8664688701</v>
      </c>
      <c r="G25" s="24">
        <f t="shared" si="1"/>
        <v>20759.42722907276</v>
      </c>
      <c r="H25" s="24">
        <f t="shared" si="1"/>
        <v>0</v>
      </c>
      <c r="I25" s="24">
        <f t="shared" si="1"/>
        <v>34928.423825312362</v>
      </c>
      <c r="J25" s="24">
        <f t="shared" si="1"/>
        <v>2370409.8162444453</v>
      </c>
      <c r="K25" s="24">
        <f t="shared" si="1"/>
        <v>0</v>
      </c>
      <c r="L25" s="24">
        <f t="shared" si="1"/>
        <v>14762.177198257896</v>
      </c>
      <c r="M25" s="24">
        <f t="shared" si="1"/>
        <v>755437.02197178185</v>
      </c>
      <c r="N25" s="24">
        <f t="shared" si="1"/>
        <v>0</v>
      </c>
    </row>
    <row r="27" spans="2:16">
      <c r="B27" s="104" t="s">
        <v>280</v>
      </c>
    </row>
    <row r="28" spans="2:16">
      <c r="B28" s="171" t="s">
        <v>434</v>
      </c>
      <c r="F28" s="21">
        <f>SUM(G28:N28)</f>
        <v>104464167.95156704</v>
      </c>
      <c r="G28" s="24">
        <f>G17*$F$19</f>
        <v>2576.1939814440152</v>
      </c>
      <c r="H28" s="24">
        <f t="shared" ref="H28:N28" si="2">H17*$F$19</f>
        <v>4753024.6813550675</v>
      </c>
      <c r="I28" s="24">
        <f t="shared" si="2"/>
        <v>177850.00823916792</v>
      </c>
      <c r="J28" s="24">
        <f t="shared" si="2"/>
        <v>25319893.077651735</v>
      </c>
      <c r="K28" s="24">
        <f t="shared" si="2"/>
        <v>39942423.455634482</v>
      </c>
      <c r="L28" s="24">
        <f t="shared" si="2"/>
        <v>4906.7896905286007</v>
      </c>
      <c r="M28" s="24">
        <f t="shared" si="2"/>
        <v>20864172.621261004</v>
      </c>
      <c r="N28" s="24">
        <f t="shared" si="2"/>
        <v>13399321.123753624</v>
      </c>
    </row>
    <row r="29" spans="2:16">
      <c r="P29" s="27"/>
    </row>
    <row r="30" spans="2:16">
      <c r="B30" s="3" t="s">
        <v>542</v>
      </c>
    </row>
    <row r="31" spans="2:16">
      <c r="B31" s="103" t="s">
        <v>272</v>
      </c>
      <c r="F31" s="21">
        <f>SUM(G31:N31)</f>
        <v>249457048.57290554</v>
      </c>
      <c r="G31" s="24">
        <f>SUMPRODUCT('Gestandaardiseerde PAV en EAV'!G39:G46,'Berekening wegingsfactoren'!$F$585:$F$592)</f>
        <v>1672836.7936124071</v>
      </c>
      <c r="H31" s="24">
        <f>SUMPRODUCT('Gestandaardiseerde PAV en EAV'!H39:H46,'Berekening wegingsfactoren'!$F$585:$F$592)</f>
        <v>6624587.957132793</v>
      </c>
      <c r="I31" s="24">
        <f>SUMPRODUCT('Gestandaardiseerde PAV en EAV'!I39:I46,'Berekening wegingsfactoren'!$F$585:$F$592)</f>
        <v>3424231.9370558336</v>
      </c>
      <c r="J31" s="24">
        <f>SUMPRODUCT('Gestandaardiseerde PAV en EAV'!J39:J46,'Berekening wegingsfactoren'!$F$585:$F$592)</f>
        <v>86745584.017314747</v>
      </c>
      <c r="K31" s="24">
        <f>SUMPRODUCT('Gestandaardiseerde PAV en EAV'!K39:K46,'Berekening wegingsfactoren'!$F$585:$F$592)</f>
        <v>90271663.357995942</v>
      </c>
      <c r="L31" s="24">
        <f>SUMPRODUCT('Gestandaardiseerde PAV en EAV'!L39:L46,'Berekening wegingsfactoren'!$F$585:$F$592)</f>
        <v>1047925.994216709</v>
      </c>
      <c r="M31" s="24">
        <f>SUMPRODUCT('Gestandaardiseerde PAV en EAV'!M39:M46,'Berekening wegingsfactoren'!$F$585:$F$592)</f>
        <v>57663551.706585065</v>
      </c>
      <c r="N31" s="24">
        <f>SUMPRODUCT('Gestandaardiseerde PAV en EAV'!N39:N46,'Berekening wegingsfactoren'!$F$585:$F$592)</f>
        <v>2006666.8089920389</v>
      </c>
    </row>
    <row r="32" spans="2:16">
      <c r="B32" s="103" t="s">
        <v>81</v>
      </c>
      <c r="F32" s="21">
        <f>SUM(G32:N32)</f>
        <v>199138553.80170608</v>
      </c>
      <c r="G32" s="24">
        <f>SUMPRODUCT('Gestandaardiseerde PAV en EAV'!G50:G53,'Berekening wegingsfactoren'!$F$596:$F$599) +'Gestandaardiseerde PAV en EAV'!G54*'Berekening wegingsfactoren'!G$600+ SUMPRODUCT('Gestandaardiseerde PAV en EAV'!G57:G60,'Berekening wegingsfactoren'!$F$603:$F$606) +'Gestandaardiseerde PAV en EAV'!G61*'Berekening wegingsfactoren'!G$607</f>
        <v>1080048.441478296</v>
      </c>
      <c r="H32" s="24">
        <f>SUMPRODUCT('Gestandaardiseerde PAV en EAV'!H50:H53,'Berekening wegingsfactoren'!$F$596:$F$599) +'Gestandaardiseerde PAV en EAV'!H54*'Berekening wegingsfactoren'!H$600+ SUMPRODUCT('Gestandaardiseerde PAV en EAV'!H57:H60,'Berekening wegingsfactoren'!$F$603:$F$606) +'Gestandaardiseerde PAV en EAV'!H61*'Berekening wegingsfactoren'!H$607</f>
        <v>7817075.8779470632</v>
      </c>
      <c r="I32" s="24">
        <f>SUMPRODUCT('Gestandaardiseerde PAV en EAV'!I50:I53,'Berekening wegingsfactoren'!$F$596:$F$599) +'Gestandaardiseerde PAV en EAV'!I54*'Berekening wegingsfactoren'!I$600+ SUMPRODUCT('Gestandaardiseerde PAV en EAV'!I57:I60,'Berekening wegingsfactoren'!$F$603:$F$606) +'Gestandaardiseerde PAV en EAV'!I61*'Berekening wegingsfactoren'!I$607</f>
        <v>2283522.1875454644</v>
      </c>
      <c r="J32" s="24">
        <f>SUMPRODUCT('Gestandaardiseerde PAV en EAV'!J50:J53,'Berekening wegingsfactoren'!$F$596:$F$599) +'Gestandaardiseerde PAV en EAV'!J54*'Berekening wegingsfactoren'!J$600+ SUMPRODUCT('Gestandaardiseerde PAV en EAV'!J57:J60,'Berekening wegingsfactoren'!$F$603:$F$606) +'Gestandaardiseerde PAV en EAV'!J61*'Berekening wegingsfactoren'!J$607</f>
        <v>70201189.835055515</v>
      </c>
      <c r="K32" s="24">
        <f>SUMPRODUCT('Gestandaardiseerde PAV en EAV'!K50:K53,'Berekening wegingsfactoren'!$F$596:$F$599) +'Gestandaardiseerde PAV en EAV'!K54*'Berekening wegingsfactoren'!K$600+ SUMPRODUCT('Gestandaardiseerde PAV en EAV'!K57:K60,'Berekening wegingsfactoren'!$F$603:$F$606) +'Gestandaardiseerde PAV en EAV'!K61*'Berekening wegingsfactoren'!K$607</f>
        <v>57007824.550178781</v>
      </c>
      <c r="L32" s="24">
        <f>SUMPRODUCT('Gestandaardiseerde PAV en EAV'!L50:L53,'Berekening wegingsfactoren'!$F$596:$F$599) +'Gestandaardiseerde PAV en EAV'!L54*'Berekening wegingsfactoren'!L$600+ SUMPRODUCT('Gestandaardiseerde PAV en EAV'!L57:L60,'Berekening wegingsfactoren'!$F$603:$F$606) +'Gestandaardiseerde PAV en EAV'!L61*'Berekening wegingsfactoren'!L$607</f>
        <v>555014.15865632333</v>
      </c>
      <c r="M32" s="24">
        <f>SUMPRODUCT('Gestandaardiseerde PAV en EAV'!M50:M53,'Berekening wegingsfactoren'!$F$596:$F$599) +'Gestandaardiseerde PAV en EAV'!M54*'Berekening wegingsfactoren'!M$600+ SUMPRODUCT('Gestandaardiseerde PAV en EAV'!M57:M60,'Berekening wegingsfactoren'!$F$603:$F$606) +'Gestandaardiseerde PAV en EAV'!M61*'Berekening wegingsfactoren'!M$607</f>
        <v>56700019.765586294</v>
      </c>
      <c r="N32" s="24">
        <f>SUMPRODUCT('Gestandaardiseerde PAV en EAV'!N50:N53,'Berekening wegingsfactoren'!$F$596:$F$599) +'Gestandaardiseerde PAV en EAV'!N54*'Berekening wegingsfactoren'!N$600+ SUMPRODUCT('Gestandaardiseerde PAV en EAV'!N57:N60,'Berekening wegingsfactoren'!$F$603:$F$606) +'Gestandaardiseerde PAV en EAV'!N61*'Berekening wegingsfactoren'!N$607</f>
        <v>3493858.9852583325</v>
      </c>
    </row>
    <row r="34" spans="2:24">
      <c r="B34" t="s">
        <v>176</v>
      </c>
      <c r="F34" s="74">
        <f>SUM(G34:N34)</f>
        <v>2963825205.9578171</v>
      </c>
      <c r="G34" s="74">
        <f>SUM(G28,G31:G32,G22:G25)</f>
        <v>18313707.948440772</v>
      </c>
      <c r="H34" s="74">
        <f t="shared" ref="H34:N34" si="3">SUM(H28,H31:H32,H22:H25)</f>
        <v>79313395.457675964</v>
      </c>
      <c r="I34" s="74">
        <f t="shared" si="3"/>
        <v>37008988.687228642</v>
      </c>
      <c r="J34" s="74">
        <f t="shared" si="3"/>
        <v>1004437868.811323</v>
      </c>
      <c r="K34" s="74">
        <f t="shared" si="3"/>
        <v>1030822462.950877</v>
      </c>
      <c r="L34" s="74">
        <f t="shared" si="3"/>
        <v>11093953.643298693</v>
      </c>
      <c r="M34" s="74">
        <f t="shared" si="3"/>
        <v>727807732.42588174</v>
      </c>
      <c r="N34" s="74">
        <f t="shared" si="3"/>
        <v>55027096.033091307</v>
      </c>
      <c r="P34" s="80" t="s">
        <v>446</v>
      </c>
    </row>
    <row r="36" spans="2:24">
      <c r="F36" s="32"/>
    </row>
    <row r="37" spans="2:24" s="9" customFormat="1">
      <c r="B37" s="2" t="s">
        <v>273</v>
      </c>
    </row>
    <row r="39" spans="2:24">
      <c r="B39" s="3" t="s">
        <v>540</v>
      </c>
    </row>
    <row r="40" spans="2:24">
      <c r="B40" s="13" t="s">
        <v>268</v>
      </c>
      <c r="F40" s="21">
        <f>SUM(G40:N40)</f>
        <v>169900042.20815647</v>
      </c>
      <c r="G40" s="24">
        <f>SUMPRODUCT('Standaardisatie volumes TD'!G321:G348,'Berekening wegingsfactoren'!$F$488:$F$515)</f>
        <v>0</v>
      </c>
      <c r="H40" s="24">
        <f>SUMPRODUCT('Standaardisatie volumes TD'!H321:H348,'Berekening wegingsfactoren'!$F$488:$F$515)</f>
        <v>4166867.2315595611</v>
      </c>
      <c r="I40" s="24">
        <f>SUMPRODUCT('Standaardisatie volumes TD'!I321:I348,'Berekening wegingsfactoren'!$F$488:$F$515)</f>
        <v>653603.72623414965</v>
      </c>
      <c r="J40" s="24">
        <f>SUMPRODUCT('Standaardisatie volumes TD'!J321:J348,'Berekening wegingsfactoren'!$F$488:$F$515)</f>
        <v>59432704.10160549</v>
      </c>
      <c r="K40" s="24">
        <f>SUMPRODUCT('Standaardisatie volumes TD'!K321:K348,'Berekening wegingsfactoren'!$F$488:$F$515)</f>
        <v>50856753.59571331</v>
      </c>
      <c r="L40" s="24">
        <f>SUMPRODUCT('Standaardisatie volumes TD'!L321:L348,'Berekening wegingsfactoren'!$F$488:$F$515)</f>
        <v>0</v>
      </c>
      <c r="M40" s="24">
        <f>SUMPRODUCT('Standaardisatie volumes TD'!M321:M348,'Berekening wegingsfactoren'!$F$488:$F$515)</f>
        <v>53454526.78104379</v>
      </c>
      <c r="N40" s="24">
        <f>SUMPRODUCT('Standaardisatie volumes TD'!N321:N348,'Berekening wegingsfactoren'!$F$488:$F$515)</f>
        <v>1335586.7720001652</v>
      </c>
      <c r="P40" s="35"/>
      <c r="Q40" s="35"/>
      <c r="R40" s="35"/>
      <c r="S40" s="35"/>
      <c r="T40" s="35"/>
      <c r="U40" s="35"/>
      <c r="V40" s="35"/>
      <c r="W40" s="35"/>
      <c r="X40" s="35"/>
    </row>
    <row r="41" spans="2:24">
      <c r="B41" s="13" t="s">
        <v>271</v>
      </c>
      <c r="F41" s="21">
        <f>SUM(G41:N41)</f>
        <v>778480117.05367827</v>
      </c>
      <c r="G41" s="24">
        <f>SUMPRODUCT('Standaardisatie volumes TD'!G358:G373,'Berekening wegingsfactoren'!$F$525:$F$540)</f>
        <v>4864641.3423643019</v>
      </c>
      <c r="H41" s="24">
        <f>SUMPRODUCT('Standaardisatie volumes TD'!H358:H373,'Berekening wegingsfactoren'!$F$525:$F$540)</f>
        <v>19328955.923540685</v>
      </c>
      <c r="I41" s="24">
        <f>SUMPRODUCT('Standaardisatie volumes TD'!I358:I373,'Berekening wegingsfactoren'!$F$525:$F$540)</f>
        <v>12069363.369903775</v>
      </c>
      <c r="J41" s="24">
        <f>SUMPRODUCT('Standaardisatie volumes TD'!J358:J373,'Berekening wegingsfactoren'!$F$525:$F$540)</f>
        <v>277414807.70681477</v>
      </c>
      <c r="K41" s="24">
        <f>SUMPRODUCT('Standaardisatie volumes TD'!K358:K373,'Berekening wegingsfactoren'!$F$525:$F$540)</f>
        <v>266376442.2245459</v>
      </c>
      <c r="L41" s="24">
        <f>SUMPRODUCT('Standaardisatie volumes TD'!L358:L373,'Berekening wegingsfactoren'!$F$525:$F$540)</f>
        <v>3135687.3501557242</v>
      </c>
      <c r="M41" s="24">
        <f>SUMPRODUCT('Standaardisatie volumes TD'!M358:M373,'Berekening wegingsfactoren'!$F$525:$F$540)</f>
        <v>171932637.90231878</v>
      </c>
      <c r="N41" s="24">
        <f>SUMPRODUCT('Standaardisatie volumes TD'!N358:N373,'Berekening wegingsfactoren'!$F$525:$F$540)</f>
        <v>23357581.234034311</v>
      </c>
      <c r="P41" s="35"/>
      <c r="Q41" s="35"/>
      <c r="R41" s="35"/>
      <c r="S41" s="35"/>
      <c r="T41" s="35"/>
      <c r="U41" s="35"/>
      <c r="V41" s="35"/>
      <c r="W41" s="35"/>
      <c r="X41" s="35"/>
    </row>
    <row r="42" spans="2:24">
      <c r="B42" s="13" t="s">
        <v>269</v>
      </c>
      <c r="F42" s="21">
        <f>SUM(G42:N42)</f>
        <v>1602044795.2927709</v>
      </c>
      <c r="G42" s="24">
        <f>SUMPRODUCT('Standaardisatie volumes TD'!G383:G398,'Berekening wegingsfactoren'!$F$550:$F$565)</f>
        <v>11367368.202531049</v>
      </c>
      <c r="H42" s="24">
        <f>SUMPRODUCT('Standaardisatie volumes TD'!H383:H398,'Berekening wegingsfactoren'!$F$550:$F$565)</f>
        <v>40385492.394884244</v>
      </c>
      <c r="I42" s="24">
        <f>SUMPRODUCT('Standaardisatie volumes TD'!I383:I398,'Berekening wegingsfactoren'!$F$550:$F$565)</f>
        <v>19734455.993762523</v>
      </c>
      <c r="J42" s="24">
        <f>SUMPRODUCT('Standaardisatie volumes TD'!J383:J398,'Berekening wegingsfactoren'!$F$550:$F$565)</f>
        <v>526400593.77396059</v>
      </c>
      <c r="K42" s="24">
        <f>SUMPRODUCT('Standaardisatie volumes TD'!K383:K398,'Berekening wegingsfactoren'!$F$550:$F$565)</f>
        <v>574159143.58770883</v>
      </c>
      <c r="L42" s="24">
        <f>SUMPRODUCT('Standaardisatie volumes TD'!L383:L398,'Berekening wegingsfactoren'!$F$550:$F$565)</f>
        <v>6775742.9024623027</v>
      </c>
      <c r="M42" s="24">
        <f>SUMPRODUCT('Standaardisatie volumes TD'!M383:M398,'Berekening wegingsfactoren'!$F$550:$F$565)</f>
        <v>411191669.71421528</v>
      </c>
      <c r="N42" s="24">
        <f>SUMPRODUCT('Standaardisatie volumes TD'!N383:N398,'Berekening wegingsfactoren'!$F$550:$F$565)</f>
        <v>12030328.72324609</v>
      </c>
      <c r="P42" s="35"/>
      <c r="Q42" s="35"/>
      <c r="R42" s="35"/>
      <c r="S42" s="35"/>
      <c r="T42" s="35"/>
      <c r="U42" s="35"/>
      <c r="V42" s="35"/>
      <c r="W42" s="35"/>
      <c r="X42" s="35"/>
    </row>
    <row r="43" spans="2:24">
      <c r="B43" s="13" t="s">
        <v>270</v>
      </c>
      <c r="F43" s="21">
        <f>SUM(G43:N43)</f>
        <v>3033770.3855014248</v>
      </c>
      <c r="G43" s="24">
        <f>SUMPRODUCT('Standaardisatie volumes TD'!G409:G410,'Berekening wegingsfactoren'!$F$576:$F$577)</f>
        <v>22472.395057627578</v>
      </c>
      <c r="H43" s="24">
        <f>SUMPRODUCT('Standaardisatie volumes TD'!H409:H410,'Berekening wegingsfactoren'!$F$576:$F$577)</f>
        <v>0</v>
      </c>
      <c r="I43" s="24">
        <f>SUMPRODUCT('Standaardisatie volumes TD'!I409:I410,'Berekening wegingsfactoren'!$F$576:$F$577)</f>
        <v>36680.502647697649</v>
      </c>
      <c r="J43" s="24">
        <f>SUMPRODUCT('Standaardisatie volumes TD'!J409:J410,'Berekening wegingsfactoren'!$F$576:$F$577)</f>
        <v>2406384.0311932643</v>
      </c>
      <c r="K43" s="24">
        <f>SUMPRODUCT('Standaardisatie volumes TD'!K409:K410,'Berekening wegingsfactoren'!$F$576:$F$577)</f>
        <v>0</v>
      </c>
      <c r="L43" s="24">
        <f>SUMPRODUCT('Standaardisatie volumes TD'!L409:L410,'Berekening wegingsfactoren'!$F$576:$F$577)</f>
        <v>16912.309556509066</v>
      </c>
      <c r="M43" s="24">
        <f>SUMPRODUCT('Standaardisatie volumes TD'!M409:M410,'Berekening wegingsfactoren'!$F$576:$F$577)</f>
        <v>551321.14704632596</v>
      </c>
      <c r="N43" s="24">
        <f>SUMPRODUCT('Standaardisatie volumes TD'!N409:N410,'Berekening wegingsfactoren'!$F$576:$F$577)</f>
        <v>0</v>
      </c>
      <c r="P43" s="35"/>
      <c r="Q43" s="35"/>
      <c r="R43" s="35"/>
      <c r="S43" s="35"/>
      <c r="T43" s="35"/>
      <c r="U43" s="35"/>
      <c r="V43" s="35"/>
      <c r="W43" s="35"/>
      <c r="X43" s="35"/>
    </row>
    <row r="45" spans="2:24">
      <c r="B45" s="104" t="s">
        <v>541</v>
      </c>
    </row>
    <row r="46" spans="2:24">
      <c r="B46" s="171" t="s">
        <v>434</v>
      </c>
      <c r="F46" s="21">
        <f>SUM(G46:N46)</f>
        <v>106521730.49349156</v>
      </c>
      <c r="G46" s="115">
        <f>SUMPRODUCT('Berekening wegingsfactoren'!$F$641:$F$645,'PRD Volumes DCO (2009-2012)'!G75:G79)</f>
        <v>4843.1591780309354</v>
      </c>
      <c r="H46" s="115">
        <f>SUMPRODUCT('Berekening wegingsfactoren'!$F$641:$F$645,'PRD Volumes DCO (2009-2012)'!H75:H79)</f>
        <v>4927708.645173829</v>
      </c>
      <c r="I46" s="115">
        <f>SUMPRODUCT('Berekening wegingsfactoren'!$F$641:$F$645,'PRD Volumes DCO (2009-2012)'!I75:I79)</f>
        <v>137157.56915908022</v>
      </c>
      <c r="J46" s="115">
        <f>SUMPRODUCT('Berekening wegingsfactoren'!$F$641:$F$645,'PRD Volumes DCO (2009-2012)'!J75:J79)</f>
        <v>25795618.702954765</v>
      </c>
      <c r="K46" s="115">
        <f>SUMPRODUCT('Berekening wegingsfactoren'!$F$641:$F$645,'PRD Volumes DCO (2009-2012)'!K75:K79)</f>
        <v>40987445.685360022</v>
      </c>
      <c r="L46" s="115">
        <f>SUMPRODUCT('Berekening wegingsfactoren'!$F$641:$F$645,'PRD Volumes DCO (2009-2012)'!L75:L79)</f>
        <v>12315.579526437963</v>
      </c>
      <c r="M46" s="115">
        <f>SUMPRODUCT('Berekening wegingsfactoren'!$F$641:$F$645,'PRD Volumes DCO (2009-2012)'!M75:M79)</f>
        <v>21173208.596794561</v>
      </c>
      <c r="N46" s="115">
        <f>SUMPRODUCT('Berekening wegingsfactoren'!$F$641:$F$645,'PRD Volumes DCO (2009-2012)'!N75:N79)</f>
        <v>13483432.555344833</v>
      </c>
    </row>
    <row r="48" spans="2:24">
      <c r="B48" t="s">
        <v>539</v>
      </c>
      <c r="F48" s="191">
        <f>SUM(F40:F43)/SUM(F40:F43,F46)</f>
        <v>0.95995394241491605</v>
      </c>
    </row>
    <row r="50" spans="2:24">
      <c r="B50" s="3" t="s">
        <v>1097</v>
      </c>
    </row>
    <row r="51" spans="2:24">
      <c r="B51" s="13" t="s">
        <v>268</v>
      </c>
      <c r="F51" s="21">
        <f>SUM(G51:N51)</f>
        <v>163096215.33418044</v>
      </c>
      <c r="G51" s="24">
        <f>G40*$F$48</f>
        <v>0</v>
      </c>
      <c r="H51" s="24">
        <f t="shared" ref="H51:N51" si="4">H40*$F$48</f>
        <v>4000000.6264551277</v>
      </c>
      <c r="I51" s="24">
        <f t="shared" si="4"/>
        <v>627429.47377555142</v>
      </c>
      <c r="J51" s="24">
        <f t="shared" si="4"/>
        <v>57052658.610715345</v>
      </c>
      <c r="K51" s="24">
        <f t="shared" si="4"/>
        <v>48820141.112628952</v>
      </c>
      <c r="L51" s="24">
        <f t="shared" si="4"/>
        <v>0</v>
      </c>
      <c r="M51" s="24">
        <f t="shared" si="4"/>
        <v>51313883.723386697</v>
      </c>
      <c r="N51" s="24">
        <f t="shared" si="4"/>
        <v>1282101.7872187702</v>
      </c>
    </row>
    <row r="52" spans="2:24">
      <c r="B52" s="13" t="s">
        <v>271</v>
      </c>
      <c r="F52" s="21">
        <f>SUM(G52:N52)</f>
        <v>747305057.45730376</v>
      </c>
      <c r="G52" s="24">
        <f t="shared" ref="G52:N54" si="5">G41*$F$48</f>
        <v>4669831.6350372005</v>
      </c>
      <c r="H52" s="24">
        <f t="shared" si="5"/>
        <v>18554907.441567026</v>
      </c>
      <c r="I52" s="24">
        <f t="shared" si="5"/>
        <v>11586032.949377306</v>
      </c>
      <c r="J52" s="24">
        <f t="shared" si="5"/>
        <v>266305438.34243268</v>
      </c>
      <c r="K52" s="24">
        <f t="shared" si="5"/>
        <v>255709115.87991193</v>
      </c>
      <c r="L52" s="24">
        <f t="shared" si="5"/>
        <v>3010115.4339625686</v>
      </c>
      <c r="M52" s="24">
        <f t="shared" si="5"/>
        <v>165047413.58412713</v>
      </c>
      <c r="N52" s="24">
        <f t="shared" si="5"/>
        <v>22422202.190887898</v>
      </c>
    </row>
    <row r="53" spans="2:24">
      <c r="B53" s="13" t="s">
        <v>269</v>
      </c>
      <c r="F53" s="21">
        <f>SUM(G53:N53)</f>
        <v>1537889217.1665928</v>
      </c>
      <c r="G53" s="24">
        <f t="shared" si="5"/>
        <v>10912149.920901638</v>
      </c>
      <c r="H53" s="24">
        <f t="shared" si="5"/>
        <v>38768212.640836738</v>
      </c>
      <c r="I53" s="24">
        <f t="shared" si="5"/>
        <v>18944168.832626004</v>
      </c>
      <c r="J53" s="24">
        <f t="shared" si="5"/>
        <v>505320325.28286618</v>
      </c>
      <c r="K53" s="24">
        <f t="shared" si="5"/>
        <v>551166333.46059299</v>
      </c>
      <c r="L53" s="24">
        <f t="shared" si="5"/>
        <v>6504401.1120085735</v>
      </c>
      <c r="M53" s="24">
        <f t="shared" si="5"/>
        <v>394725064.43033302</v>
      </c>
      <c r="N53" s="24">
        <f t="shared" si="5"/>
        <v>11548561.486427488</v>
      </c>
    </row>
    <row r="54" spans="2:24">
      <c r="B54" s="13" t="s">
        <v>270</v>
      </c>
      <c r="F54" s="21">
        <f>SUM(G54:N54)</f>
        <v>2912279.8419437124</v>
      </c>
      <c r="G54" s="24">
        <f t="shared" si="5"/>
        <v>21572.464231075068</v>
      </c>
      <c r="H54" s="24">
        <f t="shared" si="5"/>
        <v>0</v>
      </c>
      <c r="I54" s="24">
        <f t="shared" si="5"/>
        <v>35211.593126418127</v>
      </c>
      <c r="J54" s="24">
        <f t="shared" si="5"/>
        <v>2310017.8377082725</v>
      </c>
      <c r="K54" s="24">
        <f t="shared" si="5"/>
        <v>0</v>
      </c>
      <c r="L54" s="24">
        <f t="shared" si="5"/>
        <v>16235.038234112339</v>
      </c>
      <c r="M54" s="24">
        <f t="shared" si="5"/>
        <v>529242.90864383429</v>
      </c>
      <c r="N54" s="24">
        <f t="shared" si="5"/>
        <v>0</v>
      </c>
    </row>
    <row r="56" spans="2:24">
      <c r="B56" s="104" t="s">
        <v>280</v>
      </c>
    </row>
    <row r="57" spans="2:24">
      <c r="B57" s="171" t="s">
        <v>434</v>
      </c>
      <c r="F57" s="21">
        <f>SUM(G57:N57)</f>
        <v>102255955.14008641</v>
      </c>
      <c r="G57" s="24">
        <f>G46*$F$48</f>
        <v>4649.2097466937812</v>
      </c>
      <c r="H57" s="24">
        <f t="shared" ref="H57:N57" si="6">H46*$F$48</f>
        <v>4730373.3410066823</v>
      </c>
      <c r="I57" s="24">
        <f t="shared" si="6"/>
        <v>131664.94924630556</v>
      </c>
      <c r="J57" s="24">
        <f t="shared" si="6"/>
        <v>24762605.870933369</v>
      </c>
      <c r="K57" s="24">
        <f t="shared" si="6"/>
        <v>39346060.075178593</v>
      </c>
      <c r="L57" s="24">
        <f t="shared" si="6"/>
        <v>11822.389119528547</v>
      </c>
      <c r="M57" s="24">
        <f t="shared" si="6"/>
        <v>20325305.066066332</v>
      </c>
      <c r="N57" s="24">
        <f t="shared" si="6"/>
        <v>12943474.238788899</v>
      </c>
    </row>
    <row r="59" spans="2:24">
      <c r="B59" s="3" t="s">
        <v>542</v>
      </c>
    </row>
    <row r="60" spans="2:24">
      <c r="B60" s="103" t="s">
        <v>272</v>
      </c>
      <c r="F60" s="21">
        <f>SUM(G60:N60)</f>
        <v>250964691.61770648</v>
      </c>
      <c r="G60" s="24">
        <f>SUMPRODUCT('Gestandaardiseerde PAV en EAV'!G95:G102,'Berekening wegingsfactoren'!$F$585:$F$592)</f>
        <v>1678856.9037784485</v>
      </c>
      <c r="H60" s="24">
        <f>SUMPRODUCT('Gestandaardiseerde PAV en EAV'!H95:H102,'Berekening wegingsfactoren'!$F$585:$F$592)</f>
        <v>6306442.8417364294</v>
      </c>
      <c r="I60" s="24">
        <f>SUMPRODUCT('Gestandaardiseerde PAV en EAV'!I95:I102,'Berekening wegingsfactoren'!$F$585:$F$592)</f>
        <v>3445399.9203191041</v>
      </c>
      <c r="J60" s="24">
        <f>SUMPRODUCT('Gestandaardiseerde PAV en EAV'!J95:J102,'Berekening wegingsfactoren'!$F$585:$F$592)</f>
        <v>87314558.096513554</v>
      </c>
      <c r="K60" s="24">
        <f>SUMPRODUCT('Gestandaardiseerde PAV en EAV'!K95:K102,'Berekening wegingsfactoren'!$F$585:$F$592)</f>
        <v>90675027.956409767</v>
      </c>
      <c r="L60" s="24">
        <f>SUMPRODUCT('Gestandaardiseerde PAV en EAV'!L95:L102,'Berekening wegingsfactoren'!$F$585:$F$592)</f>
        <v>1065627.5525824535</v>
      </c>
      <c r="M60" s="24">
        <f>SUMPRODUCT('Gestandaardiseerde PAV en EAV'!M95:M102,'Berekening wegingsfactoren'!$F$585:$F$592)</f>
        <v>58418770.87309029</v>
      </c>
      <c r="N60" s="24">
        <f>SUMPRODUCT('Gestandaardiseerde PAV en EAV'!N95:N102,'Berekening wegingsfactoren'!$F$585:$F$592)</f>
        <v>2060007.4732764321</v>
      </c>
      <c r="P60" s="35"/>
      <c r="Q60" s="35"/>
      <c r="R60" s="35"/>
      <c r="S60" s="35"/>
      <c r="T60" s="35"/>
      <c r="U60" s="35"/>
      <c r="V60" s="35"/>
      <c r="W60" s="35"/>
      <c r="X60" s="35"/>
    </row>
    <row r="61" spans="2:24">
      <c r="B61" s="103" t="s">
        <v>81</v>
      </c>
      <c r="F61" s="21">
        <f>SUM(G61:N61)</f>
        <v>146647627.66923517</v>
      </c>
      <c r="G61" s="24">
        <f>SUMPRODUCT('Gestandaardiseerde PAV en EAV'!G106:G109,'Berekening wegingsfactoren'!$F$596:$F$599) +'Gestandaardiseerde PAV en EAV'!G110*'Berekening wegingsfactoren'!G$600+ SUMPRODUCT('Gestandaardiseerde PAV en EAV'!G113:G116,'Berekening wegingsfactoren'!$F$603:$F$606) +'Gestandaardiseerde PAV en EAV'!G117*'Berekening wegingsfactoren'!G$607</f>
        <v>377356.82690009434</v>
      </c>
      <c r="H61" s="24">
        <f>SUMPRODUCT('Gestandaardiseerde PAV en EAV'!H106:H109,'Berekening wegingsfactoren'!$F$596:$F$599) +'Gestandaardiseerde PAV en EAV'!H110*'Berekening wegingsfactoren'!H$600+ SUMPRODUCT('Gestandaardiseerde PAV en EAV'!H113:H116,'Berekening wegingsfactoren'!$F$603:$F$606) +'Gestandaardiseerde PAV en EAV'!H117*'Berekening wegingsfactoren'!H$607</f>
        <v>3531169.377340097</v>
      </c>
      <c r="I61" s="24">
        <f>SUMPRODUCT('Gestandaardiseerde PAV en EAV'!I106:I109,'Berekening wegingsfactoren'!$F$596:$F$599) +'Gestandaardiseerde PAV en EAV'!I110*'Berekening wegingsfactoren'!I$600+ SUMPRODUCT('Gestandaardiseerde PAV en EAV'!I113:I116,'Berekening wegingsfactoren'!$F$603:$F$606) +'Gestandaardiseerde PAV en EAV'!I117*'Berekening wegingsfactoren'!I$607</f>
        <v>1089014.0063968711</v>
      </c>
      <c r="J61" s="24">
        <f>SUMPRODUCT('Gestandaardiseerde PAV en EAV'!J106:J109,'Berekening wegingsfactoren'!$F$596:$F$599) +'Gestandaardiseerde PAV en EAV'!J110*'Berekening wegingsfactoren'!J$600+ SUMPRODUCT('Gestandaardiseerde PAV en EAV'!J113:J116,'Berekening wegingsfactoren'!$F$603:$F$606) +'Gestandaardiseerde PAV en EAV'!J117*'Berekening wegingsfactoren'!J$607</f>
        <v>56046645.997682296</v>
      </c>
      <c r="K61" s="24">
        <f>SUMPRODUCT('Gestandaardiseerde PAV en EAV'!K106:K109,'Berekening wegingsfactoren'!$F$596:$F$599) +'Gestandaardiseerde PAV en EAV'!K110*'Berekening wegingsfactoren'!K$600+ SUMPRODUCT('Gestandaardiseerde PAV en EAV'!K113:K116,'Berekening wegingsfactoren'!$F$603:$F$606) +'Gestandaardiseerde PAV en EAV'!K117*'Berekening wegingsfactoren'!K$607</f>
        <v>50253736.66613774</v>
      </c>
      <c r="L61" s="24">
        <f>SUMPRODUCT('Gestandaardiseerde PAV en EAV'!L106:L109,'Berekening wegingsfactoren'!$F$596:$F$599) +'Gestandaardiseerde PAV en EAV'!L110*'Berekening wegingsfactoren'!L$600+ SUMPRODUCT('Gestandaardiseerde PAV en EAV'!L113:L116,'Berekening wegingsfactoren'!$F$603:$F$606) +'Gestandaardiseerde PAV en EAV'!L117*'Berekening wegingsfactoren'!L$607</f>
        <v>755162.01754963608</v>
      </c>
      <c r="M61" s="24">
        <f>SUMPRODUCT('Gestandaardiseerde PAV en EAV'!M106:M109,'Berekening wegingsfactoren'!$F$596:$F$599) +'Gestandaardiseerde PAV en EAV'!M110*'Berekening wegingsfactoren'!M$600+ SUMPRODUCT('Gestandaardiseerde PAV en EAV'!M113:M116,'Berekening wegingsfactoren'!$F$603:$F$606) +'Gestandaardiseerde PAV en EAV'!M117*'Berekening wegingsfactoren'!M$607</f>
        <v>32378955.763923801</v>
      </c>
      <c r="N61" s="24">
        <f>SUMPRODUCT('Gestandaardiseerde PAV en EAV'!N106:N109,'Berekening wegingsfactoren'!$F$596:$F$599) +'Gestandaardiseerde PAV en EAV'!N110*'Berekening wegingsfactoren'!N$600+ SUMPRODUCT('Gestandaardiseerde PAV en EAV'!N113:N116,'Berekening wegingsfactoren'!$F$603:$F$606) +'Gestandaardiseerde PAV en EAV'!N117*'Berekening wegingsfactoren'!N$607</f>
        <v>2215587.0133046433</v>
      </c>
      <c r="P61" s="35"/>
      <c r="Q61" s="35"/>
      <c r="R61" s="35"/>
      <c r="S61" s="35"/>
      <c r="T61" s="35"/>
      <c r="U61" s="35"/>
      <c r="V61" s="35"/>
      <c r="W61" s="35"/>
      <c r="X61" s="35"/>
    </row>
    <row r="62" spans="2:24">
      <c r="F62" s="32"/>
    </row>
    <row r="63" spans="2:24">
      <c r="B63" t="s">
        <v>176</v>
      </c>
      <c r="F63" s="74">
        <f>SUM(G63:N63)</f>
        <v>2951071044.2270489</v>
      </c>
      <c r="G63" s="74">
        <f>SUM(G57,G60:G61,G51:G54)</f>
        <v>17664416.96059515</v>
      </c>
      <c r="H63" s="74">
        <f t="shared" ref="H63:N63" si="7">SUM(H57,H60:H61,H51:H54)</f>
        <v>75891106.268942088</v>
      </c>
      <c r="I63" s="74">
        <f t="shared" si="7"/>
        <v>35858921.724867553</v>
      </c>
      <c r="J63" s="74">
        <f t="shared" si="7"/>
        <v>999112250.03885174</v>
      </c>
      <c r="K63" s="74">
        <f t="shared" si="7"/>
        <v>1035970415.15086</v>
      </c>
      <c r="L63" s="74">
        <f t="shared" si="7"/>
        <v>11363363.543456873</v>
      </c>
      <c r="M63" s="74">
        <f t="shared" si="7"/>
        <v>722738636.34957111</v>
      </c>
      <c r="N63" s="74">
        <f t="shared" si="7"/>
        <v>52471934.189904131</v>
      </c>
      <c r="P63" s="50" t="s">
        <v>446</v>
      </c>
    </row>
    <row r="64" spans="2:24">
      <c r="D64" s="105"/>
    </row>
    <row r="66" spans="2:24" s="9" customFormat="1">
      <c r="B66" s="2" t="s">
        <v>274</v>
      </c>
    </row>
    <row r="68" spans="2:24">
      <c r="B68" s="3" t="s">
        <v>540</v>
      </c>
    </row>
    <row r="69" spans="2:24">
      <c r="B69" s="13" t="s">
        <v>268</v>
      </c>
      <c r="F69" s="21">
        <f>SUM(G69:N69)</f>
        <v>188286498.85339963</v>
      </c>
      <c r="G69" s="24">
        <f>SUMPRODUCT('Standaardisatie volumes TD'!G421:G448,'Berekening wegingsfactoren'!$F$488:$F$515)</f>
        <v>0</v>
      </c>
      <c r="H69" s="24">
        <f>SUMPRODUCT('Standaardisatie volumes TD'!H421:H448,'Berekening wegingsfactoren'!$F$488:$F$515)</f>
        <v>4510795.990996588</v>
      </c>
      <c r="I69" s="24">
        <f>SUMPRODUCT('Standaardisatie volumes TD'!I421:I448,'Berekening wegingsfactoren'!$F$488:$F$515)</f>
        <v>664478.06263605878</v>
      </c>
      <c r="J69" s="24">
        <f>SUMPRODUCT('Standaardisatie volumes TD'!J421:J448,'Berekening wegingsfactoren'!$F$488:$F$515)</f>
        <v>61185533.126336642</v>
      </c>
      <c r="K69" s="24">
        <f>SUMPRODUCT('Standaardisatie volumes TD'!K421:K448,'Berekening wegingsfactoren'!$F$488:$F$515)</f>
        <v>67287907.865433142</v>
      </c>
      <c r="L69" s="24">
        <f>SUMPRODUCT('Standaardisatie volumes TD'!L421:L448,'Berekening wegingsfactoren'!$F$488:$F$515)</f>
        <v>0</v>
      </c>
      <c r="M69" s="24">
        <f>SUMPRODUCT('Standaardisatie volumes TD'!M421:M448,'Berekening wegingsfactoren'!$F$488:$F$515)</f>
        <v>53357437.795838214</v>
      </c>
      <c r="N69" s="24">
        <f>SUMPRODUCT('Standaardisatie volumes TD'!N421:N448,'Berekening wegingsfactoren'!$F$488:$F$515)</f>
        <v>1280346.0121589971</v>
      </c>
      <c r="P69" s="35"/>
      <c r="Q69" s="35"/>
      <c r="R69" s="35"/>
      <c r="S69" s="35"/>
      <c r="T69" s="35"/>
      <c r="U69" s="35"/>
      <c r="V69" s="35"/>
      <c r="W69" s="35"/>
      <c r="X69" s="35"/>
    </row>
    <row r="70" spans="2:24">
      <c r="B70" s="13" t="s">
        <v>271</v>
      </c>
      <c r="F70" s="21">
        <f>SUM(G70:N70)</f>
        <v>775521829.78564727</v>
      </c>
      <c r="G70" s="24">
        <f>SUMPRODUCT('Standaardisatie volumes TD'!G458:G473,'Berekening wegingsfactoren'!$F$525:$F$540)</f>
        <v>5050957.5506470334</v>
      </c>
      <c r="H70" s="24">
        <f>SUMPRODUCT('Standaardisatie volumes TD'!H458:H473,'Berekening wegingsfactoren'!$F$525:$F$540)</f>
        <v>19629276.498568267</v>
      </c>
      <c r="I70" s="24">
        <f>SUMPRODUCT('Standaardisatie volumes TD'!I458:I473,'Berekening wegingsfactoren'!$F$525:$F$540)</f>
        <v>12131465.61752012</v>
      </c>
      <c r="J70" s="24">
        <f>SUMPRODUCT('Standaardisatie volumes TD'!J458:J473,'Berekening wegingsfactoren'!$F$525:$F$540)</f>
        <v>278703720.00269312</v>
      </c>
      <c r="K70" s="24">
        <f>SUMPRODUCT('Standaardisatie volumes TD'!K458:K473,'Berekening wegingsfactoren'!$F$525:$F$540)</f>
        <v>264314110.66287249</v>
      </c>
      <c r="L70" s="24">
        <f>SUMPRODUCT('Standaardisatie volumes TD'!L458:L473,'Berekening wegingsfactoren'!$F$525:$F$540)</f>
        <v>3160015.5759046567</v>
      </c>
      <c r="M70" s="24">
        <f>SUMPRODUCT('Standaardisatie volumes TD'!M458:M473,'Berekening wegingsfactoren'!$F$525:$F$540)</f>
        <v>169460026.89383331</v>
      </c>
      <c r="N70" s="24">
        <f>SUMPRODUCT('Standaardisatie volumes TD'!N458:N473,'Berekening wegingsfactoren'!$F$525:$F$540)</f>
        <v>23072256.983608421</v>
      </c>
      <c r="P70" s="35"/>
      <c r="Q70" s="35"/>
      <c r="R70" s="35"/>
      <c r="S70" s="35"/>
      <c r="T70" s="35"/>
      <c r="U70" s="35"/>
      <c r="V70" s="35"/>
      <c r="W70" s="35"/>
      <c r="X70" s="35"/>
    </row>
    <row r="71" spans="2:24">
      <c r="B71" s="13" t="s">
        <v>269</v>
      </c>
      <c r="F71" s="21">
        <f>SUM(G71:N71)</f>
        <v>1620194548.7561524</v>
      </c>
      <c r="G71" s="24">
        <f>SUMPRODUCT('Standaardisatie volumes TD'!G483:G498,'Berekening wegingsfactoren'!$F$550:$F$565)</f>
        <v>11415214.929639913</v>
      </c>
      <c r="H71" s="24">
        <f>SUMPRODUCT('Standaardisatie volumes TD'!H483:H498,'Berekening wegingsfactoren'!$F$550:$F$565)</f>
        <v>40639431.302185819</v>
      </c>
      <c r="I71" s="24">
        <f>SUMPRODUCT('Standaardisatie volumes TD'!I483:I498,'Berekening wegingsfactoren'!$F$550:$F$565)</f>
        <v>19986911.585738692</v>
      </c>
      <c r="J71" s="24">
        <f>SUMPRODUCT('Standaardisatie volumes TD'!J483:J498,'Berekening wegingsfactoren'!$F$550:$F$565)</f>
        <v>531428913.72240156</v>
      </c>
      <c r="K71" s="24">
        <f>SUMPRODUCT('Standaardisatie volumes TD'!K483:K498,'Berekening wegingsfactoren'!$F$550:$F$565)</f>
        <v>581970518.1638335</v>
      </c>
      <c r="L71" s="24">
        <f>SUMPRODUCT('Standaardisatie volumes TD'!L483:L498,'Berekening wegingsfactoren'!$F$550:$F$565)</f>
        <v>6830921.0227796752</v>
      </c>
      <c r="M71" s="24">
        <f>SUMPRODUCT('Standaardisatie volumes TD'!M483:M498,'Berekening wegingsfactoren'!$F$550:$F$565)</f>
        <v>415665188.03310513</v>
      </c>
      <c r="N71" s="24">
        <f>SUMPRODUCT('Standaardisatie volumes TD'!N483:N498,'Berekening wegingsfactoren'!$F$550:$F$565)</f>
        <v>12257449.996468106</v>
      </c>
      <c r="P71" s="35"/>
      <c r="Q71" s="35"/>
      <c r="R71" s="35"/>
      <c r="S71" s="35"/>
      <c r="T71" s="35"/>
      <c r="U71" s="35"/>
      <c r="V71" s="35"/>
      <c r="W71" s="35"/>
      <c r="X71" s="35"/>
    </row>
    <row r="72" spans="2:24">
      <c r="B72" s="13" t="s">
        <v>270</v>
      </c>
      <c r="F72" s="21">
        <f>SUM(G72:N72)</f>
        <v>4292271.8960799519</v>
      </c>
      <c r="G72" s="24">
        <f>SUMPRODUCT('Standaardisatie volumes TD'!G509:G510,'Berekening wegingsfactoren'!$F$576:$F$577)</f>
        <v>36013.656233606773</v>
      </c>
      <c r="H72" s="24">
        <f>SUMPRODUCT('Standaardisatie volumes TD'!H509:H510,'Berekening wegingsfactoren'!$F$576:$F$577)</f>
        <v>0</v>
      </c>
      <c r="I72" s="24">
        <f>SUMPRODUCT('Standaardisatie volumes TD'!I509:I510,'Berekening wegingsfactoren'!$F$576:$F$577)</f>
        <v>22858.15916751511</v>
      </c>
      <c r="J72" s="24">
        <f>SUMPRODUCT('Standaardisatie volumes TD'!J509:J510,'Berekening wegingsfactoren'!$F$576:$F$577)</f>
        <v>2318440.1528716614</v>
      </c>
      <c r="K72" s="24">
        <f>SUMPRODUCT('Standaardisatie volumes TD'!K509:K510,'Berekening wegingsfactoren'!$F$576:$F$577)</f>
        <v>0</v>
      </c>
      <c r="L72" s="24">
        <f>SUMPRODUCT('Standaardisatie volumes TD'!L509:L510,'Berekening wegingsfactoren'!$F$576:$F$577)</f>
        <v>20496.547910620815</v>
      </c>
      <c r="M72" s="24">
        <f>SUMPRODUCT('Standaardisatie volumes TD'!M509:M510,'Berekening wegingsfactoren'!$F$576:$F$577)</f>
        <v>1894463.3798965474</v>
      </c>
      <c r="N72" s="24">
        <f>SUMPRODUCT('Standaardisatie volumes TD'!N509:N510,'Berekening wegingsfactoren'!$F$576:$F$577)</f>
        <v>0</v>
      </c>
      <c r="P72" s="35"/>
      <c r="Q72" s="35"/>
      <c r="R72" s="35"/>
      <c r="S72" s="35"/>
      <c r="T72" s="35"/>
      <c r="U72" s="35"/>
      <c r="V72" s="35"/>
      <c r="W72" s="35"/>
      <c r="X72" s="35"/>
    </row>
    <row r="74" spans="2:24">
      <c r="B74" s="104" t="s">
        <v>541</v>
      </c>
    </row>
    <row r="75" spans="2:24">
      <c r="B75" s="171" t="s">
        <v>434</v>
      </c>
      <c r="F75" s="21">
        <f>SUM(G75:N75)</f>
        <v>112021760.63669282</v>
      </c>
      <c r="G75" s="115">
        <f>SUMPRODUCT('Berekening wegingsfactoren'!$F$641:$F$645,'PRD Volumes DCO (2009-2012)'!G111:G115)</f>
        <v>5122.0845757185807</v>
      </c>
      <c r="H75" s="115">
        <f>SUMPRODUCT('Berekening wegingsfactoren'!$F$641:$F$645,'PRD Volumes DCO (2009-2012)'!H111:H115)</f>
        <v>5636175.5203367285</v>
      </c>
      <c r="I75" s="115">
        <f>SUMPRODUCT('Berekening wegingsfactoren'!$F$641:$F$645,'PRD Volumes DCO (2009-2012)'!I111:I115)</f>
        <v>154127.41619288444</v>
      </c>
      <c r="J75" s="115">
        <f>SUMPRODUCT('Berekening wegingsfactoren'!$F$641:$F$645,'PRD Volumes DCO (2009-2012)'!J111:J115)</f>
        <v>26487356.315430041</v>
      </c>
      <c r="K75" s="115">
        <f>SUMPRODUCT('Berekening wegingsfactoren'!$F$641:$F$645,'PRD Volumes DCO (2009-2012)'!K111:K115)</f>
        <v>45963997.61256057</v>
      </c>
      <c r="L75" s="115">
        <f>SUMPRODUCT('Berekening wegingsfactoren'!$F$641:$F$645,'PRD Volumes DCO (2009-2012)'!L111:L115)</f>
        <v>19046.451704851472</v>
      </c>
      <c r="M75" s="115">
        <f>SUMPRODUCT('Berekening wegingsfactoren'!$F$641:$F$645,'PRD Volumes DCO (2009-2012)'!M111:M115)</f>
        <v>20334475.911773913</v>
      </c>
      <c r="N75" s="115">
        <f>SUMPRODUCT('Berekening wegingsfactoren'!$F$641:$F$645,'PRD Volumes DCO (2009-2012)'!N111:N115)</f>
        <v>13421459.324118137</v>
      </c>
    </row>
    <row r="77" spans="2:24">
      <c r="B77" t="s">
        <v>539</v>
      </c>
      <c r="F77" s="191">
        <f>SUM(F69:F72)/SUM(F69:F72,F75)</f>
        <v>0.95851532824727559</v>
      </c>
    </row>
    <row r="79" spans="2:24">
      <c r="B79" s="3" t="s">
        <v>1097</v>
      </c>
    </row>
    <row r="80" spans="2:24">
      <c r="B80" s="13" t="s">
        <v>268</v>
      </c>
      <c r="F80" s="21">
        <f>SUM(G80:N80)</f>
        <v>180475495.25299662</v>
      </c>
      <c r="G80" s="24">
        <f>G69*$F$77</f>
        <v>0</v>
      </c>
      <c r="H80" s="24">
        <f t="shared" ref="H80:N80" si="8">H69*$F$77</f>
        <v>4323667.0999665894</v>
      </c>
      <c r="I80" s="24">
        <f t="shared" si="8"/>
        <v>636912.40832071565</v>
      </c>
      <c r="J80" s="24">
        <f t="shared" si="8"/>
        <v>58647271.368575118</v>
      </c>
      <c r="K80" s="24">
        <f t="shared" si="8"/>
        <v>64496491.094708085</v>
      </c>
      <c r="L80" s="24">
        <f t="shared" si="8"/>
        <v>0</v>
      </c>
      <c r="M80" s="24">
        <f t="shared" si="8"/>
        <v>51143922.003311455</v>
      </c>
      <c r="N80" s="24">
        <f t="shared" si="8"/>
        <v>1227231.2781146714</v>
      </c>
    </row>
    <row r="81" spans="2:24">
      <c r="B81" s="13" t="s">
        <v>271</v>
      </c>
      <c r="F81" s="21">
        <f>SUM(G81:N81)</f>
        <v>743349561.23991764</v>
      </c>
      <c r="G81" s="24">
        <f t="shared" ref="G81:N83" si="9">G70*$F$77</f>
        <v>4841420.2346214959</v>
      </c>
      <c r="H81" s="24">
        <f t="shared" si="9"/>
        <v>18814962.406281695</v>
      </c>
      <c r="I81" s="24">
        <f t="shared" si="9"/>
        <v>11628195.748497836</v>
      </c>
      <c r="J81" s="24">
        <f t="shared" si="9"/>
        <v>267141787.66211817</v>
      </c>
      <c r="K81" s="24">
        <f t="shared" si="9"/>
        <v>253349126.54240996</v>
      </c>
      <c r="L81" s="24">
        <f t="shared" si="9"/>
        <v>3028923.3670047554</v>
      </c>
      <c r="M81" s="24">
        <f t="shared" si="9"/>
        <v>162430033.3029348</v>
      </c>
      <c r="N81" s="24">
        <f t="shared" si="9"/>
        <v>22115111.97604892</v>
      </c>
    </row>
    <row r="82" spans="2:24">
      <c r="B82" s="13" t="s">
        <v>269</v>
      </c>
      <c r="F82" s="21">
        <f>SUM(G82:N82)</f>
        <v>1552981309.72545</v>
      </c>
      <c r="G82" s="24">
        <f t="shared" si="9"/>
        <v>10941658.485297002</v>
      </c>
      <c r="H82" s="24">
        <f t="shared" si="9"/>
        <v>38953517.834397249</v>
      </c>
      <c r="I82" s="24">
        <f t="shared" si="9"/>
        <v>19157761.119253598</v>
      </c>
      <c r="J82" s="24">
        <f t="shared" si="9"/>
        <v>509382759.67672086</v>
      </c>
      <c r="K82" s="24">
        <f t="shared" si="9"/>
        <v>557827662.24804389</v>
      </c>
      <c r="L82" s="24">
        <f t="shared" si="9"/>
        <v>6547542.5063808756</v>
      </c>
      <c r="M82" s="24">
        <f t="shared" si="9"/>
        <v>398421454.14851731</v>
      </c>
      <c r="N82" s="24">
        <f t="shared" si="9"/>
        <v>11748953.706839195</v>
      </c>
    </row>
    <row r="83" spans="2:24">
      <c r="B83" s="13" t="s">
        <v>270</v>
      </c>
      <c r="F83" s="21">
        <f>SUM(G83:N83)</f>
        <v>4114208.4053976303</v>
      </c>
      <c r="G83" s="24">
        <f t="shared" si="9"/>
        <v>34519.641526140142</v>
      </c>
      <c r="H83" s="24">
        <f t="shared" si="9"/>
        <v>0</v>
      </c>
      <c r="I83" s="24">
        <f t="shared" si="9"/>
        <v>21909.895937579218</v>
      </c>
      <c r="J83" s="24">
        <f t="shared" si="9"/>
        <v>2222260.4241514443</v>
      </c>
      <c r="K83" s="24">
        <f t="shared" si="9"/>
        <v>0</v>
      </c>
      <c r="L83" s="24">
        <f t="shared" si="9"/>
        <v>19646.255348484719</v>
      </c>
      <c r="M83" s="24">
        <f t="shared" si="9"/>
        <v>1815872.1884339822</v>
      </c>
      <c r="N83" s="24">
        <f t="shared" si="9"/>
        <v>0</v>
      </c>
    </row>
    <row r="85" spans="2:24">
      <c r="B85" s="104" t="s">
        <v>280</v>
      </c>
    </row>
    <row r="86" spans="2:24">
      <c r="B86" s="171" t="s">
        <v>434</v>
      </c>
      <c r="F86" s="21">
        <f>SUM(G86:N86)</f>
        <v>107374574.66751736</v>
      </c>
      <c r="G86" s="24">
        <f>G75*$F$77</f>
        <v>4909.5965784052023</v>
      </c>
      <c r="H86" s="24">
        <f t="shared" ref="H86:N86" si="10">H75*$F$77</f>
        <v>5402360.6289348183</v>
      </c>
      <c r="I86" s="24">
        <f t="shared" si="10"/>
        <v>147733.49092402708</v>
      </c>
      <c r="J86" s="24">
        <f t="shared" si="10"/>
        <v>25388537.033086974</v>
      </c>
      <c r="K86" s="24">
        <f t="shared" si="10"/>
        <v>44057196.259160489</v>
      </c>
      <c r="L86" s="24">
        <f t="shared" si="10"/>
        <v>18256.31590782159</v>
      </c>
      <c r="M86" s="24">
        <f t="shared" si="10"/>
        <v>19490906.853310291</v>
      </c>
      <c r="N86" s="24">
        <f t="shared" si="10"/>
        <v>12864674.489614554</v>
      </c>
    </row>
    <row r="88" spans="2:24">
      <c r="B88" s="3" t="s">
        <v>542</v>
      </c>
    </row>
    <row r="89" spans="2:24">
      <c r="B89" s="103" t="s">
        <v>272</v>
      </c>
      <c r="F89" s="21">
        <f>SUM(G89:N89)</f>
        <v>253768333.06359056</v>
      </c>
      <c r="G89" s="24">
        <f>SUMPRODUCT('Gestandaardiseerde PAV en EAV'!G151:G158,'Berekening wegingsfactoren'!$F$585:$F$592)</f>
        <v>1686380.117727488</v>
      </c>
      <c r="H89" s="24">
        <f>SUMPRODUCT('Gestandaardiseerde PAV en EAV'!H151:H158,'Berekening wegingsfactoren'!$F$585:$F$592)</f>
        <v>6354780.7355130818</v>
      </c>
      <c r="I89" s="24">
        <f>SUMPRODUCT('Gestandaardiseerde PAV en EAV'!I151:I158,'Berekening wegingsfactoren'!$F$585:$F$592)</f>
        <v>3483464.0710518374</v>
      </c>
      <c r="J89" s="24">
        <f>SUMPRODUCT('Gestandaardiseerde PAV en EAV'!J151:J158,'Berekening wegingsfactoren'!$F$585:$F$592)</f>
        <v>88424721.409249812</v>
      </c>
      <c r="K89" s="24">
        <f>SUMPRODUCT('Gestandaardiseerde PAV en EAV'!K151:K158,'Berekening wegingsfactoren'!$F$585:$F$592)</f>
        <v>91601658.266789958</v>
      </c>
      <c r="L89" s="24">
        <f>SUMPRODUCT('Gestandaardiseerde PAV en EAV'!L151:L158,'Berekening wegingsfactoren'!$F$585:$F$592)</f>
        <v>1077712.266038103</v>
      </c>
      <c r="M89" s="24">
        <f>SUMPRODUCT('Gestandaardiseerde PAV en EAV'!M151:M158,'Berekening wegingsfactoren'!$F$585:$F$592)</f>
        <v>59051450.28069412</v>
      </c>
      <c r="N89" s="24">
        <f>SUMPRODUCT('Gestandaardiseerde PAV en EAV'!N151:N158,'Berekening wegingsfactoren'!$F$585:$F$592)</f>
        <v>2088165.9165261344</v>
      </c>
      <c r="P89" s="35"/>
      <c r="Q89" s="35"/>
      <c r="R89" s="35"/>
      <c r="S89" s="35"/>
      <c r="T89" s="35"/>
      <c r="U89" s="35"/>
      <c r="V89" s="35"/>
      <c r="W89" s="35"/>
      <c r="X89" s="35"/>
    </row>
    <row r="90" spans="2:24">
      <c r="B90" s="103" t="s">
        <v>81</v>
      </c>
      <c r="F90" s="21">
        <f>SUM(G90:N90)</f>
        <v>142296855.3103787</v>
      </c>
      <c r="G90" s="24">
        <f>SUMPRODUCT('Gestandaardiseerde PAV en EAV'!G162:G165,'Berekening wegingsfactoren'!$F$596:$F$599) +'Gestandaardiseerde PAV en EAV'!G166*'Berekening wegingsfactoren'!G$600+ SUMPRODUCT('Gestandaardiseerde PAV en EAV'!G169:G172,'Berekening wegingsfactoren'!$F$603:$F$606) +'Gestandaardiseerde PAV en EAV'!G173*'Berekening wegingsfactoren'!G$607</f>
        <v>787013.16388694185</v>
      </c>
      <c r="H90" s="24">
        <f>SUMPRODUCT('Gestandaardiseerde PAV en EAV'!H162:H165,'Berekening wegingsfactoren'!$F$596:$F$599) +'Gestandaardiseerde PAV en EAV'!H166*'Berekening wegingsfactoren'!H$600+ SUMPRODUCT('Gestandaardiseerde PAV en EAV'!H169:H172,'Berekening wegingsfactoren'!$F$603:$F$606) +'Gestandaardiseerde PAV en EAV'!H173*'Berekening wegingsfactoren'!H$607</f>
        <v>3776558.5230000801</v>
      </c>
      <c r="I90" s="24">
        <f>SUMPRODUCT('Gestandaardiseerde PAV en EAV'!I162:I165,'Berekening wegingsfactoren'!$F$596:$F$599) +'Gestandaardiseerde PAV en EAV'!I166*'Berekening wegingsfactoren'!I$600+ SUMPRODUCT('Gestandaardiseerde PAV en EAV'!I169:I172,'Berekening wegingsfactoren'!$F$603:$F$606) +'Gestandaardiseerde PAV en EAV'!I173*'Berekening wegingsfactoren'!I$607</f>
        <v>1723805.3355835434</v>
      </c>
      <c r="J90" s="24">
        <f>SUMPRODUCT('Gestandaardiseerde PAV en EAV'!J162:J165,'Berekening wegingsfactoren'!$F$596:$F$599) +'Gestandaardiseerde PAV en EAV'!J166*'Berekening wegingsfactoren'!J$600+ SUMPRODUCT('Gestandaardiseerde PAV en EAV'!J169:J172,'Berekening wegingsfactoren'!$F$603:$F$606) +'Gestandaardiseerde PAV en EAV'!J173*'Berekening wegingsfactoren'!J$607</f>
        <v>49355726.725171998</v>
      </c>
      <c r="K90" s="24">
        <f>SUMPRODUCT('Gestandaardiseerde PAV en EAV'!K162:K165,'Berekening wegingsfactoren'!$F$596:$F$599) +'Gestandaardiseerde PAV en EAV'!K166*'Berekening wegingsfactoren'!K$600+ SUMPRODUCT('Gestandaardiseerde PAV en EAV'!K169:K172,'Berekening wegingsfactoren'!$F$603:$F$606) +'Gestandaardiseerde PAV en EAV'!K173*'Berekening wegingsfactoren'!K$607</f>
        <v>55470670.780050039</v>
      </c>
      <c r="L90" s="24">
        <f>SUMPRODUCT('Gestandaardiseerde PAV en EAV'!L162:L165,'Berekening wegingsfactoren'!$F$596:$F$599) +'Gestandaardiseerde PAV en EAV'!L166*'Berekening wegingsfactoren'!L$600+ SUMPRODUCT('Gestandaardiseerde PAV en EAV'!L169:L172,'Berekening wegingsfactoren'!$F$603:$F$606) +'Gestandaardiseerde PAV en EAV'!L173*'Berekening wegingsfactoren'!L$607</f>
        <v>549793.63283146953</v>
      </c>
      <c r="M90" s="24">
        <f>SUMPRODUCT('Gestandaardiseerde PAV en EAV'!M162:M165,'Berekening wegingsfactoren'!$F$596:$F$599) +'Gestandaardiseerde PAV en EAV'!M166*'Berekening wegingsfactoren'!M$600+ SUMPRODUCT('Gestandaardiseerde PAV en EAV'!M169:M172,'Berekening wegingsfactoren'!$F$603:$F$606) +'Gestandaardiseerde PAV en EAV'!M173*'Berekening wegingsfactoren'!M$607</f>
        <v>28682054.989095412</v>
      </c>
      <c r="N90" s="24">
        <f>SUMPRODUCT('Gestandaardiseerde PAV en EAV'!N162:N165,'Berekening wegingsfactoren'!$F$596:$F$599) +'Gestandaardiseerde PAV en EAV'!N166*'Berekening wegingsfactoren'!N$600+ SUMPRODUCT('Gestandaardiseerde PAV en EAV'!N169:N172,'Berekening wegingsfactoren'!$F$603:$F$606) +'Gestandaardiseerde PAV en EAV'!N173*'Berekening wegingsfactoren'!N$607</f>
        <v>1951232.1607591968</v>
      </c>
      <c r="P90" s="35"/>
      <c r="Q90" s="35"/>
      <c r="R90" s="35"/>
      <c r="S90" s="35"/>
      <c r="T90" s="35"/>
      <c r="U90" s="35"/>
      <c r="V90" s="35"/>
      <c r="W90" s="35"/>
      <c r="X90" s="35"/>
    </row>
    <row r="91" spans="2:24">
      <c r="F91" s="32"/>
    </row>
    <row r="92" spans="2:24">
      <c r="B92" t="s">
        <v>176</v>
      </c>
      <c r="F92" s="74">
        <f>SUM(G92:N92)</f>
        <v>2984360337.6652484</v>
      </c>
      <c r="G92" s="74">
        <f>SUM(G86,G89:G90,G80:G83)</f>
        <v>18295901.239637472</v>
      </c>
      <c r="H92" s="74">
        <f t="shared" ref="H92:N92" si="11">SUM(H86,H89:H90,H80:H83)</f>
        <v>77625847.228093505</v>
      </c>
      <c r="I92" s="74">
        <f t="shared" si="11"/>
        <v>36799782.069569133</v>
      </c>
      <c r="J92" s="74">
        <f t="shared" si="11"/>
        <v>1000563064.2990744</v>
      </c>
      <c r="K92" s="74">
        <f t="shared" si="11"/>
        <v>1066802805.1911623</v>
      </c>
      <c r="L92" s="74">
        <f t="shared" si="11"/>
        <v>11241874.343511511</v>
      </c>
      <c r="M92" s="74">
        <f t="shared" si="11"/>
        <v>721035693.76629746</v>
      </c>
      <c r="N92" s="74">
        <f t="shared" si="11"/>
        <v>51995369.52790267</v>
      </c>
      <c r="P92" s="50" t="s">
        <v>446</v>
      </c>
    </row>
    <row r="93" spans="2:24">
      <c r="D93" s="105"/>
    </row>
    <row r="95" spans="2:24" s="9" customFormat="1">
      <c r="B95" s="2" t="s">
        <v>275</v>
      </c>
    </row>
    <row r="97" spans="2:24">
      <c r="B97" s="3" t="s">
        <v>540</v>
      </c>
    </row>
    <row r="98" spans="2:24">
      <c r="B98" s="13" t="s">
        <v>268</v>
      </c>
      <c r="F98" s="21">
        <f>SUM(G98:N98)</f>
        <v>189082612.60927978</v>
      </c>
      <c r="G98" s="24">
        <f>SUMPRODUCT('Standaardisatie volumes TD'!G521:G548,'Berekening wegingsfactoren'!$F$488:$F$515)</f>
        <v>0</v>
      </c>
      <c r="H98" s="24">
        <f>SUMPRODUCT('Standaardisatie volumes TD'!H521:H548,'Berekening wegingsfactoren'!$F$488:$F$515)</f>
        <v>5261461.1617733436</v>
      </c>
      <c r="I98" s="24">
        <f>SUMPRODUCT('Standaardisatie volumes TD'!I521:I548,'Berekening wegingsfactoren'!$F$488:$F$515)</f>
        <v>652760.67895744811</v>
      </c>
      <c r="J98" s="24">
        <f>SUMPRODUCT('Standaardisatie volumes TD'!J521:J548,'Berekening wegingsfactoren'!$F$488:$F$515)</f>
        <v>61361395.640523337</v>
      </c>
      <c r="K98" s="24">
        <f>SUMPRODUCT('Standaardisatie volumes TD'!K521:K548,'Berekening wegingsfactoren'!$F$488:$F$515)</f>
        <v>65394066.331235699</v>
      </c>
      <c r="L98" s="24">
        <f>SUMPRODUCT('Standaardisatie volumes TD'!L521:L548,'Berekening wegingsfactoren'!$F$488:$F$515)</f>
        <v>0</v>
      </c>
      <c r="M98" s="24">
        <f>SUMPRODUCT('Standaardisatie volumes TD'!M521:M548,'Berekening wegingsfactoren'!$F$488:$F$515)</f>
        <v>55174060.302831315</v>
      </c>
      <c r="N98" s="24">
        <f>SUMPRODUCT('Standaardisatie volumes TD'!N521:N548,'Berekening wegingsfactoren'!$F$488:$F$515)</f>
        <v>1238868.4939586269</v>
      </c>
      <c r="P98" s="35"/>
      <c r="Q98" s="35"/>
      <c r="R98" s="35"/>
      <c r="S98" s="35"/>
      <c r="T98" s="35"/>
      <c r="U98" s="35"/>
      <c r="V98" s="35"/>
      <c r="W98" s="35"/>
      <c r="X98" s="35"/>
    </row>
    <row r="99" spans="2:24">
      <c r="B99" s="13" t="s">
        <v>271</v>
      </c>
      <c r="F99" s="21">
        <f>SUM(G99:N99)</f>
        <v>775057732.95999002</v>
      </c>
      <c r="G99" s="24">
        <f>SUMPRODUCT('Standaardisatie volumes TD'!G558:G573,'Berekening wegingsfactoren'!$F$525:$F$540)</f>
        <v>5136111.8107161513</v>
      </c>
      <c r="H99" s="24">
        <f>SUMPRODUCT('Standaardisatie volumes TD'!H558:H573,'Berekening wegingsfactoren'!$F$525:$F$540)</f>
        <v>19910239.938764505</v>
      </c>
      <c r="I99" s="24">
        <f>SUMPRODUCT('Standaardisatie volumes TD'!I558:I573,'Berekening wegingsfactoren'!$F$525:$F$540)</f>
        <v>11952988.014057439</v>
      </c>
      <c r="J99" s="24">
        <f>SUMPRODUCT('Standaardisatie volumes TD'!J558:J573,'Berekening wegingsfactoren'!$F$525:$F$540)</f>
        <v>279126466.09161025</v>
      </c>
      <c r="K99" s="24">
        <f>SUMPRODUCT('Standaardisatie volumes TD'!K558:K573,'Berekening wegingsfactoren'!$F$525:$F$540)</f>
        <v>263904809.61312294</v>
      </c>
      <c r="L99" s="24">
        <f>SUMPRODUCT('Standaardisatie volumes TD'!L558:L573,'Berekening wegingsfactoren'!$F$525:$F$540)</f>
        <v>3293837.3965109186</v>
      </c>
      <c r="M99" s="24">
        <f>SUMPRODUCT('Standaardisatie volumes TD'!M558:M573,'Berekening wegingsfactoren'!$F$525:$F$540)</f>
        <v>167925940.66574115</v>
      </c>
      <c r="N99" s="24">
        <f>SUMPRODUCT('Standaardisatie volumes TD'!N558:N573,'Berekening wegingsfactoren'!$F$525:$F$540)</f>
        <v>23807339.429466758</v>
      </c>
      <c r="P99" s="35"/>
      <c r="Q99" s="35"/>
      <c r="R99" s="35"/>
      <c r="S99" s="35"/>
      <c r="T99" s="35"/>
      <c r="U99" s="35"/>
      <c r="V99" s="35"/>
      <c r="W99" s="35"/>
      <c r="X99" s="35"/>
    </row>
    <row r="100" spans="2:24">
      <c r="B100" s="13" t="s">
        <v>269</v>
      </c>
      <c r="F100" s="21">
        <f>SUM(G100:N100)</f>
        <v>1632092039.7778251</v>
      </c>
      <c r="G100" s="24">
        <f>SUMPRODUCT('Standaardisatie volumes TD'!G583:G598,'Berekening wegingsfactoren'!$F$550:$F$565)</f>
        <v>11468809.625717891</v>
      </c>
      <c r="H100" s="24">
        <f>SUMPRODUCT('Standaardisatie volumes TD'!H583:H598,'Berekening wegingsfactoren'!$F$550:$F$565)</f>
        <v>40985210.628455333</v>
      </c>
      <c r="I100" s="24">
        <f>SUMPRODUCT('Standaardisatie volumes TD'!I583:I598,'Berekening wegingsfactoren'!$F$550:$F$565)</f>
        <v>20300363.045723017</v>
      </c>
      <c r="J100" s="24">
        <f>SUMPRODUCT('Standaardisatie volumes TD'!J583:J598,'Berekening wegingsfactoren'!$F$550:$F$565)</f>
        <v>537155373.36858654</v>
      </c>
      <c r="K100" s="24">
        <f>SUMPRODUCT('Standaardisatie volumes TD'!K583:K598,'Berekening wegingsfactoren'!$F$550:$F$565)</f>
        <v>586949464.43475962</v>
      </c>
      <c r="L100" s="24">
        <f>SUMPRODUCT('Standaardisatie volumes TD'!L583:L598,'Berekening wegingsfactoren'!$F$550:$F$565)</f>
        <v>6874080.7329150895</v>
      </c>
      <c r="M100" s="24">
        <f>SUMPRODUCT('Standaardisatie volumes TD'!M583:M598,'Berekening wegingsfactoren'!$F$550:$F$565)</f>
        <v>415868922.64077163</v>
      </c>
      <c r="N100" s="24">
        <f>SUMPRODUCT('Standaardisatie volumes TD'!N583:N598,'Berekening wegingsfactoren'!$F$550:$F$565)</f>
        <v>12489815.3008959</v>
      </c>
      <c r="P100" s="35"/>
      <c r="Q100" s="35"/>
      <c r="R100" s="35"/>
      <c r="S100" s="35"/>
      <c r="T100" s="35"/>
      <c r="U100" s="35"/>
      <c r="V100" s="35"/>
      <c r="W100" s="35"/>
      <c r="X100" s="35"/>
    </row>
    <row r="101" spans="2:24">
      <c r="B101" s="13" t="s">
        <v>270</v>
      </c>
      <c r="F101" s="21">
        <f>SUM(G101:N101)</f>
        <v>6228004.1652823705</v>
      </c>
      <c r="G101" s="24">
        <f>SUMPRODUCT('Standaardisatie volumes TD'!G609:G610,'Berekening wegingsfactoren'!$F$576:$F$577)</f>
        <v>33441.306429500262</v>
      </c>
      <c r="H101" s="24">
        <f>SUMPRODUCT('Standaardisatie volumes TD'!H609:H610,'Berekening wegingsfactoren'!$F$576:$F$577)</f>
        <v>0</v>
      </c>
      <c r="I101" s="24">
        <f>SUMPRODUCT('Standaardisatie volumes TD'!I609:I610,'Berekening wegingsfactoren'!$F$576:$F$577)</f>
        <v>21352.861526027031</v>
      </c>
      <c r="J101" s="24">
        <f>SUMPRODUCT('Standaardisatie volumes TD'!J609:J610,'Berekening wegingsfactoren'!$F$576:$F$577)</f>
        <v>2253347.7561163022</v>
      </c>
      <c r="K101" s="24">
        <f>SUMPRODUCT('Standaardisatie volumes TD'!K609:K610,'Berekening wegingsfactoren'!$F$576:$F$577)</f>
        <v>1822804.2623277272</v>
      </c>
      <c r="L101" s="24">
        <f>SUMPRODUCT('Standaardisatie volumes TD'!L609:L610,'Berekening wegingsfactoren'!$F$576:$F$577)</f>
        <v>12248.149982802044</v>
      </c>
      <c r="M101" s="24">
        <f>SUMPRODUCT('Standaardisatie volumes TD'!M609:M610,'Berekening wegingsfactoren'!$F$576:$F$577)</f>
        <v>2084809.8289000117</v>
      </c>
      <c r="N101" s="24">
        <f>SUMPRODUCT('Standaardisatie volumes TD'!N609:N610,'Berekening wegingsfactoren'!$F$576:$F$577)</f>
        <v>0</v>
      </c>
      <c r="P101" s="35"/>
      <c r="Q101" s="35"/>
      <c r="R101" s="35"/>
      <c r="S101" s="35"/>
      <c r="T101" s="35"/>
      <c r="U101" s="35"/>
      <c r="V101" s="35"/>
      <c r="W101" s="35"/>
      <c r="X101" s="35"/>
    </row>
    <row r="103" spans="2:24">
      <c r="B103" s="104" t="s">
        <v>541</v>
      </c>
    </row>
    <row r="104" spans="2:24">
      <c r="B104" s="171" t="s">
        <v>434</v>
      </c>
      <c r="F104" s="21">
        <f>SUM(G104:N104)</f>
        <v>103955150.06682482</v>
      </c>
      <c r="G104" s="115">
        <f>SUMPRODUCT('Berekening wegingsfactoren'!$F$641:$F$645,'PRD Volumes DCO (2009-2012)'!G147:G151)</f>
        <v>3702.1007329451127</v>
      </c>
      <c r="H104" s="115">
        <f>SUMPRODUCT('Berekening wegingsfactoren'!$F$641:$F$645,'PRD Volumes DCO (2009-2012)'!H147:H151)</f>
        <v>5947590.4419176038</v>
      </c>
      <c r="I104" s="115">
        <f>SUMPRODUCT('Berekening wegingsfactoren'!$F$641:$F$645,'PRD Volumes DCO (2009-2012)'!I147:I151)</f>
        <v>111978.31098424758</v>
      </c>
      <c r="J104" s="115">
        <f>SUMPRODUCT('Berekening wegingsfactoren'!$F$641:$F$645,'PRD Volumes DCO (2009-2012)'!J147:J151)</f>
        <v>21442840.365499061</v>
      </c>
      <c r="K104" s="115">
        <f>SUMPRODUCT('Berekening wegingsfactoren'!$F$641:$F$645,'PRD Volumes DCO (2009-2012)'!K147:K151)</f>
        <v>45915627.778250508</v>
      </c>
      <c r="L104" s="115">
        <f>SUMPRODUCT('Berekening wegingsfactoren'!$F$641:$F$645,'PRD Volumes DCO (2009-2012)'!L147:L151)</f>
        <v>23087.127718435357</v>
      </c>
      <c r="M104" s="115">
        <f>SUMPRODUCT('Berekening wegingsfactoren'!$F$641:$F$645,'PRD Volumes DCO (2009-2012)'!M147:M151)</f>
        <v>16811970.756496307</v>
      </c>
      <c r="N104" s="115">
        <f>SUMPRODUCT('Berekening wegingsfactoren'!$F$641:$F$645,'PRD Volumes DCO (2009-2012)'!N147:N151)</f>
        <v>13698353.185225718</v>
      </c>
    </row>
    <row r="106" spans="2:24">
      <c r="B106" t="s">
        <v>539</v>
      </c>
      <c r="F106" s="191">
        <f>SUM(F98:F101)/SUM(F98:F101,F104)</f>
        <v>0.96158936107683302</v>
      </c>
    </row>
    <row r="108" spans="2:24">
      <c r="B108" s="3" t="s">
        <v>1097</v>
      </c>
    </row>
    <row r="109" spans="2:24">
      <c r="B109" s="13" t="s">
        <v>268</v>
      </c>
      <c r="F109" s="21">
        <f>SUM(G109:N109)</f>
        <v>181819828.64969566</v>
      </c>
      <c r="G109" s="24">
        <f>G98*$F$106</f>
        <v>0</v>
      </c>
      <c r="H109" s="24">
        <f t="shared" ref="H109:N109" si="12">H98*$F$106</f>
        <v>5059365.0768802008</v>
      </c>
      <c r="I109" s="24">
        <f t="shared" si="12"/>
        <v>627687.72421477223</v>
      </c>
      <c r="J109" s="24">
        <f t="shared" si="12"/>
        <v>59004465.228753604</v>
      </c>
      <c r="K109" s="24">
        <f t="shared" si="12"/>
        <v>62882238.461668976</v>
      </c>
      <c r="L109" s="24">
        <f t="shared" si="12"/>
        <v>0</v>
      </c>
      <c r="M109" s="24">
        <f t="shared" si="12"/>
        <v>53054789.39461422</v>
      </c>
      <c r="N109" s="24">
        <f t="shared" si="12"/>
        <v>1191282.7635638944</v>
      </c>
    </row>
    <row r="110" spans="2:24">
      <c r="B110" s="13" t="s">
        <v>271</v>
      </c>
      <c r="F110" s="21">
        <f>SUM(G110:N110)</f>
        <v>745287270.2346555</v>
      </c>
      <c r="G110" s="24">
        <f t="shared" ref="G110:N112" si="13">G99*$F$106</f>
        <v>4938830.4744857196</v>
      </c>
      <c r="H110" s="24">
        <f t="shared" si="13"/>
        <v>19145474.901603002</v>
      </c>
      <c r="I110" s="24">
        <f t="shared" si="13"/>
        <v>11493866.107396536</v>
      </c>
      <c r="J110" s="24">
        <f t="shared" si="13"/>
        <v>268405040.18866581</v>
      </c>
      <c r="K110" s="24">
        <f t="shared" si="13"/>
        <v>253768057.26098615</v>
      </c>
      <c r="L110" s="24">
        <f t="shared" si="13"/>
        <v>3167318.9976019133</v>
      </c>
      <c r="M110" s="24">
        <f t="shared" si="13"/>
        <v>161475797.99299619</v>
      </c>
      <c r="N110" s="24">
        <f t="shared" si="13"/>
        <v>22892884.310920235</v>
      </c>
    </row>
    <row r="111" spans="2:24">
      <c r="B111" s="13" t="s">
        <v>269</v>
      </c>
      <c r="F111" s="21">
        <f>SUM(G111:N111)</f>
        <v>1569402341.748544</v>
      </c>
      <c r="G111" s="24">
        <f t="shared" si="13"/>
        <v>11028285.320305899</v>
      </c>
      <c r="H111" s="24">
        <f t="shared" si="13"/>
        <v>39410942.501815788</v>
      </c>
      <c r="I111" s="24">
        <f t="shared" si="13"/>
        <v>19520613.130764548</v>
      </c>
      <c r="J111" s="24">
        <f t="shared" si="13"/>
        <v>516522892.27648681</v>
      </c>
      <c r="K111" s="24">
        <f t="shared" si="13"/>
        <v>564404360.49020982</v>
      </c>
      <c r="L111" s="24">
        <f t="shared" si="13"/>
        <v>6610042.8999543888</v>
      </c>
      <c r="M111" s="24">
        <f t="shared" si="13"/>
        <v>399895131.61385047</v>
      </c>
      <c r="N111" s="24">
        <f t="shared" si="13"/>
        <v>12010073.515156141</v>
      </c>
    </row>
    <row r="112" spans="2:24">
      <c r="B112" s="13" t="s">
        <v>270</v>
      </c>
      <c r="F112" s="21">
        <f>SUM(G112:N112)</f>
        <v>5988782.5460777301</v>
      </c>
      <c r="G112" s="24">
        <f t="shared" si="13"/>
        <v>32156.804483117747</v>
      </c>
      <c r="H112" s="24">
        <f t="shared" si="13"/>
        <v>0</v>
      </c>
      <c r="I112" s="24">
        <f t="shared" si="13"/>
        <v>20532.684471974422</v>
      </c>
      <c r="J112" s="24">
        <f t="shared" si="13"/>
        <v>2166795.2290877905</v>
      </c>
      <c r="K112" s="24">
        <f t="shared" si="13"/>
        <v>1752789.1859798471</v>
      </c>
      <c r="L112" s="24">
        <f t="shared" si="13"/>
        <v>11777.690716335841</v>
      </c>
      <c r="M112" s="24">
        <f t="shared" si="13"/>
        <v>2004730.9513386639</v>
      </c>
      <c r="N112" s="24">
        <f t="shared" si="13"/>
        <v>0</v>
      </c>
    </row>
    <row r="114" spans="2:25">
      <c r="B114" s="104" t="s">
        <v>280</v>
      </c>
    </row>
    <row r="115" spans="2:25">
      <c r="B115" s="171" t="s">
        <v>434</v>
      </c>
      <c r="F115" s="21">
        <f>SUM(G115:N115)</f>
        <v>99962166.333404377</v>
      </c>
      <c r="G115" s="24">
        <f>G104*$F$106</f>
        <v>3559.9006784347662</v>
      </c>
      <c r="H115" s="24">
        <f t="shared" ref="H115:N115" si="14">H104*$F$106</f>
        <v>5719139.6929902276</v>
      </c>
      <c r="I115" s="24">
        <f t="shared" si="14"/>
        <v>107677.15251380554</v>
      </c>
      <c r="J115" s="24">
        <f t="shared" si="14"/>
        <v>20619207.166732766</v>
      </c>
      <c r="K115" s="24">
        <f t="shared" si="14"/>
        <v>44151979.178729594</v>
      </c>
      <c r="L115" s="24">
        <f t="shared" si="14"/>
        <v>22200.336391869496</v>
      </c>
      <c r="M115" s="24">
        <f t="shared" si="14"/>
        <v>16166212.218181685</v>
      </c>
      <c r="N115" s="24">
        <f t="shared" si="14"/>
        <v>13172190.687185999</v>
      </c>
    </row>
    <row r="117" spans="2:25">
      <c r="B117" s="3" t="s">
        <v>542</v>
      </c>
    </row>
    <row r="118" spans="2:25">
      <c r="B118" s="103" t="s">
        <v>272</v>
      </c>
      <c r="F118" s="21">
        <f>SUM(G118:N118)</f>
        <v>255821818.14503235</v>
      </c>
      <c r="G118" s="24">
        <f>SUMPRODUCT('Gestandaardiseerde PAV en EAV'!G207:G214,'Berekening wegingsfactoren'!$F$585:$F$592)</f>
        <v>1700071.1346830963</v>
      </c>
      <c r="H118" s="24">
        <f>SUMPRODUCT('Gestandaardiseerde PAV en EAV'!H207:H214,'Berekening wegingsfactoren'!$F$585:$F$592)</f>
        <v>6394105.9579105983</v>
      </c>
      <c r="I118" s="24">
        <f>SUMPRODUCT('Gestandaardiseerde PAV en EAV'!I207:I214,'Berekening wegingsfactoren'!$F$585:$F$592)</f>
        <v>3475711.7753411611</v>
      </c>
      <c r="J118" s="24">
        <f>SUMPRODUCT('Gestandaardiseerde PAV en EAV'!J207:J214,'Berekening wegingsfactoren'!$F$585:$F$592)</f>
        <v>89067759.98778446</v>
      </c>
      <c r="K118" s="24">
        <f>SUMPRODUCT('Gestandaardiseerde PAV en EAV'!K207:K214,'Berekening wegingsfactoren'!$F$585:$F$592)</f>
        <v>92663572.190573618</v>
      </c>
      <c r="L118" s="24">
        <f>SUMPRODUCT('Gestandaardiseerde PAV en EAV'!L207:L214,'Berekening wegingsfactoren'!$F$585:$F$592)</f>
        <v>1082840.3978250078</v>
      </c>
      <c r="M118" s="24">
        <f>SUMPRODUCT('Gestandaardiseerde PAV en EAV'!M207:M214,'Berekening wegingsfactoren'!$F$585:$F$592)</f>
        <v>59315542.850157425</v>
      </c>
      <c r="N118" s="24">
        <f>SUMPRODUCT('Gestandaardiseerde PAV en EAV'!N207:N214,'Berekening wegingsfactoren'!$F$585:$F$592)</f>
        <v>2122213.8507569972</v>
      </c>
      <c r="P118" s="35"/>
      <c r="Q118" s="35"/>
      <c r="R118" s="35"/>
      <c r="S118" s="35"/>
      <c r="T118" s="35"/>
      <c r="U118" s="35"/>
      <c r="V118" s="35"/>
      <c r="W118" s="35"/>
      <c r="X118" s="35"/>
    </row>
    <row r="119" spans="2:25">
      <c r="B119" s="103" t="s">
        <v>81</v>
      </c>
      <c r="F119" s="21">
        <f>SUM(G119:N119)</f>
        <v>129937824.86296399</v>
      </c>
      <c r="G119" s="24">
        <f>SUMPRODUCT('Gestandaardiseerde PAV en EAV'!G218:G221,'Berekening wegingsfactoren'!$F$596:$F$599)+'Gestandaardiseerde PAV en EAV'!G222*'Berekening wegingsfactoren'!G$600 +SUMPRODUCT('Gestandaardiseerde PAV en EAV'!G225:G228,'Berekening wegingsfactoren'!$F$603:$F$606) +'Gestandaardiseerde PAV en EAV'!G229*'Berekening wegingsfactoren'!G$607</f>
        <v>379086.9487775499</v>
      </c>
      <c r="H119" s="24">
        <f>SUMPRODUCT('Gestandaardiseerde PAV en EAV'!H218:H221,'Berekening wegingsfactoren'!$F$596:$F$599)+'Gestandaardiseerde PAV en EAV'!H222*'Berekening wegingsfactoren'!H$600 +SUMPRODUCT('Gestandaardiseerde PAV en EAV'!H225:H228,'Berekening wegingsfactoren'!$F$603:$F$606) +'Gestandaardiseerde PAV en EAV'!H229*'Berekening wegingsfactoren'!H$607</f>
        <v>3559874.8989772196</v>
      </c>
      <c r="I119" s="24">
        <f>SUMPRODUCT('Gestandaardiseerde PAV en EAV'!I218:I221,'Berekening wegingsfactoren'!$F$596:$F$599)+'Gestandaardiseerde PAV en EAV'!I222*'Berekening wegingsfactoren'!I$600 +SUMPRODUCT('Gestandaardiseerde PAV en EAV'!I225:I228,'Berekening wegingsfactoren'!$F$603:$F$606) +'Gestandaardiseerde PAV en EAV'!I229*'Berekening wegingsfactoren'!I$607</f>
        <v>1620273.7083753939</v>
      </c>
      <c r="J119" s="24">
        <f>SUMPRODUCT('Gestandaardiseerde PAV en EAV'!J218:J221,'Berekening wegingsfactoren'!$F$596:$F$599)+'Gestandaardiseerde PAV en EAV'!J222*'Berekening wegingsfactoren'!J$600 +SUMPRODUCT('Gestandaardiseerde PAV en EAV'!J225:J228,'Berekening wegingsfactoren'!$F$603:$F$606) +'Gestandaardiseerde PAV en EAV'!J229*'Berekening wegingsfactoren'!J$607</f>
        <v>42501010.044703327</v>
      </c>
      <c r="K119" s="24">
        <f>SUMPRODUCT('Gestandaardiseerde PAV en EAV'!K218:K221,'Berekening wegingsfactoren'!$F$596:$F$599)+'Gestandaardiseerde PAV en EAV'!K222*'Berekening wegingsfactoren'!K$600 +SUMPRODUCT('Gestandaardiseerde PAV en EAV'!K225:K228,'Berekening wegingsfactoren'!$F$603:$F$606) +'Gestandaardiseerde PAV en EAV'!K229*'Berekening wegingsfactoren'!K$607</f>
        <v>52251839.407080092</v>
      </c>
      <c r="L119" s="24">
        <f>SUMPRODUCT('Gestandaardiseerde PAV en EAV'!L218:L221,'Berekening wegingsfactoren'!$F$596:$F$599)+'Gestandaardiseerde PAV en EAV'!L222*'Berekening wegingsfactoren'!L$600 +SUMPRODUCT('Gestandaardiseerde PAV en EAV'!L225:L228,'Berekening wegingsfactoren'!$F$603:$F$606) +'Gestandaardiseerde PAV en EAV'!L229*'Berekening wegingsfactoren'!L$607</f>
        <v>421840.51010243042</v>
      </c>
      <c r="M119" s="24">
        <f>SUMPRODUCT('Gestandaardiseerde PAV en EAV'!M218:M221,'Berekening wegingsfactoren'!$F$596:$F$599)+'Gestandaardiseerde PAV en EAV'!M222*'Berekening wegingsfactoren'!M$600 +SUMPRODUCT('Gestandaardiseerde PAV en EAV'!M225:M228,'Berekening wegingsfactoren'!$F$603:$F$606) +'Gestandaardiseerde PAV en EAV'!M229*'Berekening wegingsfactoren'!M$607</f>
        <v>27528271.022063848</v>
      </c>
      <c r="N119" s="24">
        <f>SUMPRODUCT('Gestandaardiseerde PAV en EAV'!N218:N221,'Berekening wegingsfactoren'!$F$596:$F$599)+'Gestandaardiseerde PAV en EAV'!N222*'Berekening wegingsfactoren'!N$600 +SUMPRODUCT('Gestandaardiseerde PAV en EAV'!N225:N228,'Berekening wegingsfactoren'!$F$603:$F$606) +'Gestandaardiseerde PAV en EAV'!N229*'Berekening wegingsfactoren'!N$607</f>
        <v>1675628.3228841065</v>
      </c>
      <c r="P119" s="35"/>
      <c r="Q119" s="35"/>
      <c r="R119" s="35"/>
      <c r="S119" s="35"/>
      <c r="T119" s="35"/>
      <c r="U119" s="35"/>
      <c r="V119" s="35"/>
      <c r="W119" s="35"/>
      <c r="X119" s="35"/>
    </row>
    <row r="121" spans="2:25">
      <c r="B121" t="s">
        <v>176</v>
      </c>
      <c r="F121" s="74">
        <f>SUM(G121:N121)</f>
        <v>2988220032.5203738</v>
      </c>
      <c r="G121" s="74">
        <f>SUM(G115,G118:G119,G109:G112)</f>
        <v>18081990.583413821</v>
      </c>
      <c r="H121" s="74">
        <f t="shared" ref="H121:N121" si="15">SUM(H115,H118:H119,H109:H112)</f>
        <v>79288903.030177027</v>
      </c>
      <c r="I121" s="74">
        <f t="shared" si="15"/>
        <v>36866362.283078186</v>
      </c>
      <c r="J121" s="74">
        <f t="shared" si="15"/>
        <v>998287170.12221456</v>
      </c>
      <c r="K121" s="74">
        <f t="shared" si="15"/>
        <v>1071874836.1752281</v>
      </c>
      <c r="L121" s="74">
        <f t="shared" si="15"/>
        <v>11316020.832591945</v>
      </c>
      <c r="M121" s="74">
        <f t="shared" si="15"/>
        <v>719440476.04320252</v>
      </c>
      <c r="N121" s="74">
        <f t="shared" si="15"/>
        <v>53064273.45046737</v>
      </c>
      <c r="P121" s="50" t="s">
        <v>446</v>
      </c>
    </row>
    <row r="123" spans="2:25">
      <c r="F123" s="32"/>
    </row>
    <row r="124" spans="2:25" s="9" customFormat="1">
      <c r="B124" s="2" t="s">
        <v>111</v>
      </c>
    </row>
    <row r="126" spans="2:25">
      <c r="B126" s="3" t="s">
        <v>540</v>
      </c>
    </row>
    <row r="127" spans="2:25">
      <c r="B127" s="13" t="s">
        <v>268</v>
      </c>
      <c r="F127" s="21">
        <f>SUM(G127:N127)</f>
        <v>182423051.22361195</v>
      </c>
      <c r="G127" s="24">
        <f>SUMPRODUCT('Berekening rekenvolumes'!G15:G42,'Berekening wegingsfactoren'!$F$488:$F$515)</f>
        <v>0</v>
      </c>
      <c r="H127" s="24">
        <f>SUMPRODUCT('Berekening rekenvolumes'!H15:H42,'Berekening wegingsfactoren'!$F$488:$F$515)</f>
        <v>4646374.7947764974</v>
      </c>
      <c r="I127" s="24">
        <f>SUMPRODUCT('Berekening rekenvolumes'!I15:I42,'Berekening wegingsfactoren'!$F$488:$F$515)</f>
        <v>656947.48927588551</v>
      </c>
      <c r="J127" s="24">
        <f>SUMPRODUCT('Berekening rekenvolumes'!J15:J42,'Berekening wegingsfactoren'!$F$488:$F$515)</f>
        <v>60659877.622821815</v>
      </c>
      <c r="K127" s="24">
        <f>SUMPRODUCT('Berekening rekenvolumes'!K15:K42,'Berekening wegingsfactoren'!$F$488:$F$515)</f>
        <v>61179575.930794045</v>
      </c>
      <c r="L127" s="24">
        <f>SUMPRODUCT('Berekening rekenvolumes'!L15:L42,'Berekening wegingsfactoren'!$F$488:$F$515)</f>
        <v>0</v>
      </c>
      <c r="M127" s="24">
        <f>SUMPRODUCT('Berekening rekenvolumes'!M15:M42,'Berekening wegingsfactoren'!$F$488:$F$515)</f>
        <v>53995341.626571111</v>
      </c>
      <c r="N127" s="24">
        <f>SUMPRODUCT('Berekening rekenvolumes'!N15:N42,'Berekening wegingsfactoren'!$F$488:$F$515)</f>
        <v>1284933.7593725962</v>
      </c>
      <c r="P127" s="35"/>
      <c r="Q127" s="35"/>
      <c r="R127" s="35"/>
      <c r="S127" s="35"/>
      <c r="T127" s="35"/>
      <c r="U127" s="35"/>
      <c r="V127" s="35"/>
      <c r="W127" s="35"/>
      <c r="X127" s="35"/>
      <c r="Y127" s="35"/>
    </row>
    <row r="128" spans="2:25">
      <c r="B128" s="13" t="s">
        <v>271</v>
      </c>
      <c r="F128" s="21">
        <f>SUM(G128:N128)</f>
        <v>776353226.59977186</v>
      </c>
      <c r="G128" s="24">
        <f>SUMPRODUCT('Berekening rekenvolumes'!G52:G67,'Berekening wegingsfactoren'!$F$525:$F$540)</f>
        <v>5017236.9012424955</v>
      </c>
      <c r="H128" s="24">
        <f>SUMPRODUCT('Berekening rekenvolumes'!H52:H67,'Berekening wegingsfactoren'!$F$525:$F$540)</f>
        <v>19622824.120291151</v>
      </c>
      <c r="I128" s="24">
        <f>SUMPRODUCT('Berekening rekenvolumes'!I52:I67,'Berekening wegingsfactoren'!$F$525:$F$540)</f>
        <v>12051272.333827108</v>
      </c>
      <c r="J128" s="24">
        <f>SUMPRODUCT('Berekening rekenvolumes'!J52:J67,'Berekening wegingsfactoren'!$F$525:$F$540)</f>
        <v>278414997.93370605</v>
      </c>
      <c r="K128" s="24">
        <f>SUMPRODUCT('Berekening rekenvolumes'!K52:K67,'Berekening wegingsfactoren'!$F$525:$F$540)</f>
        <v>264865120.83351374</v>
      </c>
      <c r="L128" s="24">
        <f>SUMPRODUCT('Berekening rekenvolumes'!L52:L67,'Berekening wegingsfactoren'!$F$525:$F$540)</f>
        <v>3196513.4408570994</v>
      </c>
      <c r="M128" s="24">
        <f>SUMPRODUCT('Berekening rekenvolumes'!M52:M67,'Berekening wegingsfactoren'!$F$525:$F$540)</f>
        <v>169772868.48729774</v>
      </c>
      <c r="N128" s="24">
        <f>SUMPRODUCT('Berekening rekenvolumes'!N52:N67,'Berekening wegingsfactoren'!$F$525:$F$540)</f>
        <v>23412392.549036492</v>
      </c>
      <c r="P128" s="35"/>
      <c r="Q128" s="35"/>
      <c r="R128" s="35"/>
      <c r="S128" s="35"/>
      <c r="T128" s="35"/>
      <c r="U128" s="35"/>
      <c r="V128" s="35"/>
      <c r="W128" s="35"/>
      <c r="X128" s="35"/>
      <c r="Y128" s="35"/>
    </row>
    <row r="129" spans="2:25">
      <c r="B129" s="13" t="s">
        <v>269</v>
      </c>
      <c r="F129" s="21">
        <f>SUM(G129:N129)</f>
        <v>1618110461.275583</v>
      </c>
      <c r="G129" s="24">
        <f>SUMPRODUCT('Berekening rekenvolumes'!G77:G92,'Berekening wegingsfactoren'!$F$550:$F$565)</f>
        <v>11417130.919296283</v>
      </c>
      <c r="H129" s="24">
        <f>SUMPRODUCT('Berekening rekenvolumes'!H77:H92,'Berekening wegingsfactoren'!$F$550:$F$565)</f>
        <v>40670044.775175139</v>
      </c>
      <c r="I129" s="24">
        <f>SUMPRODUCT('Berekening rekenvolumes'!I77:I92,'Berekening wegingsfactoren'!$F$550:$F$565)</f>
        <v>20007243.541741412</v>
      </c>
      <c r="J129" s="24">
        <f>SUMPRODUCT('Berekening rekenvolumes'!J77:J92,'Berekening wegingsfactoren'!$F$550:$F$565)</f>
        <v>531661626.954983</v>
      </c>
      <c r="K129" s="24">
        <f>SUMPRODUCT('Berekening rekenvolumes'!K77:K92,'Berekening wegingsfactoren'!$F$550:$F$565)</f>
        <v>581026375.3954339</v>
      </c>
      <c r="L129" s="24">
        <f>SUMPRODUCT('Berekening rekenvolumes'!L77:L92,'Berekening wegingsfactoren'!$F$550:$F$565)</f>
        <v>6826914.8860523561</v>
      </c>
      <c r="M129" s="24">
        <f>SUMPRODUCT('Berekening rekenvolumes'!M77:M92,'Berekening wegingsfactoren'!$F$550:$F$565)</f>
        <v>414241926.7960307</v>
      </c>
      <c r="N129" s="24">
        <f>SUMPRODUCT('Berekening rekenvolumes'!N77:N92,'Berekening wegingsfactoren'!$F$550:$F$565)</f>
        <v>12259198.006870031</v>
      </c>
      <c r="P129" s="35"/>
      <c r="Q129" s="35"/>
      <c r="R129" s="35"/>
      <c r="S129" s="35"/>
      <c r="T129" s="35"/>
      <c r="U129" s="35"/>
      <c r="V129" s="35"/>
      <c r="W129" s="35"/>
      <c r="X129" s="35"/>
      <c r="Y129" s="35"/>
    </row>
    <row r="130" spans="2:25">
      <c r="B130" s="13" t="s">
        <v>270</v>
      </c>
      <c r="F130" s="21">
        <f>SUM(G130:N130)</f>
        <v>4518015.4822879154</v>
      </c>
      <c r="G130" s="24">
        <f>SUMPRODUCT('Berekening rekenvolumes'!G103:G104,'Berekening wegingsfactoren'!$F$576:$F$577)</f>
        <v>30642.452573578204</v>
      </c>
      <c r="H130" s="24">
        <f>SUMPRODUCT('Berekening rekenvolumes'!H103:H104,'Berekening wegingsfactoren'!$F$576:$F$577)</f>
        <v>0</v>
      </c>
      <c r="I130" s="24">
        <f>SUMPRODUCT('Berekening rekenvolumes'!I103:I104,'Berekening wegingsfactoren'!$F$576:$F$577)</f>
        <v>26963.841113746599</v>
      </c>
      <c r="J130" s="24">
        <f>SUMPRODUCT('Berekening rekenvolumes'!J103:J104,'Berekening wegingsfactoren'!$F$576:$F$577)</f>
        <v>2326057.3133937428</v>
      </c>
      <c r="K130" s="24">
        <f>SUMPRODUCT('Berekening rekenvolumes'!K103:K104,'Berekening wegingsfactoren'!$F$576:$F$577)</f>
        <v>607601.42077590898</v>
      </c>
      <c r="L130" s="24">
        <f>SUMPRODUCT('Berekening rekenvolumes'!L103:L104,'Berekening wegingsfactoren'!$F$576:$F$577)</f>
        <v>16552.335816643976</v>
      </c>
      <c r="M130" s="24">
        <f>SUMPRODUCT('Berekening rekenvolumes'!M103:M104,'Berekening wegingsfactoren'!$F$576:$F$577)</f>
        <v>1510198.118614295</v>
      </c>
      <c r="N130" s="24">
        <f>SUMPRODUCT('Berekening rekenvolumes'!N103:N104,'Berekening wegingsfactoren'!$F$576:$F$577)</f>
        <v>0</v>
      </c>
      <c r="P130" s="35"/>
      <c r="Q130" s="35"/>
      <c r="R130" s="35"/>
      <c r="S130" s="35"/>
      <c r="T130" s="35"/>
      <c r="U130" s="35"/>
      <c r="V130" s="35"/>
      <c r="W130" s="35"/>
      <c r="X130" s="35"/>
      <c r="Y130" s="35"/>
    </row>
    <row r="132" spans="2:25">
      <c r="B132" s="104" t="s">
        <v>541</v>
      </c>
    </row>
    <row r="133" spans="2:25">
      <c r="B133" s="171" t="s">
        <v>434</v>
      </c>
      <c r="F133" s="21">
        <f>SUM(G133:N133)</f>
        <v>107499547.06566975</v>
      </c>
      <c r="G133" s="115">
        <f>SUMPRODUCT('Berekening wegingsfactoren'!$F$641:$F$645,'Berekening rekenvolumes'!G167:G171)</f>
        <v>4555.7814955648764</v>
      </c>
      <c r="H133" s="115">
        <f>SUMPRODUCT('Berekening wegingsfactoren'!$F$641:$F$645,'Berekening rekenvolumes'!H167:H171)</f>
        <v>5503824.8691427205</v>
      </c>
      <c r="I133" s="115">
        <f>SUMPRODUCT('Berekening wegingsfactoren'!$F$641:$F$645,'Berekening rekenvolumes'!I167:I171)</f>
        <v>134421.09877873742</v>
      </c>
      <c r="J133" s="115">
        <f>SUMPRODUCT('Berekening wegingsfactoren'!$F$641:$F$645,'Berekening rekenvolumes'!J167:J171)</f>
        <v>24575271.794627957</v>
      </c>
      <c r="K133" s="115">
        <f>SUMPRODUCT('Berekening wegingsfactoren'!$F$641:$F$645,'Berekening rekenvolumes'!K167:K171)</f>
        <v>44289023.692057036</v>
      </c>
      <c r="L133" s="115">
        <f>SUMPRODUCT('Berekening wegingsfactoren'!$F$641:$F$645,'Berekening rekenvolumes'!L167:L171)</f>
        <v>18149.719649908264</v>
      </c>
      <c r="M133" s="115">
        <f>SUMPRODUCT('Berekening wegingsfactoren'!$F$641:$F$645,'Berekening rekenvolumes'!M167:M171)</f>
        <v>19439885.088354923</v>
      </c>
      <c r="N133" s="115">
        <f>SUMPRODUCT('Berekening wegingsfactoren'!$F$641:$F$645,'Berekening rekenvolumes'!N167:N171)</f>
        <v>13534415.021562897</v>
      </c>
    </row>
    <row r="135" spans="2:25">
      <c r="B135" t="s">
        <v>539</v>
      </c>
      <c r="F135" s="191">
        <f>SUM(F127:F130)/SUM(F127:F130,F133)</f>
        <v>0.9600210587636655</v>
      </c>
    </row>
    <row r="137" spans="2:25">
      <c r="B137" s="3" t="s">
        <v>1097</v>
      </c>
    </row>
    <row r="138" spans="2:25">
      <c r="B138" s="13" t="s">
        <v>268</v>
      </c>
      <c r="F138" s="21">
        <f>SUM(G138:N138)</f>
        <v>175129970.77859035</v>
      </c>
      <c r="G138" s="24">
        <f>G127*$F$135</f>
        <v>0</v>
      </c>
      <c r="H138" s="24">
        <f t="shared" ref="H138:N138" si="16">H127*$F$135</f>
        <v>4460617.6498941425</v>
      </c>
      <c r="I138" s="24">
        <f t="shared" si="16"/>
        <v>630683.42420676735</v>
      </c>
      <c r="J138" s="24">
        <f t="shared" si="16"/>
        <v>58234759.939935781</v>
      </c>
      <c r="K138" s="24">
        <f t="shared" si="16"/>
        <v>58733681.259792969</v>
      </c>
      <c r="L138" s="24">
        <f t="shared" si="16"/>
        <v>0</v>
      </c>
      <c r="M138" s="24">
        <f t="shared" si="16"/>
        <v>51836665.036646619</v>
      </c>
      <c r="N138" s="24">
        <f t="shared" si="16"/>
        <v>1233563.4681140569</v>
      </c>
    </row>
    <row r="139" spans="2:25">
      <c r="B139" s="13" t="s">
        <v>271</v>
      </c>
      <c r="F139" s="21">
        <f>SUM(G139:N139)</f>
        <v>745315446.57490087</v>
      </c>
      <c r="G139" s="24">
        <f t="shared" ref="G139:N141" si="17">G128*$F$135</f>
        <v>4816653.0819989527</v>
      </c>
      <c r="H139" s="24">
        <f t="shared" si="17"/>
        <v>18838324.387895104</v>
      </c>
      <c r="I139" s="24">
        <f t="shared" si="17"/>
        <v>11569475.225369971</v>
      </c>
      <c r="J139" s="24">
        <f t="shared" si="17"/>
        <v>267284261.09200022</v>
      </c>
      <c r="K139" s="24">
        <f t="shared" si="17"/>
        <v>254276093.73215607</v>
      </c>
      <c r="L139" s="24">
        <f t="shared" si="17"/>
        <v>3068720.21784392</v>
      </c>
      <c r="M139" s="24">
        <f t="shared" si="17"/>
        <v>162985528.95452014</v>
      </c>
      <c r="N139" s="24">
        <f t="shared" si="17"/>
        <v>22476389.883116566</v>
      </c>
    </row>
    <row r="140" spans="2:25">
      <c r="B140" s="13" t="s">
        <v>269</v>
      </c>
      <c r="F140" s="21">
        <f>SUM(G140:N140)</f>
        <v>1553420118.2303483</v>
      </c>
      <c r="G140" s="24">
        <f t="shared" si="17"/>
        <v>10960686.113186199</v>
      </c>
      <c r="H140" s="24">
        <f t="shared" si="17"/>
        <v>39044099.445029318</v>
      </c>
      <c r="I140" s="24">
        <f t="shared" si="17"/>
        <v>19207375.1278851</v>
      </c>
      <c r="J140" s="24">
        <f t="shared" si="17"/>
        <v>510406358.01333576</v>
      </c>
      <c r="K140" s="24">
        <f t="shared" si="17"/>
        <v>557797556.07673943</v>
      </c>
      <c r="L140" s="24">
        <f t="shared" si="17"/>
        <v>6553982.0569974119</v>
      </c>
      <c r="M140" s="24">
        <f t="shared" si="17"/>
        <v>397680973.14702624</v>
      </c>
      <c r="N140" s="24">
        <f t="shared" si="17"/>
        <v>11769088.250148786</v>
      </c>
    </row>
    <row r="141" spans="2:25">
      <c r="B141" s="13" t="s">
        <v>270</v>
      </c>
      <c r="F141" s="21">
        <f>SUM(G141:N141)</f>
        <v>4337390.0068166777</v>
      </c>
      <c r="G141" s="24">
        <f t="shared" si="17"/>
        <v>29417.399762801953</v>
      </c>
      <c r="H141" s="24">
        <f t="shared" si="17"/>
        <v>0</v>
      </c>
      <c r="I141" s="24">
        <f t="shared" si="17"/>
        <v>25885.855294354264</v>
      </c>
      <c r="J141" s="24">
        <f t="shared" si="17"/>
        <v>2233064.0047492282</v>
      </c>
      <c r="K141" s="24">
        <f t="shared" si="17"/>
        <v>583310.15927959559</v>
      </c>
      <c r="L141" s="24">
        <f t="shared" si="17"/>
        <v>15890.590955706291</v>
      </c>
      <c r="M141" s="24">
        <f t="shared" si="17"/>
        <v>1449821.9967749913</v>
      </c>
      <c r="N141" s="24">
        <f t="shared" si="17"/>
        <v>0</v>
      </c>
    </row>
    <row r="143" spans="2:25">
      <c r="B143" s="104" t="s">
        <v>280</v>
      </c>
    </row>
    <row r="144" spans="2:25">
      <c r="B144" s="171" t="s">
        <v>434</v>
      </c>
      <c r="F144" s="21">
        <f>SUM(G144:N144)</f>
        <v>103201828.99059875</v>
      </c>
      <c r="G144" s="24">
        <f>G133*$F$135</f>
        <v>4373.6461748681086</v>
      </c>
      <c r="H144" s="24">
        <f t="shared" ref="H144:N144" si="18">H133*$F$135</f>
        <v>5283787.7781241871</v>
      </c>
      <c r="I144" s="24">
        <f t="shared" si="18"/>
        <v>129047.08556973876</v>
      </c>
      <c r="J144" s="24">
        <f t="shared" si="18"/>
        <v>23592778.447683576</v>
      </c>
      <c r="K144" s="24">
        <f t="shared" si="18"/>
        <v>42518395.41645766</v>
      </c>
      <c r="L144" s="24">
        <f t="shared" si="18"/>
        <v>17424.113074568635</v>
      </c>
      <c r="M144" s="24">
        <f t="shared" si="18"/>
        <v>18662699.064766485</v>
      </c>
      <c r="N144" s="24">
        <f t="shared" si="18"/>
        <v>12993323.438747671</v>
      </c>
    </row>
    <row r="146" spans="2:23">
      <c r="B146" s="3" t="s">
        <v>542</v>
      </c>
    </row>
    <row r="147" spans="2:23">
      <c r="B147" s="103" t="s">
        <v>272</v>
      </c>
      <c r="F147" s="21">
        <f>SUM(G147:N147)</f>
        <v>253518280.94210979</v>
      </c>
      <c r="G147" s="24">
        <f>SUMPRODUCT('Berekening rekenvolumes'!G112:G119,'Berekening wegingsfactoren'!$F$585:$F$592)</f>
        <v>1688436.0520630111</v>
      </c>
      <c r="H147" s="24">
        <f>SUMPRODUCT('Berekening rekenvolumes'!H112:H119,'Berekening wegingsfactoren'!$F$585:$F$592)</f>
        <v>6351776.5117200371</v>
      </c>
      <c r="I147" s="24">
        <f>SUMPRODUCT('Berekening rekenvolumes'!I112:I119,'Berekening wegingsfactoren'!$F$585:$F$592)</f>
        <v>3468191.9222373674</v>
      </c>
      <c r="J147" s="24">
        <f>SUMPRODUCT('Berekening rekenvolumes'!J112:J119,'Berekening wegingsfactoren'!$F$585:$F$592)</f>
        <v>88269013.164515942</v>
      </c>
      <c r="K147" s="24">
        <f>SUMPRODUCT('Berekening rekenvolumes'!K112:K119,'Berekening wegingsfactoren'!$F$585:$F$592)</f>
        <v>91646752.804591104</v>
      </c>
      <c r="L147" s="24">
        <f>SUMPRODUCT('Berekening rekenvolumes'!L112:L119,'Berekening wegingsfactoren'!$F$585:$F$592)</f>
        <v>1075393.4054818547</v>
      </c>
      <c r="M147" s="24">
        <f>SUMPRODUCT('Berekening rekenvolumes'!M112:M119,'Berekening wegingsfactoren'!$F$585:$F$592)</f>
        <v>58928588.001313947</v>
      </c>
      <c r="N147" s="24">
        <f>SUMPRODUCT('Berekening rekenvolumes'!N112:N119,'Berekening wegingsfactoren'!$F$585:$F$592)</f>
        <v>2090129.0801865214</v>
      </c>
      <c r="P147" s="35"/>
      <c r="Q147" s="35"/>
      <c r="R147" s="35"/>
      <c r="S147" s="35"/>
      <c r="T147" s="35"/>
      <c r="U147" s="35"/>
      <c r="V147" s="35"/>
      <c r="W147" s="35"/>
    </row>
    <row r="148" spans="2:23">
      <c r="B148" s="103" t="s">
        <v>81</v>
      </c>
      <c r="F148" s="21">
        <f>SUM(G148:N148)</f>
        <v>139627435.94752595</v>
      </c>
      <c r="G148" s="24">
        <f>SUMPRODUCT('Berekening rekenvolumes'!G123:G126,'Berekening wegingsfactoren'!$F$596:$F$599) +'Berekening rekenvolumes'!G127*'Berekening wegingsfactoren'!G$600+SUMPRODUCT('Berekening rekenvolumes'!G130:G133,'Berekening wegingsfactoren'!$F$603:$F$606)+'Berekening rekenvolumes'!G134*'Berekening wegingsfactoren'!G$607</f>
        <v>514485.64652152866</v>
      </c>
      <c r="H148" s="24">
        <f>SUMPRODUCT('Berekening rekenvolumes'!H123:H126,'Berekening wegingsfactoren'!$F$596:$F$599) +'Berekening rekenvolumes'!H127*'Berekening wegingsfactoren'!H$600+SUMPRODUCT('Berekening rekenvolumes'!H130:H133,'Berekening wegingsfactoren'!$F$603:$F$606)+'Berekening rekenvolumes'!H134*'Berekening wegingsfactoren'!H$607</f>
        <v>3622534.2664391329</v>
      </c>
      <c r="I148" s="24">
        <f>SUMPRODUCT('Berekening rekenvolumes'!I123:I126,'Berekening wegingsfactoren'!$F$596:$F$599) +'Berekening rekenvolumes'!I127*'Berekening wegingsfactoren'!I$600+SUMPRODUCT('Berekening rekenvolumes'!I130:I133,'Berekening wegingsfactoren'!$F$603:$F$606)+'Berekening rekenvolumes'!I134*'Berekening wegingsfactoren'!I$607</f>
        <v>1477697.6834519361</v>
      </c>
      <c r="J148" s="24">
        <f>SUMPRODUCT('Berekening rekenvolumes'!J123:J126,'Berekening wegingsfactoren'!$F$596:$F$599) +'Berekening rekenvolumes'!J127*'Berekening wegingsfactoren'!J$600+SUMPRODUCT('Berekening rekenvolumes'!J130:J133,'Berekening wegingsfactoren'!$F$603:$F$606)+'Berekening rekenvolumes'!J134*'Berekening wegingsfactoren'!J$607</f>
        <v>49301127.589185879</v>
      </c>
      <c r="K148" s="24">
        <f>SUMPRODUCT('Berekening rekenvolumes'!K123:K126,'Berekening wegingsfactoren'!$F$596:$F$599) +'Berekening rekenvolumes'!K127*'Berekening wegingsfactoren'!K$600+SUMPRODUCT('Berekening rekenvolumes'!K130:K133,'Berekening wegingsfactoren'!$F$603:$F$606)+'Berekening rekenvolumes'!K134*'Berekening wegingsfactoren'!K$607</f>
        <v>52658748.951089293</v>
      </c>
      <c r="L148" s="24">
        <f>SUMPRODUCT('Berekening rekenvolumes'!L123:L126,'Berekening wegingsfactoren'!$F$596:$F$599) +'Berekening rekenvolumes'!L127*'Berekening wegingsfactoren'!L$600+SUMPRODUCT('Berekening rekenvolumes'!L130:L133,'Berekening wegingsfactoren'!$F$603:$F$606)+'Berekening rekenvolumes'!L134*'Berekening wegingsfactoren'!L$607</f>
        <v>575598.72016117861</v>
      </c>
      <c r="M148" s="24">
        <f>SUMPRODUCT('Berekening rekenvolumes'!M123:M126,'Berekening wegingsfactoren'!$F$596:$F$599) +'Berekening rekenvolumes'!M127*'Berekening wegingsfactoren'!M$600+SUMPRODUCT('Berekening rekenvolumes'!M130:M133,'Berekening wegingsfactoren'!$F$603:$F$606)+'Berekening rekenvolumes'!M134*'Berekening wegingsfactoren'!M$607</f>
        <v>29529760.591694355</v>
      </c>
      <c r="N148" s="24">
        <f>SUMPRODUCT('Berekening rekenvolumes'!N123:N126,'Berekening wegingsfactoren'!$F$596:$F$599) +'Berekening rekenvolumes'!N127*'Berekening wegingsfactoren'!N$600+SUMPRODUCT('Berekening rekenvolumes'!N130:N133,'Berekening wegingsfactoren'!$F$603:$F$606)+'Berekening rekenvolumes'!N134*'Berekening wegingsfactoren'!N$607</f>
        <v>1947482.4989826491</v>
      </c>
      <c r="P148" s="35"/>
      <c r="Q148" s="35"/>
      <c r="R148" s="35"/>
      <c r="S148" s="35"/>
      <c r="T148" s="35"/>
      <c r="U148" s="35"/>
      <c r="V148" s="35"/>
      <c r="W148" s="35"/>
    </row>
    <row r="150" spans="2:23">
      <c r="B150" t="s">
        <v>176</v>
      </c>
      <c r="F150" s="74">
        <f>SUM(G150:N150)</f>
        <v>2974550471.4708905</v>
      </c>
      <c r="G150" s="74">
        <f>SUM(G144,G147:G148,G138:G141)</f>
        <v>18014051.939707361</v>
      </c>
      <c r="H150" s="74">
        <f t="shared" ref="H150:N150" si="19">SUM(H144,H147:H148,H138:H141)</f>
        <v>77601140.039101928</v>
      </c>
      <c r="I150" s="74">
        <f t="shared" si="19"/>
        <v>36508356.324015237</v>
      </c>
      <c r="J150" s="74">
        <f t="shared" si="19"/>
        <v>999321362.25140631</v>
      </c>
      <c r="K150" s="74">
        <f t="shared" si="19"/>
        <v>1058214538.4001061</v>
      </c>
      <c r="L150" s="74">
        <f t="shared" si="19"/>
        <v>11307009.10451464</v>
      </c>
      <c r="M150" s="74">
        <f t="shared" si="19"/>
        <v>721074036.79274285</v>
      </c>
      <c r="N150" s="74">
        <f t="shared" si="19"/>
        <v>52509976.619296253</v>
      </c>
      <c r="P150" s="50" t="s">
        <v>446</v>
      </c>
    </row>
  </sheetData>
  <phoneticPr fontId="3" type="noConversion"/>
  <pageMargins left="0.75" right="0.75" top="1" bottom="1"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5" enableFormatConditionsCalculation="0">
    <tabColor rgb="FFDBE91F"/>
  </sheetPr>
  <dimension ref="B1:P53"/>
  <sheetViews>
    <sheetView showGridLines="0" zoomScale="85" zoomScaleNormal="85" workbookViewId="0">
      <pane xSplit="5" ySplit="8" topLeftCell="F9" activePane="bottomRight" state="frozen"/>
      <selection pane="topRight"/>
      <selection pane="bottomLeft"/>
      <selection pane="bottomRight" activeCell="F9" sqref="F9"/>
    </sheetView>
  </sheetViews>
  <sheetFormatPr defaultRowHeight="12.75"/>
  <cols>
    <col min="1" max="1" width="2.5703125" customWidth="1"/>
    <col min="2" max="2" width="67" customWidth="1"/>
    <col min="3" max="3" width="2.5703125" customWidth="1"/>
    <col min="4" max="4" width="19.140625" customWidth="1"/>
    <col min="5" max="5" width="2.5703125" customWidth="1"/>
    <col min="6" max="14" width="17.28515625" customWidth="1"/>
    <col min="15" max="15" width="5.7109375" customWidth="1"/>
    <col min="16" max="16" width="16.140625" customWidth="1"/>
  </cols>
  <sheetData>
    <row r="1" spans="2:16" ht="12" customHeight="1"/>
    <row r="2" spans="2:16" s="1" customFormat="1" ht="18">
      <c r="B2" s="1" t="s">
        <v>162</v>
      </c>
      <c r="P2" s="5" t="s">
        <v>438</v>
      </c>
    </row>
    <row r="4" spans="2:16">
      <c r="B4" s="80" t="s">
        <v>551</v>
      </c>
    </row>
    <row r="5" spans="2:16">
      <c r="B5" s="80" t="s">
        <v>345</v>
      </c>
    </row>
    <row r="6" spans="2:16">
      <c r="B6" s="27"/>
    </row>
    <row r="8" spans="2:16" s="2" customFormat="1">
      <c r="B8" s="2" t="s">
        <v>511</v>
      </c>
      <c r="G8" s="48" t="s">
        <v>501</v>
      </c>
      <c r="H8" s="48" t="s">
        <v>502</v>
      </c>
      <c r="I8" s="48" t="s">
        <v>503</v>
      </c>
      <c r="J8" s="48" t="s">
        <v>504</v>
      </c>
      <c r="K8" s="48" t="s">
        <v>505</v>
      </c>
      <c r="L8" s="48" t="s">
        <v>506</v>
      </c>
      <c r="M8" s="48" t="s">
        <v>507</v>
      </c>
      <c r="N8" s="48" t="s">
        <v>508</v>
      </c>
    </row>
    <row r="10" spans="2:16">
      <c r="B10" s="3" t="s">
        <v>187</v>
      </c>
      <c r="D10" s="50"/>
      <c r="E10" s="50"/>
      <c r="F10" s="50"/>
      <c r="G10" s="13"/>
      <c r="H10" s="13"/>
    </row>
    <row r="11" spans="2:16">
      <c r="D11" s="14"/>
      <c r="E11" s="15"/>
      <c r="F11" s="15"/>
      <c r="G11" s="11"/>
      <c r="H11" s="11"/>
      <c r="I11" s="11"/>
      <c r="J11" s="11"/>
      <c r="K11" s="13" t="s">
        <v>163</v>
      </c>
      <c r="L11" s="13" t="s">
        <v>132</v>
      </c>
      <c r="M11" s="13" t="s">
        <v>133</v>
      </c>
      <c r="N11" s="13" t="s">
        <v>134</v>
      </c>
    </row>
    <row r="12" spans="2:16">
      <c r="D12" s="80" t="s">
        <v>135</v>
      </c>
      <c r="G12" s="186"/>
      <c r="H12" s="186"/>
      <c r="I12" s="186"/>
      <c r="J12" s="186"/>
      <c r="K12" s="38">
        <f>CPI!O43</f>
        <v>6.8537995909999649E-2</v>
      </c>
      <c r="L12" s="38">
        <f>CPI!P43</f>
        <v>6.5341969999999749E-2</v>
      </c>
      <c r="M12" s="38">
        <f>CPI!Q43</f>
        <v>4.9598000000000031E-2</v>
      </c>
      <c r="N12" s="38">
        <f>CPI!R43</f>
        <v>2.3E-2</v>
      </c>
    </row>
    <row r="15" spans="2:16" s="2" customFormat="1">
      <c r="B15" s="2" t="s">
        <v>510</v>
      </c>
    </row>
    <row r="17" spans="2:16">
      <c r="B17" s="26" t="s">
        <v>552</v>
      </c>
      <c r="G17" s="3"/>
      <c r="H17" s="53"/>
      <c r="I17" s="53"/>
      <c r="J17" s="53"/>
    </row>
    <row r="18" spans="2:16">
      <c r="P18" s="878" t="s">
        <v>456</v>
      </c>
    </row>
    <row r="19" spans="2:16">
      <c r="B19" t="s">
        <v>481</v>
      </c>
      <c r="D19" t="s">
        <v>259</v>
      </c>
      <c r="G19" s="1030">
        <f>'Aanpassing gegevens (sep 2014)'!J187</f>
        <v>3.425995973882974E-2</v>
      </c>
      <c r="P19" s="80"/>
    </row>
    <row r="20" spans="2:16">
      <c r="B20" t="s">
        <v>482</v>
      </c>
      <c r="D20" t="s">
        <v>259</v>
      </c>
      <c r="H20" s="1030">
        <f>'Aanpassing gegevens (sep 2014)'!J188</f>
        <v>1.7300488701200271E-2</v>
      </c>
      <c r="P20" s="80"/>
    </row>
    <row r="21" spans="2:16">
      <c r="B21" t="s">
        <v>483</v>
      </c>
      <c r="D21" t="s">
        <v>259</v>
      </c>
      <c r="I21" s="1065">
        <f>'Aanpassing gegevens (aug 2016)'!I234</f>
        <v>-5.3188850905792244E-3</v>
      </c>
      <c r="P21" s="80"/>
    </row>
    <row r="22" spans="2:16">
      <c r="B22" t="s">
        <v>484</v>
      </c>
      <c r="D22" t="s">
        <v>259</v>
      </c>
      <c r="J22" s="1065">
        <f>'Aanpassing gegevens (aug 2016)'!I235</f>
        <v>-2.0735154963991833E-2</v>
      </c>
      <c r="P22" s="80"/>
    </row>
    <row r="23" spans="2:16">
      <c r="B23" t="s">
        <v>485</v>
      </c>
      <c r="D23" t="s">
        <v>259</v>
      </c>
      <c r="K23" s="1065">
        <f>'Aanpassing gegevens (aug 2016)'!I236</f>
        <v>-3.5343875767043995E-2</v>
      </c>
      <c r="P23" s="80"/>
    </row>
    <row r="24" spans="2:16">
      <c r="H24" s="118"/>
      <c r="I24" s="118"/>
      <c r="J24" s="118"/>
      <c r="K24" s="118"/>
    </row>
    <row r="26" spans="2:16" s="2" customFormat="1">
      <c r="B26" s="2" t="s">
        <v>424</v>
      </c>
    </row>
    <row r="28" spans="2:16">
      <c r="B28" s="26" t="s">
        <v>555</v>
      </c>
      <c r="G28" s="3"/>
      <c r="H28" s="3"/>
      <c r="I28" s="53"/>
      <c r="J28" s="53"/>
      <c r="K28" s="53"/>
    </row>
    <row r="29" spans="2:16">
      <c r="B29" s="183" t="s">
        <v>553</v>
      </c>
      <c r="G29" s="3"/>
      <c r="H29" s="3"/>
      <c r="I29" s="53"/>
      <c r="J29" s="53"/>
      <c r="K29" s="53"/>
    </row>
    <row r="30" spans="2:16">
      <c r="B30" s="26"/>
      <c r="G30" s="3"/>
      <c r="H30" s="3"/>
      <c r="I30" s="53"/>
      <c r="J30" s="53"/>
      <c r="K30" s="3">
        <v>2009</v>
      </c>
      <c r="L30" s="3">
        <v>2010</v>
      </c>
      <c r="M30" s="3">
        <v>2011</v>
      </c>
      <c r="N30" s="3">
        <v>2012</v>
      </c>
    </row>
    <row r="31" spans="2:16">
      <c r="B31" s="26"/>
      <c r="G31" s="3"/>
      <c r="H31" s="3"/>
      <c r="I31" s="53"/>
      <c r="J31" s="53"/>
      <c r="K31" s="53"/>
    </row>
    <row r="32" spans="2:16">
      <c r="B32" s="50" t="s">
        <v>478</v>
      </c>
      <c r="D32" s="50" t="s">
        <v>1098</v>
      </c>
      <c r="G32" s="53"/>
      <c r="H32" s="53"/>
      <c r="I32" s="53"/>
      <c r="K32" s="174">
        <f>'Berekening operationele kosten'!F102</f>
        <v>1106197821.241219</v>
      </c>
      <c r="L32" s="174">
        <f>'Berekening operationele kosten'!F198</f>
        <v>986667889.14870226</v>
      </c>
      <c r="M32" s="174">
        <f>'Berekening operationele kosten'!F294</f>
        <v>994621293.40497577</v>
      </c>
      <c r="N32" s="174">
        <f>'Berekening operationele kosten'!F390</f>
        <v>1057530791.7916498</v>
      </c>
    </row>
    <row r="33" spans="2:16">
      <c r="B33" s="50" t="s">
        <v>476</v>
      </c>
      <c r="D33" s="50" t="s">
        <v>1098</v>
      </c>
      <c r="G33" s="53"/>
      <c r="H33" s="53"/>
      <c r="I33" s="53"/>
      <c r="K33" s="174">
        <f>'Berekening vergoedingen EAV'!F153</f>
        <v>168580391.64641124</v>
      </c>
      <c r="L33" s="174">
        <f>'Berekening vergoedingen EAV'!F154</f>
        <v>113490347.51854995</v>
      </c>
      <c r="M33" s="174">
        <f>'Berekening vergoedingen EAV'!F155</f>
        <v>119816581.86251201</v>
      </c>
      <c r="N33" s="174">
        <f>'Berekening vergoedingen EAV'!F156</f>
        <v>121505998.104591</v>
      </c>
    </row>
    <row r="34" spans="2:16">
      <c r="B34" s="50" t="s">
        <v>479</v>
      </c>
      <c r="D34" s="50" t="s">
        <v>1098</v>
      </c>
      <c r="G34" s="53"/>
      <c r="H34" s="53"/>
      <c r="I34" s="53"/>
      <c r="K34" s="174">
        <f>'Berekening kapitaalkosten'!F74</f>
        <v>956271430.33267832</v>
      </c>
      <c r="L34" s="174">
        <f>'Berekening kapitaalkosten'!F135</f>
        <v>976165256.50490212</v>
      </c>
      <c r="M34" s="175"/>
      <c r="N34" s="175"/>
    </row>
    <row r="35" spans="2:16">
      <c r="B35" s="50" t="s">
        <v>509</v>
      </c>
      <c r="D35" s="50" t="s">
        <v>1098</v>
      </c>
      <c r="G35" s="53"/>
      <c r="H35" s="53"/>
      <c r="I35" s="53"/>
      <c r="K35" s="175"/>
      <c r="L35" s="174">
        <f>'Berekening kapitaalkosten'!F136</f>
        <v>1010161917.2117971</v>
      </c>
      <c r="M35" s="174">
        <f>'Berekening kapitaalkosten'!F200</f>
        <v>1056533164.4466472</v>
      </c>
      <c r="N35" s="175"/>
    </row>
    <row r="36" spans="2:16">
      <c r="B36" s="50" t="s">
        <v>480</v>
      </c>
      <c r="D36" s="50" t="s">
        <v>1098</v>
      </c>
      <c r="G36" s="53"/>
      <c r="H36" s="53"/>
      <c r="I36" s="53"/>
      <c r="K36" s="175"/>
      <c r="L36" s="175"/>
      <c r="M36" s="174">
        <f>'Berekening kapitaalkosten'!F201</f>
        <v>1091706139.0451226</v>
      </c>
      <c r="N36" s="174">
        <f>'Berekening kapitaalkosten'!F265</f>
        <v>1143768755.1168263</v>
      </c>
    </row>
    <row r="37" spans="2:16">
      <c r="B37" s="50" t="s">
        <v>520</v>
      </c>
      <c r="D37" s="50" t="s">
        <v>1098</v>
      </c>
      <c r="G37" s="53"/>
      <c r="H37" s="53"/>
      <c r="I37" s="53"/>
      <c r="K37" s="174">
        <f>'Data marktmodel'!H21</f>
        <v>0</v>
      </c>
      <c r="L37" s="174">
        <f>'Data marktmodel'!I21</f>
        <v>1539000</v>
      </c>
      <c r="M37" s="174">
        <f>'Data marktmodel'!J21</f>
        <v>2126000</v>
      </c>
      <c r="N37" s="174">
        <f>'Data marktmodel'!K21</f>
        <v>2367000</v>
      </c>
    </row>
    <row r="38" spans="2:16">
      <c r="B38" s="50"/>
      <c r="G38" s="53"/>
      <c r="H38" s="53"/>
      <c r="I38" s="53"/>
      <c r="K38" s="176"/>
      <c r="L38" s="176"/>
      <c r="M38" s="176"/>
      <c r="N38" s="176"/>
    </row>
    <row r="39" spans="2:16">
      <c r="B39" s="50" t="s">
        <v>468</v>
      </c>
      <c r="D39" t="s">
        <v>82</v>
      </c>
      <c r="G39" s="53"/>
      <c r="H39" s="53"/>
      <c r="I39" s="53"/>
      <c r="K39" s="177">
        <f>SUM(K32,K33,K34,K37)*(1+K12)</f>
        <v>2383961314.5423479</v>
      </c>
      <c r="L39" s="177">
        <f>SUM(L32,L33,L34,L37)*(1+L12)</f>
        <v>2213634121.8651342</v>
      </c>
      <c r="M39" s="175"/>
      <c r="N39" s="175"/>
    </row>
    <row r="40" spans="2:16">
      <c r="B40" s="50" t="s">
        <v>469</v>
      </c>
      <c r="D40" t="s">
        <v>82</v>
      </c>
      <c r="G40" s="53"/>
      <c r="H40" s="53"/>
      <c r="I40" s="53"/>
      <c r="K40" s="175"/>
      <c r="L40" s="177">
        <f>SUM(L32,L33,L35,L37)*(1+L12)</f>
        <v>2249852191.356039</v>
      </c>
      <c r="M40" s="177">
        <f>SUM(M32,M33,M35,M37)*(1+M12)</f>
        <v>2280878306.689877</v>
      </c>
      <c r="N40" s="175"/>
    </row>
    <row r="41" spans="2:16">
      <c r="B41" s="50" t="s">
        <v>470</v>
      </c>
      <c r="D41" t="s">
        <v>82</v>
      </c>
      <c r="G41" s="53"/>
      <c r="H41" s="53"/>
      <c r="I41" s="53"/>
      <c r="K41" s="175"/>
      <c r="L41" s="175"/>
      <c r="M41" s="177">
        <f>SUM(M32,M33,M36,M37)*(1+M12)</f>
        <v>2317795790.4824877</v>
      </c>
      <c r="N41" s="177">
        <f>SUM(N32,N33,N36,N37)*(1+N12)</f>
        <v>2378651513.5483675</v>
      </c>
    </row>
    <row r="42" spans="2:16">
      <c r="B42" s="50" t="s">
        <v>951</v>
      </c>
      <c r="D42" t="s">
        <v>164</v>
      </c>
      <c r="G42" s="53"/>
      <c r="H42" s="53"/>
      <c r="I42" s="53"/>
      <c r="K42" s="177">
        <f>SUM('Standaardisatie Output'!F11:F14,'Standaardisatie Output'!F31:F32)</f>
        <v>2963825205.9578171</v>
      </c>
      <c r="L42" s="177">
        <f>SUM('Standaardisatie Output'!F40:F43,'Standaardisatie Output'!F60:F61)</f>
        <v>2951071044.2270484</v>
      </c>
      <c r="M42" s="177">
        <f>SUM('Standaardisatie Output'!F69:F72,'Standaardisatie Output'!F89:F90)</f>
        <v>2984360337.6652484</v>
      </c>
      <c r="N42" s="177">
        <f>SUM('Standaardisatie Output'!F98:F101,'Standaardisatie Output'!F118:F119)</f>
        <v>2988220032.5203738</v>
      </c>
      <c r="P42" s="50" t="s">
        <v>455</v>
      </c>
    </row>
    <row r="43" spans="2:16">
      <c r="B43" t="s">
        <v>165</v>
      </c>
      <c r="D43" t="s">
        <v>259</v>
      </c>
      <c r="G43" s="53"/>
      <c r="H43" s="53"/>
      <c r="I43" s="53"/>
      <c r="K43" s="3"/>
      <c r="L43" s="178">
        <f>1-(L39/L42)/(K39/K42)</f>
        <v>6.7434039535301471E-2</v>
      </c>
      <c r="M43" s="178">
        <f>1-(M40/M42)/(L40/L42)</f>
        <v>-2.4818831350901238E-3</v>
      </c>
      <c r="N43" s="178">
        <f>1-(N41/N42)/(M41/M42)</f>
        <v>-2.4930310753759732E-2</v>
      </c>
      <c r="P43" s="173" t="s">
        <v>456</v>
      </c>
    </row>
    <row r="44" spans="2:16">
      <c r="B44" s="3"/>
      <c r="G44" s="53"/>
      <c r="H44" s="53"/>
      <c r="I44" s="53"/>
      <c r="J44" s="3"/>
      <c r="K44" s="3"/>
      <c r="L44" s="3"/>
      <c r="M44" s="3"/>
    </row>
    <row r="46" spans="2:16" s="2" customFormat="1">
      <c r="B46" s="2" t="s">
        <v>554</v>
      </c>
    </row>
    <row r="48" spans="2:16">
      <c r="B48" s="3" t="s">
        <v>0</v>
      </c>
      <c r="G48" s="184" t="s">
        <v>501</v>
      </c>
      <c r="H48" s="184" t="s">
        <v>502</v>
      </c>
      <c r="I48" s="184" t="s">
        <v>503</v>
      </c>
      <c r="J48" s="184" t="s">
        <v>504</v>
      </c>
      <c r="K48" s="184" t="s">
        <v>505</v>
      </c>
      <c r="L48" s="184" t="s">
        <v>506</v>
      </c>
      <c r="M48" s="184" t="s">
        <v>507</v>
      </c>
      <c r="N48" s="184" t="s">
        <v>508</v>
      </c>
    </row>
    <row r="50" spans="2:16">
      <c r="B50" t="s">
        <v>165</v>
      </c>
      <c r="D50" s="50" t="s">
        <v>259</v>
      </c>
      <c r="G50" s="31">
        <f>G19</f>
        <v>3.425995973882974E-2</v>
      </c>
      <c r="H50" s="31">
        <f>H20</f>
        <v>1.7300488701200271E-2</v>
      </c>
      <c r="I50" s="31">
        <f>I21</f>
        <v>-5.3188850905792244E-3</v>
      </c>
      <c r="J50" s="31">
        <f>J22</f>
        <v>-2.0735154963991833E-2</v>
      </c>
      <c r="K50" s="31">
        <f>K23</f>
        <v>-3.5343875767043995E-2</v>
      </c>
      <c r="L50" s="31">
        <f>L43</f>
        <v>6.7434039535301471E-2</v>
      </c>
      <c r="M50" s="31">
        <f>M43</f>
        <v>-2.4818831350901238E-3</v>
      </c>
      <c r="N50" s="31">
        <f>N43</f>
        <v>-2.4930310753759732E-2</v>
      </c>
    </row>
    <row r="51" spans="2:16">
      <c r="B51" t="s">
        <v>167</v>
      </c>
      <c r="G51" s="79">
        <f t="shared" ref="G51:N51" si="0">G50+1</f>
        <v>1.0342599597388298</v>
      </c>
      <c r="H51" s="79">
        <f t="shared" si="0"/>
        <v>1.0173004887012003</v>
      </c>
      <c r="I51" s="79">
        <f t="shared" si="0"/>
        <v>0.99468111490942079</v>
      </c>
      <c r="J51" s="79">
        <f>J50+1</f>
        <v>0.97926484503600819</v>
      </c>
      <c r="K51" s="79">
        <f t="shared" si="0"/>
        <v>0.96465612423295599</v>
      </c>
      <c r="L51" s="79">
        <f t="shared" si="0"/>
        <v>1.0674340395353015</v>
      </c>
      <c r="M51" s="79">
        <f t="shared" si="0"/>
        <v>0.99751811686490988</v>
      </c>
      <c r="N51" s="79">
        <f t="shared" si="0"/>
        <v>0.97506968924624027</v>
      </c>
    </row>
    <row r="53" spans="2:16">
      <c r="B53" t="s">
        <v>166</v>
      </c>
      <c r="D53" s="50" t="s">
        <v>259</v>
      </c>
      <c r="F53" s="42">
        <f>GEOMEAN(G51:N51)-1</f>
        <v>3.2672321451210351E-3</v>
      </c>
      <c r="P53" s="50" t="s">
        <v>1090</v>
      </c>
    </row>
  </sheetData>
  <phoneticPr fontId="3" type="noConversion"/>
  <pageMargins left="0.75" right="0.75" top="1" bottom="1" header="0.5" footer="0.5"/>
  <pageSetup paperSize="9" orientation="portrait"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rgb="FFFFFF99"/>
  </sheetPr>
  <dimension ref="A1:BG276"/>
  <sheetViews>
    <sheetView showGridLines="0" zoomScale="85" zoomScaleNormal="85" workbookViewId="0">
      <pane xSplit="4" ySplit="5" topLeftCell="E6" activePane="bottomRight" state="frozen"/>
      <selection pane="topRight"/>
      <selection pane="bottomLeft"/>
      <selection pane="bottomRight" activeCell="E6" sqref="E6"/>
    </sheetView>
  </sheetViews>
  <sheetFormatPr defaultRowHeight="12.75"/>
  <cols>
    <col min="1" max="1" width="2.5703125" customWidth="1"/>
    <col min="2" max="2" width="49.28515625" customWidth="1"/>
    <col min="3" max="3" width="2.5703125" customWidth="1"/>
    <col min="4" max="4" width="14.5703125" customWidth="1"/>
    <col min="5" max="5" width="2.5703125" customWidth="1"/>
    <col min="6" max="6" width="21.42578125" customWidth="1"/>
    <col min="7" max="14" width="14.85546875" customWidth="1"/>
    <col min="15" max="15" width="11.140625" customWidth="1"/>
    <col min="16" max="16" width="20.5703125" customWidth="1"/>
  </cols>
  <sheetData>
    <row r="1" spans="2:16" ht="12" customHeight="1"/>
    <row r="2" spans="2:16" s="1" customFormat="1" ht="18">
      <c r="B2" s="1" t="s">
        <v>538</v>
      </c>
      <c r="F2" s="5" t="s">
        <v>177</v>
      </c>
      <c r="G2" s="5" t="s">
        <v>168</v>
      </c>
      <c r="H2" s="5" t="s">
        <v>169</v>
      </c>
      <c r="I2" s="5" t="s">
        <v>170</v>
      </c>
      <c r="J2" s="5" t="s">
        <v>171</v>
      </c>
      <c r="K2" s="5" t="s">
        <v>172</v>
      </c>
      <c r="L2" s="5" t="s">
        <v>173</v>
      </c>
      <c r="M2" s="5" t="s">
        <v>174</v>
      </c>
      <c r="N2" s="5" t="s">
        <v>175</v>
      </c>
      <c r="P2" s="5" t="s">
        <v>438</v>
      </c>
    </row>
    <row r="4" spans="2:16">
      <c r="B4" s="50" t="s">
        <v>1140</v>
      </c>
    </row>
    <row r="6" spans="2:16">
      <c r="B6" s="4"/>
    </row>
    <row r="7" spans="2:16">
      <c r="B7" s="4"/>
    </row>
    <row r="8" spans="2:16" s="9" customFormat="1">
      <c r="B8" s="2" t="s">
        <v>544</v>
      </c>
    </row>
    <row r="10" spans="2:16">
      <c r="B10" s="3" t="s">
        <v>49</v>
      </c>
    </row>
    <row r="11" spans="2:16">
      <c r="B11" s="3"/>
    </row>
    <row r="12" spans="2:16">
      <c r="B12" s="3"/>
    </row>
    <row r="13" spans="2:16">
      <c r="B13" s="85" t="s">
        <v>212</v>
      </c>
    </row>
    <row r="14" spans="2:16">
      <c r="B14" t="s">
        <v>213</v>
      </c>
      <c r="D14" s="13" t="s">
        <v>338</v>
      </c>
      <c r="G14" s="192">
        <f>'Berekening wegingsfactoren'!G357</f>
        <v>0</v>
      </c>
      <c r="H14" s="192">
        <f>'Berekening wegingsfactoren'!H357</f>
        <v>0</v>
      </c>
      <c r="I14" s="192">
        <f>'Berekening wegingsfactoren'!I357</f>
        <v>0</v>
      </c>
      <c r="J14" s="192">
        <f>'Berekening wegingsfactoren'!J357</f>
        <v>0</v>
      </c>
      <c r="K14" s="192">
        <f>'Berekening wegingsfactoren'!K357</f>
        <v>2760</v>
      </c>
      <c r="L14" s="192">
        <f>'Berekening wegingsfactoren'!L357</f>
        <v>0</v>
      </c>
      <c r="M14" s="192">
        <f>'Berekening wegingsfactoren'!M357</f>
        <v>2760</v>
      </c>
      <c r="N14" s="192">
        <f>'Berekening wegingsfactoren'!N357</f>
        <v>0</v>
      </c>
    </row>
    <row r="15" spans="2:16">
      <c r="B15" t="s">
        <v>214</v>
      </c>
      <c r="D15" s="13" t="s">
        <v>338</v>
      </c>
      <c r="G15" s="192">
        <f>'Berekening wegingsfactoren'!G358</f>
        <v>0</v>
      </c>
      <c r="H15" s="192">
        <f>'Berekening wegingsfactoren'!H358</f>
        <v>0</v>
      </c>
      <c r="I15" s="192">
        <f>'Berekening wegingsfactoren'!I358</f>
        <v>0</v>
      </c>
      <c r="J15" s="192">
        <f>'Berekening wegingsfactoren'!J358</f>
        <v>0</v>
      </c>
      <c r="K15" s="192">
        <f>'Berekening wegingsfactoren'!K358</f>
        <v>9.5109512232531408</v>
      </c>
      <c r="L15" s="192">
        <f>'Berekening wegingsfactoren'!L358</f>
        <v>0</v>
      </c>
      <c r="M15" s="192">
        <f>'Berekening wegingsfactoren'!M358</f>
        <v>11.737069376410389</v>
      </c>
      <c r="N15" s="192">
        <f>'Berekening wegingsfactoren'!N358</f>
        <v>0</v>
      </c>
    </row>
    <row r="16" spans="2:16">
      <c r="B16" t="s">
        <v>215</v>
      </c>
      <c r="D16" s="13" t="s">
        <v>338</v>
      </c>
      <c r="G16" s="192">
        <f>'Berekening wegingsfactoren'!G359</f>
        <v>0</v>
      </c>
      <c r="H16" s="192">
        <f>'Berekening wegingsfactoren'!H359</f>
        <v>0</v>
      </c>
      <c r="I16" s="192">
        <f>'Berekening wegingsfactoren'!I359</f>
        <v>0</v>
      </c>
      <c r="J16" s="192">
        <f>'Berekening wegingsfactoren'!J359</f>
        <v>0</v>
      </c>
      <c r="K16" s="192">
        <f>'Berekening wegingsfactoren'!K359</f>
        <v>0.88174443632242661</v>
      </c>
      <c r="L16" s="192">
        <f>'Berekening wegingsfactoren'!L359</f>
        <v>0</v>
      </c>
      <c r="M16" s="192">
        <f>'Berekening wegingsfactoren'!M359</f>
        <v>1.1443642642000129</v>
      </c>
      <c r="N16" s="192">
        <f>'Berekening wegingsfactoren'!N359</f>
        <v>0</v>
      </c>
    </row>
    <row r="18" spans="2:14">
      <c r="B18" s="3" t="s">
        <v>216</v>
      </c>
    </row>
    <row r="19" spans="2:14">
      <c r="B19" t="s">
        <v>213</v>
      </c>
      <c r="D19" s="13" t="s">
        <v>338</v>
      </c>
      <c r="G19" s="192">
        <f>'Berekening wegingsfactoren'!G362</f>
        <v>0</v>
      </c>
      <c r="H19" s="192">
        <f>'Berekening wegingsfactoren'!H362</f>
        <v>0</v>
      </c>
      <c r="I19" s="192">
        <f>'Berekening wegingsfactoren'!I362</f>
        <v>0</v>
      </c>
      <c r="J19" s="192">
        <f>'Berekening wegingsfactoren'!J362</f>
        <v>0</v>
      </c>
      <c r="K19" s="192">
        <f>'Berekening wegingsfactoren'!K362</f>
        <v>2760</v>
      </c>
      <c r="L19" s="192">
        <f>'Berekening wegingsfactoren'!L362</f>
        <v>0</v>
      </c>
      <c r="M19" s="192">
        <f>'Berekening wegingsfactoren'!M362</f>
        <v>2760</v>
      </c>
      <c r="N19" s="192">
        <f>'Berekening wegingsfactoren'!N362</f>
        <v>0</v>
      </c>
    </row>
    <row r="20" spans="2:14">
      <c r="B20" t="s">
        <v>214</v>
      </c>
      <c r="D20" s="13" t="s">
        <v>338</v>
      </c>
      <c r="G20" s="192">
        <f>'Berekening wegingsfactoren'!G363</f>
        <v>0</v>
      </c>
      <c r="H20" s="192">
        <f>'Berekening wegingsfactoren'!H363</f>
        <v>0</v>
      </c>
      <c r="I20" s="192">
        <f>'Berekening wegingsfactoren'!I363</f>
        <v>0</v>
      </c>
      <c r="J20" s="192">
        <f>'Berekening wegingsfactoren'!J363</f>
        <v>0</v>
      </c>
      <c r="K20" s="192">
        <f>'Berekening wegingsfactoren'!K363</f>
        <v>4.7554756116265704</v>
      </c>
      <c r="L20" s="192">
        <f>'Berekening wegingsfactoren'!L363</f>
        <v>0</v>
      </c>
      <c r="M20" s="192">
        <f>'Berekening wegingsfactoren'!M363</f>
        <v>5.8685346882051945</v>
      </c>
      <c r="N20" s="192">
        <f>'Berekening wegingsfactoren'!N363</f>
        <v>0</v>
      </c>
    </row>
    <row r="21" spans="2:14">
      <c r="B21" t="s">
        <v>217</v>
      </c>
      <c r="D21" s="13" t="s">
        <v>338</v>
      </c>
      <c r="G21" s="192">
        <f>'Berekening wegingsfactoren'!G364</f>
        <v>0</v>
      </c>
      <c r="H21" s="192">
        <f>'Berekening wegingsfactoren'!H364</f>
        <v>0</v>
      </c>
      <c r="I21" s="192">
        <f>'Berekening wegingsfactoren'!I364</f>
        <v>0</v>
      </c>
      <c r="J21" s="192">
        <f>'Berekening wegingsfactoren'!J364</f>
        <v>0</v>
      </c>
      <c r="K21" s="192">
        <f>'Berekening wegingsfactoren'!K364</f>
        <v>0.29721722572666065</v>
      </c>
      <c r="L21" s="192">
        <f>'Berekening wegingsfactoren'!L364</f>
        <v>0</v>
      </c>
      <c r="M21" s="192">
        <f>'Berekening wegingsfactoren'!M364</f>
        <v>0.40101653702735496</v>
      </c>
      <c r="N21" s="192">
        <f>'Berekening wegingsfactoren'!N364</f>
        <v>0</v>
      </c>
    </row>
    <row r="23" spans="2:14">
      <c r="B23" s="3" t="s">
        <v>218</v>
      </c>
    </row>
    <row r="24" spans="2:14">
      <c r="B24" t="s">
        <v>213</v>
      </c>
      <c r="D24" s="13" t="s">
        <v>338</v>
      </c>
      <c r="G24" s="192">
        <f>'Berekening wegingsfactoren'!G367</f>
        <v>0</v>
      </c>
      <c r="H24" s="192">
        <f>'Berekening wegingsfactoren'!H367</f>
        <v>2760</v>
      </c>
      <c r="I24" s="192">
        <f>'Berekening wegingsfactoren'!I367</f>
        <v>0</v>
      </c>
      <c r="J24" s="192">
        <f>'Berekening wegingsfactoren'!J367</f>
        <v>2760</v>
      </c>
      <c r="K24" s="192">
        <f>'Berekening wegingsfactoren'!K367</f>
        <v>2760</v>
      </c>
      <c r="L24" s="192">
        <f>'Berekening wegingsfactoren'!L367</f>
        <v>0</v>
      </c>
      <c r="M24" s="192">
        <f>'Berekening wegingsfactoren'!M367</f>
        <v>2760</v>
      </c>
      <c r="N24" s="192">
        <f>'Berekening wegingsfactoren'!N367</f>
        <v>0</v>
      </c>
    </row>
    <row r="25" spans="2:14">
      <c r="B25" t="s">
        <v>214</v>
      </c>
      <c r="D25" s="13" t="s">
        <v>338</v>
      </c>
      <c r="G25" s="192">
        <f>'Berekening wegingsfactoren'!G368</f>
        <v>0</v>
      </c>
      <c r="H25" s="192">
        <f>'Berekening wegingsfactoren'!H368</f>
        <v>7.5582692950610406</v>
      </c>
      <c r="I25" s="192">
        <f>'Berekening wegingsfactoren'!I368</f>
        <v>0</v>
      </c>
      <c r="J25" s="192">
        <f>'Berekening wegingsfactoren'!J368</f>
        <v>14.21343891822273</v>
      </c>
      <c r="K25" s="192">
        <f>'Berekening wegingsfactoren'!K368</f>
        <v>20.924092691156911</v>
      </c>
      <c r="L25" s="192">
        <f>'Berekening wegingsfactoren'!L368</f>
        <v>0</v>
      </c>
      <c r="M25" s="192">
        <f>'Berekening wegingsfactoren'!M368</f>
        <v>19.561782294017316</v>
      </c>
      <c r="N25" s="192">
        <f>'Berekening wegingsfactoren'!N368</f>
        <v>0</v>
      </c>
    </row>
    <row r="26" spans="2:14">
      <c r="B26" t="s">
        <v>215</v>
      </c>
      <c r="D26" s="13" t="s">
        <v>338</v>
      </c>
      <c r="G26" s="192">
        <f>'Berekening wegingsfactoren'!G369</f>
        <v>0</v>
      </c>
      <c r="H26" s="192">
        <f>'Berekening wegingsfactoren'!H369</f>
        <v>0.71706657414681674</v>
      </c>
      <c r="I26" s="192">
        <f>'Berekening wegingsfactoren'!I369</f>
        <v>0</v>
      </c>
      <c r="J26" s="192">
        <f>'Berekening wegingsfactoren'!J369</f>
        <v>1.1663322617178595</v>
      </c>
      <c r="K26" s="192">
        <f>'Berekening wegingsfactoren'!K369</f>
        <v>2.0309843757988477</v>
      </c>
      <c r="L26" s="192">
        <f>'Berekening wegingsfactoren'!L369</f>
        <v>0</v>
      </c>
      <c r="M26" s="192">
        <f>'Berekening wegingsfactoren'!M369</f>
        <v>2.2007005080769479</v>
      </c>
      <c r="N26" s="192">
        <f>'Berekening wegingsfactoren'!N369</f>
        <v>0</v>
      </c>
    </row>
    <row r="28" spans="2:14">
      <c r="B28" s="3" t="s">
        <v>219</v>
      </c>
    </row>
    <row r="29" spans="2:14">
      <c r="B29" t="s">
        <v>213</v>
      </c>
      <c r="D29" s="13" t="s">
        <v>338</v>
      </c>
      <c r="G29" s="192">
        <f>'Berekening wegingsfactoren'!G372</f>
        <v>0</v>
      </c>
      <c r="H29" s="192">
        <f>'Berekening wegingsfactoren'!H372</f>
        <v>0</v>
      </c>
      <c r="I29" s="192">
        <f>'Berekening wegingsfactoren'!I372</f>
        <v>0</v>
      </c>
      <c r="J29" s="192">
        <f>'Berekening wegingsfactoren'!J372</f>
        <v>2760</v>
      </c>
      <c r="K29" s="192">
        <f>'Berekening wegingsfactoren'!K372</f>
        <v>2760</v>
      </c>
      <c r="L29" s="192">
        <f>'Berekening wegingsfactoren'!L372</f>
        <v>0</v>
      </c>
      <c r="M29" s="192">
        <f>'Berekening wegingsfactoren'!M372</f>
        <v>2760</v>
      </c>
      <c r="N29" s="192">
        <f>'Berekening wegingsfactoren'!N372</f>
        <v>0</v>
      </c>
    </row>
    <row r="30" spans="2:14">
      <c r="B30" t="s">
        <v>214</v>
      </c>
      <c r="D30" s="13" t="s">
        <v>338</v>
      </c>
      <c r="G30" s="192">
        <f>'Berekening wegingsfactoren'!G373</f>
        <v>0</v>
      </c>
      <c r="H30" s="192">
        <f>'Berekening wegingsfactoren'!H373</f>
        <v>0</v>
      </c>
      <c r="I30" s="192">
        <f>'Berekening wegingsfactoren'!I373</f>
        <v>0</v>
      </c>
      <c r="J30" s="192">
        <f>'Berekening wegingsfactoren'!J373</f>
        <v>7.1067194591113649</v>
      </c>
      <c r="K30" s="192">
        <f>'Berekening wegingsfactoren'!K373</f>
        <v>10.462046345578456</v>
      </c>
      <c r="L30" s="192">
        <f>'Berekening wegingsfactoren'!L373</f>
        <v>0</v>
      </c>
      <c r="M30" s="192">
        <f>'Berekening wegingsfactoren'!M373</f>
        <v>9.7808911470086581</v>
      </c>
      <c r="N30" s="192">
        <f>'Berekening wegingsfactoren'!N373</f>
        <v>0</v>
      </c>
    </row>
    <row r="31" spans="2:14">
      <c r="B31" t="s">
        <v>217</v>
      </c>
      <c r="D31" s="13" t="s">
        <v>338</v>
      </c>
      <c r="G31" s="192">
        <f>'Berekening wegingsfactoren'!G374</f>
        <v>0</v>
      </c>
      <c r="H31" s="192">
        <f>'Berekening wegingsfactoren'!H374</f>
        <v>0</v>
      </c>
      <c r="I31" s="192">
        <f>'Berekening wegingsfactoren'!I374</f>
        <v>0</v>
      </c>
      <c r="J31" s="192">
        <f>'Berekening wegingsfactoren'!J374</f>
        <v>0.40525104008840879</v>
      </c>
      <c r="K31" s="192">
        <f>'Berekening wegingsfactoren'!K374</f>
        <v>0.69350686002887485</v>
      </c>
      <c r="L31" s="192">
        <f>'Berekening wegingsfactoren'!L374</f>
        <v>0</v>
      </c>
      <c r="M31" s="192">
        <f>'Berekening wegingsfactoren'!M374</f>
        <v>0.76290950946667535</v>
      </c>
      <c r="N31" s="192">
        <f>'Berekening wegingsfactoren'!N374</f>
        <v>0</v>
      </c>
    </row>
    <row r="33" spans="2:14">
      <c r="B33" s="3" t="s">
        <v>220</v>
      </c>
    </row>
    <row r="34" spans="2:14">
      <c r="B34" t="s">
        <v>213</v>
      </c>
      <c r="D34" s="13" t="s">
        <v>338</v>
      </c>
      <c r="G34" s="192">
        <f>'Berekening wegingsfactoren'!G377</f>
        <v>0</v>
      </c>
      <c r="H34" s="192">
        <f>'Berekening wegingsfactoren'!H377</f>
        <v>2760</v>
      </c>
      <c r="I34" s="192">
        <f>'Berekening wegingsfactoren'!I377</f>
        <v>2760</v>
      </c>
      <c r="J34" s="192">
        <f>'Berekening wegingsfactoren'!J377</f>
        <v>2760</v>
      </c>
      <c r="K34" s="192">
        <f>'Berekening wegingsfactoren'!K377</f>
        <v>2760</v>
      </c>
      <c r="L34" s="192">
        <f>'Berekening wegingsfactoren'!L377</f>
        <v>0</v>
      </c>
      <c r="M34" s="192">
        <f>'Berekening wegingsfactoren'!M377</f>
        <v>2760</v>
      </c>
      <c r="N34" s="192">
        <f>'Berekening wegingsfactoren'!N377</f>
        <v>2760</v>
      </c>
    </row>
    <row r="35" spans="2:14">
      <c r="B35" t="s">
        <v>214</v>
      </c>
      <c r="D35" s="13" t="s">
        <v>338</v>
      </c>
      <c r="G35" s="192">
        <f>'Berekening wegingsfactoren'!G378</f>
        <v>0</v>
      </c>
      <c r="H35" s="192">
        <f>'Berekening wegingsfactoren'!H378</f>
        <v>20.116624431470157</v>
      </c>
      <c r="I35" s="192">
        <f>'Berekening wegingsfactoren'!I378</f>
        <v>18.174597703275595</v>
      </c>
      <c r="J35" s="192">
        <f>'Berekening wegingsfactoren'!J378</f>
        <v>18.196760117140503</v>
      </c>
      <c r="K35" s="192">
        <f>'Berekening wegingsfactoren'!K378</f>
        <v>25.322907631911487</v>
      </c>
      <c r="L35" s="192">
        <f>'Berekening wegingsfactoren'!L378</f>
        <v>0</v>
      </c>
      <c r="M35" s="192">
        <f>'Berekening wegingsfactoren'!M378</f>
        <v>22.496049638119914</v>
      </c>
      <c r="N35" s="192">
        <f>'Berekening wegingsfactoren'!N378</f>
        <v>27.979835270967406</v>
      </c>
    </row>
    <row r="36" spans="2:14">
      <c r="B36" t="s">
        <v>215</v>
      </c>
      <c r="D36" s="13" t="s">
        <v>338</v>
      </c>
      <c r="G36" s="192">
        <f>'Berekening wegingsfactoren'!G379</f>
        <v>0</v>
      </c>
      <c r="H36" s="192">
        <f>'Berekening wegingsfactoren'!H379</f>
        <v>1.9283276791245476</v>
      </c>
      <c r="I36" s="192">
        <f>'Berekening wegingsfactoren'!I379</f>
        <v>1.8009990265366331</v>
      </c>
      <c r="J36" s="192">
        <f>'Berekening wegingsfactoren'!J379</f>
        <v>1.789035079414683</v>
      </c>
      <c r="K36" s="192">
        <f>'Berekening wegingsfactoren'!K379</f>
        <v>2.1003350618017356</v>
      </c>
      <c r="L36" s="192">
        <f>'Berekening wegingsfactoren'!L379</f>
        <v>0</v>
      </c>
      <c r="M36" s="192">
        <f>'Berekening wegingsfactoren'!M379</f>
        <v>2.3963183310171212</v>
      </c>
      <c r="N36" s="192">
        <f>'Berekening wegingsfactoren'!N379</f>
        <v>3.0783107991877188</v>
      </c>
    </row>
    <row r="38" spans="2:14">
      <c r="B38" s="3" t="s">
        <v>221</v>
      </c>
    </row>
    <row r="39" spans="2:14">
      <c r="B39" t="s">
        <v>213</v>
      </c>
      <c r="D39" s="13" t="s">
        <v>338</v>
      </c>
      <c r="G39" s="192">
        <f>'Berekening wegingsfactoren'!G382</f>
        <v>0</v>
      </c>
      <c r="H39" s="192">
        <f>'Berekening wegingsfactoren'!H382</f>
        <v>2760</v>
      </c>
      <c r="I39" s="192">
        <f>'Berekening wegingsfactoren'!I382</f>
        <v>0</v>
      </c>
      <c r="J39" s="192">
        <f>'Berekening wegingsfactoren'!J382</f>
        <v>2760</v>
      </c>
      <c r="K39" s="192">
        <f>'Berekening wegingsfactoren'!K382</f>
        <v>2760</v>
      </c>
      <c r="L39" s="192">
        <f>'Berekening wegingsfactoren'!L382</f>
        <v>0</v>
      </c>
      <c r="M39" s="192">
        <f>'Berekening wegingsfactoren'!M382</f>
        <v>2760</v>
      </c>
      <c r="N39" s="192">
        <f>'Berekening wegingsfactoren'!N382</f>
        <v>0</v>
      </c>
    </row>
    <row r="40" spans="2:14">
      <c r="B40" t="s">
        <v>214</v>
      </c>
      <c r="D40" s="13" t="s">
        <v>338</v>
      </c>
      <c r="G40" s="192">
        <f>'Berekening wegingsfactoren'!G383</f>
        <v>0</v>
      </c>
      <c r="H40" s="192">
        <f>'Berekening wegingsfactoren'!H383</f>
        <v>10.058312215735079</v>
      </c>
      <c r="I40" s="192">
        <f>'Berekening wegingsfactoren'!I383</f>
        <v>0</v>
      </c>
      <c r="J40" s="192">
        <f>'Berekening wegingsfactoren'!J383</f>
        <v>9.1033221444249897</v>
      </c>
      <c r="K40" s="192">
        <f>'Berekening wegingsfactoren'!K383</f>
        <v>12.661453815955744</v>
      </c>
      <c r="L40" s="192">
        <f>'Berekening wegingsfactoren'!L383</f>
        <v>0</v>
      </c>
      <c r="M40" s="192">
        <f>'Berekening wegingsfactoren'!M383</f>
        <v>11.248024819059957</v>
      </c>
      <c r="N40" s="192">
        <f>'Berekening wegingsfactoren'!N383</f>
        <v>0</v>
      </c>
    </row>
    <row r="41" spans="2:14">
      <c r="B41" t="s">
        <v>217</v>
      </c>
      <c r="D41" s="13" t="s">
        <v>338</v>
      </c>
      <c r="G41" s="192">
        <f>'Berekening wegingsfactoren'!G384</f>
        <v>0</v>
      </c>
      <c r="H41" s="192">
        <f>'Berekening wegingsfactoren'!H384</f>
        <v>0.65892604110788566</v>
      </c>
      <c r="I41" s="192">
        <f>'Berekening wegingsfactoren'!I384</f>
        <v>0</v>
      </c>
      <c r="J41" s="192">
        <f>'Berekening wegingsfactoren'!J384</f>
        <v>0.62270281769682334</v>
      </c>
      <c r="K41" s="192">
        <f>'Berekening wegingsfactoren'!K384</f>
        <v>0.72322858260154088</v>
      </c>
      <c r="L41" s="192">
        <f>'Berekening wegingsfactoren'!L384</f>
        <v>0</v>
      </c>
      <c r="M41" s="192">
        <f>'Berekening wegingsfactoren'!M384</f>
        <v>0.83137574749573595</v>
      </c>
      <c r="N41" s="192">
        <f>'Berekening wegingsfactoren'!N384</f>
        <v>0</v>
      </c>
    </row>
    <row r="47" spans="2:14">
      <c r="B47" s="3" t="s">
        <v>50</v>
      </c>
    </row>
    <row r="50" spans="2:14">
      <c r="B50" s="3" t="s">
        <v>222</v>
      </c>
    </row>
    <row r="51" spans="2:14">
      <c r="B51" t="s">
        <v>213</v>
      </c>
      <c r="D51" s="13" t="s">
        <v>338</v>
      </c>
      <c r="G51" s="192">
        <f>'Berekening wegingsfactoren'!G394</f>
        <v>0</v>
      </c>
      <c r="H51" s="192">
        <f>'Berekening wegingsfactoren'!H394</f>
        <v>0</v>
      </c>
      <c r="I51" s="192">
        <f>'Berekening wegingsfactoren'!I394</f>
        <v>441</v>
      </c>
      <c r="J51" s="192">
        <f>'Berekening wegingsfactoren'!J394</f>
        <v>441</v>
      </c>
      <c r="K51" s="192">
        <f>'Berekening wegingsfactoren'!K394</f>
        <v>0</v>
      </c>
      <c r="L51" s="192">
        <f>'Berekening wegingsfactoren'!L394</f>
        <v>441</v>
      </c>
      <c r="M51" s="192">
        <f>'Berekening wegingsfactoren'!M394</f>
        <v>0</v>
      </c>
      <c r="N51" s="192">
        <f>'Berekening wegingsfactoren'!N394</f>
        <v>0</v>
      </c>
    </row>
    <row r="52" spans="2:14">
      <c r="B52" t="s">
        <v>223</v>
      </c>
      <c r="D52" s="13" t="s">
        <v>338</v>
      </c>
      <c r="G52" s="192">
        <f>'Berekening wegingsfactoren'!G395</f>
        <v>0</v>
      </c>
      <c r="H52" s="192">
        <f>'Berekening wegingsfactoren'!H395</f>
        <v>0</v>
      </c>
      <c r="I52" s="192">
        <f>'Berekening wegingsfactoren'!I395</f>
        <v>15.628023810914655</v>
      </c>
      <c r="J52" s="192">
        <f>'Berekening wegingsfactoren'!J395</f>
        <v>13.501778555140646</v>
      </c>
      <c r="K52" s="192">
        <f>'Berekening wegingsfactoren'!K395</f>
        <v>0</v>
      </c>
      <c r="L52" s="192">
        <f>'Berekening wegingsfactoren'!L395</f>
        <v>21.884597176843265</v>
      </c>
      <c r="M52" s="192">
        <f>'Berekening wegingsfactoren'!M395</f>
        <v>0</v>
      </c>
      <c r="N52" s="192">
        <f>'Berekening wegingsfactoren'!N395</f>
        <v>0</v>
      </c>
    </row>
    <row r="53" spans="2:14">
      <c r="B53" t="s">
        <v>215</v>
      </c>
      <c r="D53" s="13" t="s">
        <v>338</v>
      </c>
      <c r="G53" s="192">
        <f>'Berekening wegingsfactoren'!G396</f>
        <v>0</v>
      </c>
      <c r="H53" s="192">
        <f>'Berekening wegingsfactoren'!H396</f>
        <v>0</v>
      </c>
      <c r="I53" s="192">
        <f>'Berekening wegingsfactoren'!I396</f>
        <v>1.3265422937393481</v>
      </c>
      <c r="J53" s="192">
        <f>'Berekening wegingsfactoren'!J396</f>
        <v>1.304710665650487</v>
      </c>
      <c r="K53" s="192">
        <f>'Berekening wegingsfactoren'!K396</f>
        <v>0</v>
      </c>
      <c r="L53" s="192">
        <f>'Berekening wegingsfactoren'!L396</f>
        <v>2.1418967449676387</v>
      </c>
      <c r="M53" s="192">
        <f>'Berekening wegingsfactoren'!M396</f>
        <v>0</v>
      </c>
      <c r="N53" s="192">
        <f>'Berekening wegingsfactoren'!N396</f>
        <v>0</v>
      </c>
    </row>
    <row r="54" spans="2:14">
      <c r="B54" t="s">
        <v>224</v>
      </c>
      <c r="D54" s="13" t="s">
        <v>338</v>
      </c>
      <c r="G54" s="192">
        <f>'Berekening wegingsfactoren'!G397</f>
        <v>0</v>
      </c>
      <c r="H54" s="192">
        <f>'Berekening wegingsfactoren'!H397</f>
        <v>0</v>
      </c>
      <c r="I54" s="192">
        <f>'Berekening wegingsfactoren'!I397</f>
        <v>7.0684370396330229E-3</v>
      </c>
      <c r="J54" s="192">
        <f>'Berekening wegingsfactoren'!J397</f>
        <v>5.1397692889261605E-3</v>
      </c>
      <c r="K54" s="192">
        <f>'Berekening wegingsfactoren'!K397</f>
        <v>0</v>
      </c>
      <c r="L54" s="192">
        <f>'Berekening wegingsfactoren'!L397</f>
        <v>3.16628214473477E-3</v>
      </c>
      <c r="M54" s="192">
        <f>'Berekening wegingsfactoren'!M397</f>
        <v>0</v>
      </c>
      <c r="N54" s="192">
        <f>'Berekening wegingsfactoren'!N397</f>
        <v>0</v>
      </c>
    </row>
    <row r="56" spans="2:14">
      <c r="B56" s="3" t="s">
        <v>225</v>
      </c>
    </row>
    <row r="57" spans="2:14">
      <c r="B57" t="s">
        <v>213</v>
      </c>
      <c r="D57" s="13" t="s">
        <v>338</v>
      </c>
      <c r="G57" s="192">
        <f>'Berekening wegingsfactoren'!G400</f>
        <v>441</v>
      </c>
      <c r="H57" s="192">
        <f>'Berekening wegingsfactoren'!H400</f>
        <v>441</v>
      </c>
      <c r="I57" s="192">
        <f>'Berekening wegingsfactoren'!I400</f>
        <v>441</v>
      </c>
      <c r="J57" s="192">
        <f>'Berekening wegingsfactoren'!J400</f>
        <v>441</v>
      </c>
      <c r="K57" s="192">
        <f>'Berekening wegingsfactoren'!K400</f>
        <v>441</v>
      </c>
      <c r="L57" s="192">
        <f>'Berekening wegingsfactoren'!L400</f>
        <v>441</v>
      </c>
      <c r="M57" s="192">
        <f>'Berekening wegingsfactoren'!M400</f>
        <v>441</v>
      </c>
      <c r="N57" s="192">
        <f>'Berekening wegingsfactoren'!N400</f>
        <v>441</v>
      </c>
    </row>
    <row r="58" spans="2:14">
      <c r="B58" t="s">
        <v>223</v>
      </c>
      <c r="D58" s="13" t="s">
        <v>338</v>
      </c>
      <c r="G58" s="192">
        <f>'Berekening wegingsfactoren'!G401</f>
        <v>17.490769109628314</v>
      </c>
      <c r="H58" s="192">
        <f>'Berekening wegingsfactoren'!H401</f>
        <v>13.139760466798426</v>
      </c>
      <c r="I58" s="192">
        <f>'Berekening wegingsfactoren'!I401</f>
        <v>16.722179133487984</v>
      </c>
      <c r="J58" s="192">
        <f>'Berekening wegingsfactoren'!J401</f>
        <v>17.020543683713171</v>
      </c>
      <c r="K58" s="192">
        <f>'Berekening wegingsfactoren'!K401</f>
        <v>16.644164640692996</v>
      </c>
      <c r="L58" s="192">
        <f>'Berekening wegingsfactoren'!L401</f>
        <v>17.228299905174485</v>
      </c>
      <c r="M58" s="192">
        <f>'Berekening wegingsfactoren'!M401</f>
        <v>13.693247605812122</v>
      </c>
      <c r="N58" s="192">
        <f>'Berekening wegingsfactoren'!N401</f>
        <v>13.931736503540293</v>
      </c>
    </row>
    <row r="59" spans="2:14">
      <c r="B59" t="s">
        <v>215</v>
      </c>
      <c r="D59" s="13" t="s">
        <v>338</v>
      </c>
      <c r="G59" s="192">
        <f>'Berekening wegingsfactoren'!G402</f>
        <v>1.6394564500982722</v>
      </c>
      <c r="H59" s="192">
        <f>'Berekening wegingsfactoren'!H402</f>
        <v>1.2887818156963058</v>
      </c>
      <c r="I59" s="192">
        <f>'Berekening wegingsfactoren'!I402</f>
        <v>1.6654399600231231</v>
      </c>
      <c r="J59" s="192">
        <f>'Berekening wegingsfactoren'!J402</f>
        <v>1.7099617057388958</v>
      </c>
      <c r="K59" s="192">
        <f>'Berekening wegingsfactoren'!K402</f>
        <v>1.5257150920635247</v>
      </c>
      <c r="L59" s="192">
        <f>'Berekening wegingsfactoren'!L402</f>
        <v>1.862518908667512</v>
      </c>
      <c r="M59" s="192">
        <f>'Berekening wegingsfactoren'!M402</f>
        <v>1.8583693179316449</v>
      </c>
      <c r="N59" s="192">
        <f>'Berekening wegingsfactoren'!N402</f>
        <v>1.7877475088066133</v>
      </c>
    </row>
    <row r="60" spans="2:14">
      <c r="B60" t="s">
        <v>224</v>
      </c>
      <c r="D60" s="13" t="s">
        <v>338</v>
      </c>
      <c r="G60" s="192">
        <f>'Berekening wegingsfactoren'!G403</f>
        <v>8.5368146513992889E-3</v>
      </c>
      <c r="H60" s="192">
        <f>'Berekening wegingsfactoren'!H403</f>
        <v>9.7869897282200653E-3</v>
      </c>
      <c r="I60" s="192">
        <f>'Berekening wegingsfactoren'!I403</f>
        <v>1.0747897416428296E-2</v>
      </c>
      <c r="J60" s="192">
        <f>'Berekening wegingsfactoren'!J403</f>
        <v>9.8841717094733869E-3</v>
      </c>
      <c r="K60" s="192">
        <f>'Berekening wegingsfactoren'!K403</f>
        <v>9.4118788146775878E-3</v>
      </c>
      <c r="L60" s="192">
        <f>'Berekening wegingsfactoren'!L403</f>
        <v>1.14544912883052E-2</v>
      </c>
      <c r="M60" s="192">
        <f>'Berekening wegingsfactoren'!M403</f>
        <v>1.1150215907589871E-2</v>
      </c>
      <c r="N60" s="192">
        <f>'Berekening wegingsfactoren'!N403</f>
        <v>1.2059361893725085E-2</v>
      </c>
    </row>
    <row r="62" spans="2:14">
      <c r="B62" s="3" t="s">
        <v>226</v>
      </c>
    </row>
    <row r="63" spans="2:14">
      <c r="B63" t="s">
        <v>213</v>
      </c>
      <c r="D63" s="13" t="s">
        <v>338</v>
      </c>
      <c r="G63" s="192">
        <f>'Berekening wegingsfactoren'!G406</f>
        <v>441</v>
      </c>
      <c r="H63" s="192">
        <f>'Berekening wegingsfactoren'!H406</f>
        <v>441</v>
      </c>
      <c r="I63" s="192">
        <f>'Berekening wegingsfactoren'!I406</f>
        <v>441</v>
      </c>
      <c r="J63" s="192">
        <f>'Berekening wegingsfactoren'!J406</f>
        <v>441</v>
      </c>
      <c r="K63" s="192">
        <f>'Berekening wegingsfactoren'!K406</f>
        <v>441</v>
      </c>
      <c r="L63" s="192">
        <f>'Berekening wegingsfactoren'!L406</f>
        <v>441</v>
      </c>
      <c r="M63" s="192">
        <f>'Berekening wegingsfactoren'!M406</f>
        <v>441</v>
      </c>
      <c r="N63" s="192">
        <f>'Berekening wegingsfactoren'!N406</f>
        <v>441</v>
      </c>
    </row>
    <row r="64" spans="2:14">
      <c r="B64" t="s">
        <v>223</v>
      </c>
      <c r="D64" s="13" t="s">
        <v>338</v>
      </c>
      <c r="G64" s="192">
        <f>'Berekening wegingsfactoren'!G407</f>
        <v>19.547365366556324</v>
      </c>
      <c r="H64" s="192">
        <f>'Berekening wegingsfactoren'!H407</f>
        <v>23.779478012922812</v>
      </c>
      <c r="I64" s="192">
        <f>'Berekening wegingsfactoren'!I407</f>
        <v>27.750877473408551</v>
      </c>
      <c r="J64" s="192">
        <f>'Berekening wegingsfactoren'!J407</f>
        <v>25.926182393948693</v>
      </c>
      <c r="K64" s="192">
        <f>'Berekening wegingsfactoren'!K407</f>
        <v>24.728473180458167</v>
      </c>
      <c r="L64" s="192">
        <f>'Berekening wegingsfactoren'!L407</f>
        <v>23.979930949094218</v>
      </c>
      <c r="M64" s="192">
        <f>'Berekening wegingsfactoren'!M407</f>
        <v>22.007005080769481</v>
      </c>
      <c r="N64" s="192">
        <f>'Berekening wegingsfactoren'!N407</f>
        <v>27.905786557584886</v>
      </c>
    </row>
    <row r="65" spans="2:14">
      <c r="B65" t="s">
        <v>215</v>
      </c>
      <c r="D65" s="13" t="s">
        <v>338</v>
      </c>
      <c r="G65" s="192">
        <f>'Berekening wegingsfactoren'!G408</f>
        <v>1.6394564500982722</v>
      </c>
      <c r="H65" s="192">
        <f>'Berekening wegingsfactoren'!H408</f>
        <v>1.2887818156963058</v>
      </c>
      <c r="I65" s="192">
        <f>'Berekening wegingsfactoren'!I408</f>
        <v>1.6654399600231231</v>
      </c>
      <c r="J65" s="192">
        <f>'Berekening wegingsfactoren'!J408</f>
        <v>1.7099617057388958</v>
      </c>
      <c r="K65" s="192">
        <f>'Berekening wegingsfactoren'!K408</f>
        <v>1.5257150920635247</v>
      </c>
      <c r="L65" s="192">
        <f>'Berekening wegingsfactoren'!L408</f>
        <v>1.862518908667512</v>
      </c>
      <c r="M65" s="192">
        <f>'Berekening wegingsfactoren'!M408</f>
        <v>1.8583693179316449</v>
      </c>
      <c r="N65" s="192">
        <f>'Berekening wegingsfactoren'!N408</f>
        <v>1.7877475088066133</v>
      </c>
    </row>
    <row r="66" spans="2:14">
      <c r="B66" t="s">
        <v>224</v>
      </c>
      <c r="D66" s="13" t="s">
        <v>338</v>
      </c>
      <c r="G66" s="192">
        <f>'Berekening wegingsfactoren'!G409</f>
        <v>8.5368146513992889E-3</v>
      </c>
      <c r="H66" s="192">
        <f>'Berekening wegingsfactoren'!H409</f>
        <v>9.7869897282200653E-3</v>
      </c>
      <c r="I66" s="192">
        <f>'Berekening wegingsfactoren'!I409</f>
        <v>1.0747897416428296E-2</v>
      </c>
      <c r="J66" s="192">
        <f>'Berekening wegingsfactoren'!J409</f>
        <v>9.8841717094733869E-3</v>
      </c>
      <c r="K66" s="192">
        <f>'Berekening wegingsfactoren'!K409</f>
        <v>9.4118788146775878E-3</v>
      </c>
      <c r="L66" s="192">
        <f>'Berekening wegingsfactoren'!L409</f>
        <v>1.14544912883052E-2</v>
      </c>
      <c r="M66" s="192">
        <f>'Berekening wegingsfactoren'!M409</f>
        <v>1.1150215907589871E-2</v>
      </c>
      <c r="N66" s="192">
        <f>'Berekening wegingsfactoren'!N409</f>
        <v>1.2059361893725085E-2</v>
      </c>
    </row>
    <row r="72" spans="2:14">
      <c r="B72" s="3" t="s">
        <v>51</v>
      </c>
    </row>
    <row r="75" spans="2:14">
      <c r="B75" s="3" t="s">
        <v>227</v>
      </c>
    </row>
    <row r="76" spans="2:14">
      <c r="B76" t="s">
        <v>213</v>
      </c>
      <c r="D76" s="13" t="s">
        <v>338</v>
      </c>
      <c r="G76" s="192">
        <f>'Berekening wegingsfactoren'!G419</f>
        <v>18</v>
      </c>
      <c r="H76" s="192">
        <f>'Berekening wegingsfactoren'!H419</f>
        <v>18</v>
      </c>
      <c r="I76" s="192">
        <f>'Berekening wegingsfactoren'!I419</f>
        <v>0</v>
      </c>
      <c r="J76" s="192">
        <f>'Berekening wegingsfactoren'!J419</f>
        <v>18</v>
      </c>
      <c r="K76" s="192">
        <f>'Berekening wegingsfactoren'!K419</f>
        <v>18</v>
      </c>
      <c r="L76" s="192">
        <f>'Berekening wegingsfactoren'!L419</f>
        <v>18</v>
      </c>
      <c r="M76" s="192">
        <f>'Berekening wegingsfactoren'!M419</f>
        <v>18</v>
      </c>
      <c r="N76" s="192">
        <f>'Berekening wegingsfactoren'!N419</f>
        <v>18</v>
      </c>
    </row>
    <row r="77" spans="2:14">
      <c r="B77" t="s">
        <v>223</v>
      </c>
      <c r="D77" s="13" t="s">
        <v>338</v>
      </c>
      <c r="G77" s="192">
        <f>'Berekening wegingsfactoren'!G420</f>
        <v>8.3233942851143059</v>
      </c>
      <c r="H77" s="192">
        <f>'Berekening wegingsfactoren'!H420</f>
        <v>6.8605828985938686</v>
      </c>
      <c r="I77" s="192">
        <f>'Berekening wegingsfactoren'!I420</f>
        <v>0</v>
      </c>
      <c r="J77" s="192">
        <f>'Berekening wegingsfactoren'!J420</f>
        <v>5.6339778743998306</v>
      </c>
      <c r="K77" s="192">
        <f>'Berekening wegingsfactoren'!K420</f>
        <v>5.1121362824985637</v>
      </c>
      <c r="L77" s="192">
        <f>'Berekening wegingsfactoren'!L420</f>
        <v>8.1485202254203646</v>
      </c>
      <c r="M77" s="192">
        <f>'Berekening wegingsfactoren'!M420</f>
        <v>5.5946697360889521</v>
      </c>
      <c r="N77" s="192">
        <f>'Berekening wegingsfactoren'!N420</f>
        <v>7.9232123319299017</v>
      </c>
    </row>
    <row r="78" spans="2:14">
      <c r="B78" t="s">
        <v>228</v>
      </c>
      <c r="D78" s="13" t="s">
        <v>338</v>
      </c>
      <c r="G78" s="192">
        <f>'Berekening wegingsfactoren'!G421</f>
        <v>2.0565962569280102E-2</v>
      </c>
      <c r="H78" s="192">
        <f>'Berekening wegingsfactoren'!H421</f>
        <v>2.5291131871935026E-2</v>
      </c>
      <c r="I78" s="192">
        <f>'Berekening wegingsfactoren'!I421</f>
        <v>0</v>
      </c>
      <c r="J78" s="192">
        <f>'Berekening wegingsfactoren'!J421</f>
        <v>1.7890350794146831E-2</v>
      </c>
      <c r="K78" s="192">
        <f>'Berekening wegingsfactoren'!K421</f>
        <v>1.4860861286333031E-2</v>
      </c>
      <c r="L78" s="192">
        <f>'Berekening wegingsfactoren'!L421</f>
        <v>2.2350226904010145E-2</v>
      </c>
      <c r="M78" s="192">
        <f>'Berekening wegingsfactoren'!M421</f>
        <v>2.0539871408718182E-2</v>
      </c>
      <c r="N78" s="192">
        <f>'Berekening wegingsfactoren'!N421</f>
        <v>2.1579910757192258E-2</v>
      </c>
    </row>
    <row r="79" spans="2:14">
      <c r="B79" t="s">
        <v>224</v>
      </c>
      <c r="D79" s="13" t="s">
        <v>338</v>
      </c>
      <c r="G79" s="192">
        <f>'Berekening wegingsfactoren'!G422</f>
        <v>4.4139212118030409E-2</v>
      </c>
      <c r="H79" s="192">
        <f>'Berekening wegingsfactoren'!H422</f>
        <v>3.8275850917296302E-2</v>
      </c>
      <c r="I79" s="192">
        <f>'Berekening wegingsfactoren'!I422</f>
        <v>0</v>
      </c>
      <c r="J79" s="192">
        <f>'Berekening wegingsfactoren'!J422</f>
        <v>3.4100392397683185E-2</v>
      </c>
      <c r="K79" s="192">
        <f>'Berekening wegingsfactoren'!K422</f>
        <v>3.8341022118739222E-2</v>
      </c>
      <c r="L79" s="192">
        <f>'Berekening wegingsfactoren'!L422</f>
        <v>4.2279179226752527E-2</v>
      </c>
      <c r="M79" s="192">
        <f>'Berekening wegingsfactoren'!M422</f>
        <v>4.1079742817436364E-2</v>
      </c>
      <c r="N79" s="192">
        <f>'Berekening wegingsfactoren'!N422</f>
        <v>4.2842469885602273E-2</v>
      </c>
    </row>
    <row r="81" spans="2:14">
      <c r="B81" s="3" t="s">
        <v>229</v>
      </c>
    </row>
    <row r="82" spans="2:14">
      <c r="B82" t="s">
        <v>230</v>
      </c>
      <c r="D82" s="13" t="s">
        <v>338</v>
      </c>
      <c r="G82" s="192">
        <f>'Berekening wegingsfactoren'!G425</f>
        <v>0.54</v>
      </c>
      <c r="H82" s="192">
        <f>'Berekening wegingsfactoren'!H425</f>
        <v>0.54</v>
      </c>
      <c r="I82" s="192">
        <f>'Berekening wegingsfactoren'!I425</f>
        <v>0.54</v>
      </c>
      <c r="J82" s="192">
        <f>'Berekening wegingsfactoren'!J425</f>
        <v>0.54</v>
      </c>
      <c r="K82" s="192">
        <f>'Berekening wegingsfactoren'!K425</f>
        <v>0.54</v>
      </c>
      <c r="L82" s="192">
        <f>'Berekening wegingsfactoren'!L425</f>
        <v>0.54</v>
      </c>
      <c r="M82" s="192">
        <f>'Berekening wegingsfactoren'!M425</f>
        <v>0.54</v>
      </c>
      <c r="N82" s="192">
        <f>'Berekening wegingsfactoren'!N425</f>
        <v>0.54</v>
      </c>
    </row>
    <row r="83" spans="2:14">
      <c r="B83" t="s">
        <v>231</v>
      </c>
      <c r="D83" s="13" t="s">
        <v>338</v>
      </c>
      <c r="G83" s="192">
        <f>'Berekening wegingsfactoren'!G426</f>
        <v>18</v>
      </c>
      <c r="H83" s="192">
        <f>'Berekening wegingsfactoren'!H426</f>
        <v>18</v>
      </c>
      <c r="I83" s="192">
        <f>'Berekening wegingsfactoren'!I426</f>
        <v>18</v>
      </c>
      <c r="J83" s="192">
        <f>'Berekening wegingsfactoren'!J426</f>
        <v>18</v>
      </c>
      <c r="K83" s="192">
        <f>'Berekening wegingsfactoren'!K426</f>
        <v>18</v>
      </c>
      <c r="L83" s="192">
        <f>'Berekening wegingsfactoren'!L426</f>
        <v>18</v>
      </c>
      <c r="M83" s="192">
        <f>'Berekening wegingsfactoren'!M426</f>
        <v>18</v>
      </c>
      <c r="N83" s="192">
        <f>'Berekening wegingsfactoren'!N426</f>
        <v>18</v>
      </c>
    </row>
    <row r="85" spans="2:14">
      <c r="B85" s="3" t="s">
        <v>232</v>
      </c>
    </row>
    <row r="86" spans="2:14">
      <c r="B86" t="s">
        <v>233</v>
      </c>
      <c r="D86" s="13" t="s">
        <v>338</v>
      </c>
      <c r="G86" s="192">
        <f>'Berekening wegingsfactoren'!G429</f>
        <v>2168.1569029406146</v>
      </c>
      <c r="H86" s="192">
        <f>'Berekening wegingsfactoren'!H429</f>
        <v>1938.9867768483516</v>
      </c>
      <c r="I86" s="192">
        <f>'Berekening wegingsfactoren'!I429</f>
        <v>1802.4514451064208</v>
      </c>
      <c r="J86" s="192">
        <f>'Berekening wegingsfactoren'!J429</f>
        <v>1701.5601597858433</v>
      </c>
      <c r="K86" s="192">
        <f>'Berekening wegingsfactoren'!K429</f>
        <v>1771.4146653308974</v>
      </c>
      <c r="L86" s="192">
        <f>'Berekening wegingsfactoren'!L429</f>
        <v>1883.4722463900216</v>
      </c>
      <c r="M86" s="192">
        <f>'Berekening wegingsfactoren'!M429</f>
        <v>1799.6839710495931</v>
      </c>
      <c r="N86" s="192">
        <f>'Berekening wegingsfactoren'!N429</f>
        <v>2238.9157410586963</v>
      </c>
    </row>
    <row r="87" spans="2:14">
      <c r="B87" t="s">
        <v>234</v>
      </c>
      <c r="D87" s="13" t="s">
        <v>338</v>
      </c>
      <c r="G87" s="192">
        <f>'Berekening wegingsfactoren'!G430</f>
        <v>1734.5255223524916</v>
      </c>
      <c r="H87" s="192">
        <f>'Berekening wegingsfactoren'!H430</f>
        <v>1551.1894214786814</v>
      </c>
      <c r="I87" s="192">
        <f>'Berekening wegingsfactoren'!I430</f>
        <v>1441.9611560851367</v>
      </c>
      <c r="J87" s="192">
        <f>'Berekening wegingsfactoren'!J430</f>
        <v>1361.2481278286748</v>
      </c>
      <c r="K87" s="192">
        <f>'Berekening wegingsfactoren'!K430</f>
        <v>1417.131732264718</v>
      </c>
      <c r="L87" s="192">
        <f>'Berekening wegingsfactoren'!L430</f>
        <v>1506.7777971120172</v>
      </c>
      <c r="M87" s="192">
        <f>'Berekening wegingsfactoren'!M430</f>
        <v>1439.7471768396745</v>
      </c>
      <c r="N87" s="192">
        <f>'Berekening wegingsfactoren'!N430</f>
        <v>1791.1325928469571</v>
      </c>
    </row>
    <row r="88" spans="2:14">
      <c r="B88" t="s">
        <v>235</v>
      </c>
      <c r="D88" s="13" t="s">
        <v>338</v>
      </c>
      <c r="G88" s="192">
        <f>'Berekening wegingsfactoren'!G431</f>
        <v>1300.8941417643687</v>
      </c>
      <c r="H88" s="192">
        <f>'Berekening wegingsfactoren'!H431</f>
        <v>1163.392066109011</v>
      </c>
      <c r="I88" s="192">
        <f>'Berekening wegingsfactoren'!I431</f>
        <v>1081.4708670638524</v>
      </c>
      <c r="J88" s="192">
        <f>'Berekening wegingsfactoren'!J431</f>
        <v>1020.9360958715062</v>
      </c>
      <c r="K88" s="192">
        <f>'Berekening wegingsfactoren'!K431</f>
        <v>1062.8487991985385</v>
      </c>
      <c r="L88" s="192">
        <f>'Berekening wegingsfactoren'!L431</f>
        <v>1130.083347834013</v>
      </c>
      <c r="M88" s="192">
        <f>'Berekening wegingsfactoren'!M431</f>
        <v>1079.8103826297558</v>
      </c>
      <c r="N88" s="192">
        <f>'Berekening wegingsfactoren'!N431</f>
        <v>1343.3494446352179</v>
      </c>
    </row>
    <row r="89" spans="2:14">
      <c r="B89" t="s">
        <v>236</v>
      </c>
      <c r="D89" s="13" t="s">
        <v>338</v>
      </c>
      <c r="G89" s="192">
        <f>'Berekening wegingsfactoren'!G432</f>
        <v>867.26276117624582</v>
      </c>
      <c r="H89" s="192">
        <f>'Berekening wegingsfactoren'!H432</f>
        <v>775.59471073934071</v>
      </c>
      <c r="I89" s="192">
        <f>'Berekening wegingsfactoren'!I432</f>
        <v>720.98057804256837</v>
      </c>
      <c r="J89" s="192">
        <f>'Berekening wegingsfactoren'!J432</f>
        <v>680.6240639143374</v>
      </c>
      <c r="K89" s="192">
        <f>'Berekening wegingsfactoren'!K432</f>
        <v>708.56586613235902</v>
      </c>
      <c r="L89" s="192">
        <f>'Berekening wegingsfactoren'!L432</f>
        <v>753.3888985560086</v>
      </c>
      <c r="M89" s="192">
        <f>'Berekening wegingsfactoren'!M432</f>
        <v>719.87358841983723</v>
      </c>
      <c r="N89" s="192">
        <f>'Berekening wegingsfactoren'!N432</f>
        <v>895.56629642347855</v>
      </c>
    </row>
    <row r="90" spans="2:14">
      <c r="B90" t="s">
        <v>237</v>
      </c>
      <c r="D90" s="13" t="s">
        <v>338</v>
      </c>
      <c r="G90" s="192">
        <f>'Berekening wegingsfactoren'!G433</f>
        <v>173.45255223524919</v>
      </c>
      <c r="H90" s="192">
        <f>'Berekening wegingsfactoren'!H433</f>
        <v>155.11894214786815</v>
      </c>
      <c r="I90" s="192">
        <f>'Berekening wegingsfactoren'!I433</f>
        <v>144.19611560851365</v>
      </c>
      <c r="J90" s="192">
        <f>'Berekening wegingsfactoren'!J433</f>
        <v>136.12481278286748</v>
      </c>
      <c r="K90" s="192">
        <f>'Berekening wegingsfactoren'!K433</f>
        <v>141.71317322647178</v>
      </c>
      <c r="L90" s="192">
        <f>'Berekening wegingsfactoren'!L433</f>
        <v>150.67777971120174</v>
      </c>
      <c r="M90" s="192">
        <f>'Berekening wegingsfactoren'!M433</f>
        <v>143.97471768396744</v>
      </c>
      <c r="N90" s="192">
        <f>'Berekening wegingsfactoren'!N433</f>
        <v>179.11325928469572</v>
      </c>
    </row>
    <row r="91" spans="2:14">
      <c r="B91" t="s">
        <v>238</v>
      </c>
      <c r="D91" s="13" t="s">
        <v>338</v>
      </c>
      <c r="G91" s="192">
        <f>'Berekening wegingsfactoren'!G434</f>
        <v>2.1681569029406145</v>
      </c>
      <c r="H91" s="192">
        <f>'Berekening wegingsfactoren'!H434</f>
        <v>1.9389867768483515</v>
      </c>
      <c r="I91" s="192">
        <f>'Berekening wegingsfactoren'!I434</f>
        <v>1.8024514451064206</v>
      </c>
      <c r="J91" s="192">
        <f>'Berekening wegingsfactoren'!J434</f>
        <v>1.7015601597858434</v>
      </c>
      <c r="K91" s="192">
        <f>'Berekening wegingsfactoren'!K434</f>
        <v>1.7714146653308975</v>
      </c>
      <c r="L91" s="192">
        <f>'Berekening wegingsfactoren'!L434</f>
        <v>1.8834722463900215</v>
      </c>
      <c r="M91" s="192">
        <f>'Berekening wegingsfactoren'!M434</f>
        <v>1.7996839710495931</v>
      </c>
      <c r="N91" s="192">
        <f>'Berekening wegingsfactoren'!N434</f>
        <v>2.2389157410586962</v>
      </c>
    </row>
    <row r="93" spans="2:14">
      <c r="B93" t="s">
        <v>52</v>
      </c>
    </row>
    <row r="99" spans="1:59">
      <c r="B99" s="3" t="s">
        <v>53</v>
      </c>
    </row>
    <row r="102" spans="1:59">
      <c r="B102" t="s">
        <v>239</v>
      </c>
      <c r="D102" s="13" t="s">
        <v>338</v>
      </c>
      <c r="G102" s="192">
        <f>'Berekening wegingsfactoren'!G445</f>
        <v>1.5909518213971401E-2</v>
      </c>
      <c r="H102" s="192">
        <f>'Berekening wegingsfactoren'!H445</f>
        <v>1.453513325973277E-2</v>
      </c>
      <c r="I102" s="192">
        <f>'Berekening wegingsfactoren'!I445</f>
        <v>7.7462323722005729E-3</v>
      </c>
      <c r="J102" s="192">
        <f>'Berekening wegingsfactoren'!J445</f>
        <v>7.2154453479155722E-3</v>
      </c>
      <c r="K102" s="192">
        <f>'Berekening wegingsfactoren'!K445</f>
        <v>0</v>
      </c>
      <c r="L102" s="192">
        <f>'Berekening wegingsfactoren'!L445</f>
        <v>1.1081987506571698E-2</v>
      </c>
      <c r="M102" s="192">
        <f>'Berekening wegingsfactoren'!M445</f>
        <v>8.1181396520171867E-3</v>
      </c>
      <c r="N102" s="192">
        <f>'Berekening wegingsfactoren'!N445</f>
        <v>0</v>
      </c>
    </row>
    <row r="103" spans="1:59">
      <c r="B103" t="s">
        <v>240</v>
      </c>
      <c r="D103" s="13" t="s">
        <v>338</v>
      </c>
      <c r="G103" s="192">
        <f>'Berekening wegingsfactoren'!G446</f>
        <v>2.3864277320957101E-2</v>
      </c>
      <c r="H103" s="192">
        <f>'Berekening wegingsfactoren'!H446</f>
        <v>1.453513325973277E-2</v>
      </c>
      <c r="I103" s="192">
        <f>'Berekening wegingsfactoren'!I446</f>
        <v>0</v>
      </c>
      <c r="J103" s="192">
        <f>'Berekening wegingsfactoren'!J446</f>
        <v>7.2154453479155722E-3</v>
      </c>
      <c r="K103" s="192">
        <f>'Berekening wegingsfactoren'!K446</f>
        <v>0</v>
      </c>
      <c r="L103" s="192">
        <f>'Berekening wegingsfactoren'!L446</f>
        <v>1.6762670178007606E-2</v>
      </c>
      <c r="M103" s="192">
        <f>'Berekening wegingsfactoren'!M446</f>
        <v>8.1181396520171867E-3</v>
      </c>
      <c r="N103" s="192">
        <f>'Berekening wegingsfactoren'!N446</f>
        <v>0</v>
      </c>
    </row>
    <row r="107" spans="1:59">
      <c r="A107" s="9"/>
      <c r="B107" s="2" t="s">
        <v>545</v>
      </c>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row>
    <row r="110" spans="1:59">
      <c r="B110" s="60" t="s">
        <v>325</v>
      </c>
      <c r="C110" s="13"/>
      <c r="D110" s="13"/>
    </row>
    <row r="111" spans="1:59">
      <c r="B111" s="59" t="s">
        <v>251</v>
      </c>
      <c r="C111" s="13"/>
      <c r="D111" s="13" t="s">
        <v>338</v>
      </c>
      <c r="G111" s="192">
        <f>'Berekening wegingsfactoren'!G454</f>
        <v>7.1912374500745475</v>
      </c>
      <c r="H111" s="192">
        <f>'Berekening wegingsfactoren'!H454</f>
        <v>2.5971709583514948</v>
      </c>
      <c r="I111" s="192">
        <f>'Berekening wegingsfactoren'!I454</f>
        <v>8.0456439339106982</v>
      </c>
      <c r="J111" s="192">
        <f>'Berekening wegingsfactoren'!J454</f>
        <v>4.1942112725616845</v>
      </c>
      <c r="K111" s="192">
        <f>'Berekening wegingsfactoren'!K454</f>
        <v>9.6361410364998736</v>
      </c>
      <c r="L111" s="192">
        <f>'Berekening wegingsfactoren'!L454</f>
        <v>14.025837716914188</v>
      </c>
      <c r="M111" s="192">
        <f>'Berekening wegingsfactoren'!M454</f>
        <v>8.3646189767548318</v>
      </c>
      <c r="N111" s="192">
        <f>'Berekening wegingsfactoren'!N454</f>
        <v>3.1030086981048624</v>
      </c>
    </row>
    <row r="112" spans="1:59">
      <c r="B112" s="59" t="s">
        <v>252</v>
      </c>
      <c r="C112" s="13"/>
      <c r="D112" s="13" t="s">
        <v>338</v>
      </c>
      <c r="G112" s="192">
        <f>'Berekening wegingsfactoren'!G455</f>
        <v>20.543616174942692</v>
      </c>
      <c r="H112" s="192">
        <f>'Berekening wegingsfactoren'!H455</f>
        <v>25.421720439393457</v>
      </c>
      <c r="I112" s="192">
        <f>'Berekening wegingsfactoren'!I455</f>
        <v>17.401495263572844</v>
      </c>
      <c r="J112" s="192">
        <f>'Berekening wegingsfactoren'!J455</f>
        <v>33.830666396606041</v>
      </c>
      <c r="K112" s="192">
        <f>'Berekening wegingsfactoren'!K455</f>
        <v>20.223999706234299</v>
      </c>
      <c r="L112" s="192">
        <f>'Berekening wegingsfactoren'!L455</f>
        <v>28.472450565335798</v>
      </c>
      <c r="M112" s="192">
        <f>'Berekening wegingsfactoren'!M455</f>
        <v>19.226870083571118</v>
      </c>
      <c r="N112" s="192">
        <f>'Berekening wegingsfactoren'!N455</f>
        <v>16.464944112393148</v>
      </c>
    </row>
    <row r="113" spans="2:14">
      <c r="B113" s="59" t="s">
        <v>253</v>
      </c>
      <c r="C113" s="13"/>
      <c r="D113" s="13" t="s">
        <v>338</v>
      </c>
      <c r="G113" s="192">
        <f>'Berekening wegingsfactoren'!G456</f>
        <v>20.543616174942692</v>
      </c>
      <c r="H113" s="192">
        <f>'Berekening wegingsfactoren'!H456</f>
        <v>41.809820427864942</v>
      </c>
      <c r="I113" s="192">
        <f>'Berekening wegingsfactoren'!I456</f>
        <v>17.401495263572844</v>
      </c>
      <c r="J113" s="192">
        <f>'Berekening wegingsfactoren'!J456</f>
        <v>38.578830101392846</v>
      </c>
      <c r="K113" s="192">
        <f>'Berekening wegingsfactoren'!K456</f>
        <v>33.453033639446005</v>
      </c>
      <c r="L113" s="192">
        <f>'Berekening wegingsfactoren'!L456</f>
        <v>45.817736541919672</v>
      </c>
      <c r="M113" s="192">
        <f>'Berekening wegingsfactoren'!M456</f>
        <v>38.248052815254816</v>
      </c>
      <c r="N113" s="192">
        <f>'Berekening wegingsfactoren'!N456</f>
        <v>43.914031346087413</v>
      </c>
    </row>
    <row r="114" spans="2:14">
      <c r="B114" s="59" t="s">
        <v>255</v>
      </c>
      <c r="C114" s="13"/>
      <c r="D114" s="13" t="s">
        <v>338</v>
      </c>
      <c r="G114" s="192">
        <f>'Berekening wegingsfactoren'!G457</f>
        <v>24.654282987620441</v>
      </c>
      <c r="H114" s="192">
        <f>'Berekening wegingsfactoren'!H457</f>
        <v>176.11874592868259</v>
      </c>
      <c r="I114" s="192">
        <f>'Berekening wegingsfactoren'!I457</f>
        <v>262.00265819041402</v>
      </c>
      <c r="J114" s="192">
        <f>'Berekening wegingsfactoren'!J457</f>
        <v>183.99134356048896</v>
      </c>
      <c r="K114" s="192">
        <f>'Berekening wegingsfactoren'!K457</f>
        <v>142.97570288989081</v>
      </c>
      <c r="L114" s="192">
        <f>'Berekening wegingsfactoren'!L457</f>
        <v>45.817736541919672</v>
      </c>
      <c r="M114" s="192">
        <f>'Berekening wegingsfactoren'!M457</f>
        <v>70.521377789970472</v>
      </c>
      <c r="N114" s="192">
        <f>'Berekening wegingsfactoren'!N457</f>
        <v>208.37293066258775</v>
      </c>
    </row>
    <row r="115" spans="2:14">
      <c r="B115" s="59" t="s">
        <v>261</v>
      </c>
      <c r="C115" s="13"/>
      <c r="D115" s="50" t="s">
        <v>338</v>
      </c>
      <c r="G115" s="192">
        <f>'Berekening wegingsfactoren'!G458</f>
        <v>501.09311816902323</v>
      </c>
      <c r="H115" s="192">
        <f>'Berekening wegingsfactoren'!H458</f>
        <v>1216.3315471771332</v>
      </c>
      <c r="I115" s="192">
        <f>'Berekening wegingsfactoren'!I458</f>
        <v>753.33043159720444</v>
      </c>
      <c r="J115" s="192">
        <f>'Berekening wegingsfactoren'!J458</f>
        <v>731.019370382803</v>
      </c>
      <c r="K115" s="192">
        <f>'Berekening wegingsfactoren'!K458</f>
        <v>826.78880874117976</v>
      </c>
      <c r="L115" s="192">
        <f>'Berekening wegingsfactoren'!L458</f>
        <v>244.01856660847412</v>
      </c>
      <c r="M115" s="192">
        <f>'Berekening wegingsfactoren'!M458</f>
        <v>631.2642775782773</v>
      </c>
      <c r="N115" s="192">
        <f>'Berekening wegingsfactoren'!N458</f>
        <v>1550.1891113436932</v>
      </c>
    </row>
    <row r="116" spans="2:14">
      <c r="B116" s="59" t="s">
        <v>262</v>
      </c>
      <c r="C116" s="13"/>
      <c r="D116" s="50" t="s">
        <v>338</v>
      </c>
      <c r="G116" s="192">
        <f>'Berekening wegingsfactoren'!G459</f>
        <v>1494.183655910354</v>
      </c>
      <c r="H116" s="192">
        <f>'Berekening wegingsfactoren'!H459</f>
        <v>8102.9289504370554</v>
      </c>
      <c r="I116" s="192">
        <f>'Berekening wegingsfactoren'!I459</f>
        <v>3191.4225850512967</v>
      </c>
      <c r="J116" s="192">
        <f>'Berekening wegingsfactoren'!J459</f>
        <v>2013.945810028019</v>
      </c>
      <c r="K116" s="192">
        <f>'Berekening wegingsfactoren'!K459</f>
        <v>8748.6852037853951</v>
      </c>
      <c r="L116" s="192">
        <f>'Berekening wegingsfactoren'!L459</f>
        <v>1785.9566692870731</v>
      </c>
      <c r="M116" s="192">
        <f>'Berekening wegingsfactoren'!M459</f>
        <v>6750.9727254420686</v>
      </c>
      <c r="N116" s="192">
        <f>'Berekening wegingsfactoren'!N459</f>
        <v>6195.0618757041702</v>
      </c>
    </row>
    <row r="117" spans="2:14">
      <c r="B117" s="59" t="s">
        <v>260</v>
      </c>
      <c r="C117" s="13"/>
      <c r="D117" s="13"/>
    </row>
    <row r="118" spans="2:14">
      <c r="B118" s="59" t="s">
        <v>326</v>
      </c>
      <c r="C118" s="13"/>
      <c r="D118" s="13" t="s">
        <v>338</v>
      </c>
      <c r="G118" s="192">
        <f>'Berekening wegingsfactoren'!G461</f>
        <v>0</v>
      </c>
      <c r="H118" s="192">
        <f>'Berekening wegingsfactoren'!H461</f>
        <v>1.9555169568764197</v>
      </c>
      <c r="I118" s="192">
        <f>'Berekening wegingsfactoren'!I461</f>
        <v>3.6879911880410927</v>
      </c>
      <c r="J118" s="192">
        <f>'Berekening wegingsfactoren'!J461</f>
        <v>2.8147730569613003</v>
      </c>
      <c r="K118" s="192">
        <f>'Berekening wegingsfactoren'!K461</f>
        <v>1.9034352664691108</v>
      </c>
      <c r="L118" s="192">
        <f>'Berekening wegingsfactoren'!L461</f>
        <v>14.353107263642185</v>
      </c>
      <c r="M118" s="192">
        <f>'Berekening wegingsfactoren'!M461</f>
        <v>6.5624059887889192</v>
      </c>
      <c r="N118" s="192">
        <f>'Berekening wegingsfactoren'!N461</f>
        <v>4.6545130471572937</v>
      </c>
    </row>
    <row r="119" spans="2:14">
      <c r="B119" s="59" t="s">
        <v>260</v>
      </c>
      <c r="C119" s="13"/>
      <c r="D119" s="13"/>
    </row>
    <row r="120" spans="2:14">
      <c r="B120" s="60" t="s">
        <v>327</v>
      </c>
      <c r="C120" s="13"/>
      <c r="D120" s="13"/>
    </row>
    <row r="121" spans="2:14">
      <c r="B121" s="60" t="s">
        <v>328</v>
      </c>
      <c r="C121" s="13"/>
      <c r="D121" s="13"/>
    </row>
    <row r="122" spans="2:14">
      <c r="B122" s="59" t="s">
        <v>251</v>
      </c>
      <c r="C122" s="13"/>
      <c r="D122" s="13" t="s">
        <v>338</v>
      </c>
      <c r="G122" s="192">
        <f>'Berekening wegingsfactoren'!G465</f>
        <v>438.41202330096041</v>
      </c>
      <c r="H122" s="192">
        <f>'Berekening wegingsfactoren'!H465</f>
        <v>384.83323112468508</v>
      </c>
      <c r="I122" s="192">
        <f>'Berekening wegingsfactoren'!I465</f>
        <v>451.99627003020925</v>
      </c>
      <c r="J122" s="192">
        <f>'Berekening wegingsfactoren'!J465</f>
        <v>372.42254279097682</v>
      </c>
      <c r="K122" s="192">
        <f>'Berekening wegingsfactoren'!K465</f>
        <v>427.33636581514912</v>
      </c>
      <c r="L122" s="192">
        <f>'Berekening wegingsfactoren'!L465</f>
        <v>473.15078427059831</v>
      </c>
      <c r="M122" s="192">
        <f>'Berekening wegingsfactoren'!M465</f>
        <v>432.13164780858443</v>
      </c>
      <c r="N122" s="192">
        <f>'Berekening wegingsfactoren'!N465</f>
        <v>438.78040376492407</v>
      </c>
    </row>
    <row r="123" spans="2:14">
      <c r="B123" s="59" t="s">
        <v>252</v>
      </c>
      <c r="C123" s="13"/>
      <c r="D123" s="13" t="s">
        <v>338</v>
      </c>
      <c r="G123" s="192">
        <f>'Berekening wegingsfactoren'!G466</f>
        <v>691.35748745421984</v>
      </c>
      <c r="H123" s="192">
        <f>'Berekening wegingsfactoren'!H466</f>
        <v>730.22693521107169</v>
      </c>
      <c r="I123" s="192">
        <f>'Berekening wegingsfactoren'!I466</f>
        <v>712.38542559109067</v>
      </c>
      <c r="J123" s="192">
        <f>'Berekening wegingsfactoren'!J466</f>
        <v>717.8144171535763</v>
      </c>
      <c r="K123" s="192">
        <f>'Berekening wegingsfactoren'!K466</f>
        <v>710.53552510832401</v>
      </c>
      <c r="L123" s="192">
        <f>'Berekening wegingsfactoren'!L466</f>
        <v>800.03711448244314</v>
      </c>
      <c r="M123" s="192">
        <f>'Berekening wegingsfactoren'!M466</f>
        <v>619.05370941880938</v>
      </c>
      <c r="N123" s="192">
        <f>'Berekening wegingsfactoren'!N466</f>
        <v>835.20074952024049</v>
      </c>
    </row>
    <row r="124" spans="2:14">
      <c r="B124" s="59" t="s">
        <v>253</v>
      </c>
      <c r="C124" s="13"/>
      <c r="D124" s="13" t="s">
        <v>338</v>
      </c>
      <c r="G124" s="192">
        <f>'Berekening wegingsfactoren'!G467</f>
        <v>1095.4281705476997</v>
      </c>
      <c r="H124" s="192">
        <f>'Berekening wegingsfactoren'!H467</f>
        <v>1144.7633014465766</v>
      </c>
      <c r="I124" s="192">
        <f>'Berekening wegingsfactoren'!I467</f>
        <v>1069.2601214697622</v>
      </c>
      <c r="J124" s="192">
        <f>'Berekening wegingsfactoren'!J467</f>
        <v>945.09347479064945</v>
      </c>
      <c r="K124" s="192">
        <f>'Berekening wegingsfactoren'!K467</f>
        <v>1182.9271075943075</v>
      </c>
      <c r="L124" s="192">
        <f>'Berekening wegingsfactoren'!L467</f>
        <v>1193.7240896519938</v>
      </c>
      <c r="M124" s="192">
        <f>'Berekening wegingsfactoren'!M467</f>
        <v>1096.0272165739409</v>
      </c>
      <c r="N124" s="192">
        <f>'Berekening wegingsfactoren'!N467</f>
        <v>1226.803615047294</v>
      </c>
    </row>
    <row r="125" spans="2:14">
      <c r="B125" s="59" t="s">
        <v>255</v>
      </c>
      <c r="C125" s="13"/>
      <c r="D125" s="13" t="s">
        <v>338</v>
      </c>
      <c r="G125" s="192">
        <f>'Berekening wegingsfactoren'!G468</f>
        <v>13914.048842449094</v>
      </c>
      <c r="H125" s="192">
        <f>'Berekening wegingsfactoren'!H468</f>
        <v>6707.0183627683409</v>
      </c>
      <c r="I125" s="192">
        <f>'Berekening wegingsfactoren'!I468</f>
        <v>8553.6694338148063</v>
      </c>
      <c r="J125" s="192">
        <f>'Berekening wegingsfactoren'!J468</f>
        <v>5594.2758384075087</v>
      </c>
      <c r="K125" s="192">
        <f>'Berekening wegingsfactoren'!K468</f>
        <v>8796.0969284157945</v>
      </c>
      <c r="L125" s="192">
        <f>'Berekening wegingsfactoren'!L468</f>
        <v>7280.6500819910898</v>
      </c>
      <c r="M125" s="192">
        <f>'Berekening wegingsfactoren'!M468</f>
        <v>8931.0133203999958</v>
      </c>
      <c r="N125" s="192">
        <f>'Berekening wegingsfactoren'!N468</f>
        <v>6679.6527700641118</v>
      </c>
    </row>
    <row r="126" spans="2:14">
      <c r="B126" s="59" t="s">
        <v>254</v>
      </c>
      <c r="C126" s="13"/>
      <c r="D126" s="13" t="s">
        <v>338</v>
      </c>
      <c r="G126" s="192">
        <f>'Berekening wegingsfactoren'!G469</f>
        <v>206776.96955232625</v>
      </c>
      <c r="H126" s="192">
        <f>'Berekening wegingsfactoren'!H469</f>
        <v>162577.5278822188</v>
      </c>
      <c r="I126" s="192">
        <f>'Berekening wegingsfactoren'!I469</f>
        <v>66566.852016391829</v>
      </c>
      <c r="J126" s="192">
        <f>'Berekening wegingsfactoren'!J469</f>
        <v>35949.260441205006</v>
      </c>
      <c r="K126" s="192">
        <f>'Berekening wegingsfactoren'!K469</f>
        <v>96869.558523752567</v>
      </c>
      <c r="L126" s="192">
        <f>'Berekening wegingsfactoren'!L469</f>
        <v>63566.139077681728</v>
      </c>
      <c r="M126" s="192">
        <f>'Berekening wegingsfactoren'!M469</f>
        <v>83939.319785037485</v>
      </c>
      <c r="N126" s="192">
        <f>'Berekening wegingsfactoren'!N469</f>
        <v>80378.468184948084</v>
      </c>
    </row>
    <row r="127" spans="2:14">
      <c r="B127" s="59" t="s">
        <v>260</v>
      </c>
      <c r="C127" s="13"/>
      <c r="D127" s="13"/>
    </row>
    <row r="128" spans="2:14">
      <c r="B128" s="60" t="s">
        <v>329</v>
      </c>
      <c r="C128" s="13"/>
      <c r="D128" s="13"/>
    </row>
    <row r="129" spans="2:16">
      <c r="B129" s="59" t="s">
        <v>251</v>
      </c>
      <c r="C129" s="13"/>
      <c r="D129" s="13" t="s">
        <v>338</v>
      </c>
      <c r="G129" s="192">
        <f>'Berekening wegingsfactoren'!G472</f>
        <v>20.585622102029678</v>
      </c>
      <c r="H129" s="192">
        <f>'Berekening wegingsfactoren'!H472</f>
        <v>19.103359038251256</v>
      </c>
      <c r="I129" s="192">
        <f>'Berekening wegingsfactoren'!I472</f>
        <v>30.067577962879138</v>
      </c>
      <c r="J129" s="192">
        <f>'Berekening wegingsfactoren'!J472</f>
        <v>17.519877685059392</v>
      </c>
      <c r="K129" s="192">
        <f>'Berekening wegingsfactoren'!K472</f>
        <v>21.214560678234243</v>
      </c>
      <c r="L129" s="192">
        <f>'Berekening wegingsfactoren'!L472</f>
        <v>23.068554834769834</v>
      </c>
      <c r="M129" s="192">
        <f>'Berekening wegingsfactoren'!M472</f>
        <v>21.003607998138172</v>
      </c>
      <c r="N129" s="192">
        <f>'Berekening wegingsfactoren'!N472</f>
        <v>21.752751548022001</v>
      </c>
    </row>
    <row r="130" spans="2:16">
      <c r="B130" s="59" t="s">
        <v>252</v>
      </c>
      <c r="C130" s="13"/>
      <c r="D130" s="13" t="s">
        <v>338</v>
      </c>
      <c r="G130" s="192">
        <f>'Berekening wegingsfactoren'!G473</f>
        <v>20.938350515010672</v>
      </c>
      <c r="H130" s="192">
        <f>'Berekening wegingsfactoren'!H473</f>
        <v>31.099937002619452</v>
      </c>
      <c r="I130" s="192">
        <f>'Berekening wegingsfactoren'!I473</f>
        <v>31.148438608603545</v>
      </c>
      <c r="J130" s="192">
        <f>'Berekening wegingsfactoren'!J473</f>
        <v>19.922603767581823</v>
      </c>
      <c r="K130" s="192">
        <f>'Berekening wegingsfactoren'!K473</f>
        <v>28.015400704271062</v>
      </c>
      <c r="L130" s="192">
        <f>'Berekening wegingsfactoren'!L473</f>
        <v>26.995117359837039</v>
      </c>
      <c r="M130" s="192">
        <f>'Berekening wegingsfactoren'!M473</f>
        <v>29.445249490212849</v>
      </c>
      <c r="N130" s="192">
        <f>'Berekening wegingsfactoren'!N473</f>
        <v>31.419451670002253</v>
      </c>
    </row>
    <row r="131" spans="2:16">
      <c r="B131" s="59" t="s">
        <v>253</v>
      </c>
      <c r="C131" s="13"/>
      <c r="D131" s="13" t="s">
        <v>338</v>
      </c>
      <c r="G131" s="192">
        <f>'Berekening wegingsfactoren'!G474</f>
        <v>29.315650323309274</v>
      </c>
      <c r="H131" s="192">
        <f>'Berekening wegingsfactoren'!H474</f>
        <v>39.56298493504697</v>
      </c>
      <c r="I131" s="192">
        <f>'Berekening wegingsfactoren'!I474</f>
        <v>40.355388751042433</v>
      </c>
      <c r="J131" s="192">
        <f>'Berekening wegingsfactoren'!J474</f>
        <v>25.819240368844675</v>
      </c>
      <c r="K131" s="192">
        <f>'Berekening wegingsfactoren'!K474</f>
        <v>37.340847981665441</v>
      </c>
      <c r="L131" s="192">
        <f>'Berekening wegingsfactoren'!L474</f>
        <v>34.889526361753703</v>
      </c>
      <c r="M131" s="192">
        <f>'Berekening wegingsfactoren'!M474</f>
        <v>37.46197078209191</v>
      </c>
      <c r="N131" s="192">
        <f>'Berekening wegingsfactoren'!N474</f>
        <v>37.235171366535781</v>
      </c>
    </row>
    <row r="132" spans="2:16">
      <c r="B132" s="59" t="s">
        <v>255</v>
      </c>
      <c r="C132" s="13"/>
      <c r="D132" s="13" t="s">
        <v>338</v>
      </c>
      <c r="G132" s="192">
        <f>'Berekening wegingsfactoren'!G475</f>
        <v>67.274067858706545</v>
      </c>
      <c r="H132" s="192">
        <f>'Berekening wegingsfactoren'!H475</f>
        <v>64.15603145191227</v>
      </c>
      <c r="I132" s="192">
        <f>'Berekening wegingsfactoren'!I475</f>
        <v>74.350532138482635</v>
      </c>
      <c r="J132" s="192">
        <f>'Berekening wegingsfactoren'!J475</f>
        <v>37.367796897924315</v>
      </c>
      <c r="K132" s="192">
        <f>'Berekening wegingsfactoren'!K475</f>
        <v>62.638977528295065</v>
      </c>
      <c r="L132" s="192">
        <f>'Berekening wegingsfactoren'!L475</f>
        <v>59.066498863664755</v>
      </c>
      <c r="M132" s="192">
        <f>'Berekening wegingsfactoren'!M475</f>
        <v>60.031778458965995</v>
      </c>
      <c r="N132" s="192">
        <f>'Berekening wegingsfactoren'!N475</f>
        <v>95.886846812061819</v>
      </c>
    </row>
    <row r="133" spans="2:16">
      <c r="B133" s="59" t="s">
        <v>254</v>
      </c>
      <c r="C133" s="13"/>
      <c r="D133" s="13" t="s">
        <v>338</v>
      </c>
      <c r="G133" s="192">
        <f>'Berekening wegingsfactoren'!G476</f>
        <v>178.72552725517531</v>
      </c>
      <c r="H133" s="192">
        <f>'Berekening wegingsfactoren'!H476</f>
        <v>175.73766514037496</v>
      </c>
      <c r="I133" s="192">
        <f>'Berekening wegingsfactoren'!I476</f>
        <v>185.12596682044514</v>
      </c>
      <c r="J133" s="192">
        <f>'Berekening wegingsfactoren'!J476</f>
        <v>95.12011843181277</v>
      </c>
      <c r="K133" s="192">
        <f>'Berekening wegingsfactoren'!K476</f>
        <v>174.61845840317193</v>
      </c>
      <c r="L133" s="192">
        <f>'Berekening wegingsfactoren'!L476</f>
        <v>131.24535240037133</v>
      </c>
      <c r="M133" s="192">
        <f>'Berekening wegingsfactoren'!M476</f>
        <v>165.68029562440339</v>
      </c>
      <c r="N133" s="192">
        <f>'Berekening wegingsfactoren'!N476</f>
        <v>179.03392061880152</v>
      </c>
    </row>
    <row r="136" spans="2:16" s="2" customFormat="1">
      <c r="B136" s="2" t="s">
        <v>546</v>
      </c>
    </row>
    <row r="139" spans="2:16">
      <c r="B139" s="3" t="s">
        <v>49</v>
      </c>
      <c r="F139" s="46"/>
      <c r="G139" s="27"/>
    </row>
    <row r="140" spans="2:16">
      <c r="B140" s="3"/>
      <c r="F140" s="46"/>
    </row>
    <row r="141" spans="2:16">
      <c r="B141" s="3"/>
      <c r="F141" s="46"/>
    </row>
    <row r="142" spans="2:16">
      <c r="B142" s="85" t="s">
        <v>212</v>
      </c>
      <c r="F142" s="46"/>
    </row>
    <row r="143" spans="2:16">
      <c r="B143" t="s">
        <v>213</v>
      </c>
      <c r="D143" t="s">
        <v>164</v>
      </c>
      <c r="F143" s="82">
        <f>SUM(G143:N143)</f>
        <v>12.363656149632011</v>
      </c>
      <c r="G143" s="134">
        <f>'Berekening rekenvolumes'!G15</f>
        <v>0</v>
      </c>
      <c r="H143" s="134">
        <f>'Berekening rekenvolumes'!H15</f>
        <v>0</v>
      </c>
      <c r="I143" s="134">
        <f>'Berekening rekenvolumes'!I15</f>
        <v>0</v>
      </c>
      <c r="J143" s="134">
        <f>'Berekening rekenvolumes'!J15</f>
        <v>0</v>
      </c>
      <c r="K143" s="134">
        <f>'Berekening rekenvolumes'!K15</f>
        <v>9.0000196762020597</v>
      </c>
      <c r="L143" s="134">
        <f>'Berekening rekenvolumes'!L15</f>
        <v>0</v>
      </c>
      <c r="M143" s="134">
        <f>'Berekening rekenvolumes'!M15</f>
        <v>3.3636364734299513</v>
      </c>
      <c r="N143" s="134">
        <f>'Berekening rekenvolumes'!N15</f>
        <v>0</v>
      </c>
      <c r="P143" s="50"/>
    </row>
    <row r="144" spans="2:16">
      <c r="B144" t="s">
        <v>214</v>
      </c>
      <c r="D144" t="s">
        <v>164</v>
      </c>
      <c r="F144" s="82">
        <f>SUM(G144:N144)</f>
        <v>741644.25505979266</v>
      </c>
      <c r="G144" s="134">
        <f>'Berekening rekenvolumes'!G16</f>
        <v>0</v>
      </c>
      <c r="H144" s="134">
        <f>'Berekening rekenvolumes'!H16</f>
        <v>0</v>
      </c>
      <c r="I144" s="134">
        <f>'Berekening rekenvolumes'!I16</f>
        <v>0</v>
      </c>
      <c r="J144" s="134">
        <f>'Berekening rekenvolumes'!J16</f>
        <v>0</v>
      </c>
      <c r="K144" s="134">
        <f>'Berekening rekenvolumes'!K16</f>
        <v>471155.73990827746</v>
      </c>
      <c r="L144" s="134">
        <f>'Berekening rekenvolumes'!L16</f>
        <v>0</v>
      </c>
      <c r="M144" s="134">
        <f>'Berekening rekenvolumes'!M16</f>
        <v>270488.51515151514</v>
      </c>
      <c r="N144" s="134">
        <f>'Berekening rekenvolumes'!N16</f>
        <v>0</v>
      </c>
    </row>
    <row r="145" spans="2:14">
      <c r="B145" t="s">
        <v>215</v>
      </c>
      <c r="D145" t="s">
        <v>164</v>
      </c>
      <c r="F145" s="82">
        <f>SUM(G145:N145)</f>
        <v>7554254.1805117428</v>
      </c>
      <c r="G145" s="134">
        <f>'Berekening rekenvolumes'!G17</f>
        <v>0</v>
      </c>
      <c r="H145" s="134">
        <f>'Berekening rekenvolumes'!H17</f>
        <v>0</v>
      </c>
      <c r="I145" s="134">
        <f>'Berekening rekenvolumes'!I17</f>
        <v>0</v>
      </c>
      <c r="J145" s="134">
        <f>'Berekening rekenvolumes'!J17</f>
        <v>0</v>
      </c>
      <c r="K145" s="134">
        <f>'Berekening rekenvolumes'!K17</f>
        <v>4781828.363687682</v>
      </c>
      <c r="L145" s="134">
        <f>'Berekening rekenvolumes'!L17</f>
        <v>0</v>
      </c>
      <c r="M145" s="134">
        <f>'Berekening rekenvolumes'!M17</f>
        <v>2772425.8168240604</v>
      </c>
      <c r="N145" s="134">
        <f>'Berekening rekenvolumes'!N17</f>
        <v>0</v>
      </c>
    </row>
    <row r="146" spans="2:14">
      <c r="F146" s="46"/>
    </row>
    <row r="147" spans="2:14">
      <c r="B147" s="3" t="s">
        <v>216</v>
      </c>
      <c r="F147" s="46"/>
    </row>
    <row r="148" spans="2:14">
      <c r="B148" t="s">
        <v>213</v>
      </c>
      <c r="D148" t="s">
        <v>164</v>
      </c>
      <c r="F148" s="82">
        <f>SUM(G148:N148)</f>
        <v>6</v>
      </c>
      <c r="G148" s="134">
        <f>'Berekening rekenvolumes'!G20</f>
        <v>0</v>
      </c>
      <c r="H148" s="134">
        <f>'Berekening rekenvolumes'!H20</f>
        <v>0</v>
      </c>
      <c r="I148" s="134">
        <f>'Berekening rekenvolumes'!I20</f>
        <v>0</v>
      </c>
      <c r="J148" s="134">
        <f>'Berekening rekenvolumes'!J20</f>
        <v>0</v>
      </c>
      <c r="K148" s="134">
        <f>'Berekening rekenvolumes'!K20</f>
        <v>0</v>
      </c>
      <c r="L148" s="134">
        <f>'Berekening rekenvolumes'!L20</f>
        <v>0</v>
      </c>
      <c r="M148" s="134">
        <f>'Berekening rekenvolumes'!M20</f>
        <v>6</v>
      </c>
      <c r="N148" s="134">
        <f>'Berekening rekenvolumes'!N20</f>
        <v>0</v>
      </c>
    </row>
    <row r="149" spans="2:14">
      <c r="B149" t="s">
        <v>214</v>
      </c>
      <c r="D149" t="s">
        <v>164</v>
      </c>
      <c r="F149" s="82">
        <f>SUM(G149:N149)</f>
        <v>29204.60606060606</v>
      </c>
      <c r="G149" s="134">
        <f>'Berekening rekenvolumes'!G21</f>
        <v>0</v>
      </c>
      <c r="H149" s="134">
        <f>'Berekening rekenvolumes'!H21</f>
        <v>0</v>
      </c>
      <c r="I149" s="134">
        <f>'Berekening rekenvolumes'!I21</f>
        <v>0</v>
      </c>
      <c r="J149" s="134">
        <f>'Berekening rekenvolumes'!J21</f>
        <v>0</v>
      </c>
      <c r="K149" s="134">
        <f>'Berekening rekenvolumes'!K21</f>
        <v>0</v>
      </c>
      <c r="L149" s="134">
        <f>'Berekening rekenvolumes'!L21</f>
        <v>0</v>
      </c>
      <c r="M149" s="134">
        <f>'Berekening rekenvolumes'!M21</f>
        <v>29204.60606060606</v>
      </c>
      <c r="N149" s="134">
        <f>'Berekening rekenvolumes'!N21</f>
        <v>0</v>
      </c>
    </row>
    <row r="150" spans="2:14">
      <c r="B150" t="s">
        <v>217</v>
      </c>
      <c r="D150" t="s">
        <v>164</v>
      </c>
      <c r="F150" s="82">
        <f>SUM(G150:N150)</f>
        <v>225368.36268939392</v>
      </c>
      <c r="G150" s="134">
        <f>'Berekening rekenvolumes'!G22</f>
        <v>0</v>
      </c>
      <c r="H150" s="134">
        <f>'Berekening rekenvolumes'!H22</f>
        <v>0</v>
      </c>
      <c r="I150" s="134">
        <f>'Berekening rekenvolumes'!I22</f>
        <v>0</v>
      </c>
      <c r="J150" s="134">
        <f>'Berekening rekenvolumes'!J22</f>
        <v>0</v>
      </c>
      <c r="K150" s="134">
        <f>'Berekening rekenvolumes'!K22</f>
        <v>0</v>
      </c>
      <c r="L150" s="134">
        <f>'Berekening rekenvolumes'!L22</f>
        <v>0</v>
      </c>
      <c r="M150" s="134">
        <f>'Berekening rekenvolumes'!M22</f>
        <v>225368.36268939392</v>
      </c>
      <c r="N150" s="134">
        <f>'Berekening rekenvolumes'!N22</f>
        <v>0</v>
      </c>
    </row>
    <row r="151" spans="2:14">
      <c r="F151" s="46"/>
    </row>
    <row r="152" spans="2:14">
      <c r="B152" s="3" t="s">
        <v>218</v>
      </c>
      <c r="F152" s="46"/>
    </row>
    <row r="153" spans="2:14">
      <c r="B153" t="s">
        <v>213</v>
      </c>
      <c r="D153" t="s">
        <v>164</v>
      </c>
      <c r="F153" s="82">
        <f>SUM(G153:N153)</f>
        <v>88.566770059458321</v>
      </c>
      <c r="G153" s="134">
        <f>'Berekening rekenvolumes'!G25</f>
        <v>0</v>
      </c>
      <c r="H153" s="134">
        <f>'Berekening rekenvolumes'!H25</f>
        <v>1.9074070048309177</v>
      </c>
      <c r="I153" s="134">
        <f>'Berekening rekenvolumes'!I25</f>
        <v>0</v>
      </c>
      <c r="J153" s="134">
        <f>'Berekening rekenvolumes'!J25</f>
        <v>3.5455070448257615</v>
      </c>
      <c r="K153" s="134">
        <f>'Berekening rekenvolumes'!K25</f>
        <v>18.477492044057254</v>
      </c>
      <c r="L153" s="134">
        <f>'Berekening rekenvolumes'!L25</f>
        <v>0</v>
      </c>
      <c r="M153" s="134">
        <f>'Berekening rekenvolumes'!M25</f>
        <v>64.636363965744394</v>
      </c>
      <c r="N153" s="134">
        <f>'Berekening rekenvolumes'!N25</f>
        <v>0</v>
      </c>
    </row>
    <row r="154" spans="2:14">
      <c r="B154" t="s">
        <v>214</v>
      </c>
      <c r="D154" t="s">
        <v>164</v>
      </c>
      <c r="F154" s="82">
        <f>SUM(G154:N154)</f>
        <v>865638.79371497559</v>
      </c>
      <c r="G154" s="134">
        <f>'Berekening rekenvolumes'!G26</f>
        <v>0</v>
      </c>
      <c r="H154" s="134">
        <f>'Berekening rekenvolumes'!H26</f>
        <v>25570.620370370369</v>
      </c>
      <c r="I154" s="134">
        <f>'Berekening rekenvolumes'!I26</f>
        <v>0</v>
      </c>
      <c r="J154" s="134">
        <f>'Berekening rekenvolumes'!J26</f>
        <v>65246.509240481479</v>
      </c>
      <c r="K154" s="134">
        <f>'Berekening rekenvolumes'!K26</f>
        <v>123410.08821814531</v>
      </c>
      <c r="L154" s="134">
        <f>'Berekening rekenvolumes'!L26</f>
        <v>0</v>
      </c>
      <c r="M154" s="134">
        <f>'Berekening rekenvolumes'!M26</f>
        <v>651411.57588597841</v>
      </c>
      <c r="N154" s="134">
        <f>'Berekening rekenvolumes'!N26</f>
        <v>0</v>
      </c>
    </row>
    <row r="155" spans="2:14">
      <c r="B155" t="s">
        <v>215</v>
      </c>
      <c r="D155" t="s">
        <v>164</v>
      </c>
      <c r="F155" s="82">
        <f>SUM(G155:N155)</f>
        <v>7847816.440094904</v>
      </c>
      <c r="G155" s="134">
        <f>'Berekening rekenvolumes'!G27</f>
        <v>0</v>
      </c>
      <c r="H155" s="134">
        <f>'Berekening rekenvolumes'!H27</f>
        <v>273820.66503267974</v>
      </c>
      <c r="I155" s="134">
        <f>'Berekening rekenvolumes'!I27</f>
        <v>0</v>
      </c>
      <c r="J155" s="134">
        <f>'Berekening rekenvolumes'!J27</f>
        <v>620960.00738594739</v>
      </c>
      <c r="K155" s="134">
        <f>'Berekening rekenvolumes'!K27</f>
        <v>1202933.8280905464</v>
      </c>
      <c r="L155" s="134">
        <f>'Berekening rekenvolumes'!L27</f>
        <v>0</v>
      </c>
      <c r="M155" s="134">
        <f>'Berekening rekenvolumes'!M27</f>
        <v>5750101.9395857304</v>
      </c>
      <c r="N155" s="134">
        <f>'Berekening rekenvolumes'!N27</f>
        <v>0</v>
      </c>
    </row>
    <row r="156" spans="2:14">
      <c r="F156" s="46"/>
    </row>
    <row r="157" spans="2:14">
      <c r="B157" s="3" t="s">
        <v>219</v>
      </c>
      <c r="F157" s="46"/>
    </row>
    <row r="158" spans="2:14">
      <c r="B158" t="s">
        <v>213</v>
      </c>
      <c r="D158" t="s">
        <v>164</v>
      </c>
      <c r="F158" s="82">
        <f>SUM(G158:N158)</f>
        <v>25.00240921159094</v>
      </c>
      <c r="G158" s="134">
        <f>'Berekening rekenvolumes'!G30</f>
        <v>0</v>
      </c>
      <c r="H158" s="134">
        <f>'Berekening rekenvolumes'!H30</f>
        <v>0</v>
      </c>
      <c r="I158" s="134">
        <f>'Berekening rekenvolumes'!I30</f>
        <v>0</v>
      </c>
      <c r="J158" s="134">
        <f>'Berekening rekenvolumes'!J30</f>
        <v>1.6363898860492447</v>
      </c>
      <c r="K158" s="134">
        <f>'Berekening rekenvolumes'!K30</f>
        <v>12.002382852111745</v>
      </c>
      <c r="L158" s="134">
        <f>'Berekening rekenvolumes'!L30</f>
        <v>0</v>
      </c>
      <c r="M158" s="134">
        <f>'Berekening rekenvolumes'!M30</f>
        <v>11.363636473429951</v>
      </c>
      <c r="N158" s="134">
        <f>'Berekening rekenvolumes'!N30</f>
        <v>0</v>
      </c>
    </row>
    <row r="159" spans="2:14">
      <c r="B159" t="s">
        <v>214</v>
      </c>
      <c r="D159" t="s">
        <v>164</v>
      </c>
      <c r="F159" s="82">
        <f>SUM(G159:N159)</f>
        <v>351237.13555039908</v>
      </c>
      <c r="G159" s="134">
        <f>'Berekening rekenvolumes'!G31</f>
        <v>0</v>
      </c>
      <c r="H159" s="134">
        <f>'Berekening rekenvolumes'!H31</f>
        <v>0</v>
      </c>
      <c r="I159" s="134">
        <f>'Berekening rekenvolumes'!I31</f>
        <v>0</v>
      </c>
      <c r="J159" s="134">
        <f>'Berekening rekenvolumes'!J31</f>
        <v>9471.7609484006243</v>
      </c>
      <c r="K159" s="134">
        <f>'Berekening rekenvolumes'!K31</f>
        <v>72674.708063734477</v>
      </c>
      <c r="L159" s="134">
        <f>'Berekening rekenvolumes'!L31</f>
        <v>0</v>
      </c>
      <c r="M159" s="134">
        <f>'Berekening rekenvolumes'!M31</f>
        <v>269090.66653826396</v>
      </c>
      <c r="N159" s="134">
        <f>'Berekening rekenvolumes'!N31</f>
        <v>0</v>
      </c>
    </row>
    <row r="160" spans="2:14">
      <c r="B160" t="s">
        <v>217</v>
      </c>
      <c r="D160" t="s">
        <v>164</v>
      </c>
      <c r="F160" s="82">
        <f>SUM(G160:N160)</f>
        <v>4714837.5043022633</v>
      </c>
      <c r="G160" s="134">
        <f>'Berekening rekenvolumes'!G32</f>
        <v>0</v>
      </c>
      <c r="H160" s="134">
        <f>'Berekening rekenvolumes'!H32</f>
        <v>0</v>
      </c>
      <c r="I160" s="134">
        <f>'Berekening rekenvolumes'!I32</f>
        <v>0</v>
      </c>
      <c r="J160" s="134">
        <f>'Berekening rekenvolumes'!J32</f>
        <v>83121.452813852826</v>
      </c>
      <c r="K160" s="134">
        <f>'Berekening rekenvolumes'!K32</f>
        <v>1121269.1414039603</v>
      </c>
      <c r="L160" s="134">
        <f>'Berekening rekenvolumes'!L32</f>
        <v>0</v>
      </c>
      <c r="M160" s="134">
        <f>'Berekening rekenvolumes'!M32</f>
        <v>3510446.9100844506</v>
      </c>
      <c r="N160" s="134">
        <f>'Berekening rekenvolumes'!N32</f>
        <v>0</v>
      </c>
    </row>
    <row r="161" spans="2:14">
      <c r="F161" s="46"/>
    </row>
    <row r="162" spans="2:14">
      <c r="B162" s="3" t="s">
        <v>220</v>
      </c>
      <c r="F162" s="46"/>
    </row>
    <row r="163" spans="2:14">
      <c r="B163" t="s">
        <v>213</v>
      </c>
      <c r="D163" t="s">
        <v>164</v>
      </c>
      <c r="F163" s="82">
        <f>SUM(G163:N163)</f>
        <v>683.8591889261869</v>
      </c>
      <c r="G163" s="134">
        <f>'Berekening rekenvolumes'!G35</f>
        <v>0</v>
      </c>
      <c r="H163" s="134">
        <f>'Berekening rekenvolumes'!H35</f>
        <v>44.25</v>
      </c>
      <c r="I163" s="134">
        <f>'Berekening rekenvolumes'!I35</f>
        <v>1</v>
      </c>
      <c r="J163" s="134">
        <f>'Berekening rekenvolumes'!J35</f>
        <v>182.93615437156924</v>
      </c>
      <c r="K163" s="134">
        <f>'Berekening rekenvolumes'!K35</f>
        <v>321.79677258711655</v>
      </c>
      <c r="L163" s="134">
        <f>'Berekening rekenvolumes'!L35</f>
        <v>0</v>
      </c>
      <c r="M163" s="134">
        <f>'Berekening rekenvolumes'!M35</f>
        <v>128.84848418972334</v>
      </c>
      <c r="N163" s="134">
        <f>'Berekening rekenvolumes'!N35</f>
        <v>5.0277777777777777</v>
      </c>
    </row>
    <row r="164" spans="2:14">
      <c r="B164" t="s">
        <v>214</v>
      </c>
      <c r="D164" t="s">
        <v>164</v>
      </c>
      <c r="F164" s="82">
        <f>SUM(G164:N164)</f>
        <v>3029266.615022325</v>
      </c>
      <c r="G164" s="134">
        <f>'Berekening rekenvolumes'!G36</f>
        <v>0</v>
      </c>
      <c r="H164" s="134">
        <f>'Berekening rekenvolumes'!H36</f>
        <v>87302.888888888891</v>
      </c>
      <c r="I164" s="134">
        <f>'Berekening rekenvolumes'!I36</f>
        <v>14864.26815717665</v>
      </c>
      <c r="J164" s="134">
        <f>'Berekening rekenvolumes'!J36</f>
        <v>1355587.1943745094</v>
      </c>
      <c r="K164" s="134">
        <f>'Berekening rekenvolumes'!K36</f>
        <v>1086166.1947839276</v>
      </c>
      <c r="L164" s="134">
        <f>'Berekening rekenvolumes'!L36</f>
        <v>0</v>
      </c>
      <c r="M164" s="134">
        <f>'Berekening rekenvolumes'!M36</f>
        <v>453573.45463878807</v>
      </c>
      <c r="N164" s="134">
        <f>'Berekening rekenvolumes'!N36</f>
        <v>31772.614179034095</v>
      </c>
    </row>
    <row r="165" spans="2:14">
      <c r="B165" t="s">
        <v>215</v>
      </c>
      <c r="D165" t="s">
        <v>164</v>
      </c>
      <c r="F165" s="82">
        <f>SUM(G165:N165)</f>
        <v>28668613.047782127</v>
      </c>
      <c r="G165" s="134">
        <f>'Berekening rekenvolumes'!G37</f>
        <v>0</v>
      </c>
      <c r="H165" s="134">
        <f>'Berekening rekenvolumes'!H37</f>
        <v>690124.52380952379</v>
      </c>
      <c r="I165" s="134">
        <f>'Berekening rekenvolumes'!I37</f>
        <v>166831.79892515155</v>
      </c>
      <c r="J165" s="134">
        <f>'Berekening rekenvolumes'!J37</f>
        <v>13434268.934637122</v>
      </c>
      <c r="K165" s="134">
        <f>'Berekening rekenvolumes'!K37</f>
        <v>9985956.5413381048</v>
      </c>
      <c r="L165" s="134">
        <f>'Berekening rekenvolumes'!L37</f>
        <v>0</v>
      </c>
      <c r="M165" s="134">
        <f>'Berekening rekenvolumes'!M37</f>
        <v>4098437.0925608738</v>
      </c>
      <c r="N165" s="134">
        <f>'Berekening rekenvolumes'!N37</f>
        <v>292994.15651135007</v>
      </c>
    </row>
    <row r="166" spans="2:14">
      <c r="F166" s="46"/>
    </row>
    <row r="167" spans="2:14">
      <c r="B167" s="3" t="s">
        <v>221</v>
      </c>
      <c r="F167" s="46"/>
    </row>
    <row r="168" spans="2:14">
      <c r="B168" t="s">
        <v>213</v>
      </c>
      <c r="D168" t="s">
        <v>164</v>
      </c>
      <c r="F168" s="82">
        <f>SUM(G168:N168)</f>
        <v>30.124744912274966</v>
      </c>
      <c r="G168" s="134">
        <f>'Berekening rekenvolumes'!G40</f>
        <v>0</v>
      </c>
      <c r="H168" s="134">
        <f>'Berekening rekenvolumes'!H40</f>
        <v>1</v>
      </c>
      <c r="I168" s="134">
        <f>'Berekening rekenvolumes'!I40</f>
        <v>0</v>
      </c>
      <c r="J168" s="134">
        <f>'Berekening rekenvolumes'!J40</f>
        <v>10.096436133613892</v>
      </c>
      <c r="K168" s="134">
        <f>'Berekening rekenvolumes'!K40</f>
        <v>15.391945252091025</v>
      </c>
      <c r="L168" s="134">
        <f>'Berekening rekenvolumes'!L40</f>
        <v>0</v>
      </c>
      <c r="M168" s="134">
        <f>'Berekening rekenvolumes'!M40</f>
        <v>3.6363635265700487</v>
      </c>
      <c r="N168" s="134">
        <f>'Berekening rekenvolumes'!N40</f>
        <v>0</v>
      </c>
    </row>
    <row r="169" spans="2:14">
      <c r="B169" t="s">
        <v>214</v>
      </c>
      <c r="D169" t="s">
        <v>164</v>
      </c>
      <c r="F169" s="82">
        <f>SUM(G169:N169)</f>
        <v>129537.20687426408</v>
      </c>
      <c r="G169" s="134">
        <f>'Berekening rekenvolumes'!G41</f>
        <v>0</v>
      </c>
      <c r="H169" s="134">
        <f>'Berekening rekenvolumes'!H41</f>
        <v>9116</v>
      </c>
      <c r="I169" s="134">
        <f>'Berekening rekenvolumes'!I41</f>
        <v>0</v>
      </c>
      <c r="J169" s="134">
        <f>'Berekening rekenvolumes'!J41</f>
        <v>63623.429487925016</v>
      </c>
      <c r="K169" s="134">
        <f>'Berekening rekenvolumes'!K41</f>
        <v>41462.746936917305</v>
      </c>
      <c r="L169" s="134">
        <f>'Berekening rekenvolumes'!L41</f>
        <v>0</v>
      </c>
      <c r="M169" s="134">
        <f>'Berekening rekenvolumes'!M41</f>
        <v>15335.030449421756</v>
      </c>
      <c r="N169" s="134">
        <f>'Berekening rekenvolumes'!N41</f>
        <v>0</v>
      </c>
    </row>
    <row r="170" spans="2:14">
      <c r="B170" t="s">
        <v>217</v>
      </c>
      <c r="D170" t="s">
        <v>164</v>
      </c>
      <c r="F170" s="82">
        <f>SUM(G170:N170)</f>
        <v>1988337.0941490501</v>
      </c>
      <c r="G170" s="134">
        <f>'Berekening rekenvolumes'!G42</f>
        <v>0</v>
      </c>
      <c r="H170" s="134">
        <f>'Berekening rekenvolumes'!H42</f>
        <v>166372.38095238095</v>
      </c>
      <c r="I170" s="134">
        <f>'Berekening rekenvolumes'!I42</f>
        <v>0</v>
      </c>
      <c r="J170" s="134">
        <f>'Berekening rekenvolumes'!J42</f>
        <v>1005191.4048389882</v>
      </c>
      <c r="K170" s="134">
        <f>'Berekening rekenvolumes'!K42</f>
        <v>626175.4901758628</v>
      </c>
      <c r="L170" s="134">
        <f>'Berekening rekenvolumes'!L42</f>
        <v>0</v>
      </c>
      <c r="M170" s="134">
        <f>'Berekening rekenvolumes'!M42</f>
        <v>190597.81818181821</v>
      </c>
      <c r="N170" s="134">
        <f>'Berekening rekenvolumes'!N42</f>
        <v>0</v>
      </c>
    </row>
    <row r="171" spans="2:14">
      <c r="F171" s="46"/>
    </row>
    <row r="172" spans="2:14">
      <c r="F172" s="46"/>
    </row>
    <row r="173" spans="2:14">
      <c r="F173" s="46"/>
    </row>
    <row r="174" spans="2:14">
      <c r="F174" s="46"/>
    </row>
    <row r="175" spans="2:14">
      <c r="F175" s="46"/>
    </row>
    <row r="176" spans="2:14">
      <c r="B176" s="3" t="s">
        <v>50</v>
      </c>
      <c r="F176" s="46"/>
    </row>
    <row r="177" spans="2:14">
      <c r="F177" s="46"/>
    </row>
    <row r="178" spans="2:14">
      <c r="F178" s="46"/>
    </row>
    <row r="179" spans="2:14">
      <c r="B179" s="3" t="s">
        <v>222</v>
      </c>
      <c r="F179" s="46"/>
    </row>
    <row r="180" spans="2:14">
      <c r="B180" t="s">
        <v>213</v>
      </c>
      <c r="D180" t="s">
        <v>164</v>
      </c>
      <c r="F180" s="82">
        <f>SUM(G180:N180)</f>
        <v>268.58188690336686</v>
      </c>
      <c r="G180" s="134">
        <f>'Berekening rekenvolumes'!G52</f>
        <v>0</v>
      </c>
      <c r="H180" s="134">
        <f>'Berekening rekenvolumes'!H52</f>
        <v>0</v>
      </c>
      <c r="I180" s="134">
        <f>'Berekening rekenvolumes'!I52</f>
        <v>4</v>
      </c>
      <c r="J180" s="134">
        <f>'Berekening rekenvolumes'!J52</f>
        <v>262.66522023670018</v>
      </c>
      <c r="K180" s="134">
        <f>'Berekening rekenvolumes'!K52</f>
        <v>0</v>
      </c>
      <c r="L180" s="134">
        <f>'Berekening rekenvolumes'!L52</f>
        <v>1.9166666666666667</v>
      </c>
      <c r="M180" s="134">
        <f>'Berekening rekenvolumes'!M52</f>
        <v>0</v>
      </c>
      <c r="N180" s="134">
        <f>'Berekening rekenvolumes'!N52</f>
        <v>0</v>
      </c>
    </row>
    <row r="181" spans="2:14">
      <c r="B181" t="s">
        <v>223</v>
      </c>
      <c r="D181" t="s">
        <v>164</v>
      </c>
      <c r="F181" s="82">
        <f>SUM(G181:N181)</f>
        <v>772761.00368837151</v>
      </c>
      <c r="G181" s="134">
        <f>'Berekening rekenvolumes'!G53</f>
        <v>0</v>
      </c>
      <c r="H181" s="134">
        <f>'Berekening rekenvolumes'!H53</f>
        <v>0</v>
      </c>
      <c r="I181" s="134">
        <f>'Berekening rekenvolumes'!I53</f>
        <v>23095.342988819899</v>
      </c>
      <c r="J181" s="134">
        <f>'Berekening rekenvolumes'!J53</f>
        <v>738066.99403288495</v>
      </c>
      <c r="K181" s="134">
        <f>'Berekening rekenvolumes'!K53</f>
        <v>0</v>
      </c>
      <c r="L181" s="134">
        <f>'Berekening rekenvolumes'!L53</f>
        <v>11598.666666666666</v>
      </c>
      <c r="M181" s="134">
        <f>'Berekening rekenvolumes'!M53</f>
        <v>0</v>
      </c>
      <c r="N181" s="134">
        <f>'Berekening rekenvolumes'!N53</f>
        <v>0</v>
      </c>
    </row>
    <row r="182" spans="2:14">
      <c r="B182" t="s">
        <v>215</v>
      </c>
      <c r="D182" t="s">
        <v>164</v>
      </c>
      <c r="F182" s="82">
        <f>SUM(G182:N182)</f>
        <v>7451785.2381564947</v>
      </c>
      <c r="G182" s="134">
        <f>'Berekening rekenvolumes'!G54</f>
        <v>0</v>
      </c>
      <c r="H182" s="134">
        <f>'Berekening rekenvolumes'!H54</f>
        <v>0</v>
      </c>
      <c r="I182" s="134">
        <f>'Berekening rekenvolumes'!I54</f>
        <v>247535.59175073914</v>
      </c>
      <c r="J182" s="134">
        <f>'Berekening rekenvolumes'!J54</f>
        <v>7095795.9797390886</v>
      </c>
      <c r="K182" s="134">
        <f>'Berekening rekenvolumes'!K54</f>
        <v>0</v>
      </c>
      <c r="L182" s="134">
        <f>'Berekening rekenvolumes'!L54</f>
        <v>108453.66666666667</v>
      </c>
      <c r="M182" s="134">
        <f>'Berekening rekenvolumes'!M54</f>
        <v>0</v>
      </c>
      <c r="N182" s="134">
        <f>'Berekening rekenvolumes'!N54</f>
        <v>0</v>
      </c>
    </row>
    <row r="183" spans="2:14">
      <c r="B183" t="s">
        <v>224</v>
      </c>
      <c r="D183" t="s">
        <v>164</v>
      </c>
      <c r="F183" s="82">
        <f>SUM(G183:N183)</f>
        <v>2976939831.5859709</v>
      </c>
      <c r="G183" s="134">
        <f>'Berekening rekenvolumes'!G55</f>
        <v>0</v>
      </c>
      <c r="H183" s="134">
        <f>'Berekening rekenvolumes'!H55</f>
        <v>0</v>
      </c>
      <c r="I183" s="134">
        <f>'Berekening rekenvolumes'!I55</f>
        <v>90817212.524660364</v>
      </c>
      <c r="J183" s="134">
        <f>'Berekening rekenvolumes'!J55</f>
        <v>2863757785.3946438</v>
      </c>
      <c r="K183" s="134">
        <f>'Berekening rekenvolumes'!K55</f>
        <v>0</v>
      </c>
      <c r="L183" s="134">
        <f>'Berekening rekenvolumes'!L55</f>
        <v>22364833.666666668</v>
      </c>
      <c r="M183" s="134">
        <f>'Berekening rekenvolumes'!M55</f>
        <v>0</v>
      </c>
      <c r="N183" s="134">
        <f>'Berekening rekenvolumes'!N55</f>
        <v>0</v>
      </c>
    </row>
    <row r="184" spans="2:14">
      <c r="F184" s="46"/>
    </row>
    <row r="185" spans="2:14">
      <c r="B185" s="3" t="s">
        <v>225</v>
      </c>
      <c r="F185" s="46"/>
    </row>
    <row r="186" spans="2:14">
      <c r="B186" t="s">
        <v>213</v>
      </c>
      <c r="D186" t="s">
        <v>164</v>
      </c>
      <c r="F186" s="82">
        <f>SUM(G186:N186)</f>
        <v>23726.728475280099</v>
      </c>
      <c r="G186" s="134">
        <f>'Berekening rekenvolumes'!G58</f>
        <v>29.461538461538463</v>
      </c>
      <c r="H186" s="134">
        <f>'Berekening rekenvolumes'!H58</f>
        <v>428.61111111111109</v>
      </c>
      <c r="I186" s="134">
        <f>'Berekening rekenvolumes'!I58</f>
        <v>571</v>
      </c>
      <c r="J186" s="134">
        <f>'Berekening rekenvolumes'!J58</f>
        <v>9688.2809347966813</v>
      </c>
      <c r="K186" s="134">
        <f>'Berekening rekenvolumes'!K58</f>
        <v>9236.5035049422386</v>
      </c>
      <c r="L186" s="134">
        <f>'Berekening rekenvolumes'!L58</f>
        <v>16.056666666666668</v>
      </c>
      <c r="M186" s="134">
        <f>'Berekening rekenvolumes'!M58</f>
        <v>3208.5874857417716</v>
      </c>
      <c r="N186" s="134">
        <f>'Berekening rekenvolumes'!N58</f>
        <v>548.22723356009067</v>
      </c>
    </row>
    <row r="187" spans="2:14">
      <c r="B187" t="s">
        <v>223</v>
      </c>
      <c r="D187" t="s">
        <v>164</v>
      </c>
      <c r="F187" s="82">
        <f>SUM(G187:N187)</f>
        <v>8590339.9680287428</v>
      </c>
      <c r="G187" s="134">
        <f>'Berekening rekenvolumes'!G59</f>
        <v>34721.25</v>
      </c>
      <c r="H187" s="134">
        <f>'Berekening rekenvolumes'!H59</f>
        <v>189767.63888888891</v>
      </c>
      <c r="I187" s="134">
        <f>'Berekening rekenvolumes'!I59</f>
        <v>145204.52111372154</v>
      </c>
      <c r="J187" s="134">
        <f>'Berekening rekenvolumes'!J59</f>
        <v>2966855.5120938788</v>
      </c>
      <c r="K187" s="134">
        <f>'Berekening rekenvolumes'!K59</f>
        <v>3170992.7259910661</v>
      </c>
      <c r="L187" s="134">
        <f>'Berekening rekenvolumes'!L59</f>
        <v>17691.666666666668</v>
      </c>
      <c r="M187" s="134">
        <f>'Berekening rekenvolumes'!M59</f>
        <v>1840447.7877570887</v>
      </c>
      <c r="N187" s="134">
        <f>'Berekening rekenvolumes'!N59</f>
        <v>224658.86551743236</v>
      </c>
    </row>
    <row r="188" spans="2:14">
      <c r="B188" t="s">
        <v>215</v>
      </c>
      <c r="D188" t="s">
        <v>164</v>
      </c>
      <c r="F188" s="82">
        <f>SUM(G188:N188)</f>
        <v>71996779.742324501</v>
      </c>
      <c r="G188" s="134">
        <f>'Berekening rekenvolumes'!G60</f>
        <v>320935.33333333331</v>
      </c>
      <c r="H188" s="134">
        <f>'Berekening rekenvolumes'!H60</f>
        <v>1567660.111111111</v>
      </c>
      <c r="I188" s="134">
        <f>'Berekening rekenvolumes'!I60</f>
        <v>1148239.9146794514</v>
      </c>
      <c r="J188" s="134">
        <f>'Berekening rekenvolumes'!J60</f>
        <v>26106939.69247644</v>
      </c>
      <c r="K188" s="134">
        <f>'Berekening rekenvolumes'!K60</f>
        <v>26834434.225580771</v>
      </c>
      <c r="L188" s="134">
        <f>'Berekening rekenvolumes'!L60</f>
        <v>180289.92333333334</v>
      </c>
      <c r="M188" s="134">
        <f>'Berekening rekenvolumes'!M60</f>
        <v>14051126.66406285</v>
      </c>
      <c r="N188" s="134">
        <f>'Berekening rekenvolumes'!N60</f>
        <v>1787153.8777472128</v>
      </c>
    </row>
    <row r="189" spans="2:14">
      <c r="B189" t="s">
        <v>224</v>
      </c>
      <c r="D189" t="s">
        <v>164</v>
      </c>
      <c r="F189" s="82">
        <f>SUM(G189:N189)</f>
        <v>22995158370.942596</v>
      </c>
      <c r="G189" s="134">
        <f>'Berekening rekenvolumes'!G61</f>
        <v>110373377.66666667</v>
      </c>
      <c r="H189" s="134">
        <f>'Berekening rekenvolumes'!H61</f>
        <v>478601104.70968658</v>
      </c>
      <c r="I189" s="134">
        <f>'Berekening rekenvolumes'!I61</f>
        <v>388427939.12372059</v>
      </c>
      <c r="J189" s="134">
        <f>'Berekening rekenvolumes'!J61</f>
        <v>8034768554.2295141</v>
      </c>
      <c r="K189" s="134">
        <f>'Berekening rekenvolumes'!K61</f>
        <v>8777478028.1547451</v>
      </c>
      <c r="L189" s="134">
        <f>'Berekening rekenvolumes'!L61</f>
        <v>62714232.333333336</v>
      </c>
      <c r="M189" s="134">
        <f>'Berekening rekenvolumes'!M61</f>
        <v>4688119243.8037682</v>
      </c>
      <c r="N189" s="134">
        <f>'Berekening rekenvolumes'!N61</f>
        <v>454675890.92116576</v>
      </c>
    </row>
    <row r="190" spans="2:14">
      <c r="F190" s="46"/>
    </row>
    <row r="191" spans="2:14">
      <c r="B191" s="3" t="s">
        <v>226</v>
      </c>
      <c r="F191" s="46"/>
    </row>
    <row r="192" spans="2:14">
      <c r="B192" t="s">
        <v>213</v>
      </c>
      <c r="D192" t="s">
        <v>164</v>
      </c>
      <c r="F192" s="82">
        <f>SUM(G192:N192)</f>
        <v>41537.154477431934</v>
      </c>
      <c r="G192" s="134">
        <f>'Berekening rekenvolumes'!G64</f>
        <v>217.69230769230771</v>
      </c>
      <c r="H192" s="134">
        <f>'Berekening rekenvolumes'!H64</f>
        <v>1532.75</v>
      </c>
      <c r="I192" s="134">
        <f>'Berekening rekenvolumes'!I64</f>
        <v>692</v>
      </c>
      <c r="J192" s="134">
        <f>'Berekening rekenvolumes'!J64</f>
        <v>14613.038714865668</v>
      </c>
      <c r="K192" s="134">
        <f>'Berekening rekenvolumes'!K64</f>
        <v>13919.157078181866</v>
      </c>
      <c r="L192" s="134">
        <f>'Berekening rekenvolumes'!L64</f>
        <v>132.4</v>
      </c>
      <c r="M192" s="134">
        <f>'Berekening rekenvolumes'!M64</f>
        <v>9426.4848423005551</v>
      </c>
      <c r="N192" s="134">
        <f>'Berekening rekenvolumes'!N64</f>
        <v>1003.6315343915343</v>
      </c>
    </row>
    <row r="193" spans="2:14">
      <c r="B193" t="s">
        <v>223</v>
      </c>
      <c r="D193" t="s">
        <v>164</v>
      </c>
      <c r="F193" s="82">
        <f>SUM(G193:N193)</f>
        <v>3882406.3041436691</v>
      </c>
      <c r="G193" s="134">
        <f>'Berekening rekenvolumes'!G65</f>
        <v>42159.027777777781</v>
      </c>
      <c r="H193" s="134">
        <f>'Berekening rekenvolumes'!H65</f>
        <v>145507</v>
      </c>
      <c r="I193" s="134">
        <f>'Berekening rekenvolumes'!I65</f>
        <v>43148.053908278096</v>
      </c>
      <c r="J193" s="134">
        <f>'Berekening rekenvolumes'!J65</f>
        <v>1060364.4309226701</v>
      </c>
      <c r="K193" s="134">
        <f>'Berekening rekenvolumes'!K65</f>
        <v>1221001.8635716394</v>
      </c>
      <c r="L193" s="134">
        <f>'Berekening rekenvolumes'!L65</f>
        <v>23168.366666666669</v>
      </c>
      <c r="M193" s="134">
        <f>'Berekening rekenvolumes'!M65</f>
        <v>1149539.3636457163</v>
      </c>
      <c r="N193" s="134">
        <f>'Berekening rekenvolumes'!N65</f>
        <v>197518.19765092045</v>
      </c>
    </row>
    <row r="194" spans="2:14">
      <c r="B194" t="s">
        <v>215</v>
      </c>
      <c r="D194" t="s">
        <v>164</v>
      </c>
      <c r="F194" s="82">
        <f>SUM(G194:N194)</f>
        <v>29017578.28290822</v>
      </c>
      <c r="G194" s="134">
        <f>'Berekening rekenvolumes'!G66</f>
        <v>372992</v>
      </c>
      <c r="H194" s="134">
        <f>'Berekening rekenvolumes'!H66</f>
        <v>1113537.42</v>
      </c>
      <c r="I194" s="134">
        <f>'Berekening rekenvolumes'!I66</f>
        <v>282330.99912649975</v>
      </c>
      <c r="J194" s="134">
        <f>'Berekening rekenvolumes'!J66</f>
        <v>8301833.4831808507</v>
      </c>
      <c r="K194" s="134">
        <f>'Berekening rekenvolumes'!K66</f>
        <v>9254668.3084617928</v>
      </c>
      <c r="L194" s="134">
        <f>'Berekening rekenvolumes'!L66</f>
        <v>213062.02333333335</v>
      </c>
      <c r="M194" s="134">
        <f>'Berekening rekenvolumes'!M66</f>
        <v>7954017.0934006721</v>
      </c>
      <c r="N194" s="134">
        <f>'Berekening rekenvolumes'!N66</f>
        <v>1525136.9554050723</v>
      </c>
    </row>
    <row r="195" spans="2:14">
      <c r="B195" t="s">
        <v>224</v>
      </c>
      <c r="D195" t="s">
        <v>164</v>
      </c>
      <c r="F195" s="82">
        <f>SUM(G195:N195)</f>
        <v>7929719972.9250908</v>
      </c>
      <c r="G195" s="134">
        <f>'Berekening rekenvolumes'!G67</f>
        <v>103948925</v>
      </c>
      <c r="H195" s="134">
        <f>'Berekening rekenvolumes'!H67</f>
        <v>285067629.17407411</v>
      </c>
      <c r="I195" s="134">
        <f>'Berekening rekenvolumes'!I67</f>
        <v>71762585.471251354</v>
      </c>
      <c r="J195" s="134">
        <f>'Berekening rekenvolumes'!J67</f>
        <v>2173614445.7117639</v>
      </c>
      <c r="K195" s="134">
        <f>'Berekening rekenvolumes'!K67</f>
        <v>2560211290.5485816</v>
      </c>
      <c r="L195" s="134">
        <f>'Berekening rekenvolumes'!L67</f>
        <v>56807758.666666664</v>
      </c>
      <c r="M195" s="134">
        <f>'Berekening rekenvolumes'!M67</f>
        <v>2263013768.8886456</v>
      </c>
      <c r="N195" s="134">
        <f>'Berekening rekenvolumes'!N67</f>
        <v>415293569.46410704</v>
      </c>
    </row>
    <row r="196" spans="2:14">
      <c r="F196" s="46"/>
    </row>
    <row r="197" spans="2:14">
      <c r="F197" s="46"/>
    </row>
    <row r="198" spans="2:14">
      <c r="F198" s="46"/>
    </row>
    <row r="199" spans="2:14">
      <c r="F199" s="46"/>
    </row>
    <row r="200" spans="2:14">
      <c r="F200" s="46"/>
    </row>
    <row r="201" spans="2:14">
      <c r="B201" s="3" t="s">
        <v>51</v>
      </c>
      <c r="F201" s="46"/>
    </row>
    <row r="202" spans="2:14">
      <c r="F202" s="46"/>
    </row>
    <row r="203" spans="2:14">
      <c r="F203" s="46"/>
    </row>
    <row r="204" spans="2:14">
      <c r="B204" s="3" t="s">
        <v>227</v>
      </c>
      <c r="F204" s="46"/>
    </row>
    <row r="205" spans="2:14">
      <c r="B205" t="s">
        <v>213</v>
      </c>
      <c r="D205" t="s">
        <v>164</v>
      </c>
      <c r="F205" s="82">
        <f>SUM(G205:N205)</f>
        <v>17591.05483437076</v>
      </c>
      <c r="G205" s="134">
        <f>'Berekening rekenvolumes'!G77</f>
        <v>309</v>
      </c>
      <c r="H205" s="134">
        <f>'Berekening rekenvolumes'!H77</f>
        <v>358.0555555555556</v>
      </c>
      <c r="I205" s="134">
        <f>'Berekening rekenvolumes'!I77</f>
        <v>0</v>
      </c>
      <c r="J205" s="134">
        <f>'Berekening rekenvolumes'!J77</f>
        <v>3402.5176536497424</v>
      </c>
      <c r="K205" s="134">
        <f>'Berekening rekenvolumes'!K77</f>
        <v>6065.2114399802767</v>
      </c>
      <c r="L205" s="134">
        <f>'Berekening rekenvolumes'!L77</f>
        <v>134.41666666666666</v>
      </c>
      <c r="M205" s="134">
        <f>'Berekening rekenvolumes'!M77</f>
        <v>7106.6061111111112</v>
      </c>
      <c r="N205" s="134">
        <f>'Berekening rekenvolumes'!N77</f>
        <v>215.24740740740739</v>
      </c>
    </row>
    <row r="206" spans="2:14">
      <c r="B206" t="s">
        <v>223</v>
      </c>
      <c r="D206" t="s">
        <v>164</v>
      </c>
      <c r="F206" s="82">
        <f>SUM(G206:N206)</f>
        <v>952385.10752306238</v>
      </c>
      <c r="G206" s="134">
        <f>'Berekening rekenvolumes'!G78</f>
        <v>24223.388888888887</v>
      </c>
      <c r="H206" s="134">
        <f>'Berekening rekenvolumes'!H78</f>
        <v>17651.444444444445</v>
      </c>
      <c r="I206" s="134">
        <f>'Berekening rekenvolumes'!I78</f>
        <v>0</v>
      </c>
      <c r="J206" s="134">
        <f>'Berekening rekenvolumes'!J78</f>
        <v>112737.48600977665</v>
      </c>
      <c r="K206" s="134">
        <f>'Berekening rekenvolumes'!K78</f>
        <v>219824.81518819407</v>
      </c>
      <c r="L206" s="134">
        <f>'Berekening rekenvolumes'!L78</f>
        <v>8441.4666666666672</v>
      </c>
      <c r="M206" s="134">
        <f>'Berekening rekenvolumes'!M78</f>
        <v>563227.2115571365</v>
      </c>
      <c r="N206" s="134">
        <f>'Berekening rekenvolumes'!N78</f>
        <v>6279.2947679552135</v>
      </c>
    </row>
    <row r="207" spans="2:14">
      <c r="B207" t="s">
        <v>228</v>
      </c>
      <c r="D207" t="s">
        <v>164</v>
      </c>
      <c r="F207" s="82">
        <f>SUM(G207:N207)</f>
        <v>605069617.5474894</v>
      </c>
      <c r="G207" s="134">
        <f>'Berekening rekenvolumes'!G79</f>
        <v>14508512</v>
      </c>
      <c r="H207" s="134">
        <f>'Berekening rekenvolumes'!H79</f>
        <v>7717334.4515989637</v>
      </c>
      <c r="I207" s="134">
        <f>'Berekening rekenvolumes'!I79</f>
        <v>0</v>
      </c>
      <c r="J207" s="134">
        <f>'Berekening rekenvolumes'!J79</f>
        <v>68348144.513242409</v>
      </c>
      <c r="K207" s="134">
        <f>'Berekening rekenvolumes'!K79</f>
        <v>157458312.75707</v>
      </c>
      <c r="L207" s="134">
        <f>'Berekening rekenvolumes'!L79</f>
        <v>6385917.666666667</v>
      </c>
      <c r="M207" s="134">
        <f>'Berekening rekenvolumes'!M79</f>
        <v>345177266.59740257</v>
      </c>
      <c r="N207" s="134">
        <f>'Berekening rekenvolumes'!N79</f>
        <v>5474129.5615087533</v>
      </c>
    </row>
    <row r="208" spans="2:14">
      <c r="B208" t="s">
        <v>224</v>
      </c>
      <c r="D208" t="s">
        <v>164</v>
      </c>
      <c r="F208" s="82">
        <f>SUM(G208:N208)</f>
        <v>955967491.68132675</v>
      </c>
      <c r="G208" s="134">
        <f>'Berekening rekenvolumes'!G80</f>
        <v>28424163</v>
      </c>
      <c r="H208" s="134">
        <f>'Berekening rekenvolumes'!H80</f>
        <v>10105588.11879169</v>
      </c>
      <c r="I208" s="134">
        <f>'Berekening rekenvolumes'!I80</f>
        <v>0</v>
      </c>
      <c r="J208" s="134">
        <f>'Berekening rekenvolumes'!J80</f>
        <v>106904342.78655021</v>
      </c>
      <c r="K208" s="134">
        <f>'Berekening rekenvolumes'!K80</f>
        <v>238544084.38004461</v>
      </c>
      <c r="L208" s="134">
        <f>'Berekening rekenvolumes'!L80</f>
        <v>12163289.333333334</v>
      </c>
      <c r="M208" s="134">
        <f>'Berekening rekenvolumes'!M80</f>
        <v>553023218.51226556</v>
      </c>
      <c r="N208" s="134">
        <f>'Berekening rekenvolumes'!N80</f>
        <v>6802805.5503414124</v>
      </c>
    </row>
    <row r="209" spans="2:14">
      <c r="F209" s="46"/>
    </row>
    <row r="210" spans="2:14">
      <c r="B210" s="3" t="s">
        <v>229</v>
      </c>
      <c r="F210" s="46"/>
    </row>
    <row r="211" spans="2:14">
      <c r="B211" t="s">
        <v>230</v>
      </c>
      <c r="D211" t="s">
        <v>164</v>
      </c>
      <c r="F211" s="82">
        <f>SUM(G211:N211)</f>
        <v>2637857.5649597058</v>
      </c>
      <c r="G211" s="134">
        <f>'Berekening rekenvolumes'!G83</f>
        <v>23252.333333333332</v>
      </c>
      <c r="H211" s="134">
        <f>'Berekening rekenvolumes'!H83</f>
        <v>86556.777777777796</v>
      </c>
      <c r="I211" s="134">
        <f>'Berekening rekenvolumes'!I83</f>
        <v>44664.666666666664</v>
      </c>
      <c r="J211" s="134">
        <f>'Berekening rekenvolumes'!J83</f>
        <v>1096825.0528899145</v>
      </c>
      <c r="K211" s="134">
        <f>'Berekening rekenvolumes'!K83</f>
        <v>757955.40346656984</v>
      </c>
      <c r="L211" s="134">
        <f>'Berekening rekenvolumes'!L83</f>
        <v>18684.833333333332</v>
      </c>
      <c r="M211" s="134">
        <f>'Berekening rekenvolumes'!M83</f>
        <v>585422.93225913309</v>
      </c>
      <c r="N211" s="134">
        <f>'Berekening rekenvolumes'!N83</f>
        <v>24495.565232977297</v>
      </c>
    </row>
    <row r="212" spans="2:14">
      <c r="B212" t="s">
        <v>231</v>
      </c>
      <c r="D212" t="s">
        <v>164</v>
      </c>
      <c r="F212" s="82">
        <f>SUM(G212:N212)</f>
        <v>7860325.7089242917</v>
      </c>
      <c r="G212" s="134">
        <f>'Berekening rekenvolumes'!G84</f>
        <v>52116.948717948719</v>
      </c>
      <c r="H212" s="134">
        <f>'Berekening rekenvolumes'!H84</f>
        <v>204916.55555555559</v>
      </c>
      <c r="I212" s="134">
        <f>'Berekening rekenvolumes'!I84</f>
        <v>104509.33333333333</v>
      </c>
      <c r="J212" s="134">
        <f>'Berekening rekenvolumes'!J84</f>
        <v>2564129.5448696087</v>
      </c>
      <c r="K212" s="134">
        <f>'Berekening rekenvolumes'!K84</f>
        <v>2880705.8158347351</v>
      </c>
      <c r="L212" s="134">
        <f>'Berekening rekenvolumes'!L84</f>
        <v>31353.400000000005</v>
      </c>
      <c r="M212" s="134">
        <f>'Berekening rekenvolumes'!M84</f>
        <v>1969170.910629293</v>
      </c>
      <c r="N212" s="134">
        <f>'Berekening rekenvolumes'!N84</f>
        <v>53423.199983816383</v>
      </c>
    </row>
    <row r="213" spans="2:14">
      <c r="F213" s="46"/>
    </row>
    <row r="214" spans="2:14">
      <c r="B214" s="3" t="s">
        <v>232</v>
      </c>
      <c r="F214" s="46"/>
    </row>
    <row r="215" spans="2:14">
      <c r="B215" t="s">
        <v>233</v>
      </c>
      <c r="D215" t="s">
        <v>164</v>
      </c>
      <c r="F215" s="82">
        <f t="shared" ref="F215:F220" si="0">SUM(G215:N215)</f>
        <v>46662.019524741649</v>
      </c>
      <c r="G215" s="134">
        <f>'Berekening rekenvolumes'!G87</f>
        <v>260.35897435897436</v>
      </c>
      <c r="H215" s="134">
        <f>'Berekening rekenvolumes'!H87</f>
        <v>1151.1944444444443</v>
      </c>
      <c r="I215" s="134">
        <f>'Berekening rekenvolumes'!I87</f>
        <v>143.33333333333334</v>
      </c>
      <c r="J215" s="134">
        <f>'Berekening rekenvolumes'!J87</f>
        <v>18106.634091573782</v>
      </c>
      <c r="K215" s="134">
        <f>'Berekening rekenvolumes'!K87</f>
        <v>17754.665302920581</v>
      </c>
      <c r="L215" s="134">
        <f>'Berekening rekenvolumes'!L87</f>
        <v>175.66666666666666</v>
      </c>
      <c r="M215" s="134">
        <f>'Berekening rekenvolumes'!M87</f>
        <v>8467.342719431761</v>
      </c>
      <c r="N215" s="134">
        <f>'Berekening rekenvolumes'!N87</f>
        <v>602.82399201211501</v>
      </c>
    </row>
    <row r="216" spans="2:14">
      <c r="B216" t="s">
        <v>234</v>
      </c>
      <c r="D216" t="s">
        <v>164</v>
      </c>
      <c r="F216" s="82">
        <f t="shared" si="0"/>
        <v>61697.290375691606</v>
      </c>
      <c r="G216" s="134">
        <f>'Berekening rekenvolumes'!G88</f>
        <v>265.58974358974359</v>
      </c>
      <c r="H216" s="134">
        <f>'Berekening rekenvolumes'!H88</f>
        <v>1242.0277777777781</v>
      </c>
      <c r="I216" s="134">
        <f>'Berekening rekenvolumes'!I88</f>
        <v>1264</v>
      </c>
      <c r="J216" s="134">
        <f>'Berekening rekenvolumes'!J88</f>
        <v>22525.967686870019</v>
      </c>
      <c r="K216" s="134">
        <f>'Berekening rekenvolumes'!K88</f>
        <v>20691.588056278411</v>
      </c>
      <c r="L216" s="134">
        <f>'Berekening rekenvolumes'!L88</f>
        <v>224.73333333333335</v>
      </c>
      <c r="M216" s="134">
        <f>'Berekening rekenvolumes'!M88</f>
        <v>14853.388889836939</v>
      </c>
      <c r="N216" s="134">
        <f>'Berekening rekenvolumes'!N88</f>
        <v>629.99488800538222</v>
      </c>
    </row>
    <row r="217" spans="2:14">
      <c r="B217" t="s">
        <v>235</v>
      </c>
      <c r="D217" t="s">
        <v>164</v>
      </c>
      <c r="F217" s="82">
        <f t="shared" si="0"/>
        <v>64908.005663142496</v>
      </c>
      <c r="G217" s="134">
        <f>'Berekening rekenvolumes'!G89</f>
        <v>292.02564102564105</v>
      </c>
      <c r="H217" s="134">
        <f>'Berekening rekenvolumes'!H89</f>
        <v>1803.3055555555557</v>
      </c>
      <c r="I217" s="134">
        <f>'Berekening rekenvolumes'!I89</f>
        <v>721</v>
      </c>
      <c r="J217" s="134">
        <f>'Berekening rekenvolumes'!J89</f>
        <v>24154.977839928975</v>
      </c>
      <c r="K217" s="134">
        <f>'Berekening rekenvolumes'!K89</f>
        <v>23719.774736970852</v>
      </c>
      <c r="L217" s="134">
        <f>'Berekening rekenvolumes'!L89</f>
        <v>288.86666666666662</v>
      </c>
      <c r="M217" s="134">
        <f>'Berekening rekenvolumes'!M89</f>
        <v>13148.472222222221</v>
      </c>
      <c r="N217" s="134">
        <f>'Berekening rekenvolumes'!N89</f>
        <v>779.58300077259071</v>
      </c>
    </row>
    <row r="218" spans="2:14">
      <c r="B218" t="s">
        <v>236</v>
      </c>
      <c r="D218" t="s">
        <v>164</v>
      </c>
      <c r="F218" s="82">
        <f t="shared" si="0"/>
        <v>161015.10721294835</v>
      </c>
      <c r="G218" s="134">
        <f>'Berekening rekenvolumes'!G90</f>
        <v>865.25641025641016</v>
      </c>
      <c r="H218" s="134">
        <f>'Berekening rekenvolumes'!H90</f>
        <v>3667.6388888888891</v>
      </c>
      <c r="I218" s="134">
        <f>'Berekening rekenvolumes'!I90</f>
        <v>1334.3333333333333</v>
      </c>
      <c r="J218" s="134">
        <f>'Berekening rekenvolumes'!J90</f>
        <v>60759.802105860173</v>
      </c>
      <c r="K218" s="134">
        <f>'Berekening rekenvolumes'!K90</f>
        <v>52700.413454374502</v>
      </c>
      <c r="L218" s="134">
        <f>'Berekening rekenvolumes'!L90</f>
        <v>531.19999999999993</v>
      </c>
      <c r="M218" s="134">
        <f>'Berekening rekenvolumes'!M90</f>
        <v>39763.502477850183</v>
      </c>
      <c r="N218" s="134">
        <f>'Berekening rekenvolumes'!N90</f>
        <v>1392.9605423848632</v>
      </c>
    </row>
    <row r="219" spans="2:14">
      <c r="B219" t="s">
        <v>237</v>
      </c>
      <c r="D219" t="s">
        <v>164</v>
      </c>
      <c r="F219" s="82">
        <f t="shared" si="0"/>
        <v>7527279.3081591865</v>
      </c>
      <c r="G219" s="134">
        <f>'Berekening rekenvolumes'!G91</f>
        <v>50433.717948717946</v>
      </c>
      <c r="H219" s="134">
        <f>'Berekening rekenvolumes'!H91</f>
        <v>197052.38888888891</v>
      </c>
      <c r="I219" s="134">
        <f>'Berekening rekenvolumes'!I91</f>
        <v>101046.66666666667</v>
      </c>
      <c r="J219" s="134">
        <f>'Berekening rekenvolumes'!J91</f>
        <v>2438250.2628558222</v>
      </c>
      <c r="K219" s="134">
        <f>'Berekening rekenvolumes'!K91</f>
        <v>2765387.0046706246</v>
      </c>
      <c r="L219" s="134">
        <f>'Berekening rekenvolumes'!L91</f>
        <v>30132.933333333331</v>
      </c>
      <c r="M219" s="134">
        <f>'Berekening rekenvolumes'!M91</f>
        <v>1894958.4962344917</v>
      </c>
      <c r="N219" s="134">
        <f>'Berekening rekenvolumes'!N91</f>
        <v>50017.837560641434</v>
      </c>
    </row>
    <row r="220" spans="2:14">
      <c r="B220" t="s">
        <v>238</v>
      </c>
      <c r="D220" t="s">
        <v>164</v>
      </c>
      <c r="F220" s="82">
        <f t="shared" si="0"/>
        <v>2637854.0154259913</v>
      </c>
      <c r="G220" s="134">
        <f>'Berekening rekenvolumes'!G92</f>
        <v>23252.333333333332</v>
      </c>
      <c r="H220" s="134">
        <f>'Berekening rekenvolumes'!H92</f>
        <v>86556.777777777796</v>
      </c>
      <c r="I220" s="134">
        <f>'Berekening rekenvolumes'!I92</f>
        <v>44664.666666666664</v>
      </c>
      <c r="J220" s="134">
        <f>'Berekening rekenvolumes'!J92</f>
        <v>1096825.0528899147</v>
      </c>
      <c r="K220" s="134">
        <f>'Berekening rekenvolumes'!K92</f>
        <v>757951.85393285507</v>
      </c>
      <c r="L220" s="134">
        <f>'Berekening rekenvolumes'!L92</f>
        <v>18684.833333333332</v>
      </c>
      <c r="M220" s="134">
        <f>'Berekening rekenvolumes'!M92</f>
        <v>585422.93225913309</v>
      </c>
      <c r="N220" s="134">
        <f>'Berekening rekenvolumes'!N92</f>
        <v>24495.565232977297</v>
      </c>
    </row>
    <row r="221" spans="2:14">
      <c r="F221" s="46"/>
    </row>
    <row r="222" spans="2:14">
      <c r="B222" t="s">
        <v>52</v>
      </c>
      <c r="F222" s="46"/>
    </row>
    <row r="223" spans="2:14">
      <c r="F223" s="46"/>
    </row>
    <row r="224" spans="2:14">
      <c r="F224" s="46"/>
    </row>
    <row r="225" spans="2:16">
      <c r="F225" s="46"/>
    </row>
    <row r="226" spans="2:16">
      <c r="F226" s="46"/>
    </row>
    <row r="227" spans="2:16">
      <c r="F227" s="46"/>
    </row>
    <row r="228" spans="2:16">
      <c r="B228" s="3" t="s">
        <v>53</v>
      </c>
      <c r="F228" s="46"/>
    </row>
    <row r="229" spans="2:16">
      <c r="F229" s="46"/>
    </row>
    <row r="230" spans="2:16">
      <c r="F230" s="46"/>
    </row>
    <row r="231" spans="2:16">
      <c r="B231" t="s">
        <v>239</v>
      </c>
      <c r="D231" t="s">
        <v>164</v>
      </c>
      <c r="F231" s="82">
        <f>SUM(G231:N231)</f>
        <v>648397883.75500751</v>
      </c>
      <c r="G231" s="134">
        <f>'Berekening rekenvolumes'!G103</f>
        <v>3789875</v>
      </c>
      <c r="H231" s="134">
        <f>'Berekening rekenvolumes'!H103</f>
        <v>0</v>
      </c>
      <c r="I231" s="134">
        <f>'Berekening rekenvolumes'!I103</f>
        <v>4078036.5645219549</v>
      </c>
      <c r="J231" s="134">
        <f>'Berekening rekenvolumes'!J103</f>
        <v>341783801.28543502</v>
      </c>
      <c r="K231" s="134">
        <f>'Berekening rekenvolumes'!K103</f>
        <v>86472334.733333334</v>
      </c>
      <c r="L231" s="134">
        <f>'Berekening rekenvolumes'!L103</f>
        <v>1993891.3333333333</v>
      </c>
      <c r="M231" s="134">
        <f>'Berekening rekenvolumes'!M103</f>
        <v>210279944.83838382</v>
      </c>
      <c r="N231" s="134">
        <f>'Berekening rekenvolumes'!N103</f>
        <v>0</v>
      </c>
    </row>
    <row r="232" spans="2:16">
      <c r="B232" t="s">
        <v>240</v>
      </c>
      <c r="D232" t="s">
        <v>164</v>
      </c>
      <c r="F232" s="82">
        <f>SUM(G232:N232)</f>
        <v>32485909.664646465</v>
      </c>
      <c r="G232" s="134">
        <f>'Berekening rekenvolumes'!G104</f>
        <v>785853.66666666663</v>
      </c>
      <c r="H232" s="134">
        <f>'Berekening rekenvolumes'!H104</f>
        <v>0</v>
      </c>
      <c r="I232" s="134">
        <f>'Berekening rekenvolumes'!I104</f>
        <v>0</v>
      </c>
      <c r="J232" s="134">
        <f>'Berekening rekenvolumes'!J104</f>
        <v>9315848.8888888899</v>
      </c>
      <c r="K232" s="134">
        <f>'Berekening rekenvolumes'!K104</f>
        <v>5045241.8666666662</v>
      </c>
      <c r="L232" s="134">
        <f>'Berekening rekenvolumes'!L104</f>
        <v>474107</v>
      </c>
      <c r="M232" s="134">
        <f>'Berekening rekenvolumes'!M104</f>
        <v>16864858.242424242</v>
      </c>
      <c r="N232" s="134">
        <f>'Berekening rekenvolumes'!N104</f>
        <v>0</v>
      </c>
    </row>
    <row r="236" spans="2:16" s="2" customFormat="1">
      <c r="B236" s="2" t="s">
        <v>547</v>
      </c>
    </row>
    <row r="239" spans="2:16">
      <c r="B239" s="60" t="s">
        <v>325</v>
      </c>
      <c r="C239" s="13"/>
      <c r="D239" s="13"/>
      <c r="E239" s="13"/>
      <c r="F239" s="13"/>
      <c r="G239" s="13"/>
      <c r="H239" s="13"/>
      <c r="I239" s="13"/>
      <c r="J239" s="13"/>
      <c r="K239" s="13"/>
      <c r="L239" s="13"/>
      <c r="M239" s="13"/>
      <c r="N239" s="13"/>
      <c r="O239" s="13"/>
    </row>
    <row r="240" spans="2:16">
      <c r="B240" s="59" t="s">
        <v>251</v>
      </c>
      <c r="C240" s="13"/>
      <c r="D240" s="13" t="s">
        <v>241</v>
      </c>
      <c r="E240" s="13"/>
      <c r="F240" s="82">
        <f>SUM(G240:N240)</f>
        <v>2638439.5400584475</v>
      </c>
      <c r="G240" s="134">
        <f>'Berekening rekenvolumes'!G112</f>
        <v>23252.333333333332</v>
      </c>
      <c r="H240" s="134">
        <f>'Berekening rekenvolumes'!H112</f>
        <v>86556.777777777796</v>
      </c>
      <c r="I240" s="134">
        <f>'Berekening rekenvolumes'!I112</f>
        <v>44664.666666666664</v>
      </c>
      <c r="J240" s="134">
        <f>'Berekening rekenvolumes'!J112</f>
        <v>1097407.0757186192</v>
      </c>
      <c r="K240" s="134">
        <f>'Berekening rekenvolumes'!K112</f>
        <v>757955.35573660675</v>
      </c>
      <c r="L240" s="134">
        <f>'Berekening rekenvolumes'!L112</f>
        <v>18684.833333333332</v>
      </c>
      <c r="M240" s="134">
        <f>'Berekening rekenvolumes'!M112</f>
        <v>585422.9322591332</v>
      </c>
      <c r="N240" s="134">
        <f>'Berekening rekenvolumes'!N112</f>
        <v>24495.565232977297</v>
      </c>
      <c r="O240" s="13"/>
      <c r="P240" s="50"/>
    </row>
    <row r="241" spans="2:15">
      <c r="B241" s="59" t="s">
        <v>252</v>
      </c>
      <c r="C241" s="13"/>
      <c r="D241" s="13" t="s">
        <v>241</v>
      </c>
      <c r="E241" s="13"/>
      <c r="F241" s="82">
        <f t="shared" ref="F241:F247" si="1">SUM(G241:N241)</f>
        <v>7527688.5057244059</v>
      </c>
      <c r="G241" s="134">
        <f>'Berekening rekenvolumes'!G113</f>
        <v>50433.743589743586</v>
      </c>
      <c r="H241" s="134">
        <f>'Berekening rekenvolumes'!H113</f>
        <v>197052.38888888891</v>
      </c>
      <c r="I241" s="134">
        <f>'Berekening rekenvolumes'!I113</f>
        <v>101046.66666666667</v>
      </c>
      <c r="J241" s="134">
        <f>'Berekening rekenvolumes'!J113</f>
        <v>2438235.0180991953</v>
      </c>
      <c r="K241" s="134">
        <f>'Berekening rekenvolumes'!K113</f>
        <v>2765769.1496971273</v>
      </c>
      <c r="L241" s="134">
        <f>'Berekening rekenvolumes'!L113</f>
        <v>30132.933333333331</v>
      </c>
      <c r="M241" s="134">
        <f>'Berekening rekenvolumes'!M113</f>
        <v>1895009.4118550618</v>
      </c>
      <c r="N241" s="134">
        <f>'Berekening rekenvolumes'!N113</f>
        <v>50009.193594389937</v>
      </c>
      <c r="O241" s="13"/>
    </row>
    <row r="242" spans="2:15">
      <c r="B242" s="59" t="s">
        <v>253</v>
      </c>
      <c r="C242" s="13"/>
      <c r="D242" s="13" t="s">
        <v>241</v>
      </c>
      <c r="E242" s="13"/>
      <c r="F242" s="82">
        <f t="shared" si="1"/>
        <v>342349.5528141539</v>
      </c>
      <c r="G242" s="134">
        <f>'Berekening rekenvolumes'!G114</f>
        <v>1683.2564102564102</v>
      </c>
      <c r="H242" s="134">
        <f>'Berekening rekenvolumes'!H114</f>
        <v>8222.25</v>
      </c>
      <c r="I242" s="134">
        <f>'Berekening rekenvolumes'!I114</f>
        <v>3462.6666666666665</v>
      </c>
      <c r="J242" s="134">
        <f>'Berekening rekenvolumes'!J114</f>
        <v>125584.99373603147</v>
      </c>
      <c r="K242" s="134">
        <f>'Berekening rekenvolumes'!K114</f>
        <v>116312.70902675971</v>
      </c>
      <c r="L242" s="134">
        <f>'Berekening rekenvolumes'!L114</f>
        <v>1220.4666666666669</v>
      </c>
      <c r="M242" s="134">
        <f>'Berekening rekenvolumes'!M114</f>
        <v>82451.631432669485</v>
      </c>
      <c r="N242" s="134">
        <f>'Berekening rekenvolumes'!N114</f>
        <v>3411.5788751034988</v>
      </c>
      <c r="O242" s="13"/>
    </row>
    <row r="243" spans="2:15">
      <c r="B243" s="59" t="s">
        <v>255</v>
      </c>
      <c r="C243" s="13"/>
      <c r="D243" s="13" t="s">
        <v>241</v>
      </c>
      <c r="E243" s="13"/>
      <c r="F243" s="82">
        <f t="shared" si="1"/>
        <v>40954.832268082544</v>
      </c>
      <c r="G243" s="134">
        <f>'Berekening rekenvolumes'!G115</f>
        <v>309</v>
      </c>
      <c r="H243" s="134">
        <f>'Berekening rekenvolumes'!H115</f>
        <v>1532.75</v>
      </c>
      <c r="I243" s="134">
        <f>'Berekening rekenvolumes'!I115</f>
        <v>692</v>
      </c>
      <c r="J243" s="134">
        <f>'Berekening rekenvolumes'!J115</f>
        <v>13138.854708250414</v>
      </c>
      <c r="K243" s="134">
        <f>'Berekening rekenvolumes'!K115</f>
        <v>14151.977613911382</v>
      </c>
      <c r="L243" s="134">
        <f>'Berekening rekenvolumes'!L115</f>
        <v>134.41666666666666</v>
      </c>
      <c r="M243" s="134">
        <f>'Berekening rekenvolumes'!M115</f>
        <v>10029.616161616163</v>
      </c>
      <c r="N243" s="134">
        <f>'Berekening rekenvolumes'!N115</f>
        <v>966.21711763791507</v>
      </c>
      <c r="O243" s="13"/>
    </row>
    <row r="244" spans="2:15">
      <c r="B244" s="59" t="s">
        <v>261</v>
      </c>
      <c r="C244" s="13"/>
      <c r="D244" s="13" t="s">
        <v>241</v>
      </c>
      <c r="E244" s="13"/>
      <c r="F244" s="82">
        <f t="shared" si="1"/>
        <v>32274.697059674018</v>
      </c>
      <c r="G244" s="134">
        <f>'Berekening rekenvolumes'!G116</f>
        <v>247.15384615384616</v>
      </c>
      <c r="H244" s="134">
        <f>'Berekening rekenvolumes'!H116</f>
        <v>411.36111111111114</v>
      </c>
      <c r="I244" s="134">
        <f>'Berekening rekenvolumes'!I116</f>
        <v>571</v>
      </c>
      <c r="J244" s="134">
        <f>'Berekening rekenvolumes'!J116</f>
        <v>14198.338953071201</v>
      </c>
      <c r="K244" s="134">
        <f>'Berekening rekenvolumes'!K116</f>
        <v>12567.016104666061</v>
      </c>
      <c r="L244" s="134">
        <f>'Berekening rekenvolumes'!L116</f>
        <v>148.45666666666668</v>
      </c>
      <c r="M244" s="134">
        <f>'Berekening rekenvolumes'!M116</f>
        <v>3729.2777777777769</v>
      </c>
      <c r="N244" s="134">
        <f>'Berekening rekenvolumes'!N116</f>
        <v>402.09260022735668</v>
      </c>
      <c r="O244" s="13"/>
    </row>
    <row r="245" spans="2:15">
      <c r="B245" s="59" t="s">
        <v>262</v>
      </c>
      <c r="C245" s="13"/>
      <c r="D245" s="13"/>
      <c r="E245" s="13"/>
      <c r="F245" s="82">
        <f t="shared" si="1"/>
        <v>1222.3184235266795</v>
      </c>
      <c r="G245" s="134">
        <f>'Berekening rekenvolumes'!G117</f>
        <v>0</v>
      </c>
      <c r="H245" s="134">
        <f>'Berekening rekenvolumes'!H117</f>
        <v>10</v>
      </c>
      <c r="I245" s="134">
        <f>'Berekening rekenvolumes'!I117</f>
        <v>5</v>
      </c>
      <c r="J245" s="134">
        <f>'Berekening rekenvolumes'!J117</f>
        <v>861.25238750306903</v>
      </c>
      <c r="K245" s="134">
        <f>'Berekening rekenvolumes'!K117</f>
        <v>137.72459731723387</v>
      </c>
      <c r="L245" s="134">
        <f>'Berekening rekenvolumes'!L117</f>
        <v>1.9166666666666667</v>
      </c>
      <c r="M245" s="134">
        <f>'Berekening rekenvolumes'!M117</f>
        <v>175.41660301885881</v>
      </c>
      <c r="N245" s="134">
        <f>'Berekening rekenvolumes'!N117</f>
        <v>31.008169020850954</v>
      </c>
      <c r="O245" s="13"/>
    </row>
    <row r="246" spans="2:15">
      <c r="B246" s="59" t="s">
        <v>260</v>
      </c>
      <c r="C246" s="13"/>
      <c r="D246" s="13"/>
      <c r="E246" s="13"/>
      <c r="F246" s="13"/>
      <c r="G246" s="96"/>
      <c r="H246" s="96"/>
      <c r="I246" s="96"/>
      <c r="J246" s="96"/>
      <c r="K246" s="96"/>
      <c r="L246" s="96"/>
      <c r="M246" s="96"/>
      <c r="N246" s="96"/>
      <c r="O246" s="13"/>
    </row>
    <row r="247" spans="2:15">
      <c r="B247" s="59" t="s">
        <v>326</v>
      </c>
      <c r="C247" s="13"/>
      <c r="D247" s="13" t="s">
        <v>241</v>
      </c>
      <c r="E247" s="13"/>
      <c r="F247" s="82">
        <f t="shared" si="1"/>
        <v>1257440.9699151672</v>
      </c>
      <c r="G247" s="134">
        <f>'Berekening rekenvolumes'!G119</f>
        <v>0</v>
      </c>
      <c r="H247" s="134">
        <f>'Berekening rekenvolumes'!H119</f>
        <v>23200</v>
      </c>
      <c r="I247" s="134">
        <f>'Berekening rekenvolumes'!I119</f>
        <v>2835</v>
      </c>
      <c r="J247" s="134">
        <f>'Berekening rekenvolumes'!J119</f>
        <v>210599.02193991194</v>
      </c>
      <c r="K247" s="134">
        <f>'Berekening rekenvolumes'!K119</f>
        <v>799535.61331670452</v>
      </c>
      <c r="L247" s="134">
        <f>'Berekening rekenvolumes'!L119</f>
        <v>8823.3333333333339</v>
      </c>
      <c r="M247" s="134">
        <f>'Berekening rekenvolumes'!M119</f>
        <v>207047.77742335352</v>
      </c>
      <c r="N247" s="134">
        <f>'Berekening rekenvolumes'!N119</f>
        <v>5400.2239018639511</v>
      </c>
      <c r="O247" s="13"/>
    </row>
    <row r="248" spans="2:15">
      <c r="B248" s="59" t="s">
        <v>260</v>
      </c>
      <c r="C248" s="13"/>
      <c r="D248" s="13"/>
      <c r="E248" s="13"/>
      <c r="F248" s="13"/>
      <c r="G248" s="96"/>
      <c r="H248" s="96"/>
      <c r="I248" s="96"/>
      <c r="J248" s="96"/>
      <c r="K248" s="96"/>
      <c r="L248" s="96"/>
      <c r="M248" s="96"/>
      <c r="N248" s="96"/>
      <c r="O248" s="13"/>
    </row>
    <row r="249" spans="2:15">
      <c r="B249" s="60" t="s">
        <v>327</v>
      </c>
      <c r="C249" s="13"/>
      <c r="D249" s="13"/>
      <c r="E249" s="13"/>
      <c r="F249" s="13"/>
      <c r="G249" s="96"/>
      <c r="H249" s="96"/>
      <c r="I249" s="96"/>
      <c r="J249" s="96"/>
      <c r="K249" s="96"/>
      <c r="L249" s="96"/>
      <c r="M249" s="96"/>
      <c r="N249" s="96"/>
      <c r="O249" s="13"/>
    </row>
    <row r="250" spans="2:15">
      <c r="B250" s="60" t="s">
        <v>328</v>
      </c>
      <c r="C250" s="13"/>
      <c r="D250" s="13"/>
      <c r="E250" s="13"/>
      <c r="F250" s="13"/>
      <c r="G250" s="96"/>
      <c r="H250" s="96"/>
      <c r="I250" s="96"/>
      <c r="J250" s="96"/>
      <c r="K250" s="96"/>
      <c r="L250" s="96"/>
      <c r="M250" s="96"/>
      <c r="N250" s="96"/>
      <c r="O250" s="13"/>
    </row>
    <row r="251" spans="2:15">
      <c r="B251" s="59" t="s">
        <v>251</v>
      </c>
      <c r="C251" s="13"/>
      <c r="D251" s="13" t="s">
        <v>241</v>
      </c>
      <c r="E251" s="13"/>
      <c r="F251" s="82">
        <f>SUM(G251:N251)</f>
        <v>43661.378608696919</v>
      </c>
      <c r="G251" s="134">
        <f>'Berekening rekenvolumes'!G123</f>
        <v>239.33333333333334</v>
      </c>
      <c r="H251" s="134">
        <f>'Berekening rekenvolumes'!H123</f>
        <v>1290</v>
      </c>
      <c r="I251" s="134">
        <f>'Berekening rekenvolumes'!I123</f>
        <v>744.53663683606328</v>
      </c>
      <c r="J251" s="134">
        <f>'Berekening rekenvolumes'!J123</f>
        <v>23978.365156737796</v>
      </c>
      <c r="K251" s="134">
        <f>'Berekening rekenvolumes'!K123</f>
        <v>9302</v>
      </c>
      <c r="L251" s="134">
        <f>'Berekening rekenvolumes'!L123</f>
        <v>441</v>
      </c>
      <c r="M251" s="134">
        <f>'Berekening rekenvolumes'!M123</f>
        <v>7218.8101484563858</v>
      </c>
      <c r="N251" s="134">
        <f>'Berekening rekenvolumes'!N123</f>
        <v>447.33333333333331</v>
      </c>
      <c r="O251" s="13"/>
    </row>
    <row r="252" spans="2:15">
      <c r="B252" s="59" t="s">
        <v>252</v>
      </c>
      <c r="C252" s="13"/>
      <c r="D252" s="13" t="s">
        <v>241</v>
      </c>
      <c r="E252" s="13"/>
      <c r="F252" s="82">
        <f>SUM(G252:N252)</f>
        <v>70635.056416203428</v>
      </c>
      <c r="G252" s="134">
        <f>'Berekening rekenvolumes'!G124</f>
        <v>222.66666666666666</v>
      </c>
      <c r="H252" s="134">
        <f>'Berekening rekenvolumes'!H124</f>
        <v>1750.6666666666667</v>
      </c>
      <c r="I252" s="134">
        <f>'Berekening rekenvolumes'!I124</f>
        <v>843.24900389512788</v>
      </c>
      <c r="J252" s="134">
        <f>'Berekening rekenvolumes'!J124</f>
        <v>21585.902037927353</v>
      </c>
      <c r="K252" s="134">
        <f>'Berekening rekenvolumes'!K124</f>
        <v>28544.590342052314</v>
      </c>
      <c r="L252" s="134">
        <f>'Berekening rekenvolumes'!L124</f>
        <v>234.66666666666666</v>
      </c>
      <c r="M252" s="134">
        <f>'Berekening rekenvolumes'!M124</f>
        <v>16455.64836566196</v>
      </c>
      <c r="N252" s="134">
        <f>'Berekening rekenvolumes'!N124</f>
        <v>997.66666666666663</v>
      </c>
      <c r="O252" s="13"/>
    </row>
    <row r="253" spans="2:15">
      <c r="B253" s="59" t="s">
        <v>253</v>
      </c>
      <c r="C253" s="13"/>
      <c r="D253" s="13" t="s">
        <v>241</v>
      </c>
      <c r="E253" s="13"/>
      <c r="F253" s="82">
        <f>SUM(G253:N253)</f>
        <v>8589.4289824406405</v>
      </c>
      <c r="G253" s="134">
        <f>'Berekening rekenvolumes'!G125</f>
        <v>23.666666666666664</v>
      </c>
      <c r="H253" s="134">
        <f>'Berekening rekenvolumes'!H125</f>
        <v>317.33333333333331</v>
      </c>
      <c r="I253" s="134">
        <f>'Berekening rekenvolumes'!I125</f>
        <v>97.473697737579812</v>
      </c>
      <c r="J253" s="134">
        <f>'Berekening rekenvolumes'!J125</f>
        <v>2298.2466467360064</v>
      </c>
      <c r="K253" s="134">
        <f>'Berekening rekenvolumes'!K125</f>
        <v>3655.6141999052179</v>
      </c>
      <c r="L253" s="134">
        <f>'Berekening rekenvolumes'!L125</f>
        <v>26.666666666666668</v>
      </c>
      <c r="M253" s="134">
        <f>'Berekening rekenvolumes'!M125</f>
        <v>2094.4277713951701</v>
      </c>
      <c r="N253" s="134">
        <f>'Berekening rekenvolumes'!N125</f>
        <v>76</v>
      </c>
      <c r="O253" s="13"/>
    </row>
    <row r="254" spans="2:15">
      <c r="B254" s="59" t="s">
        <v>255</v>
      </c>
      <c r="C254" s="13"/>
      <c r="D254" s="13" t="s">
        <v>241</v>
      </c>
      <c r="E254" s="13"/>
      <c r="F254" s="82">
        <f>SUM(G254:N254)</f>
        <v>2316.1351273600435</v>
      </c>
      <c r="G254" s="134">
        <f>'Berekening rekenvolumes'!G126</f>
        <v>12.333333333333334</v>
      </c>
      <c r="H254" s="134">
        <f>'Berekening rekenvolumes'!H126</f>
        <v>68.066666666666663</v>
      </c>
      <c r="I254" s="134">
        <f>'Berekening rekenvolumes'!I126</f>
        <v>24.678589347412554</v>
      </c>
      <c r="J254" s="134">
        <f>'Berekening rekenvolumes'!J126</f>
        <v>1008.7039834871424</v>
      </c>
      <c r="K254" s="134">
        <f>'Berekening rekenvolumes'!K126</f>
        <v>731.05800305308401</v>
      </c>
      <c r="L254" s="134">
        <f>'Berekening rekenvolumes'!L126</f>
        <v>7.333333333333333</v>
      </c>
      <c r="M254" s="134">
        <f>'Berekening rekenvolumes'!M126</f>
        <v>444.29455147240509</v>
      </c>
      <c r="N254" s="134">
        <f>'Berekening rekenvolumes'!N126</f>
        <v>19.666666666666664</v>
      </c>
      <c r="O254" s="13"/>
    </row>
    <row r="255" spans="2:15">
      <c r="B255" s="59" t="s">
        <v>254</v>
      </c>
      <c r="C255" s="13"/>
      <c r="D255" s="13" t="s">
        <v>241</v>
      </c>
      <c r="E255" s="13"/>
      <c r="F255" s="82">
        <f>SUM(G255:N255)</f>
        <v>254.97589848360025</v>
      </c>
      <c r="G255" s="134">
        <f>'Berekening rekenvolumes'!G127</f>
        <v>0.33333333333333331</v>
      </c>
      <c r="H255" s="134">
        <f>'Berekening rekenvolumes'!H127</f>
        <v>2</v>
      </c>
      <c r="I255" s="134">
        <f>'Berekening rekenvolumes'!I127</f>
        <v>2.4939880561719843</v>
      </c>
      <c r="J255" s="134">
        <f>'Berekening rekenvolumes'!J127</f>
        <v>108.02731041854648</v>
      </c>
      <c r="K255" s="134">
        <f>'Berekening rekenvolumes'!K127</f>
        <v>84.052543116467049</v>
      </c>
      <c r="L255" s="134">
        <f>'Berekening rekenvolumes'!L127</f>
        <v>0.33333333333333331</v>
      </c>
      <c r="M255" s="134">
        <f>'Berekening rekenvolumes'!M127</f>
        <v>51.735390225748048</v>
      </c>
      <c r="N255" s="134">
        <f>'Berekening rekenvolumes'!N127</f>
        <v>6</v>
      </c>
      <c r="O255" s="13"/>
    </row>
    <row r="256" spans="2:15">
      <c r="B256" s="59" t="s">
        <v>260</v>
      </c>
      <c r="C256" s="13"/>
      <c r="D256" s="13"/>
      <c r="E256" s="13"/>
      <c r="F256" s="13"/>
      <c r="G256" s="96"/>
      <c r="H256" s="96"/>
      <c r="I256" s="96"/>
      <c r="J256" s="96"/>
      <c r="K256" s="96"/>
      <c r="L256" s="96"/>
      <c r="M256" s="96"/>
      <c r="N256" s="96"/>
      <c r="O256" s="13"/>
    </row>
    <row r="257" spans="2:15">
      <c r="B257" s="60" t="s">
        <v>329</v>
      </c>
      <c r="C257" s="13"/>
      <c r="D257" s="13"/>
      <c r="E257" s="13"/>
      <c r="F257" s="13"/>
      <c r="G257" s="96"/>
      <c r="H257" s="96"/>
      <c r="I257" s="96"/>
      <c r="J257" s="96"/>
      <c r="K257" s="96"/>
      <c r="L257" s="96"/>
      <c r="M257" s="96"/>
      <c r="N257" s="96"/>
      <c r="O257" s="13"/>
    </row>
    <row r="258" spans="2:15">
      <c r="B258" s="59" t="s">
        <v>251</v>
      </c>
      <c r="C258" s="13"/>
      <c r="D258" s="13" t="s">
        <v>241</v>
      </c>
      <c r="E258" s="13"/>
      <c r="F258" s="82">
        <f>SUM(G258:N258)</f>
        <v>36513.230842630997</v>
      </c>
      <c r="G258" s="134">
        <f>'Berekening rekenvolumes'!G130</f>
        <v>364.66666666666669</v>
      </c>
      <c r="H258" s="134">
        <f>'Berekening rekenvolumes'!H130</f>
        <v>1887.6666666666667</v>
      </c>
      <c r="I258" s="134">
        <f>'Berekening rekenvolumes'!I130</f>
        <v>67.960258152173907</v>
      </c>
      <c r="J258" s="134">
        <f>'Berekening rekenvolumes'!J130</f>
        <v>18313.749474011827</v>
      </c>
      <c r="K258" s="134">
        <f>'Berekening rekenvolumes'!K130</f>
        <v>10918.5</v>
      </c>
      <c r="L258" s="134">
        <f>'Berekening rekenvolumes'!L130</f>
        <v>302</v>
      </c>
      <c r="M258" s="134">
        <f>'Berekening rekenvolumes'!M130</f>
        <v>4231.3544438003282</v>
      </c>
      <c r="N258" s="134">
        <f>'Berekening rekenvolumes'!N130</f>
        <v>427.33333333333331</v>
      </c>
      <c r="O258" s="13"/>
    </row>
    <row r="259" spans="2:15">
      <c r="B259" s="59" t="s">
        <v>252</v>
      </c>
      <c r="C259" s="13"/>
      <c r="D259" s="13" t="s">
        <v>241</v>
      </c>
      <c r="E259" s="13"/>
      <c r="F259" s="82">
        <f>SUM(G259:N259)</f>
        <v>123967.15281520667</v>
      </c>
      <c r="G259" s="134">
        <f>'Berekening rekenvolumes'!G131</f>
        <v>250</v>
      </c>
      <c r="H259" s="134">
        <f>'Berekening rekenvolumes'!H131</f>
        <v>4417.333333333333</v>
      </c>
      <c r="I259" s="134">
        <f>'Berekening rekenvolumes'!I131</f>
        <v>621.61926249311898</v>
      </c>
      <c r="J259" s="134">
        <f>'Berekening rekenvolumes'!J131</f>
        <v>69655.663219799419</v>
      </c>
      <c r="K259" s="134">
        <f>'Berekening rekenvolumes'!K131</f>
        <v>33369.666666666664</v>
      </c>
      <c r="L259" s="134">
        <f>'Berekening rekenvolumes'!L131</f>
        <v>451.33333333333331</v>
      </c>
      <c r="M259" s="134">
        <f>'Berekening rekenvolumes'!M131</f>
        <v>13814.53699958082</v>
      </c>
      <c r="N259" s="134">
        <f>'Berekening rekenvolumes'!N131</f>
        <v>1387</v>
      </c>
      <c r="O259" s="13"/>
    </row>
    <row r="260" spans="2:15">
      <c r="B260" s="59" t="s">
        <v>253</v>
      </c>
      <c r="C260" s="13"/>
      <c r="D260" s="13" t="s">
        <v>241</v>
      </c>
      <c r="E260" s="13"/>
      <c r="F260" s="82">
        <f>SUM(G260:N260)</f>
        <v>95700.933613496411</v>
      </c>
      <c r="G260" s="134">
        <f>'Berekening rekenvolumes'!G132</f>
        <v>256</v>
      </c>
      <c r="H260" s="134">
        <f>'Berekening rekenvolumes'!H132</f>
        <v>2653.333333333333</v>
      </c>
      <c r="I260" s="134">
        <f>'Berekening rekenvolumes'!I132</f>
        <v>554.3896266777291</v>
      </c>
      <c r="J260" s="134">
        <f>'Berekening rekenvolumes'!J132</f>
        <v>38145.544788359781</v>
      </c>
      <c r="K260" s="134">
        <f>'Berekening rekenvolumes'!K132</f>
        <v>30174.333333333336</v>
      </c>
      <c r="L260" s="134">
        <f>'Berekening rekenvolumes'!L132</f>
        <v>214</v>
      </c>
      <c r="M260" s="134">
        <f>'Berekening rekenvolumes'!M132</f>
        <v>22092.665865125575</v>
      </c>
      <c r="N260" s="134">
        <f>'Berekening rekenvolumes'!N132</f>
        <v>1610.6666666666667</v>
      </c>
      <c r="O260" s="13"/>
    </row>
    <row r="261" spans="2:15">
      <c r="B261" s="59" t="s">
        <v>255</v>
      </c>
      <c r="C261" s="13"/>
      <c r="D261" s="13" t="s">
        <v>241</v>
      </c>
      <c r="E261" s="13"/>
      <c r="F261" s="82">
        <f>SUM(G261:N261)</f>
        <v>275261.81926263531</v>
      </c>
      <c r="G261" s="134">
        <f>'Berekening rekenvolumes'!G133</f>
        <v>967.99999999999989</v>
      </c>
      <c r="H261" s="134">
        <f>'Berekening rekenvolumes'!H133</f>
        <v>8586.4700000000012</v>
      </c>
      <c r="I261" s="134">
        <f>'Berekening rekenvolumes'!I133</f>
        <v>1418.9349925679983</v>
      </c>
      <c r="J261" s="134">
        <f>'Berekening rekenvolumes'!J133</f>
        <v>133547.16333097886</v>
      </c>
      <c r="K261" s="134">
        <f>'Berekening rekenvolumes'!K133</f>
        <v>79472.994343405255</v>
      </c>
      <c r="L261" s="134">
        <f>'Berekening rekenvolumes'!L133</f>
        <v>955</v>
      </c>
      <c r="M261" s="134">
        <f>'Berekening rekenvolumes'!M133</f>
        <v>47798.423262349905</v>
      </c>
      <c r="N261" s="134">
        <f>'Berekening rekenvolumes'!N133</f>
        <v>2514.833333333333</v>
      </c>
      <c r="O261" s="13"/>
    </row>
    <row r="262" spans="2:15">
      <c r="B262" s="59" t="s">
        <v>254</v>
      </c>
      <c r="C262" s="13"/>
      <c r="D262" s="13" t="s">
        <v>241</v>
      </c>
      <c r="E262" s="13"/>
      <c r="F262" s="82">
        <f>SUM(G262:N262)</f>
        <v>54998.37468716719</v>
      </c>
      <c r="G262" s="134">
        <f>'Berekening rekenvolumes'!G134</f>
        <v>50</v>
      </c>
      <c r="H262" s="134">
        <f>'Berekening rekenvolumes'!H134</f>
        <v>338.33333333333331</v>
      </c>
      <c r="I262" s="134">
        <f>'Berekening rekenvolumes'!I134</f>
        <v>194.48679181080618</v>
      </c>
      <c r="J262" s="134">
        <f>'Berekening rekenvolumes'!J134</f>
        <v>10156.607388010605</v>
      </c>
      <c r="K262" s="134">
        <f>'Berekening rekenvolumes'!K134</f>
        <v>32192.83337286843</v>
      </c>
      <c r="L262" s="134">
        <f>'Berekening rekenvolumes'!L134</f>
        <v>466.66666666666669</v>
      </c>
      <c r="M262" s="134">
        <f>'Berekening rekenvolumes'!M134</f>
        <v>10783.447134477352</v>
      </c>
      <c r="N262" s="134">
        <f>'Berekening rekenvolumes'!N134</f>
        <v>816.00000000000011</v>
      </c>
      <c r="O262" s="13"/>
    </row>
    <row r="263" spans="2:15">
      <c r="B263" s="95"/>
      <c r="C263" s="13"/>
      <c r="D263" s="13"/>
      <c r="E263" s="13"/>
      <c r="F263" s="13"/>
      <c r="G263" s="96"/>
      <c r="H263" s="96"/>
      <c r="I263" s="96"/>
      <c r="J263" s="96"/>
      <c r="K263" s="96"/>
      <c r="L263" s="96"/>
      <c r="M263" s="96"/>
      <c r="N263" s="96"/>
      <c r="O263" s="13"/>
    </row>
    <row r="266" spans="2:15" s="2" customFormat="1">
      <c r="B266" s="2" t="s">
        <v>548</v>
      </c>
    </row>
    <row r="268" spans="2:15">
      <c r="B268" t="s">
        <v>549</v>
      </c>
      <c r="D268" s="13" t="s">
        <v>338</v>
      </c>
      <c r="G268" s="115">
        <f>SUMPRODUCT(G14:G103,G143:G232)</f>
        <v>18251324.501351424</v>
      </c>
      <c r="H268" s="115">
        <f t="shared" ref="H268:N268" si="2">SUMPRODUCT(H14:H103,H143:H232)</f>
        <v>65836632.17478282</v>
      </c>
      <c r="I268" s="115">
        <f t="shared" si="2"/>
        <v>33828180.886730626</v>
      </c>
      <c r="J268" s="115">
        <f t="shared" si="2"/>
        <v>850814747.4065392</v>
      </c>
      <c r="K268" s="115">
        <f t="shared" si="2"/>
        <v>902252512.49321067</v>
      </c>
      <c r="L268" s="115">
        <f t="shared" si="2"/>
        <v>10889685.017308028</v>
      </c>
      <c r="M268" s="115">
        <f t="shared" si="2"/>
        <v>656763330.21893609</v>
      </c>
      <c r="N268" s="115">
        <f t="shared" si="2"/>
        <v>42768341.88239567</v>
      </c>
    </row>
    <row r="269" spans="2:15">
      <c r="B269" t="s">
        <v>550</v>
      </c>
      <c r="D269" s="13" t="s">
        <v>338</v>
      </c>
      <c r="G269" s="115">
        <f>SUMPRODUCT(G111:G133,G240:G262)</f>
        <v>1988980.0880861368</v>
      </c>
      <c r="H269" s="115">
        <f t="shared" ref="H269:N269" si="3">SUMPRODUCT(H111:H133,H240:H262)</f>
        <v>10283193.989827728</v>
      </c>
      <c r="I269" s="115">
        <f t="shared" si="3"/>
        <v>4419706.6135037038</v>
      </c>
      <c r="J269" s="115">
        <f t="shared" si="3"/>
        <v>151832005.53590563</v>
      </c>
      <c r="K269" s="115">
        <f t="shared" si="3"/>
        <v>138316867.09102339</v>
      </c>
      <c r="L269" s="115">
        <f t="shared" si="3"/>
        <v>1995485.6229283181</v>
      </c>
      <c r="M269" s="115">
        <f t="shared" si="3"/>
        <v>79981880.776472896</v>
      </c>
      <c r="N269" s="115">
        <f t="shared" si="3"/>
        <v>4327597.1718879044</v>
      </c>
    </row>
    <row r="270" spans="2:15">
      <c r="B270" s="50" t="s">
        <v>79</v>
      </c>
      <c r="D270" s="13" t="s">
        <v>338</v>
      </c>
      <c r="F270" s="112">
        <f>SUM(G270:N270)</f>
        <v>2974550471.47089</v>
      </c>
      <c r="G270" s="112">
        <f>G268+G269</f>
        <v>20240304.589437559</v>
      </c>
      <c r="H270" s="112">
        <f t="shared" ref="H270:N270" si="4">H268+H269</f>
        <v>76119826.16461055</v>
      </c>
      <c r="I270" s="112">
        <f t="shared" si="4"/>
        <v>38247887.500234328</v>
      </c>
      <c r="J270" s="112">
        <f t="shared" si="4"/>
        <v>1002646752.9424448</v>
      </c>
      <c r="K270" s="112">
        <f t="shared" si="4"/>
        <v>1040569379.584234</v>
      </c>
      <c r="L270" s="112">
        <f t="shared" si="4"/>
        <v>12885170.640236346</v>
      </c>
      <c r="M270" s="112">
        <f t="shared" si="4"/>
        <v>736745210.99540901</v>
      </c>
      <c r="N270" s="112">
        <f t="shared" si="4"/>
        <v>47095939.054283574</v>
      </c>
    </row>
    <row r="273" spans="2:14">
      <c r="B273" s="3" t="s">
        <v>953</v>
      </c>
    </row>
    <row r="274" spans="2:14">
      <c r="B274" s="50" t="s">
        <v>954</v>
      </c>
      <c r="D274" s="13" t="s">
        <v>338</v>
      </c>
      <c r="G274" s="115">
        <f>SUMPRODUCT(G83:G90,G212:G219)+SUMPRODUCT(G112:G113,G241:G242)+SUMPRODUCT(G123:G124,G252:G253)+SUMPRODUCT(G130:G131,G259:G260)</f>
        <v>13104711.018088084</v>
      </c>
      <c r="H274" s="115">
        <f t="shared" ref="H274:N274" si="5">SUMPRODUCT(H83:H90,H212:H219)+SUMPRODUCT(H112:H113,H241:H242)+SUMPRODUCT(H123:H124,H252:H253)+SUMPRODUCT(H130:H131,H259:H260)</f>
        <v>50593569.589056611</v>
      </c>
      <c r="I274" s="115">
        <f t="shared" si="5"/>
        <v>22839760.802474037</v>
      </c>
      <c r="J274" s="115">
        <f t="shared" si="5"/>
        <v>612920301.49791312</v>
      </c>
      <c r="K274" s="115">
        <f t="shared" si="5"/>
        <v>653564098.87396908</v>
      </c>
      <c r="L274" s="115">
        <f t="shared" si="5"/>
        <v>7653957.0868422622</v>
      </c>
      <c r="M274" s="115">
        <f t="shared" si="5"/>
        <v>441023010.0544154</v>
      </c>
      <c r="N274" s="115">
        <f t="shared" si="5"/>
        <v>16696548.925374772</v>
      </c>
    </row>
    <row r="275" spans="2:14">
      <c r="B275" s="50" t="s">
        <v>955</v>
      </c>
      <c r="D275" s="13" t="s">
        <v>338</v>
      </c>
      <c r="G275" s="115">
        <f>SUMPRODUCT(G14:G133,G143:G262)-G274</f>
        <v>7135593.5713494718</v>
      </c>
      <c r="H275" s="115">
        <f t="shared" ref="H275:N275" si="6">SUMPRODUCT(H14:H133,H143:H262)-H274</f>
        <v>25526256.575553939</v>
      </c>
      <c r="I275" s="115">
        <f t="shared" si="6"/>
        <v>15408126.697760299</v>
      </c>
      <c r="J275" s="115">
        <f t="shared" si="6"/>
        <v>389726451.44453156</v>
      </c>
      <c r="K275" s="115">
        <f t="shared" si="6"/>
        <v>387005280.7102648</v>
      </c>
      <c r="L275" s="115">
        <f t="shared" si="6"/>
        <v>5231213.553394082</v>
      </c>
      <c r="M275" s="115">
        <f t="shared" si="6"/>
        <v>295722200.94099373</v>
      </c>
      <c r="N275" s="115">
        <f t="shared" si="6"/>
        <v>30399390.128908794</v>
      </c>
    </row>
    <row r="276" spans="2:14">
      <c r="B276" s="50" t="s">
        <v>176</v>
      </c>
      <c r="D276" s="13" t="s">
        <v>338</v>
      </c>
      <c r="F276" s="112">
        <f>SUM(G276:N276)</f>
        <v>2974550471.47089</v>
      </c>
      <c r="G276" s="112">
        <f>G274+G275</f>
        <v>20240304.589437556</v>
      </c>
      <c r="H276" s="112">
        <f t="shared" ref="H276:N276" si="7">H274+H275</f>
        <v>76119826.16461055</v>
      </c>
      <c r="I276" s="112">
        <f t="shared" si="7"/>
        <v>38247887.500234336</v>
      </c>
      <c r="J276" s="112">
        <f t="shared" si="7"/>
        <v>1002646752.9424447</v>
      </c>
      <c r="K276" s="112">
        <f t="shared" si="7"/>
        <v>1040569379.5842339</v>
      </c>
      <c r="L276" s="112">
        <f t="shared" si="7"/>
        <v>12885170.640236344</v>
      </c>
      <c r="M276" s="112">
        <f t="shared" si="7"/>
        <v>736745210.99540913</v>
      </c>
      <c r="N276" s="112">
        <f t="shared" si="7"/>
        <v>47095939.054283567</v>
      </c>
    </row>
  </sheetData>
  <pageMargins left="0.75" right="0.75" top="1" bottom="1" header="0.5" footer="0.5"/>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tabColor indexed="43"/>
  </sheetPr>
  <dimension ref="B1:P199"/>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2"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54">
      <c r="B2" s="193" t="s">
        <v>569</v>
      </c>
      <c r="F2" s="5" t="s">
        <v>177</v>
      </c>
      <c r="G2" s="5" t="s">
        <v>168</v>
      </c>
      <c r="H2" s="5" t="s">
        <v>169</v>
      </c>
      <c r="I2" s="5" t="s">
        <v>170</v>
      </c>
      <c r="J2" s="5" t="s">
        <v>171</v>
      </c>
      <c r="K2" s="5" t="s">
        <v>172</v>
      </c>
      <c r="L2" s="5" t="s">
        <v>173</v>
      </c>
      <c r="M2" s="5" t="s">
        <v>174</v>
      </c>
      <c r="N2" s="5" t="s">
        <v>175</v>
      </c>
      <c r="O2" s="5"/>
      <c r="P2" s="5" t="s">
        <v>438</v>
      </c>
    </row>
    <row r="4" spans="2:16">
      <c r="B4" s="50" t="s">
        <v>570</v>
      </c>
    </row>
    <row r="5" spans="2:16">
      <c r="B5" s="50" t="s">
        <v>620</v>
      </c>
    </row>
    <row r="6" spans="2:16">
      <c r="B6" s="13"/>
      <c r="F6" s="51"/>
    </row>
    <row r="7" spans="2:16">
      <c r="F7" s="46"/>
    </row>
    <row r="8" spans="2:16" s="2" customFormat="1">
      <c r="B8" s="2" t="s">
        <v>572</v>
      </c>
      <c r="F8" s="48"/>
    </row>
    <row r="9" spans="2:16">
      <c r="F9" s="46"/>
    </row>
    <row r="10" spans="2:16">
      <c r="B10" s="3" t="s">
        <v>112</v>
      </c>
      <c r="F10" s="46"/>
    </row>
    <row r="11" spans="2:16">
      <c r="F11" s="46"/>
    </row>
    <row r="12" spans="2:16">
      <c r="B12" t="s">
        <v>116</v>
      </c>
      <c r="D12" t="s">
        <v>181</v>
      </c>
      <c r="F12" s="106">
        <f>SUM(G12:N12)</f>
        <v>1373798043.0371046</v>
      </c>
      <c r="G12" s="37">
        <f>'Berekening operationele kosten'!G196</f>
        <v>7617345.7300000004</v>
      </c>
      <c r="H12" s="37">
        <f>'Berekening operationele kosten'!H196</f>
        <v>39396267.590494543</v>
      </c>
      <c r="I12" s="37">
        <f>'Berekening operationele kosten'!I196</f>
        <v>15411543.784085633</v>
      </c>
      <c r="J12" s="37">
        <f>'Berekening operationele kosten'!J196</f>
        <v>419643660.95158249</v>
      </c>
      <c r="K12" s="37">
        <f>'Berekening operationele kosten'!K196</f>
        <v>523647376.49770772</v>
      </c>
      <c r="L12" s="37">
        <f>'Berekening operationele kosten'!L196</f>
        <v>4673909.5297417473</v>
      </c>
      <c r="M12" s="37">
        <f>'Berekening operationele kosten'!M196</f>
        <v>341943560.93034065</v>
      </c>
      <c r="N12" s="37">
        <f>'Berekening operationele kosten'!N196</f>
        <v>21464378.02315186</v>
      </c>
    </row>
    <row r="13" spans="2:16">
      <c r="B13" t="s">
        <v>113</v>
      </c>
      <c r="F13" s="46"/>
    </row>
    <row r="14" spans="2:16">
      <c r="B14" t="s">
        <v>114</v>
      </c>
      <c r="D14" t="s">
        <v>181</v>
      </c>
      <c r="F14" s="106">
        <f>SUM(G14:N14)</f>
        <v>32965074.439999998</v>
      </c>
      <c r="G14" s="37">
        <f>'Berekening operationele kosten'!G188</f>
        <v>0</v>
      </c>
      <c r="H14" s="37">
        <f>'Berekening operationele kosten'!H188</f>
        <v>481846.5</v>
      </c>
      <c r="I14" s="37">
        <f>'Berekening operationele kosten'!I188</f>
        <v>0</v>
      </c>
      <c r="J14" s="37">
        <f>'Berekening operationele kosten'!J188</f>
        <v>1730000</v>
      </c>
      <c r="K14" s="37">
        <f>'Berekening operationele kosten'!K188</f>
        <v>15024290.939999999</v>
      </c>
      <c r="L14" s="37">
        <f>'Berekening operationele kosten'!L188</f>
        <v>0</v>
      </c>
      <c r="M14" s="37">
        <f>'Berekening operationele kosten'!M188</f>
        <v>15702913</v>
      </c>
      <c r="N14" s="37">
        <f>'Berekening operationele kosten'!N188</f>
        <v>26024</v>
      </c>
    </row>
    <row r="15" spans="2:16">
      <c r="B15" t="s">
        <v>115</v>
      </c>
      <c r="D15" t="s">
        <v>181</v>
      </c>
      <c r="F15" s="106">
        <f>SUM(G15:N15)</f>
        <v>2000</v>
      </c>
      <c r="G15" s="37">
        <f>'Berekening operationele kosten'!G189</f>
        <v>2000</v>
      </c>
      <c r="H15" s="37">
        <f>'Berekening operationele kosten'!H189</f>
        <v>0</v>
      </c>
      <c r="I15" s="37">
        <f>'Berekening operationele kosten'!I189</f>
        <v>0</v>
      </c>
      <c r="J15" s="37">
        <f>'Berekening operationele kosten'!J189</f>
        <v>0</v>
      </c>
      <c r="K15" s="37">
        <f>'Berekening operationele kosten'!K189</f>
        <v>0</v>
      </c>
      <c r="L15" s="37">
        <f>'Berekening operationele kosten'!L189</f>
        <v>0</v>
      </c>
      <c r="M15" s="37">
        <f>'Berekening operationele kosten'!M189</f>
        <v>0</v>
      </c>
      <c r="N15" s="37">
        <f>'Berekening operationele kosten'!N189</f>
        <v>0</v>
      </c>
    </row>
    <row r="16" spans="2:16">
      <c r="B16" t="s">
        <v>195</v>
      </c>
      <c r="D16" t="s">
        <v>181</v>
      </c>
      <c r="F16" s="106">
        <f>SUM(G16:N16)</f>
        <v>328469196.11000001</v>
      </c>
      <c r="G16" s="37">
        <f>'Berekening operationele kosten'!G178</f>
        <v>0</v>
      </c>
      <c r="H16" s="37">
        <f>'Berekening operationele kosten'!H178</f>
        <v>9918649.5800000001</v>
      </c>
      <c r="I16" s="37">
        <f>'Berekening operationele kosten'!I178</f>
        <v>0</v>
      </c>
      <c r="J16" s="37">
        <f>'Berekening operationele kosten'!J178</f>
        <v>129166000</v>
      </c>
      <c r="K16" s="37">
        <f>'Berekening operationele kosten'!K178</f>
        <v>114647694.47</v>
      </c>
      <c r="L16" s="37">
        <f>'Berekening operationele kosten'!L178</f>
        <v>0</v>
      </c>
      <c r="M16" s="37">
        <f>'Berekening operationele kosten'!M178</f>
        <v>69138852.060000002</v>
      </c>
      <c r="N16" s="37">
        <f>'Berekening operationele kosten'!N178</f>
        <v>5598000</v>
      </c>
    </row>
    <row r="17" spans="2:16">
      <c r="B17" t="s">
        <v>196</v>
      </c>
      <c r="D17" t="s">
        <v>181</v>
      </c>
      <c r="F17" s="106">
        <f>SUM(G17:N17)</f>
        <v>18560783.280000001</v>
      </c>
      <c r="G17" s="37">
        <f>'Berekening operationele kosten'!G179</f>
        <v>3045000</v>
      </c>
      <c r="H17" s="37">
        <f>'Berekening operationele kosten'!H179</f>
        <v>41425</v>
      </c>
      <c r="I17" s="37">
        <f>'Berekening operationele kosten'!I179</f>
        <v>6624716.3400000008</v>
      </c>
      <c r="J17" s="37">
        <f>'Berekening operationele kosten'!J179</f>
        <v>1027000</v>
      </c>
      <c r="K17" s="37">
        <f>'Berekening operationele kosten'!K179</f>
        <v>708815</v>
      </c>
      <c r="L17" s="37">
        <f>'Berekening operationele kosten'!L179</f>
        <v>1836719</v>
      </c>
      <c r="M17" s="37">
        <f>'Berekening operationele kosten'!M179</f>
        <v>4443042.55</v>
      </c>
      <c r="N17" s="37">
        <f>'Berekening operationele kosten'!N179</f>
        <v>834065.39</v>
      </c>
    </row>
    <row r="18" spans="2:16">
      <c r="B18" s="50" t="s">
        <v>331</v>
      </c>
      <c r="D18" t="s">
        <v>181</v>
      </c>
      <c r="F18" s="106">
        <f>SUM(G18:N18)</f>
        <v>7133100.0584022803</v>
      </c>
      <c r="G18" s="116">
        <f>'Berekening operationele kosten'!G192</f>
        <v>52000</v>
      </c>
      <c r="H18" s="116">
        <f>'Berekening operationele kosten'!H192</f>
        <v>196070.65540000005</v>
      </c>
      <c r="I18" s="116">
        <f>'Berekening operationele kosten'!I192</f>
        <v>85388.18399999995</v>
      </c>
      <c r="J18" s="116">
        <f>'Berekening operationele kosten'!J192</f>
        <v>2430129.2954398002</v>
      </c>
      <c r="K18" s="116">
        <f>'Berekening operationele kosten'!K192</f>
        <v>2580293.2308380585</v>
      </c>
      <c r="L18" s="116">
        <f>'Berekening operationele kosten'!L192</f>
        <v>29469.583077709256</v>
      </c>
      <c r="M18" s="116">
        <f>'Berekening operationele kosten'!M192</f>
        <v>1689715.1152390735</v>
      </c>
      <c r="N18" s="116">
        <f>'Berekening operationele kosten'!N192</f>
        <v>70033.994407639329</v>
      </c>
    </row>
    <row r="19" spans="2:16">
      <c r="F19" s="46"/>
    </row>
    <row r="20" spans="2:16">
      <c r="B20" s="50" t="s">
        <v>576</v>
      </c>
      <c r="D20" t="s">
        <v>181</v>
      </c>
      <c r="F20" s="106">
        <f>SUM(G20:N20)</f>
        <v>1044158577.9186922</v>
      </c>
      <c r="G20" s="37">
        <f>'Berekening kapitaalkosten'!G138</f>
        <v>5794642.5674332082</v>
      </c>
      <c r="H20" s="37">
        <f>'Berekening kapitaalkosten'!H138</f>
        <v>27036797.263714079</v>
      </c>
      <c r="I20" s="37">
        <f>'Berekening kapitaalkosten'!I138</f>
        <v>12728452.040766489</v>
      </c>
      <c r="J20" s="37">
        <f>'Berekening kapitaalkosten'!J138</f>
        <v>358135239.37249863</v>
      </c>
      <c r="K20" s="37">
        <f>'Berekening kapitaalkosten'!K138</f>
        <v>335065494.6943329</v>
      </c>
      <c r="L20" s="37">
        <f>'Berekening kapitaalkosten'!L138</f>
        <v>4885988.7652300075</v>
      </c>
      <c r="M20" s="37">
        <f>'Berekening kapitaalkosten'!M138</f>
        <v>279704385.84396899</v>
      </c>
      <c r="N20" s="37">
        <f>'Berekening kapitaalkosten'!N138</f>
        <v>20807577.370747976</v>
      </c>
    </row>
    <row r="21" spans="2:16">
      <c r="B21" s="50" t="s">
        <v>577</v>
      </c>
      <c r="D21" t="s">
        <v>181</v>
      </c>
      <c r="F21" s="106">
        <f>SUM(G21:N21)</f>
        <v>1907786.4705063547</v>
      </c>
      <c r="G21" s="37">
        <f>'Berekening kapitaalkosten'!G139</f>
        <v>961147.8609582613</v>
      </c>
      <c r="H21" s="37">
        <f>'Berekening kapitaalkosten'!H139</f>
        <v>0</v>
      </c>
      <c r="I21" s="37">
        <f>'Berekening kapitaalkosten'!I139</f>
        <v>0</v>
      </c>
      <c r="J21" s="37">
        <f>'Berekening kapitaalkosten'!J139</f>
        <v>0</v>
      </c>
      <c r="K21" s="37">
        <f>'Berekening kapitaalkosten'!K139</f>
        <v>0</v>
      </c>
      <c r="L21" s="37">
        <f>'Berekening kapitaalkosten'!L139</f>
        <v>946638.60954809329</v>
      </c>
      <c r="M21" s="37">
        <f>'Berekening kapitaalkosten'!M139</f>
        <v>0</v>
      </c>
      <c r="N21" s="37">
        <f>'Berekening kapitaalkosten'!N139</f>
        <v>0</v>
      </c>
    </row>
    <row r="22" spans="2:16">
      <c r="F22" s="46"/>
    </row>
    <row r="23" spans="2:16">
      <c r="B23" s="13" t="s">
        <v>92</v>
      </c>
      <c r="D23" t="s">
        <v>181</v>
      </c>
      <c r="F23" s="21">
        <f>SUM(G23:N23)</f>
        <v>113490347.51854995</v>
      </c>
      <c r="G23" s="37">
        <f>'Berekening vergoedingen EAV'!G154</f>
        <v>365289.12999999995</v>
      </c>
      <c r="H23" s="37">
        <f>'Berekening vergoedingen EAV'!H154</f>
        <v>3014865.4489000002</v>
      </c>
      <c r="I23" s="37">
        <f>'Berekening vergoedingen EAV'!I154</f>
        <v>886550.08200000005</v>
      </c>
      <c r="J23" s="37">
        <f>'Berekening vergoedingen EAV'!J154</f>
        <v>40523444.829999983</v>
      </c>
      <c r="K23" s="37">
        <f>'Berekening vergoedingen EAV'!K154</f>
        <v>40653688.729999997</v>
      </c>
      <c r="L23" s="37">
        <f>'Berekening vergoedingen EAV'!L154</f>
        <v>654165.87265000003</v>
      </c>
      <c r="M23" s="37">
        <f>'Berekening vergoedingen EAV'!M154</f>
        <v>25390050.579999983</v>
      </c>
      <c r="N23" s="37">
        <f>'Berekening vergoedingen EAV'!N154</f>
        <v>2002292.8449999997</v>
      </c>
    </row>
    <row r="24" spans="2:16">
      <c r="F24" s="46"/>
    </row>
    <row r="25" spans="2:16">
      <c r="F25" s="46"/>
    </row>
    <row r="26" spans="2:16">
      <c r="B26" s="3" t="s">
        <v>581</v>
      </c>
      <c r="F26" s="46"/>
    </row>
    <row r="27" spans="2:16">
      <c r="F27" s="46"/>
    </row>
    <row r="28" spans="2:16">
      <c r="B28" s="50" t="s">
        <v>578</v>
      </c>
      <c r="D28" t="s">
        <v>181</v>
      </c>
      <c r="F28" s="106">
        <f>SUM(G28:N28)</f>
        <v>2533354754.9448533</v>
      </c>
      <c r="G28" s="21">
        <f>G12+G20+G21+G23</f>
        <v>14738425.288391471</v>
      </c>
      <c r="H28" s="21">
        <f t="shared" ref="H28:N28" si="0">H12+H20+H21+H23</f>
        <v>69447930.303108618</v>
      </c>
      <c r="I28" s="21">
        <f t="shared" si="0"/>
        <v>29026545.906852122</v>
      </c>
      <c r="J28" s="21">
        <f t="shared" si="0"/>
        <v>818302345.15408111</v>
      </c>
      <c r="K28" s="21">
        <f t="shared" si="0"/>
        <v>899366559.9220407</v>
      </c>
      <c r="L28" s="21">
        <f t="shared" si="0"/>
        <v>11160702.777169848</v>
      </c>
      <c r="M28" s="21">
        <f t="shared" si="0"/>
        <v>647037997.35430956</v>
      </c>
      <c r="N28" s="21">
        <f t="shared" si="0"/>
        <v>44274248.238899834</v>
      </c>
      <c r="P28" s="50" t="s">
        <v>443</v>
      </c>
    </row>
    <row r="29" spans="2:16">
      <c r="B29" s="13" t="s">
        <v>113</v>
      </c>
      <c r="F29" s="46"/>
    </row>
    <row r="30" spans="2:16">
      <c r="B30" s="50" t="s">
        <v>579</v>
      </c>
      <c r="D30" t="s">
        <v>181</v>
      </c>
      <c r="F30" s="106">
        <f>SUM(G30:N30)</f>
        <v>34874860.910506353</v>
      </c>
      <c r="G30" s="21">
        <f t="shared" ref="G30:N30" si="1">G14+G15+G21</f>
        <v>963147.8609582613</v>
      </c>
      <c r="H30" s="21">
        <f t="shared" si="1"/>
        <v>481846.5</v>
      </c>
      <c r="I30" s="21">
        <f t="shared" si="1"/>
        <v>0</v>
      </c>
      <c r="J30" s="21">
        <f t="shared" si="1"/>
        <v>1730000</v>
      </c>
      <c r="K30" s="21">
        <f t="shared" si="1"/>
        <v>15024290.939999999</v>
      </c>
      <c r="L30" s="21">
        <f t="shared" si="1"/>
        <v>946638.60954809329</v>
      </c>
      <c r="M30" s="21">
        <f t="shared" si="1"/>
        <v>15702913</v>
      </c>
      <c r="N30" s="21">
        <f t="shared" si="1"/>
        <v>26024</v>
      </c>
    </row>
    <row r="31" spans="2:16">
      <c r="B31" s="13" t="s">
        <v>340</v>
      </c>
      <c r="D31" t="s">
        <v>181</v>
      </c>
      <c r="F31" s="106">
        <f>SUM(G31:N31)</f>
        <v>347029979.38999999</v>
      </c>
      <c r="G31" s="21">
        <f t="shared" ref="G31:N31" si="2">G16+G17</f>
        <v>3045000</v>
      </c>
      <c r="H31" s="21">
        <f t="shared" si="2"/>
        <v>9960074.5800000001</v>
      </c>
      <c r="I31" s="21">
        <f t="shared" si="2"/>
        <v>6624716.3400000008</v>
      </c>
      <c r="J31" s="21">
        <f t="shared" si="2"/>
        <v>130193000</v>
      </c>
      <c r="K31" s="21">
        <f t="shared" si="2"/>
        <v>115356509.47</v>
      </c>
      <c r="L31" s="21">
        <f t="shared" si="2"/>
        <v>1836719</v>
      </c>
      <c r="M31" s="21">
        <f t="shared" si="2"/>
        <v>73581894.609999999</v>
      </c>
      <c r="N31" s="21">
        <f t="shared" si="2"/>
        <v>6432065.3899999997</v>
      </c>
    </row>
    <row r="32" spans="2:16">
      <c r="B32" s="50" t="s">
        <v>331</v>
      </c>
      <c r="D32" t="s">
        <v>181</v>
      </c>
      <c r="F32" s="106">
        <f>SUM(G32:N32)</f>
        <v>7133100.0584022803</v>
      </c>
      <c r="G32" s="156">
        <f>G18</f>
        <v>52000</v>
      </c>
      <c r="H32" s="156">
        <f t="shared" ref="H32:N32" si="3">H18</f>
        <v>196070.65540000005</v>
      </c>
      <c r="I32" s="156">
        <f t="shared" si="3"/>
        <v>85388.18399999995</v>
      </c>
      <c r="J32" s="156">
        <f t="shared" si="3"/>
        <v>2430129.2954398002</v>
      </c>
      <c r="K32" s="156">
        <f t="shared" si="3"/>
        <v>2580293.2308380585</v>
      </c>
      <c r="L32" s="156">
        <f t="shared" si="3"/>
        <v>29469.583077709256</v>
      </c>
      <c r="M32" s="156">
        <f t="shared" si="3"/>
        <v>1689715.1152390735</v>
      </c>
      <c r="N32" s="156">
        <f t="shared" si="3"/>
        <v>70033.994407639329</v>
      </c>
    </row>
    <row r="33" spans="2:14">
      <c r="F33" s="46"/>
    </row>
    <row r="34" spans="2:14">
      <c r="F34" s="46"/>
    </row>
    <row r="35" spans="2:14" s="2" customFormat="1">
      <c r="B35" s="2" t="s">
        <v>573</v>
      </c>
      <c r="F35" s="48"/>
    </row>
    <row r="36" spans="2:14">
      <c r="F36" s="46"/>
    </row>
    <row r="37" spans="2:14">
      <c r="B37" s="3" t="s">
        <v>112</v>
      </c>
      <c r="F37" s="46"/>
    </row>
    <row r="38" spans="2:14">
      <c r="F38" s="46"/>
    </row>
    <row r="39" spans="2:14">
      <c r="B39" t="s">
        <v>116</v>
      </c>
      <c r="D39" t="s">
        <v>182</v>
      </c>
      <c r="F39" s="106">
        <f>SUM(G39:N39)</f>
        <v>1412041063.1100235</v>
      </c>
      <c r="G39" s="37">
        <f>'Berekening operationele kosten'!G292</f>
        <v>7809269.4143000003</v>
      </c>
      <c r="H39" s="37">
        <f>'Berekening operationele kosten'!H292</f>
        <v>36678657.971851148</v>
      </c>
      <c r="I39" s="37">
        <f>'Berekening operationele kosten'!I292</f>
        <v>18298571.173812721</v>
      </c>
      <c r="J39" s="37">
        <f>'Berekening operationele kosten'!J292</f>
        <v>425474476.63812006</v>
      </c>
      <c r="K39" s="37">
        <f>'Berekening operationele kosten'!K292</f>
        <v>557901734.75875843</v>
      </c>
      <c r="L39" s="37">
        <f>'Berekening operationele kosten'!L292</f>
        <v>4935895.5099999988</v>
      </c>
      <c r="M39" s="37">
        <f>'Berekening operationele kosten'!M292</f>
        <v>339621167.09892112</v>
      </c>
      <c r="N39" s="37">
        <f>'Berekening operationele kosten'!N292</f>
        <v>21321290.544259999</v>
      </c>
    </row>
    <row r="40" spans="2:14">
      <c r="B40" t="s">
        <v>113</v>
      </c>
      <c r="F40" s="46"/>
    </row>
    <row r="41" spans="2:14">
      <c r="B41" t="s">
        <v>114</v>
      </c>
      <c r="D41" t="s">
        <v>182</v>
      </c>
      <c r="F41" s="106">
        <f>SUM(G41:N41)</f>
        <v>37381340.960763238</v>
      </c>
      <c r="G41" s="37">
        <f>'Berekening operationele kosten'!G284</f>
        <v>0</v>
      </c>
      <c r="H41" s="37">
        <f>'Berekening operationele kosten'!H284</f>
        <v>821971.5</v>
      </c>
      <c r="I41" s="37">
        <f>'Berekening operationele kosten'!I284</f>
        <v>0</v>
      </c>
      <c r="J41" s="37">
        <f>'Berekening operationele kosten'!J284</f>
        <v>1750320</v>
      </c>
      <c r="K41" s="37">
        <f>'Berekening operationele kosten'!K284</f>
        <v>18867648.890763242</v>
      </c>
      <c r="L41" s="37">
        <f>'Berekening operationele kosten'!L284</f>
        <v>0</v>
      </c>
      <c r="M41" s="37">
        <f>'Berekening operationele kosten'!M284</f>
        <v>15909316</v>
      </c>
      <c r="N41" s="37">
        <f>'Berekening operationele kosten'!N284</f>
        <v>32084.57</v>
      </c>
    </row>
    <row r="42" spans="2:14">
      <c r="B42" t="s">
        <v>115</v>
      </c>
      <c r="D42" t="s">
        <v>182</v>
      </c>
      <c r="F42" s="106">
        <f>SUM(G42:N42)</f>
        <v>4642</v>
      </c>
      <c r="G42" s="37">
        <f>'Berekening operationele kosten'!G285</f>
        <v>4642</v>
      </c>
      <c r="H42" s="37">
        <f>'Berekening operationele kosten'!H285</f>
        <v>0</v>
      </c>
      <c r="I42" s="37">
        <f>'Berekening operationele kosten'!I285</f>
        <v>0</v>
      </c>
      <c r="J42" s="37">
        <f>'Berekening operationele kosten'!J285</f>
        <v>0</v>
      </c>
      <c r="K42" s="37">
        <f>'Berekening operationele kosten'!K285</f>
        <v>0</v>
      </c>
      <c r="L42" s="37">
        <f>'Berekening operationele kosten'!L285</f>
        <v>0</v>
      </c>
      <c r="M42" s="37">
        <f>'Berekening operationele kosten'!M285</f>
        <v>0</v>
      </c>
      <c r="N42" s="37">
        <f>'Berekening operationele kosten'!N285</f>
        <v>0</v>
      </c>
    </row>
    <row r="43" spans="2:14">
      <c r="B43" t="s">
        <v>195</v>
      </c>
      <c r="D43" t="s">
        <v>182</v>
      </c>
      <c r="F43" s="106">
        <f>SUM(G43:N43)</f>
        <v>352669240.13542116</v>
      </c>
      <c r="G43" s="37">
        <f>'Berekening operationele kosten'!G274</f>
        <v>0</v>
      </c>
      <c r="H43" s="37">
        <f>'Berekening operationele kosten'!H274</f>
        <v>8134496.3854211643</v>
      </c>
      <c r="I43" s="37">
        <f>'Berekening operationele kosten'!I274</f>
        <v>0</v>
      </c>
      <c r="J43" s="37">
        <f>'Berekening operationele kosten'!J274</f>
        <v>144636526.41999999</v>
      </c>
      <c r="K43" s="37">
        <f>'Berekening operationele kosten'!K274</f>
        <v>119811255.33</v>
      </c>
      <c r="L43" s="37">
        <f>'Berekening operationele kosten'!L274</f>
        <v>0</v>
      </c>
      <c r="M43" s="37">
        <f>'Berekening operationele kosten'!M274</f>
        <v>73239608</v>
      </c>
      <c r="N43" s="37">
        <f>'Berekening operationele kosten'!N274</f>
        <v>6847354</v>
      </c>
    </row>
    <row r="44" spans="2:14">
      <c r="B44" t="s">
        <v>196</v>
      </c>
      <c r="D44" t="s">
        <v>182</v>
      </c>
      <c r="F44" s="106">
        <f>SUM(G44:N44)</f>
        <v>19341881.041000001</v>
      </c>
      <c r="G44" s="37">
        <f>'Berekening operationele kosten'!G275</f>
        <v>3205889</v>
      </c>
      <c r="H44" s="37">
        <f>'Berekening operationele kosten'!H275</f>
        <v>0</v>
      </c>
      <c r="I44" s="37">
        <f>'Berekening operationele kosten'!I275</f>
        <v>6785819.2400000002</v>
      </c>
      <c r="J44" s="37">
        <f>'Berekening operationele kosten'!J275</f>
        <v>1725180.5109999999</v>
      </c>
      <c r="K44" s="37">
        <f>'Berekening operationele kosten'!K275</f>
        <v>747734.48999999987</v>
      </c>
      <c r="L44" s="37">
        <f>'Berekening operationele kosten'!L275</f>
        <v>1974084.8</v>
      </c>
      <c r="M44" s="37">
        <f>'Berekening operationele kosten'!M275</f>
        <v>4752515</v>
      </c>
      <c r="N44" s="37">
        <f>'Berekening operationele kosten'!N275</f>
        <v>150658</v>
      </c>
    </row>
    <row r="45" spans="2:14">
      <c r="B45" s="50" t="s">
        <v>331</v>
      </c>
      <c r="D45" t="s">
        <v>182</v>
      </c>
      <c r="F45" s="106">
        <f>SUM(G45:N45)</f>
        <v>8022665.5678633489</v>
      </c>
      <c r="G45" s="116">
        <f>'Berekening operationele kosten'!G288</f>
        <v>55891.670000000006</v>
      </c>
      <c r="H45" s="116">
        <f>'Berekening operationele kosten'!H288</f>
        <v>193754.88647000003</v>
      </c>
      <c r="I45" s="116">
        <f>'Berekening operationele kosten'!I288</f>
        <v>90141.403460864283</v>
      </c>
      <c r="J45" s="116">
        <f>'Berekening operationele kosten'!J288</f>
        <v>2854779.6157059204</v>
      </c>
      <c r="K45" s="116">
        <f>'Berekening operationele kosten'!K288</f>
        <v>2889310.0987137407</v>
      </c>
      <c r="L45" s="116">
        <f>'Berekening operationele kosten'!L288</f>
        <v>32445.09</v>
      </c>
      <c r="M45" s="116">
        <f>'Berekening operationele kosten'!M288</f>
        <v>1834913.7005999999</v>
      </c>
      <c r="N45" s="116">
        <f>'Berekening operationele kosten'!N288</f>
        <v>71429.102912824033</v>
      </c>
    </row>
    <row r="46" spans="2:14">
      <c r="F46" s="46"/>
    </row>
    <row r="47" spans="2:14">
      <c r="B47" s="50" t="s">
        <v>576</v>
      </c>
      <c r="D47" t="s">
        <v>182</v>
      </c>
      <c r="F47" s="106">
        <f>SUM(G47:N47)</f>
        <v>1091706139.0451226</v>
      </c>
      <c r="G47" s="37">
        <f>'Berekening kapitaalkosten'!G203</f>
        <v>6079751.0208553467</v>
      </c>
      <c r="H47" s="37">
        <f>'Berekening kapitaalkosten'!H203</f>
        <v>28207626.776186582</v>
      </c>
      <c r="I47" s="37">
        <f>'Berekening kapitaalkosten'!I203</f>
        <v>12664958.968312843</v>
      </c>
      <c r="J47" s="37">
        <f>'Berekening kapitaalkosten'!J203</f>
        <v>382275815.09049267</v>
      </c>
      <c r="K47" s="37">
        <f>'Berekening kapitaalkosten'!K203</f>
        <v>342473255.93209618</v>
      </c>
      <c r="L47" s="37">
        <f>'Berekening kapitaalkosten'!L203</f>
        <v>4832048.2325379672</v>
      </c>
      <c r="M47" s="37">
        <f>'Berekening kapitaalkosten'!M203</f>
        <v>292345279.82814288</v>
      </c>
      <c r="N47" s="37">
        <f>'Berekening kapitaalkosten'!N203</f>
        <v>22827403.196498111</v>
      </c>
    </row>
    <row r="48" spans="2:14">
      <c r="B48" s="50" t="s">
        <v>577</v>
      </c>
      <c r="D48" t="s">
        <v>182</v>
      </c>
      <c r="F48" s="106">
        <f>SUM(G48:N48)</f>
        <v>921017.35466801131</v>
      </c>
      <c r="G48" s="37">
        <f>'Berekening kapitaalkosten'!G204</f>
        <v>-1.9017457516075957E-10</v>
      </c>
      <c r="H48" s="37">
        <f>'Berekening kapitaalkosten'!H204</f>
        <v>0</v>
      </c>
      <c r="I48" s="37">
        <f>'Berekening kapitaalkosten'!I204</f>
        <v>0</v>
      </c>
      <c r="J48" s="37">
        <f>'Berekening kapitaalkosten'!J204</f>
        <v>0</v>
      </c>
      <c r="K48" s="37">
        <f>'Berekening kapitaalkosten'!K204</f>
        <v>0</v>
      </c>
      <c r="L48" s="37">
        <f>'Berekening kapitaalkosten'!L204</f>
        <v>921017.35466801154</v>
      </c>
      <c r="M48" s="37">
        <f>'Berekening kapitaalkosten'!M204</f>
        <v>0</v>
      </c>
      <c r="N48" s="37">
        <f>'Berekening kapitaalkosten'!N204</f>
        <v>0</v>
      </c>
    </row>
    <row r="49" spans="2:16">
      <c r="F49" s="46"/>
    </row>
    <row r="50" spans="2:16">
      <c r="B50" s="13" t="s">
        <v>92</v>
      </c>
      <c r="D50" t="s">
        <v>182</v>
      </c>
      <c r="F50" s="21">
        <f>SUM(G50:N50)</f>
        <v>119816581.86251201</v>
      </c>
      <c r="G50" s="37">
        <f>'Berekening vergoedingen EAV'!G155</f>
        <v>835747.23</v>
      </c>
      <c r="H50" s="37">
        <f>'Berekening vergoedingen EAV'!H155</f>
        <v>3073798.92</v>
      </c>
      <c r="I50" s="37">
        <f>'Berekening vergoedingen EAV'!I155</f>
        <v>1460015.8825120002</v>
      </c>
      <c r="J50" s="37">
        <f>'Berekening vergoedingen EAV'!J155</f>
        <v>37939341.859999999</v>
      </c>
      <c r="K50" s="37">
        <f>'Berekening vergoedingen EAV'!K155</f>
        <v>50108572.619999997</v>
      </c>
      <c r="L50" s="37">
        <f>'Berekening vergoedingen EAV'!L155</f>
        <v>489293.91</v>
      </c>
      <c r="M50" s="37">
        <f>'Berekening vergoedingen EAV'!M155</f>
        <v>23792226.800000004</v>
      </c>
      <c r="N50" s="37">
        <f>'Berekening vergoedingen EAV'!N155</f>
        <v>2117584.64</v>
      </c>
    </row>
    <row r="51" spans="2:16">
      <c r="F51" s="46"/>
    </row>
    <row r="52" spans="2:16">
      <c r="F52" s="46"/>
    </row>
    <row r="53" spans="2:16">
      <c r="B53" s="3" t="s">
        <v>581</v>
      </c>
      <c r="F53" s="46"/>
    </row>
    <row r="54" spans="2:16">
      <c r="F54" s="46"/>
    </row>
    <row r="55" spans="2:16">
      <c r="B55" s="50" t="s">
        <v>578</v>
      </c>
      <c r="D55" t="s">
        <v>182</v>
      </c>
      <c r="F55" s="106">
        <f>SUM(G55:N55)</f>
        <v>2624484801.3723259</v>
      </c>
      <c r="G55" s="21">
        <f>G39+G47+G48+G50</f>
        <v>14724767.665155347</v>
      </c>
      <c r="H55" s="21">
        <f t="shared" ref="H55:N55" si="4">H39+H47+H48+H50</f>
        <v>67960083.668037727</v>
      </c>
      <c r="I55" s="21">
        <f t="shared" si="4"/>
        <v>32423546.024637561</v>
      </c>
      <c r="J55" s="21">
        <f t="shared" si="4"/>
        <v>845689633.58861268</v>
      </c>
      <c r="K55" s="21">
        <f t="shared" si="4"/>
        <v>950483563.31085455</v>
      </c>
      <c r="L55" s="21">
        <f t="shared" si="4"/>
        <v>11178255.007205978</v>
      </c>
      <c r="M55" s="21">
        <f t="shared" si="4"/>
        <v>655758673.72706389</v>
      </c>
      <c r="N55" s="21">
        <f t="shared" si="4"/>
        <v>46266278.380758107</v>
      </c>
      <c r="P55" s="50" t="s">
        <v>443</v>
      </c>
    </row>
    <row r="56" spans="2:16">
      <c r="B56" s="13" t="s">
        <v>113</v>
      </c>
      <c r="F56" s="46"/>
    </row>
    <row r="57" spans="2:16">
      <c r="B57" s="50" t="s">
        <v>579</v>
      </c>
      <c r="D57" t="s">
        <v>182</v>
      </c>
      <c r="F57" s="106">
        <f>SUM(G57:N57)</f>
        <v>38307000.315431252</v>
      </c>
      <c r="G57" s="21">
        <f t="shared" ref="G57:N57" si="5">G41+G42+G48</f>
        <v>4641.9999999998099</v>
      </c>
      <c r="H57" s="21">
        <f t="shared" si="5"/>
        <v>821971.5</v>
      </c>
      <c r="I57" s="21">
        <f t="shared" si="5"/>
        <v>0</v>
      </c>
      <c r="J57" s="21">
        <f t="shared" si="5"/>
        <v>1750320</v>
      </c>
      <c r="K57" s="21">
        <f t="shared" si="5"/>
        <v>18867648.890763242</v>
      </c>
      <c r="L57" s="21">
        <f t="shared" si="5"/>
        <v>921017.35466801154</v>
      </c>
      <c r="M57" s="21">
        <f t="shared" si="5"/>
        <v>15909316</v>
      </c>
      <c r="N57" s="21">
        <f t="shared" si="5"/>
        <v>32084.57</v>
      </c>
    </row>
    <row r="58" spans="2:16">
      <c r="B58" s="13" t="s">
        <v>340</v>
      </c>
      <c r="D58" t="s">
        <v>182</v>
      </c>
      <c r="F58" s="106">
        <f>SUM(G58:N58)</f>
        <v>372011121.17642117</v>
      </c>
      <c r="G58" s="21">
        <f t="shared" ref="G58:N58" si="6">G43+G44</f>
        <v>3205889</v>
      </c>
      <c r="H58" s="21">
        <f t="shared" si="6"/>
        <v>8134496.3854211643</v>
      </c>
      <c r="I58" s="21">
        <f t="shared" si="6"/>
        <v>6785819.2400000002</v>
      </c>
      <c r="J58" s="21">
        <f t="shared" si="6"/>
        <v>146361706.93099999</v>
      </c>
      <c r="K58" s="21">
        <f t="shared" si="6"/>
        <v>120558989.81999999</v>
      </c>
      <c r="L58" s="21">
        <f t="shared" si="6"/>
        <v>1974084.8</v>
      </c>
      <c r="M58" s="21">
        <f t="shared" si="6"/>
        <v>77992123</v>
      </c>
      <c r="N58" s="21">
        <f t="shared" si="6"/>
        <v>6998012</v>
      </c>
    </row>
    <row r="59" spans="2:16">
      <c r="B59" s="50" t="s">
        <v>331</v>
      </c>
      <c r="D59" t="s">
        <v>182</v>
      </c>
      <c r="F59" s="106">
        <f>SUM(G59:N59)</f>
        <v>8022665.5678633489</v>
      </c>
      <c r="G59" s="156">
        <f>G45</f>
        <v>55891.670000000006</v>
      </c>
      <c r="H59" s="156">
        <f t="shared" ref="H59:N59" si="7">H45</f>
        <v>193754.88647000003</v>
      </c>
      <c r="I59" s="156">
        <f t="shared" si="7"/>
        <v>90141.403460864283</v>
      </c>
      <c r="J59" s="156">
        <f t="shared" si="7"/>
        <v>2854779.6157059204</v>
      </c>
      <c r="K59" s="156">
        <f t="shared" si="7"/>
        <v>2889310.0987137407</v>
      </c>
      <c r="L59" s="156">
        <f t="shared" si="7"/>
        <v>32445.09</v>
      </c>
      <c r="M59" s="156">
        <f t="shared" si="7"/>
        <v>1834913.7005999999</v>
      </c>
      <c r="N59" s="156">
        <f t="shared" si="7"/>
        <v>71429.102912824033</v>
      </c>
    </row>
    <row r="60" spans="2:16">
      <c r="F60" s="46"/>
    </row>
    <row r="61" spans="2:16">
      <c r="F61" s="46"/>
    </row>
    <row r="62" spans="2:16" s="2" customFormat="1">
      <c r="B62" s="2" t="s">
        <v>574</v>
      </c>
      <c r="F62" s="48"/>
    </row>
    <row r="63" spans="2:16">
      <c r="F63" s="46"/>
    </row>
    <row r="64" spans="2:16">
      <c r="B64" s="3" t="s">
        <v>112</v>
      </c>
      <c r="F64" s="46"/>
    </row>
    <row r="65" spans="2:14">
      <c r="F65" s="46"/>
    </row>
    <row r="66" spans="2:14">
      <c r="B66" t="s">
        <v>116</v>
      </c>
      <c r="D66" t="s">
        <v>183</v>
      </c>
      <c r="F66" s="106">
        <f>SUM(G66:N66)</f>
        <v>1490016971.9453657</v>
      </c>
      <c r="G66" s="37">
        <f>'Berekening operationele kosten'!G388</f>
        <v>8725906.2597095966</v>
      </c>
      <c r="H66" s="37">
        <f>'Berekening operationele kosten'!H388</f>
        <v>40545300.71939446</v>
      </c>
      <c r="I66" s="37">
        <f>'Berekening operationele kosten'!I388</f>
        <v>17919942.691273496</v>
      </c>
      <c r="J66" s="37">
        <f>'Berekening operationele kosten'!J388</f>
        <v>435461724.28706396</v>
      </c>
      <c r="K66" s="37">
        <f>'Berekening operationele kosten'!K388</f>
        <v>607033467.12528348</v>
      </c>
      <c r="L66" s="37">
        <f>'Berekening operationele kosten'!L388</f>
        <v>5004329.6756999996</v>
      </c>
      <c r="M66" s="37">
        <f>'Berekening operationele kosten'!M388</f>
        <v>353492144.72136015</v>
      </c>
      <c r="N66" s="37">
        <f>'Berekening operationele kosten'!N388</f>
        <v>21834156.465580445</v>
      </c>
    </row>
    <row r="67" spans="2:14">
      <c r="B67" t="s">
        <v>113</v>
      </c>
      <c r="F67" s="46"/>
    </row>
    <row r="68" spans="2:14">
      <c r="B68" t="s">
        <v>114</v>
      </c>
      <c r="D68" t="s">
        <v>183</v>
      </c>
      <c r="F68" s="106">
        <f>SUM(G68:N68)</f>
        <v>48807818.626913533</v>
      </c>
      <c r="G68" s="37">
        <f>'Berekening operationele kosten'!G380</f>
        <v>0</v>
      </c>
      <c r="H68" s="37">
        <f>'Berekening operationele kosten'!H380</f>
        <v>851761.6</v>
      </c>
      <c r="I68" s="37">
        <f>'Berekening operationele kosten'!I380</f>
        <v>0</v>
      </c>
      <c r="J68" s="37">
        <f>'Berekening operationele kosten'!J380</f>
        <v>1612169.4569135276</v>
      </c>
      <c r="K68" s="37">
        <f>'Berekening operationele kosten'!K380</f>
        <v>29496804.710000001</v>
      </c>
      <c r="L68" s="37">
        <f>'Berekening operationele kosten'!L380</f>
        <v>0</v>
      </c>
      <c r="M68" s="37">
        <f>'Berekening operationele kosten'!M380</f>
        <v>16832392</v>
      </c>
      <c r="N68" s="37">
        <f>'Berekening operationele kosten'!N380</f>
        <v>14690.86</v>
      </c>
    </row>
    <row r="69" spans="2:14">
      <c r="B69" t="s">
        <v>115</v>
      </c>
      <c r="D69" t="s">
        <v>183</v>
      </c>
      <c r="F69" s="106">
        <f>SUM(G69:N69)</f>
        <v>1484</v>
      </c>
      <c r="G69" s="37">
        <f>'Berekening operationele kosten'!G381</f>
        <v>1484</v>
      </c>
      <c r="H69" s="37">
        <f>'Berekening operationele kosten'!H381</f>
        <v>0</v>
      </c>
      <c r="I69" s="37">
        <f>'Berekening operationele kosten'!I381</f>
        <v>0</v>
      </c>
      <c r="J69" s="37">
        <f>'Berekening operationele kosten'!J381</f>
        <v>0</v>
      </c>
      <c r="K69" s="37">
        <f>'Berekening operationele kosten'!K381</f>
        <v>0</v>
      </c>
      <c r="L69" s="37">
        <f>'Berekening operationele kosten'!L381</f>
        <v>0</v>
      </c>
      <c r="M69" s="37">
        <f>'Berekening operationele kosten'!M381</f>
        <v>0</v>
      </c>
      <c r="N69" s="37">
        <f>'Berekening operationele kosten'!N381</f>
        <v>0</v>
      </c>
    </row>
    <row r="70" spans="2:14">
      <c r="B70" t="s">
        <v>195</v>
      </c>
      <c r="D70" t="s">
        <v>183</v>
      </c>
      <c r="F70" s="106">
        <f>SUM(G70:N70)</f>
        <v>355594186.6006127</v>
      </c>
      <c r="G70" s="37">
        <f>'Berekening operationele kosten'!G370</f>
        <v>0</v>
      </c>
      <c r="H70" s="37">
        <f>'Berekening operationele kosten'!H370</f>
        <v>8880192.4545788374</v>
      </c>
      <c r="I70" s="37">
        <f>'Berekening operationele kosten'!I370</f>
        <v>0</v>
      </c>
      <c r="J70" s="37">
        <f>'Berekening operationele kosten'!J370</f>
        <v>141855339.68000001</v>
      </c>
      <c r="K70" s="37">
        <f>'Berekening operationele kosten'!K370</f>
        <v>114575797.41666667</v>
      </c>
      <c r="L70" s="37">
        <f>'Berekening operationele kosten'!L370</f>
        <v>0</v>
      </c>
      <c r="M70" s="37">
        <f>'Berekening operationele kosten'!M370</f>
        <v>82955235.159999996</v>
      </c>
      <c r="N70" s="37">
        <f>'Berekening operationele kosten'!N370</f>
        <v>7327621.8893671352</v>
      </c>
    </row>
    <row r="71" spans="2:14">
      <c r="B71" t="s">
        <v>196</v>
      </c>
      <c r="D71" t="s">
        <v>183</v>
      </c>
      <c r="F71" s="106">
        <f>SUM(G71:N71)</f>
        <v>19900655.606179394</v>
      </c>
      <c r="G71" s="37">
        <f>'Berekening operationele kosten'!G371</f>
        <v>3258198</v>
      </c>
      <c r="H71" s="37">
        <f>'Berekening operationele kosten'!H371</f>
        <v>0</v>
      </c>
      <c r="I71" s="37">
        <f>'Berekening operationele kosten'!I371</f>
        <v>6890933.9199999999</v>
      </c>
      <c r="J71" s="37">
        <f>'Berekening operationele kosten'!J371</f>
        <v>701040.53364000004</v>
      </c>
      <c r="K71" s="37">
        <f>'Berekening operationele kosten'!K371</f>
        <v>757117.24166666681</v>
      </c>
      <c r="L71" s="37">
        <f>'Berekening operationele kosten'!L371</f>
        <v>2116603.44</v>
      </c>
      <c r="M71" s="37">
        <f>'Berekening operationele kosten'!M371</f>
        <v>6004607.2448727274</v>
      </c>
      <c r="N71" s="37">
        <f>'Berekening operationele kosten'!N371</f>
        <v>172155.22599999933</v>
      </c>
    </row>
    <row r="72" spans="2:14">
      <c r="B72" s="50" t="s">
        <v>331</v>
      </c>
      <c r="D72" t="s">
        <v>183</v>
      </c>
      <c r="F72" s="106">
        <f>SUM(G72:N72)</f>
        <v>8182035.3200101843</v>
      </c>
      <c r="G72" s="116">
        <f>'Berekening operationele kosten'!G384</f>
        <v>62769</v>
      </c>
      <c r="H72" s="116">
        <f>'Berekening operationele kosten'!H384</f>
        <v>235302.03012499999</v>
      </c>
      <c r="I72" s="116">
        <f>'Berekening operationele kosten'!I384</f>
        <v>102030.37893782025</v>
      </c>
      <c r="J72" s="116">
        <f>'Berekening operationele kosten'!J384</f>
        <v>2620948.3491235389</v>
      </c>
      <c r="K72" s="116">
        <f>'Berekening operationele kosten'!K384</f>
        <v>3025828.3042752063</v>
      </c>
      <c r="L72" s="116">
        <f>'Berekening operationele kosten'!L384</f>
        <v>22011.55</v>
      </c>
      <c r="M72" s="116">
        <f>'Berekening operationele kosten'!M384</f>
        <v>2071522.4875324718</v>
      </c>
      <c r="N72" s="116">
        <f>'Berekening operationele kosten'!N384</f>
        <v>41623.220016147228</v>
      </c>
    </row>
    <row r="73" spans="2:14">
      <c r="F73" s="46"/>
    </row>
    <row r="74" spans="2:14">
      <c r="B74" s="50" t="s">
        <v>576</v>
      </c>
      <c r="D74" t="s">
        <v>183</v>
      </c>
      <c r="F74" s="106">
        <f>SUM(G74:N74)</f>
        <v>1143768755.1168263</v>
      </c>
      <c r="G74" s="37">
        <f>'Berekening kapitaalkosten'!G267</f>
        <v>6386286.051110208</v>
      </c>
      <c r="H74" s="37">
        <f>'Berekening kapitaalkosten'!H267</f>
        <v>29699423.50979428</v>
      </c>
      <c r="I74" s="37">
        <f>'Berekening kapitaalkosten'!I267</f>
        <v>13611702.131426454</v>
      </c>
      <c r="J74" s="37">
        <f>'Berekening kapitaalkosten'!J267</f>
        <v>401650307.50911701</v>
      </c>
      <c r="K74" s="37">
        <f>'Berekening kapitaalkosten'!K267</f>
        <v>354651153.66564083</v>
      </c>
      <c r="L74" s="37">
        <f>'Berekening kapitaalkosten'!L267</f>
        <v>4792173.9650580287</v>
      </c>
      <c r="M74" s="37">
        <f>'Berekening kapitaalkosten'!M267</f>
        <v>309300960.80024475</v>
      </c>
      <c r="N74" s="37">
        <f>'Berekening kapitaalkosten'!N267</f>
        <v>23676747.48443472</v>
      </c>
    </row>
    <row r="75" spans="2:14">
      <c r="B75" s="50" t="s">
        <v>577</v>
      </c>
      <c r="D75" t="s">
        <v>183</v>
      </c>
      <c r="F75" s="106">
        <f>SUM(G75:N75)</f>
        <v>904107.63018147042</v>
      </c>
      <c r="G75" s="37">
        <f>'Berekening kapitaalkosten'!G268</f>
        <v>-1.9511911411493932E-10</v>
      </c>
      <c r="H75" s="37">
        <f>'Berekening kapitaalkosten'!H268</f>
        <v>0</v>
      </c>
      <c r="I75" s="37">
        <f>'Berekening kapitaalkosten'!I268</f>
        <v>0</v>
      </c>
      <c r="J75" s="37">
        <f>'Berekening kapitaalkosten'!J268</f>
        <v>0</v>
      </c>
      <c r="K75" s="37">
        <f>'Berekening kapitaalkosten'!K268</f>
        <v>0</v>
      </c>
      <c r="L75" s="37">
        <f>'Berekening kapitaalkosten'!L268</f>
        <v>904107.63018147065</v>
      </c>
      <c r="M75" s="37">
        <f>'Berekening kapitaalkosten'!M268</f>
        <v>0</v>
      </c>
      <c r="N75" s="37">
        <f>'Berekening kapitaalkosten'!N268</f>
        <v>0</v>
      </c>
    </row>
    <row r="76" spans="2:14">
      <c r="F76" s="46"/>
    </row>
    <row r="77" spans="2:14">
      <c r="B77" s="13" t="s">
        <v>92</v>
      </c>
      <c r="D77" t="s">
        <v>183</v>
      </c>
      <c r="F77" s="21">
        <f>SUM(G77:N77)</f>
        <v>121505998.104591</v>
      </c>
      <c r="G77" s="37">
        <f>'Berekening vergoedingen EAV'!G156</f>
        <v>415726.34000000008</v>
      </c>
      <c r="H77" s="37">
        <f>'Berekening vergoedingen EAV'!H156</f>
        <v>3101460.5700000003</v>
      </c>
      <c r="I77" s="37">
        <f>'Berekening vergoedingen EAV'!I156</f>
        <v>1700166.8500000003</v>
      </c>
      <c r="J77" s="37">
        <f>'Berekening vergoedingen EAV'!J156</f>
        <v>35782156.734590985</v>
      </c>
      <c r="K77" s="37">
        <f>'Berekening vergoedingen EAV'!K156</f>
        <v>52238193.199999996</v>
      </c>
      <c r="L77" s="37">
        <f>'Berekening vergoedingen EAV'!L156</f>
        <v>436888.25</v>
      </c>
      <c r="M77" s="37">
        <f>'Berekening vergoedingen EAV'!M156</f>
        <v>25871943.710000001</v>
      </c>
      <c r="N77" s="37">
        <f>'Berekening vergoedingen EAV'!N156</f>
        <v>1959462.45</v>
      </c>
    </row>
    <row r="78" spans="2:14">
      <c r="F78" s="46"/>
    </row>
    <row r="79" spans="2:14">
      <c r="F79" s="46"/>
    </row>
    <row r="80" spans="2:14">
      <c r="B80" s="3" t="s">
        <v>581</v>
      </c>
      <c r="F80" s="46"/>
    </row>
    <row r="81" spans="2:16">
      <c r="F81" s="46"/>
    </row>
    <row r="82" spans="2:16">
      <c r="B82" s="50" t="s">
        <v>578</v>
      </c>
      <c r="D82" t="s">
        <v>183</v>
      </c>
      <c r="F82" s="106">
        <f>SUM(G82:N82)</f>
        <v>2756195832.7969646</v>
      </c>
      <c r="G82" s="21">
        <f>G66+G74+G75+G77</f>
        <v>15527918.650819805</v>
      </c>
      <c r="H82" s="21">
        <f t="shared" ref="H82:N82" si="8">H66+H74+H75+H77</f>
        <v>73346184.799188733</v>
      </c>
      <c r="I82" s="21">
        <f t="shared" si="8"/>
        <v>33231811.672699951</v>
      </c>
      <c r="J82" s="21">
        <f t="shared" si="8"/>
        <v>872894188.53077197</v>
      </c>
      <c r="K82" s="21">
        <f t="shared" si="8"/>
        <v>1013922813.9909244</v>
      </c>
      <c r="L82" s="21">
        <f t="shared" si="8"/>
        <v>11137499.520939499</v>
      </c>
      <c r="M82" s="21">
        <f t="shared" si="8"/>
        <v>688665049.23160493</v>
      </c>
      <c r="N82" s="21">
        <f t="shared" si="8"/>
        <v>47470366.400015168</v>
      </c>
      <c r="P82" s="50" t="s">
        <v>443</v>
      </c>
    </row>
    <row r="83" spans="2:16">
      <c r="B83" s="13" t="s">
        <v>113</v>
      </c>
      <c r="F83" s="46"/>
    </row>
    <row r="84" spans="2:16">
      <c r="B84" s="50" t="s">
        <v>579</v>
      </c>
      <c r="D84" t="s">
        <v>183</v>
      </c>
      <c r="F84" s="106">
        <f>SUM(G84:N84)</f>
        <v>49713410.257094994</v>
      </c>
      <c r="G84" s="21">
        <f>G68+G69+G75</f>
        <v>1483.9999999998049</v>
      </c>
      <c r="H84" s="21">
        <f t="shared" ref="H84:N84" si="9">H68+H69+H75</f>
        <v>851761.6</v>
      </c>
      <c r="I84" s="21">
        <f t="shared" si="9"/>
        <v>0</v>
      </c>
      <c r="J84" s="21">
        <f t="shared" si="9"/>
        <v>1612169.4569135276</v>
      </c>
      <c r="K84" s="21">
        <f t="shared" si="9"/>
        <v>29496804.710000001</v>
      </c>
      <c r="L84" s="21">
        <f t="shared" si="9"/>
        <v>904107.63018147065</v>
      </c>
      <c r="M84" s="21">
        <f t="shared" si="9"/>
        <v>16832392</v>
      </c>
      <c r="N84" s="21">
        <f t="shared" si="9"/>
        <v>14690.86</v>
      </c>
    </row>
    <row r="85" spans="2:16">
      <c r="B85" s="13" t="s">
        <v>340</v>
      </c>
      <c r="D85" t="s">
        <v>183</v>
      </c>
      <c r="F85" s="106">
        <f>SUM(G85:N85)</f>
        <v>375494842.206792</v>
      </c>
      <c r="G85" s="21">
        <f>G70+G71</f>
        <v>3258198</v>
      </c>
      <c r="H85" s="21">
        <f t="shared" ref="H85:N85" si="10">H70+H71</f>
        <v>8880192.4545788374</v>
      </c>
      <c r="I85" s="21">
        <f t="shared" si="10"/>
        <v>6890933.9199999999</v>
      </c>
      <c r="J85" s="21">
        <f t="shared" si="10"/>
        <v>142556380.21364</v>
      </c>
      <c r="K85" s="21">
        <f t="shared" si="10"/>
        <v>115332914.65833333</v>
      </c>
      <c r="L85" s="21">
        <f t="shared" si="10"/>
        <v>2116603.44</v>
      </c>
      <c r="M85" s="21">
        <f t="shared" si="10"/>
        <v>88959842.40487273</v>
      </c>
      <c r="N85" s="21">
        <f t="shared" si="10"/>
        <v>7499777.115367135</v>
      </c>
    </row>
    <row r="86" spans="2:16">
      <c r="B86" s="50" t="s">
        <v>331</v>
      </c>
      <c r="D86" t="s">
        <v>183</v>
      </c>
      <c r="F86" s="106">
        <f>SUM(G86:N86)</f>
        <v>8182035.3200101843</v>
      </c>
      <c r="G86" s="156">
        <f>G72</f>
        <v>62769</v>
      </c>
      <c r="H86" s="156">
        <f t="shared" ref="H86:N86" si="11">H72</f>
        <v>235302.03012499999</v>
      </c>
      <c r="I86" s="156">
        <f t="shared" si="11"/>
        <v>102030.37893782025</v>
      </c>
      <c r="J86" s="156">
        <f t="shared" si="11"/>
        <v>2620948.3491235389</v>
      </c>
      <c r="K86" s="156">
        <f t="shared" si="11"/>
        <v>3025828.3042752063</v>
      </c>
      <c r="L86" s="156">
        <f t="shared" si="11"/>
        <v>22011.55</v>
      </c>
      <c r="M86" s="156">
        <f t="shared" si="11"/>
        <v>2071522.4875324718</v>
      </c>
      <c r="N86" s="156">
        <f t="shared" si="11"/>
        <v>41623.220016147228</v>
      </c>
    </row>
    <row r="87" spans="2:16">
      <c r="F87" s="46"/>
    </row>
    <row r="88" spans="2:16">
      <c r="F88" s="46"/>
    </row>
    <row r="89" spans="2:16" s="2" customFormat="1">
      <c r="B89" s="2" t="s">
        <v>580</v>
      </c>
      <c r="F89" s="48"/>
    </row>
    <row r="90" spans="2:16">
      <c r="F90" s="46"/>
    </row>
    <row r="91" spans="2:16">
      <c r="F91" s="4"/>
    </row>
    <row r="92" spans="2:16">
      <c r="B92" s="3" t="s">
        <v>112</v>
      </c>
      <c r="F92" s="4"/>
    </row>
    <row r="93" spans="2:16">
      <c r="F93" s="4"/>
    </row>
    <row r="94" spans="2:16">
      <c r="B94" s="3" t="s">
        <v>91</v>
      </c>
    </row>
    <row r="95" spans="2:16">
      <c r="B95" s="50" t="s">
        <v>516</v>
      </c>
      <c r="D95" t="s">
        <v>335</v>
      </c>
      <c r="F95" s="37">
        <f>'Data marktmodel'!I21</f>
        <v>1539000</v>
      </c>
      <c r="H95" s="27"/>
    </row>
    <row r="96" spans="2:16">
      <c r="B96" s="50" t="s">
        <v>519</v>
      </c>
      <c r="D96" t="s">
        <v>336</v>
      </c>
      <c r="F96" s="37">
        <f>'Data marktmodel'!J21</f>
        <v>2126000</v>
      </c>
    </row>
    <row r="97" spans="2:6">
      <c r="B97" s="50" t="s">
        <v>518</v>
      </c>
      <c r="D97" t="s">
        <v>337</v>
      </c>
      <c r="F97" s="37">
        <f>'Data marktmodel'!K21</f>
        <v>2367000</v>
      </c>
    </row>
    <row r="98" spans="2:6">
      <c r="B98" s="11"/>
    </row>
    <row r="99" spans="2:6">
      <c r="B99" s="3" t="s">
        <v>581</v>
      </c>
      <c r="F99" s="4"/>
    </row>
    <row r="100" spans="2:6">
      <c r="B100" s="26" t="s">
        <v>582</v>
      </c>
      <c r="F100" s="4"/>
    </row>
    <row r="101" spans="2:6">
      <c r="B101" s="26" t="s">
        <v>620</v>
      </c>
      <c r="F101" s="4"/>
    </row>
    <row r="102" spans="2:6">
      <c r="F102" s="4"/>
    </row>
    <row r="103" spans="2:6">
      <c r="B103" s="50" t="s">
        <v>593</v>
      </c>
      <c r="D103" t="s">
        <v>335</v>
      </c>
      <c r="F103" s="112">
        <f>F28-F30-F31-F32+F95</f>
        <v>2145855814.5859449</v>
      </c>
    </row>
    <row r="104" spans="2:6">
      <c r="B104" s="50" t="s">
        <v>594</v>
      </c>
      <c r="D104" t="s">
        <v>336</v>
      </c>
      <c r="F104" s="112">
        <f>F55-F57-F58-F59+F96</f>
        <v>2208270014.3126101</v>
      </c>
    </row>
    <row r="105" spans="2:6">
      <c r="B105" s="50" t="s">
        <v>595</v>
      </c>
      <c r="D105" t="s">
        <v>337</v>
      </c>
      <c r="F105" s="112">
        <f>F82-F84-F85-F86+F97</f>
        <v>2325172545.0130677</v>
      </c>
    </row>
    <row r="106" spans="2:6">
      <c r="F106" s="4"/>
    </row>
    <row r="107" spans="2:6">
      <c r="F107" s="4"/>
    </row>
    <row r="108" spans="2:6">
      <c r="F108" s="46"/>
    </row>
    <row r="109" spans="2:6">
      <c r="F109" s="4"/>
    </row>
    <row r="110" spans="2:6">
      <c r="F110" s="4"/>
    </row>
    <row r="111" spans="2:6">
      <c r="F111" s="4"/>
    </row>
    <row r="112" spans="2:6">
      <c r="F112" s="4"/>
    </row>
    <row r="113" spans="6:6">
      <c r="F113" s="4"/>
    </row>
    <row r="114" spans="6:6">
      <c r="F114" s="4"/>
    </row>
    <row r="115" spans="6:6">
      <c r="F115" s="4"/>
    </row>
    <row r="116" spans="6:6">
      <c r="F116" s="4"/>
    </row>
    <row r="117" spans="6:6">
      <c r="F117" s="4"/>
    </row>
    <row r="118" spans="6:6">
      <c r="F118" s="4"/>
    </row>
    <row r="119" spans="6:6">
      <c r="F119" s="4"/>
    </row>
    <row r="120" spans="6:6">
      <c r="F120" s="4"/>
    </row>
    <row r="121" spans="6:6">
      <c r="F121" s="4"/>
    </row>
    <row r="122" spans="6:6">
      <c r="F122" s="4"/>
    </row>
    <row r="123" spans="6:6">
      <c r="F123" s="4"/>
    </row>
    <row r="124" spans="6:6">
      <c r="F124" s="4"/>
    </row>
    <row r="125" spans="6:6">
      <c r="F125" s="4"/>
    </row>
    <row r="126" spans="6:6">
      <c r="F126" s="4"/>
    </row>
    <row r="127" spans="6:6">
      <c r="F127" s="4"/>
    </row>
    <row r="128" spans="6:6">
      <c r="F128" s="4"/>
    </row>
    <row r="129" spans="6:6">
      <c r="F129" s="4"/>
    </row>
    <row r="130" spans="6:6">
      <c r="F130" s="4"/>
    </row>
    <row r="131" spans="6:6">
      <c r="F131" s="4"/>
    </row>
    <row r="132" spans="6:6">
      <c r="F132" s="4"/>
    </row>
    <row r="133" spans="6:6">
      <c r="F133" s="4"/>
    </row>
    <row r="134" spans="6:6">
      <c r="F134" s="4"/>
    </row>
    <row r="135" spans="6:6">
      <c r="F135" s="4"/>
    </row>
    <row r="136" spans="6:6">
      <c r="F136" s="4"/>
    </row>
    <row r="137" spans="6:6">
      <c r="F137" s="4"/>
    </row>
    <row r="138" spans="6:6">
      <c r="F138" s="4"/>
    </row>
    <row r="139" spans="6:6">
      <c r="F139" s="4"/>
    </row>
    <row r="140" spans="6:6">
      <c r="F140" s="4"/>
    </row>
    <row r="141" spans="6:6">
      <c r="F141" s="4"/>
    </row>
    <row r="142" spans="6:6">
      <c r="F142" s="4"/>
    </row>
    <row r="143" spans="6:6">
      <c r="F143" s="4"/>
    </row>
    <row r="144" spans="6:6">
      <c r="F144" s="4"/>
    </row>
    <row r="145" spans="6:6">
      <c r="F145" s="4"/>
    </row>
    <row r="146" spans="6:6">
      <c r="F146" s="4"/>
    </row>
    <row r="147" spans="6:6">
      <c r="F147" s="4"/>
    </row>
    <row r="148" spans="6:6">
      <c r="F148" s="4"/>
    </row>
    <row r="149" spans="6:6">
      <c r="F149" s="4"/>
    </row>
    <row r="150" spans="6:6">
      <c r="F150" s="4"/>
    </row>
    <row r="151" spans="6:6">
      <c r="F151" s="4"/>
    </row>
    <row r="152" spans="6:6">
      <c r="F152" s="4"/>
    </row>
    <row r="153" spans="6:6">
      <c r="F153" s="4"/>
    </row>
    <row r="154" spans="6:6">
      <c r="F154" s="4"/>
    </row>
    <row r="155" spans="6:6">
      <c r="F155" s="4"/>
    </row>
    <row r="156" spans="6:6">
      <c r="F156" s="4"/>
    </row>
    <row r="157" spans="6:6">
      <c r="F157" s="4"/>
    </row>
    <row r="158" spans="6:6">
      <c r="F158" s="4"/>
    </row>
    <row r="159" spans="6:6">
      <c r="F159" s="4"/>
    </row>
    <row r="160" spans="6:6">
      <c r="F160" s="4"/>
    </row>
    <row r="161" spans="6:16">
      <c r="F161" s="4"/>
    </row>
    <row r="162" spans="6:16">
      <c r="F162" s="4"/>
    </row>
    <row r="163" spans="6:16">
      <c r="F163" s="4"/>
    </row>
    <row r="164" spans="6:16">
      <c r="F164" s="4"/>
    </row>
    <row r="165" spans="6:16">
      <c r="F165" s="4"/>
    </row>
    <row r="166" spans="6:16">
      <c r="F166" s="4"/>
    </row>
    <row r="167" spans="6:16">
      <c r="F167" s="4"/>
    </row>
    <row r="168" spans="6:16">
      <c r="F168" s="4"/>
    </row>
    <row r="169" spans="6:16">
      <c r="F169" s="4"/>
    </row>
    <row r="170" spans="6:16">
      <c r="F170" s="4"/>
    </row>
    <row r="171" spans="6:16">
      <c r="F171" s="4"/>
    </row>
    <row r="172" spans="6:16">
      <c r="F172" s="4"/>
    </row>
    <row r="173" spans="6:16">
      <c r="F173" s="4"/>
    </row>
    <row r="174" spans="6:16">
      <c r="F174" s="4"/>
    </row>
    <row r="175" spans="6:16">
      <c r="P175" s="26"/>
    </row>
    <row r="176" spans="6:16">
      <c r="P176" s="26"/>
    </row>
    <row r="177" spans="16:16">
      <c r="P177" s="26"/>
    </row>
    <row r="178" spans="16:16">
      <c r="P178" s="26"/>
    </row>
    <row r="179" spans="16:16">
      <c r="P179" s="26"/>
    </row>
    <row r="180" spans="16:16">
      <c r="P180" s="26"/>
    </row>
    <row r="181" spans="16:16">
      <c r="P181" s="26"/>
    </row>
    <row r="182" spans="16:16">
      <c r="P182" s="26"/>
    </row>
    <row r="183" spans="16:16">
      <c r="P183" s="26"/>
    </row>
    <row r="184" spans="16:16">
      <c r="P184" s="26"/>
    </row>
    <row r="185" spans="16:16">
      <c r="P185" s="26"/>
    </row>
    <row r="186" spans="16:16">
      <c r="P186" s="26"/>
    </row>
    <row r="187" spans="16:16">
      <c r="P187" s="26"/>
    </row>
    <row r="188" spans="16:16">
      <c r="P188" s="26"/>
    </row>
    <row r="189" spans="16:16">
      <c r="P189" s="26"/>
    </row>
    <row r="190" spans="16:16">
      <c r="P190" s="26"/>
    </row>
    <row r="191" spans="16:16">
      <c r="P191" s="26"/>
    </row>
    <row r="192" spans="16:16">
      <c r="P192" s="26"/>
    </row>
    <row r="193" spans="16:16">
      <c r="P193" s="26"/>
    </row>
    <row r="194" spans="16:16">
      <c r="P194" s="26"/>
    </row>
    <row r="195" spans="16:16">
      <c r="P195" s="26"/>
    </row>
    <row r="196" spans="16:16">
      <c r="P196" s="26"/>
    </row>
    <row r="197" spans="16:16">
      <c r="P197" s="26"/>
    </row>
    <row r="198" spans="16:16">
      <c r="P198" s="26"/>
    </row>
    <row r="199" spans="16:16">
      <c r="P199" s="26"/>
    </row>
  </sheetData>
  <pageMargins left="0.75" right="0.75" top="1" bottom="1" header="0.5" footer="0.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tabColor indexed="43"/>
  </sheetPr>
  <dimension ref="B1:P214"/>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73.140625" customWidth="1"/>
    <col min="3" max="3" width="2.5703125" customWidth="1"/>
    <col min="4" max="4" width="15" customWidth="1"/>
    <col min="5" max="5" width="2.5703125" customWidth="1"/>
    <col min="6" max="6" width="21.42578125" customWidth="1"/>
    <col min="7" max="8" width="14.7109375" customWidth="1"/>
    <col min="9" max="10" width="14.85546875" customWidth="1"/>
    <col min="11" max="11" width="17.42578125" customWidth="1"/>
    <col min="12" max="13" width="14.85546875" customWidth="1"/>
    <col min="14" max="14" width="17.28515625" bestFit="1" customWidth="1"/>
    <col min="15" max="15" width="6.5703125" customWidth="1"/>
    <col min="16" max="16" width="22.28515625" customWidth="1"/>
  </cols>
  <sheetData>
    <row r="1" spans="2:16" ht="12" customHeight="1"/>
    <row r="2" spans="2:16" s="1" customFormat="1" ht="36">
      <c r="B2" s="193" t="s">
        <v>618</v>
      </c>
      <c r="F2" s="5" t="s">
        <v>177</v>
      </c>
      <c r="G2" s="5" t="s">
        <v>168</v>
      </c>
      <c r="H2" s="5" t="s">
        <v>169</v>
      </c>
      <c r="I2" s="5" t="s">
        <v>170</v>
      </c>
      <c r="J2" s="5" t="s">
        <v>171</v>
      </c>
      <c r="K2" s="5" t="s">
        <v>172</v>
      </c>
      <c r="L2" s="5" t="s">
        <v>173</v>
      </c>
      <c r="M2" s="5" t="s">
        <v>174</v>
      </c>
      <c r="N2" s="5" t="s">
        <v>175</v>
      </c>
      <c r="P2" s="5" t="s">
        <v>438</v>
      </c>
    </row>
    <row r="4" spans="2:16">
      <c r="B4" s="50" t="s">
        <v>941</v>
      </c>
    </row>
    <row r="7" spans="2:16" s="9" customFormat="1">
      <c r="B7" s="2" t="s">
        <v>89</v>
      </c>
      <c r="D7" s="2" t="s">
        <v>278</v>
      </c>
    </row>
    <row r="9" spans="2:16">
      <c r="B9" s="3" t="s">
        <v>148</v>
      </c>
    </row>
    <row r="10" spans="2:16">
      <c r="B10" t="s">
        <v>279</v>
      </c>
      <c r="D10" t="s">
        <v>241</v>
      </c>
      <c r="F10" s="21">
        <f>SUM(G10:N10)</f>
        <v>2478202925.5906563</v>
      </c>
      <c r="G10" s="24">
        <f>SUM('Standaardisatie Output'!G138:G141)</f>
        <v>15806756.594947953</v>
      </c>
      <c r="H10" s="24">
        <f>SUM('Standaardisatie Output'!H138:H141)</f>
        <v>62343041.482818566</v>
      </c>
      <c r="I10" s="24">
        <f>SUM('Standaardisatie Output'!I138:I141)</f>
        <v>31433419.632756192</v>
      </c>
      <c r="J10" s="24">
        <f>SUM('Standaardisatie Output'!J138:J141)</f>
        <v>838158443.05002093</v>
      </c>
      <c r="K10" s="24">
        <f>SUM('Standaardisatie Output'!K138:K141)</f>
        <v>871390641.22796798</v>
      </c>
      <c r="L10" s="24">
        <f>SUM('Standaardisatie Output'!L138:L141)</f>
        <v>9638592.8657970373</v>
      </c>
      <c r="M10" s="24">
        <f>SUM('Standaardisatie Output'!M138:M141)</f>
        <v>613952989.13496804</v>
      </c>
      <c r="N10" s="24">
        <f>SUM('Standaardisatie Output'!N138:N141)</f>
        <v>35479041.601379409</v>
      </c>
    </row>
    <row r="11" spans="2:16">
      <c r="B11" t="s">
        <v>87</v>
      </c>
      <c r="D11" t="s">
        <v>241</v>
      </c>
      <c r="F11" s="21">
        <f>SUM(G11:N11)</f>
        <v>253518280.94210979</v>
      </c>
      <c r="G11" s="37">
        <f>'Standaardisatie Output'!G147</f>
        <v>1688436.0520630111</v>
      </c>
      <c r="H11" s="37">
        <f>'Standaardisatie Output'!H147</f>
        <v>6351776.5117200371</v>
      </c>
      <c r="I11" s="37">
        <f>'Standaardisatie Output'!I147</f>
        <v>3468191.9222373674</v>
      </c>
      <c r="J11" s="37">
        <f>'Standaardisatie Output'!J147</f>
        <v>88269013.164515942</v>
      </c>
      <c r="K11" s="37">
        <f>'Standaardisatie Output'!K147</f>
        <v>91646752.804591104</v>
      </c>
      <c r="L11" s="37">
        <f>'Standaardisatie Output'!L147</f>
        <v>1075393.4054818547</v>
      </c>
      <c r="M11" s="37">
        <f>'Standaardisatie Output'!M147</f>
        <v>58928588.001313947</v>
      </c>
      <c r="N11" s="37">
        <f>'Standaardisatie Output'!N147</f>
        <v>2090129.0801865214</v>
      </c>
    </row>
    <row r="12" spans="2:16">
      <c r="B12" t="s">
        <v>88</v>
      </c>
      <c r="D12" t="s">
        <v>241</v>
      </c>
      <c r="F12" s="21">
        <f>SUM(G12:N12)</f>
        <v>139627435.94752595</v>
      </c>
      <c r="G12" s="37">
        <f>'Standaardisatie Output'!G148</f>
        <v>514485.64652152866</v>
      </c>
      <c r="H12" s="37">
        <f>'Standaardisatie Output'!H148</f>
        <v>3622534.2664391329</v>
      </c>
      <c r="I12" s="37">
        <f>'Standaardisatie Output'!I148</f>
        <v>1477697.6834519361</v>
      </c>
      <c r="J12" s="37">
        <f>'Standaardisatie Output'!J148</f>
        <v>49301127.589185879</v>
      </c>
      <c r="K12" s="37">
        <f>'Standaardisatie Output'!K148</f>
        <v>52658748.951089293</v>
      </c>
      <c r="L12" s="37">
        <f>'Standaardisatie Output'!L148</f>
        <v>575598.72016117861</v>
      </c>
      <c r="M12" s="37">
        <f>'Standaardisatie Output'!M148</f>
        <v>29529760.591694355</v>
      </c>
      <c r="N12" s="37">
        <f>'Standaardisatie Output'!N148</f>
        <v>1947482.4989826491</v>
      </c>
    </row>
    <row r="13" spans="2:16">
      <c r="B13" t="s">
        <v>280</v>
      </c>
      <c r="D13" t="s">
        <v>241</v>
      </c>
      <c r="F13" s="21">
        <f>SUM(G13:N13)</f>
        <v>103201828.99059875</v>
      </c>
      <c r="G13" s="37">
        <f>'Standaardisatie Output'!G144</f>
        <v>4373.6461748681086</v>
      </c>
      <c r="H13" s="37">
        <f>'Standaardisatie Output'!H144</f>
        <v>5283787.7781241871</v>
      </c>
      <c r="I13" s="37">
        <f>'Standaardisatie Output'!I144</f>
        <v>129047.08556973876</v>
      </c>
      <c r="J13" s="37">
        <f>'Standaardisatie Output'!J144</f>
        <v>23592778.447683576</v>
      </c>
      <c r="K13" s="37">
        <f>'Standaardisatie Output'!K144</f>
        <v>42518395.41645766</v>
      </c>
      <c r="L13" s="37">
        <f>'Standaardisatie Output'!L144</f>
        <v>17424.113074568635</v>
      </c>
      <c r="M13" s="37">
        <f>'Standaardisatie Output'!M144</f>
        <v>18662699.064766485</v>
      </c>
      <c r="N13" s="37">
        <f>'Standaardisatie Output'!N144</f>
        <v>12993323.438747671</v>
      </c>
    </row>
    <row r="14" spans="2:16">
      <c r="B14" t="s">
        <v>176</v>
      </c>
      <c r="D14" t="s">
        <v>241</v>
      </c>
      <c r="F14" s="74">
        <f>SUM(G14:N14)</f>
        <v>2974550471.4708905</v>
      </c>
      <c r="G14" s="21">
        <f>SUM(G10:G13)</f>
        <v>18014051.939707357</v>
      </c>
      <c r="H14" s="21">
        <f t="shared" ref="H14:N14" si="0">SUM(H10:H13)</f>
        <v>77601140.039101928</v>
      </c>
      <c r="I14" s="21">
        <f t="shared" si="0"/>
        <v>36508356.324015237</v>
      </c>
      <c r="J14" s="21">
        <f t="shared" si="0"/>
        <v>999321362.25140631</v>
      </c>
      <c r="K14" s="21">
        <f t="shared" si="0"/>
        <v>1058214538.400106</v>
      </c>
      <c r="L14" s="21">
        <f t="shared" si="0"/>
        <v>11307009.10451464</v>
      </c>
      <c r="M14" s="21">
        <f t="shared" si="0"/>
        <v>721074036.79274285</v>
      </c>
      <c r="N14" s="21">
        <f t="shared" si="0"/>
        <v>52509976.619296253</v>
      </c>
      <c r="P14" s="50" t="s">
        <v>1088</v>
      </c>
    </row>
    <row r="15" spans="2:16" ht="12" customHeight="1"/>
    <row r="16" spans="2:16" ht="12" customHeight="1">
      <c r="B16" s="3" t="s">
        <v>93</v>
      </c>
      <c r="G16" t="s">
        <v>132</v>
      </c>
      <c r="H16" t="s">
        <v>133</v>
      </c>
      <c r="I16" t="s">
        <v>134</v>
      </c>
    </row>
    <row r="17" spans="2:16" ht="12" customHeight="1">
      <c r="B17" t="s">
        <v>136</v>
      </c>
      <c r="D17" t="s">
        <v>259</v>
      </c>
      <c r="F17" s="27" t="s">
        <v>135</v>
      </c>
      <c r="G17" s="75">
        <f>CPI!P43</f>
        <v>6.5341969999999749E-2</v>
      </c>
      <c r="H17" s="75">
        <f>CPI!Q43</f>
        <v>4.9598000000000031E-2</v>
      </c>
      <c r="I17" s="75">
        <f>CPI!R43</f>
        <v>2.3E-2</v>
      </c>
    </row>
    <row r="18" spans="2:16" ht="12" customHeight="1">
      <c r="B18" t="s">
        <v>154</v>
      </c>
      <c r="D18" t="s">
        <v>259</v>
      </c>
      <c r="F18" s="75">
        <f>WACC!F11</f>
        <v>0.02</v>
      </c>
      <c r="G18" s="52"/>
      <c r="H18" s="52"/>
      <c r="I18" s="52"/>
      <c r="J18" s="52"/>
      <c r="K18" s="52"/>
      <c r="L18" s="52"/>
      <c r="M18" s="52"/>
      <c r="N18" s="52"/>
    </row>
    <row r="19" spans="2:16" ht="12" customHeight="1">
      <c r="F19" s="27"/>
    </row>
    <row r="20" spans="2:16" ht="12" customHeight="1">
      <c r="B20" t="s">
        <v>90</v>
      </c>
      <c r="D20" t="s">
        <v>259</v>
      </c>
      <c r="F20" s="31">
        <f>Productiviteitsverandering!F53</f>
        <v>3.2672321451210351E-3</v>
      </c>
      <c r="G20" s="32"/>
      <c r="H20" s="32"/>
      <c r="I20" s="32"/>
      <c r="J20" s="32"/>
      <c r="K20" s="32"/>
      <c r="L20" s="32"/>
      <c r="M20" s="32"/>
      <c r="N20" s="32"/>
      <c r="O20" s="32"/>
    </row>
    <row r="21" spans="2:16" ht="12" customHeight="1">
      <c r="G21" s="32"/>
      <c r="H21" s="32"/>
      <c r="I21" s="32"/>
      <c r="J21" s="32"/>
      <c r="K21" s="32"/>
      <c r="L21" s="32"/>
      <c r="M21" s="32"/>
      <c r="N21" s="32"/>
      <c r="O21" s="32"/>
    </row>
    <row r="22" spans="2:16" ht="12" customHeight="1">
      <c r="B22" s="3" t="s">
        <v>952</v>
      </c>
      <c r="G22" s="32"/>
      <c r="H22" s="32"/>
      <c r="I22" s="32"/>
      <c r="J22" s="32"/>
      <c r="K22" s="32"/>
      <c r="L22" s="32"/>
      <c r="M22" s="32"/>
      <c r="N22" s="32"/>
      <c r="O22" s="32"/>
    </row>
    <row r="23" spans="2:16" ht="12" customHeight="1">
      <c r="B23" s="50" t="s">
        <v>593</v>
      </c>
      <c r="D23" t="s">
        <v>335</v>
      </c>
      <c r="F23" s="37">
        <f>'Kostenbasis Eff.Kosten 2013'!F103</f>
        <v>2145855814.5859449</v>
      </c>
      <c r="G23" s="32"/>
      <c r="H23" s="32"/>
      <c r="I23" s="32"/>
      <c r="J23" s="32"/>
      <c r="K23" s="32"/>
      <c r="L23" s="32"/>
      <c r="M23" s="32"/>
      <c r="N23" s="32"/>
      <c r="O23" s="32"/>
    </row>
    <row r="24" spans="2:16" ht="12" customHeight="1">
      <c r="B24" s="50" t="s">
        <v>594</v>
      </c>
      <c r="D24" t="s">
        <v>336</v>
      </c>
      <c r="F24" s="37">
        <f>'Kostenbasis Eff.Kosten 2013'!F104</f>
        <v>2208270014.3126101</v>
      </c>
      <c r="G24" s="32"/>
      <c r="H24" s="32"/>
      <c r="I24" s="32"/>
      <c r="J24" s="32"/>
      <c r="K24" s="32"/>
      <c r="L24" s="32"/>
      <c r="M24" s="32"/>
      <c r="N24" s="32"/>
      <c r="O24" s="32"/>
    </row>
    <row r="25" spans="2:16" ht="12" customHeight="1">
      <c r="B25" s="50" t="s">
        <v>595</v>
      </c>
      <c r="D25" t="s">
        <v>337</v>
      </c>
      <c r="F25" s="37">
        <f>'Kostenbasis Eff.Kosten 2013'!F105</f>
        <v>2325172545.0130677</v>
      </c>
      <c r="I25" s="28"/>
      <c r="J25" s="28"/>
      <c r="K25" s="28"/>
      <c r="L25" s="28"/>
      <c r="M25" s="28"/>
      <c r="N25" s="28"/>
    </row>
    <row r="26" spans="2:16" ht="12" customHeight="1">
      <c r="P26" s="27"/>
    </row>
    <row r="27" spans="2:16" ht="12" customHeight="1">
      <c r="B27" s="3" t="s">
        <v>348</v>
      </c>
      <c r="P27" s="27"/>
    </row>
    <row r="28" spans="2:16" ht="12" customHeight="1">
      <c r="B28" s="13" t="s">
        <v>349</v>
      </c>
      <c r="D28" t="s">
        <v>335</v>
      </c>
      <c r="F28" s="21">
        <f>SUM(G28:N28)</f>
        <v>347029979.38999999</v>
      </c>
      <c r="G28" s="37">
        <f>'Genormaliseerde totale kosten'!G31</f>
        <v>3045000</v>
      </c>
      <c r="H28" s="37">
        <f>'Genormaliseerde totale kosten'!H31</f>
        <v>9960074.5800000001</v>
      </c>
      <c r="I28" s="37">
        <f>'Genormaliseerde totale kosten'!I31</f>
        <v>6624716.3400000008</v>
      </c>
      <c r="J28" s="37">
        <f>'Genormaliseerde totale kosten'!J31</f>
        <v>130193000</v>
      </c>
      <c r="K28" s="37">
        <f>'Genormaliseerde totale kosten'!K31</f>
        <v>115356509.47</v>
      </c>
      <c r="L28" s="37">
        <f>'Genormaliseerde totale kosten'!L31</f>
        <v>1836719</v>
      </c>
      <c r="M28" s="37">
        <f>'Genormaliseerde totale kosten'!M31</f>
        <v>73581894.609999999</v>
      </c>
      <c r="N28" s="37">
        <f>'Genormaliseerde totale kosten'!N31</f>
        <v>6432065.3899999997</v>
      </c>
      <c r="P28" s="27"/>
    </row>
    <row r="29" spans="2:16" ht="12" customHeight="1">
      <c r="B29" s="13" t="s">
        <v>350</v>
      </c>
      <c r="D29" t="s">
        <v>336</v>
      </c>
      <c r="F29" s="21">
        <f>SUM(G29:N29)</f>
        <v>372011121.17642117</v>
      </c>
      <c r="G29" s="37">
        <f>'Genormaliseerde totale kosten'!G58</f>
        <v>3205889</v>
      </c>
      <c r="H29" s="37">
        <f>'Genormaliseerde totale kosten'!H58</f>
        <v>8134496.3854211643</v>
      </c>
      <c r="I29" s="37">
        <f>'Genormaliseerde totale kosten'!I58</f>
        <v>6785819.2400000002</v>
      </c>
      <c r="J29" s="37">
        <f>'Genormaliseerde totale kosten'!J58</f>
        <v>146361706.93099999</v>
      </c>
      <c r="K29" s="37">
        <f>'Genormaliseerde totale kosten'!K58</f>
        <v>120558989.81999999</v>
      </c>
      <c r="L29" s="37">
        <f>'Genormaliseerde totale kosten'!L58</f>
        <v>1974084.8</v>
      </c>
      <c r="M29" s="37">
        <f>'Genormaliseerde totale kosten'!M58</f>
        <v>77992123</v>
      </c>
      <c r="N29" s="37">
        <f>'Genormaliseerde totale kosten'!N58</f>
        <v>6998012</v>
      </c>
      <c r="P29" s="27"/>
    </row>
    <row r="30" spans="2:16" ht="12" customHeight="1">
      <c r="B30" s="13" t="s">
        <v>351</v>
      </c>
      <c r="D30" t="s">
        <v>337</v>
      </c>
      <c r="F30" s="21">
        <f>SUM(G30:N30)</f>
        <v>375494842.206792</v>
      </c>
      <c r="G30" s="37">
        <f>'Genormaliseerde totale kosten'!G85</f>
        <v>3258198</v>
      </c>
      <c r="H30" s="37">
        <f>'Genormaliseerde totale kosten'!H85</f>
        <v>8880192.4545788374</v>
      </c>
      <c r="I30" s="37">
        <f>'Genormaliseerde totale kosten'!I85</f>
        <v>6890933.9199999999</v>
      </c>
      <c r="J30" s="37">
        <f>'Genormaliseerde totale kosten'!J85</f>
        <v>142556380.21364</v>
      </c>
      <c r="K30" s="37">
        <f>'Genormaliseerde totale kosten'!K85</f>
        <v>115332914.65833333</v>
      </c>
      <c r="L30" s="37">
        <f>'Genormaliseerde totale kosten'!L85</f>
        <v>2116603.44</v>
      </c>
      <c r="M30" s="37">
        <f>'Genormaliseerde totale kosten'!M85</f>
        <v>88959842.40487273</v>
      </c>
      <c r="N30" s="37">
        <f>'Genormaliseerde totale kosten'!N85</f>
        <v>7499777.115367135</v>
      </c>
      <c r="P30" s="27"/>
    </row>
    <row r="31" spans="2:16" ht="12" customHeight="1">
      <c r="P31" s="27"/>
    </row>
    <row r="32" spans="2:16" ht="12" customHeight="1">
      <c r="B32" s="3" t="s">
        <v>346</v>
      </c>
      <c r="P32" s="27"/>
    </row>
    <row r="33" spans="2:16" ht="12" customHeight="1">
      <c r="B33" s="13" t="s">
        <v>341</v>
      </c>
      <c r="D33" t="s">
        <v>335</v>
      </c>
      <c r="F33" s="21">
        <f>SUM(G33:N33)</f>
        <v>34874860.910506353</v>
      </c>
      <c r="G33" s="37">
        <f>'Kostenbasis Eff.Kosten 2013'!G30</f>
        <v>963147.8609582613</v>
      </c>
      <c r="H33" s="37">
        <f>'Kostenbasis Eff.Kosten 2013'!H30</f>
        <v>481846.5</v>
      </c>
      <c r="I33" s="37">
        <f>'Kostenbasis Eff.Kosten 2013'!I30</f>
        <v>0</v>
      </c>
      <c r="J33" s="37">
        <f>'Kostenbasis Eff.Kosten 2013'!J30</f>
        <v>1730000</v>
      </c>
      <c r="K33" s="37">
        <f>'Kostenbasis Eff.Kosten 2013'!K30</f>
        <v>15024290.939999999</v>
      </c>
      <c r="L33" s="37">
        <f>'Kostenbasis Eff.Kosten 2013'!L30</f>
        <v>946638.60954809329</v>
      </c>
      <c r="M33" s="37">
        <f>'Kostenbasis Eff.Kosten 2013'!M30</f>
        <v>15702913</v>
      </c>
      <c r="N33" s="37">
        <f>'Kostenbasis Eff.Kosten 2013'!N30</f>
        <v>26024</v>
      </c>
      <c r="P33" s="27"/>
    </row>
    <row r="34" spans="2:16" ht="12" customHeight="1">
      <c r="B34" s="13" t="s">
        <v>342</v>
      </c>
      <c r="D34" t="s">
        <v>336</v>
      </c>
      <c r="F34" s="21">
        <f>SUM(G34:N34)</f>
        <v>38307000.315431252</v>
      </c>
      <c r="G34" s="37">
        <f>'Kostenbasis Eff.Kosten 2013'!G57</f>
        <v>4641.9999999998099</v>
      </c>
      <c r="H34" s="37">
        <f>'Kostenbasis Eff.Kosten 2013'!H57</f>
        <v>821971.5</v>
      </c>
      <c r="I34" s="37">
        <f>'Kostenbasis Eff.Kosten 2013'!I57</f>
        <v>0</v>
      </c>
      <c r="J34" s="37">
        <f>'Kostenbasis Eff.Kosten 2013'!J57</f>
        <v>1750320</v>
      </c>
      <c r="K34" s="37">
        <f>'Kostenbasis Eff.Kosten 2013'!K57</f>
        <v>18867648.890763242</v>
      </c>
      <c r="L34" s="37">
        <f>'Kostenbasis Eff.Kosten 2013'!L57</f>
        <v>921017.35466801154</v>
      </c>
      <c r="M34" s="37">
        <f>'Kostenbasis Eff.Kosten 2013'!M57</f>
        <v>15909316</v>
      </c>
      <c r="N34" s="37">
        <f>'Kostenbasis Eff.Kosten 2013'!N57</f>
        <v>32084.57</v>
      </c>
      <c r="P34" s="27"/>
    </row>
    <row r="35" spans="2:16" ht="12" customHeight="1">
      <c r="B35" s="13" t="s">
        <v>343</v>
      </c>
      <c r="D35" t="s">
        <v>337</v>
      </c>
      <c r="F35" s="21">
        <f>SUM(G35:N35)</f>
        <v>49713410.257094994</v>
      </c>
      <c r="G35" s="37">
        <f>'Kostenbasis Eff.Kosten 2013'!G84</f>
        <v>1483.9999999998049</v>
      </c>
      <c r="H35" s="37">
        <f>'Kostenbasis Eff.Kosten 2013'!H84</f>
        <v>851761.6</v>
      </c>
      <c r="I35" s="37">
        <f>'Kostenbasis Eff.Kosten 2013'!I84</f>
        <v>0</v>
      </c>
      <c r="J35" s="37">
        <f>'Kostenbasis Eff.Kosten 2013'!J84</f>
        <v>1612169.4569135276</v>
      </c>
      <c r="K35" s="37">
        <f>'Kostenbasis Eff.Kosten 2013'!K84</f>
        <v>29496804.710000001</v>
      </c>
      <c r="L35" s="37">
        <f>'Kostenbasis Eff.Kosten 2013'!L84</f>
        <v>904107.63018147065</v>
      </c>
      <c r="M35" s="37">
        <f>'Kostenbasis Eff.Kosten 2013'!M84</f>
        <v>16832392</v>
      </c>
      <c r="N35" s="37">
        <f>'Kostenbasis Eff.Kosten 2013'!N84</f>
        <v>14690.86</v>
      </c>
      <c r="P35" s="27"/>
    </row>
    <row r="36" spans="2:16" ht="12" customHeight="1">
      <c r="P36" s="27"/>
    </row>
    <row r="37" spans="2:16" ht="12" customHeight="1">
      <c r="B37" s="3" t="s">
        <v>91</v>
      </c>
    </row>
    <row r="38" spans="2:16" ht="12" customHeight="1">
      <c r="B38" s="50" t="s">
        <v>521</v>
      </c>
      <c r="D38" t="s">
        <v>335</v>
      </c>
      <c r="F38" s="116">
        <f>'Kostenbasis Eff.Kosten 2013'!F95</f>
        <v>1539000</v>
      </c>
    </row>
    <row r="39" spans="2:16" ht="12" customHeight="1">
      <c r="B39" s="50" t="s">
        <v>517</v>
      </c>
      <c r="D39" t="s">
        <v>336</v>
      </c>
      <c r="F39" s="116">
        <f>'Kostenbasis Eff.Kosten 2013'!F96</f>
        <v>2126000</v>
      </c>
    </row>
    <row r="40" spans="2:16" ht="12" customHeight="1">
      <c r="B40" s="50" t="s">
        <v>522</v>
      </c>
      <c r="D40" t="s">
        <v>337</v>
      </c>
      <c r="F40" s="116">
        <f>'Kostenbasis Eff.Kosten 2013'!F97</f>
        <v>2367000</v>
      </c>
    </row>
    <row r="41" spans="2:16" ht="12" customHeight="1">
      <c r="B41" s="3"/>
      <c r="F41" s="28"/>
    </row>
    <row r="42" spans="2:16" ht="12" customHeight="1">
      <c r="B42" s="50" t="s">
        <v>523</v>
      </c>
      <c r="D42" t="s">
        <v>338</v>
      </c>
      <c r="F42" s="37">
        <f>'Data marktmodel'!M21</f>
        <v>27210000</v>
      </c>
      <c r="P42" s="50" t="s">
        <v>497</v>
      </c>
    </row>
    <row r="43" spans="2:16" ht="12" customHeight="1">
      <c r="B43" s="50" t="s">
        <v>524</v>
      </c>
      <c r="D43" t="s">
        <v>338</v>
      </c>
      <c r="F43" s="37">
        <f>'Data marktmodel'!O21</f>
        <v>29793000</v>
      </c>
    </row>
    <row r="44" spans="2:16" ht="12" customHeight="1"/>
    <row r="45" spans="2:16" ht="12" customHeight="1">
      <c r="B45" s="171" t="s">
        <v>494</v>
      </c>
      <c r="D45" t="s">
        <v>335</v>
      </c>
      <c r="F45" s="116">
        <f>'Berekening kosten dub. deb.'!F119</f>
        <v>8194821.3305318067</v>
      </c>
    </row>
    <row r="46" spans="2:16" ht="12" customHeight="1">
      <c r="B46" s="171" t="s">
        <v>495</v>
      </c>
      <c r="D46" t="s">
        <v>336</v>
      </c>
      <c r="F46" s="116">
        <f>'Berekening kosten dub. deb.'!F120</f>
        <v>6215765.0064787548</v>
      </c>
    </row>
    <row r="47" spans="2:16" ht="12" customHeight="1">
      <c r="B47" s="171" t="s">
        <v>496</v>
      </c>
      <c r="D47" t="s">
        <v>337</v>
      </c>
      <c r="F47" s="116">
        <f>'Berekening kosten dub. deb.'!F121</f>
        <v>6687797.7735801628</v>
      </c>
    </row>
    <row r="48" spans="2:16" ht="12" customHeight="1">
      <c r="B48" s="170" t="s">
        <v>498</v>
      </c>
      <c r="D48" s="50" t="s">
        <v>338</v>
      </c>
      <c r="F48" s="115">
        <f>AVERAGE(F45*(1+G17),F46*(1+H17),F47*(1+I17))</f>
        <v>7365319.5805697888</v>
      </c>
    </row>
    <row r="49" spans="2:16" ht="12" customHeight="1"/>
    <row r="50" spans="2:16" ht="12" customHeight="1">
      <c r="B50" s="50" t="s">
        <v>499</v>
      </c>
      <c r="D50" s="50" t="s">
        <v>338</v>
      </c>
      <c r="F50" s="113">
        <f>F42-F48</f>
        <v>19844680.419430211</v>
      </c>
    </row>
    <row r="51" spans="2:16" ht="12" customHeight="1">
      <c r="B51" s="50" t="s">
        <v>500</v>
      </c>
      <c r="D51" s="50" t="s">
        <v>338</v>
      </c>
      <c r="F51" s="113">
        <f>F43-F48</f>
        <v>22427680.419430211</v>
      </c>
    </row>
    <row r="52" spans="2:16" ht="12" customHeight="1"/>
    <row r="53" spans="2:16" ht="12" customHeight="1"/>
    <row r="54" spans="2:16" s="9" customFormat="1" ht="12" customHeight="1">
      <c r="B54" s="2" t="s">
        <v>585</v>
      </c>
      <c r="D54" s="2" t="s">
        <v>278</v>
      </c>
    </row>
    <row r="55" spans="2:16" ht="12" customHeight="1"/>
    <row r="56" spans="2:16" ht="12" customHeight="1">
      <c r="B56" s="3" t="s">
        <v>586</v>
      </c>
    </row>
    <row r="57" spans="2:16" ht="12" customHeight="1">
      <c r="B57" s="50" t="s">
        <v>587</v>
      </c>
      <c r="D57" t="s">
        <v>338</v>
      </c>
      <c r="F57" s="24">
        <f>((F23-F38)*(1-$F$20)^3+F38)*(1+G17)</f>
        <v>2263752042.4908957</v>
      </c>
      <c r="G57" s="27"/>
      <c r="H57" s="27"/>
      <c r="I57" s="27"/>
      <c r="J57" s="27"/>
      <c r="K57" s="27"/>
      <c r="L57" s="27"/>
      <c r="M57" s="27"/>
      <c r="N57" s="27"/>
      <c r="P57" s="50" t="s">
        <v>1087</v>
      </c>
    </row>
    <row r="58" spans="2:16" ht="12" customHeight="1">
      <c r="B58" s="50" t="s">
        <v>588</v>
      </c>
      <c r="D58" t="s">
        <v>338</v>
      </c>
      <c r="F58" s="24">
        <f>((F24-F39)*(1-$F$20)^2+F39)*(1+H17)</f>
        <v>2302689536.1573582</v>
      </c>
      <c r="G58" s="27"/>
      <c r="H58" s="27"/>
      <c r="I58" s="27"/>
      <c r="J58" s="27"/>
      <c r="K58" s="27"/>
      <c r="L58" s="27"/>
      <c r="M58" s="27"/>
      <c r="N58" s="27"/>
    </row>
    <row r="59" spans="2:16" ht="12" customHeight="1">
      <c r="B59" s="50" t="s">
        <v>589</v>
      </c>
      <c r="D59" t="s">
        <v>338</v>
      </c>
      <c r="F59" s="24">
        <f>((F25-F40)*(1-$F$20)+F40)*(1+I17)</f>
        <v>2370887818.2711349</v>
      </c>
      <c r="G59" s="27"/>
      <c r="H59" s="27"/>
      <c r="I59" s="27"/>
      <c r="J59" s="27"/>
      <c r="K59" s="27"/>
      <c r="L59" s="27"/>
      <c r="M59" s="27"/>
      <c r="N59" s="27"/>
    </row>
    <row r="60" spans="2:16" ht="12" customHeight="1"/>
    <row r="61" spans="2:16" ht="12" customHeight="1">
      <c r="B61" s="50" t="s">
        <v>590</v>
      </c>
      <c r="D61" t="s">
        <v>338</v>
      </c>
      <c r="F61" s="21">
        <f>AVERAGE(F57:F59)</f>
        <v>2312443132.3064632</v>
      </c>
      <c r="G61" s="118"/>
      <c r="P61" s="50" t="s">
        <v>457</v>
      </c>
    </row>
    <row r="62" spans="2:16" ht="12" customHeight="1">
      <c r="F62" s="52"/>
      <c r="G62" s="27"/>
      <c r="H62" s="27"/>
      <c r="I62" s="27"/>
      <c r="J62" s="27"/>
      <c r="K62" s="27"/>
      <c r="L62" s="27"/>
      <c r="M62" s="27"/>
      <c r="N62" s="27"/>
    </row>
    <row r="63" spans="2:16" ht="12" customHeight="1">
      <c r="B63" s="3" t="s">
        <v>150</v>
      </c>
      <c r="F63" s="52"/>
      <c r="G63" s="27"/>
      <c r="H63" s="27"/>
      <c r="I63" s="27"/>
      <c r="J63" s="27"/>
      <c r="K63" s="27"/>
      <c r="L63" s="27"/>
      <c r="M63" s="27"/>
      <c r="N63" s="27"/>
    </row>
    <row r="64" spans="2:16" ht="12" customHeight="1">
      <c r="B64" t="s">
        <v>149</v>
      </c>
      <c r="D64" t="s">
        <v>338</v>
      </c>
      <c r="F64" s="21">
        <f>SUM(G64:N64)</f>
        <v>369705601.89240193</v>
      </c>
      <c r="G64" s="24">
        <f t="shared" ref="G64:N64" si="1">G28*(1+$G$17)</f>
        <v>3243966.2986499993</v>
      </c>
      <c r="H64" s="24">
        <f t="shared" si="1"/>
        <v>10610885.474404121</v>
      </c>
      <c r="I64" s="24">
        <f t="shared" si="1"/>
        <v>7057588.3563467888</v>
      </c>
      <c r="J64" s="24">
        <f t="shared" si="1"/>
        <v>138700067.10020998</v>
      </c>
      <c r="K64" s="24">
        <f t="shared" si="1"/>
        <v>122894131.05109343</v>
      </c>
      <c r="L64" s="24">
        <f t="shared" si="1"/>
        <v>1956733.8377964296</v>
      </c>
      <c r="M64" s="24">
        <f t="shared" si="1"/>
        <v>78389880.560149759</v>
      </c>
      <c r="N64" s="24">
        <f t="shared" si="1"/>
        <v>6852349.2137514167</v>
      </c>
    </row>
    <row r="65" spans="2:16" ht="12" customHeight="1">
      <c r="B65" t="s">
        <v>151</v>
      </c>
      <c r="D65" t="s">
        <v>338</v>
      </c>
      <c r="F65" s="21">
        <f>SUM(G65:N65)</f>
        <v>390462128.76452929</v>
      </c>
      <c r="G65" s="24">
        <f t="shared" ref="G65:N65" si="2">G29*(1+$H$17)</f>
        <v>3364894.6826220001</v>
      </c>
      <c r="H65" s="24">
        <f t="shared" si="2"/>
        <v>8537951.1371452827</v>
      </c>
      <c r="I65" s="24">
        <f t="shared" si="2"/>
        <v>7122382.3026655205</v>
      </c>
      <c r="J65" s="24">
        <f t="shared" si="2"/>
        <v>153620954.87136373</v>
      </c>
      <c r="K65" s="24">
        <f t="shared" si="2"/>
        <v>126538474.59709236</v>
      </c>
      <c r="L65" s="24">
        <f t="shared" si="2"/>
        <v>2071995.4579104001</v>
      </c>
      <c r="M65" s="24">
        <f t="shared" si="2"/>
        <v>81860376.316553995</v>
      </c>
      <c r="N65" s="24">
        <f t="shared" si="2"/>
        <v>7345099.3991760006</v>
      </c>
    </row>
    <row r="66" spans="2:16" ht="12" customHeight="1">
      <c r="B66" t="s">
        <v>152</v>
      </c>
      <c r="D66" t="s">
        <v>338</v>
      </c>
      <c r="F66" s="21">
        <f>SUM(G66:N66)</f>
        <v>384131223.57754821</v>
      </c>
      <c r="G66" s="24">
        <f t="shared" ref="G66:N66" si="3">G30*(1+$I$17)</f>
        <v>3333136.5539999995</v>
      </c>
      <c r="H66" s="24">
        <f t="shared" si="3"/>
        <v>9084436.8810341507</v>
      </c>
      <c r="I66" s="24">
        <f t="shared" si="3"/>
        <v>7049425.4001599997</v>
      </c>
      <c r="J66" s="24">
        <f t="shared" si="3"/>
        <v>145835176.9585537</v>
      </c>
      <c r="K66" s="24">
        <f t="shared" si="3"/>
        <v>117985571.69547498</v>
      </c>
      <c r="L66" s="24">
        <f t="shared" si="3"/>
        <v>2165285.3191199997</v>
      </c>
      <c r="M66" s="24">
        <f t="shared" si="3"/>
        <v>91005918.78018479</v>
      </c>
      <c r="N66" s="24">
        <f t="shared" si="3"/>
        <v>7672271.9890205786</v>
      </c>
    </row>
    <row r="67" spans="2:16" ht="12" customHeight="1">
      <c r="G67" s="27"/>
      <c r="H67" s="27"/>
      <c r="I67" s="27"/>
      <c r="J67" s="27"/>
      <c r="K67" s="27"/>
      <c r="L67" s="27"/>
      <c r="M67" s="27"/>
      <c r="N67" s="27"/>
    </row>
    <row r="68" spans="2:16" ht="12" customHeight="1">
      <c r="B68" t="s">
        <v>153</v>
      </c>
      <c r="D68" t="s">
        <v>338</v>
      </c>
      <c r="F68" s="21">
        <f>AVERAGE(F64:F66)</f>
        <v>381432984.7448265</v>
      </c>
      <c r="G68" s="21">
        <f t="shared" ref="G68:N68" si="4">AVERAGE(G64:G66)</f>
        <v>3313999.1784239993</v>
      </c>
      <c r="H68" s="21">
        <f t="shared" si="4"/>
        <v>9411091.1641945187</v>
      </c>
      <c r="I68" s="21">
        <f t="shared" si="4"/>
        <v>7076465.3530574366</v>
      </c>
      <c r="J68" s="21">
        <f t="shared" si="4"/>
        <v>146052066.31004247</v>
      </c>
      <c r="K68" s="21">
        <f t="shared" si="4"/>
        <v>122472725.78122026</v>
      </c>
      <c r="L68" s="21">
        <f t="shared" si="4"/>
        <v>2064671.53827561</v>
      </c>
      <c r="M68" s="21">
        <f t="shared" si="4"/>
        <v>83752058.552296177</v>
      </c>
      <c r="N68" s="21">
        <f t="shared" si="4"/>
        <v>7289906.8673159992</v>
      </c>
      <c r="P68" s="50" t="s">
        <v>1086</v>
      </c>
    </row>
    <row r="69" spans="2:16" ht="12" customHeight="1"/>
    <row r="70" spans="2:16" ht="12" customHeight="1">
      <c r="B70" s="3" t="s">
        <v>122</v>
      </c>
    </row>
    <row r="71" spans="2:16" ht="12" customHeight="1">
      <c r="B71" t="s">
        <v>123</v>
      </c>
      <c r="D71" t="s">
        <v>338</v>
      </c>
      <c r="F71" s="21">
        <f>SUM(G71:N71)</f>
        <v>37153653.025874823</v>
      </c>
      <c r="G71" s="24">
        <f t="shared" ref="G71:N71" si="5">G33*(1+$G$17)</f>
        <v>1026081.83959456</v>
      </c>
      <c r="H71" s="24">
        <f t="shared" si="5"/>
        <v>513331.29954760487</v>
      </c>
      <c r="I71" s="24">
        <f t="shared" si="5"/>
        <v>0</v>
      </c>
      <c r="J71" s="24">
        <f t="shared" si="5"/>
        <v>1843041.6080999996</v>
      </c>
      <c r="K71" s="24">
        <f t="shared" si="5"/>
        <v>16006007.707872748</v>
      </c>
      <c r="L71" s="24">
        <f t="shared" si="5"/>
        <v>1008493.8411740263</v>
      </c>
      <c r="M71" s="24">
        <f t="shared" si="5"/>
        <v>16728972.270158606</v>
      </c>
      <c r="N71" s="24">
        <f t="shared" si="5"/>
        <v>27724.459427279995</v>
      </c>
    </row>
    <row r="72" spans="2:16" ht="12" customHeight="1">
      <c r="B72" t="s">
        <v>124</v>
      </c>
      <c r="D72" t="s">
        <v>338</v>
      </c>
      <c r="F72" s="21">
        <f>SUM(G72:N72)</f>
        <v>40206950.917076014</v>
      </c>
      <c r="G72" s="24">
        <f t="shared" ref="G72:N72" si="6">G34*(1+$H$17)</f>
        <v>4872.233915999801</v>
      </c>
      <c r="H72" s="24">
        <f t="shared" si="6"/>
        <v>862739.64245699998</v>
      </c>
      <c r="I72" s="24">
        <f t="shared" si="6"/>
        <v>0</v>
      </c>
      <c r="J72" s="24">
        <f t="shared" si="6"/>
        <v>1837132.37136</v>
      </c>
      <c r="K72" s="24">
        <f t="shared" si="6"/>
        <v>19803446.540447317</v>
      </c>
      <c r="L72" s="24">
        <f t="shared" si="6"/>
        <v>966697.9734248356</v>
      </c>
      <c r="M72" s="24">
        <f t="shared" si="6"/>
        <v>16698386.254968001</v>
      </c>
      <c r="N72" s="24">
        <f t="shared" si="6"/>
        <v>33675.90050286</v>
      </c>
    </row>
    <row r="73" spans="2:16" ht="12" customHeight="1">
      <c r="B73" t="s">
        <v>125</v>
      </c>
      <c r="D73" t="s">
        <v>338</v>
      </c>
      <c r="F73" s="21">
        <f>SUM(G73:N73)</f>
        <v>50856818.693008184</v>
      </c>
      <c r="G73" s="24">
        <f t="shared" ref="G73:N73" si="7">G35*(1+$I$17)</f>
        <v>1518.1319999998002</v>
      </c>
      <c r="H73" s="24">
        <f t="shared" si="7"/>
        <v>871352.11679999984</v>
      </c>
      <c r="I73" s="24">
        <f t="shared" si="7"/>
        <v>0</v>
      </c>
      <c r="J73" s="24">
        <f t="shared" si="7"/>
        <v>1649249.3544225385</v>
      </c>
      <c r="K73" s="24">
        <f t="shared" si="7"/>
        <v>30175231.21833</v>
      </c>
      <c r="L73" s="24">
        <f t="shared" si="7"/>
        <v>924902.10567564436</v>
      </c>
      <c r="M73" s="24">
        <f t="shared" si="7"/>
        <v>17219537.015999999</v>
      </c>
      <c r="N73" s="24">
        <f t="shared" si="7"/>
        <v>15028.74978</v>
      </c>
      <c r="P73" s="27"/>
    </row>
    <row r="74" spans="2:16" ht="12" customHeight="1"/>
    <row r="75" spans="2:16" ht="12" customHeight="1">
      <c r="B75" t="s">
        <v>126</v>
      </c>
      <c r="D75" t="s">
        <v>338</v>
      </c>
      <c r="F75" s="21">
        <f>AVERAGE(F71:F73)</f>
        <v>42739140.878653012</v>
      </c>
      <c r="G75" s="21">
        <f t="shared" ref="G75:N75" si="8">AVERAGE(G71:G73)</f>
        <v>344157.40183685318</v>
      </c>
      <c r="H75" s="21">
        <f t="shared" si="8"/>
        <v>749141.01960153494</v>
      </c>
      <c r="I75" s="21">
        <f t="shared" si="8"/>
        <v>0</v>
      </c>
      <c r="J75" s="21">
        <f t="shared" si="8"/>
        <v>1776474.4446275129</v>
      </c>
      <c r="K75" s="21">
        <f t="shared" si="8"/>
        <v>21994895.155550022</v>
      </c>
      <c r="L75" s="21">
        <f t="shared" si="8"/>
        <v>966697.97342483548</v>
      </c>
      <c r="M75" s="21">
        <f t="shared" si="8"/>
        <v>16882298.513708871</v>
      </c>
      <c r="N75" s="21">
        <f t="shared" si="8"/>
        <v>25476.369903379997</v>
      </c>
      <c r="P75" s="50" t="s">
        <v>1085</v>
      </c>
    </row>
    <row r="76" spans="2:16" ht="12" customHeight="1"/>
    <row r="77" spans="2:16" ht="12" customHeight="1"/>
    <row r="78" spans="2:16" s="9" customFormat="1" ht="12" customHeight="1">
      <c r="B78" s="2" t="s">
        <v>619</v>
      </c>
      <c r="D78" s="2" t="s">
        <v>278</v>
      </c>
    </row>
    <row r="79" spans="2:16" ht="12" customHeight="1"/>
    <row r="80" spans="2:16" ht="12" customHeight="1">
      <c r="B80" s="3" t="s">
        <v>619</v>
      </c>
    </row>
    <row r="81" spans="2:16" ht="12" customHeight="1">
      <c r="B81" t="s">
        <v>357</v>
      </c>
      <c r="D81" t="s">
        <v>338</v>
      </c>
      <c r="F81" s="21">
        <f>F61+F68-F50</f>
        <v>2674031436.6318593</v>
      </c>
      <c r="G81" s="32"/>
      <c r="P81" s="50" t="s">
        <v>457</v>
      </c>
    </row>
    <row r="82" spans="2:16" ht="12" customHeight="1">
      <c r="B82" t="s">
        <v>358</v>
      </c>
      <c r="D82" t="s">
        <v>127</v>
      </c>
      <c r="F82" s="78">
        <f>F81/F14</f>
        <v>0.89896993252549284</v>
      </c>
      <c r="P82" s="50" t="s">
        <v>458</v>
      </c>
    </row>
    <row r="83" spans="2:16" ht="12" customHeight="1"/>
    <row r="84" spans="2:16" ht="12" customHeight="1">
      <c r="B84" s="50" t="s">
        <v>591</v>
      </c>
      <c r="D84" t="s">
        <v>338</v>
      </c>
      <c r="F84" s="21">
        <f>SUM(G84:N84)</f>
        <v>2674031436.6318593</v>
      </c>
      <c r="G84" s="24">
        <f t="shared" ref="G84:N84" si="9">$F$82*G14</f>
        <v>16194091.056749446</v>
      </c>
      <c r="H84" s="24">
        <f t="shared" si="9"/>
        <v>69761091.624852777</v>
      </c>
      <c r="I84" s="24">
        <f t="shared" si="9"/>
        <v>32819914.621216629</v>
      </c>
      <c r="J84" s="24">
        <f t="shared" si="9"/>
        <v>898359857.59443033</v>
      </c>
      <c r="K84" s="24">
        <f t="shared" si="9"/>
        <v>951303052.18303883</v>
      </c>
      <c r="L84" s="24">
        <f t="shared" si="9"/>
        <v>10164661.211750658</v>
      </c>
      <c r="M84" s="24">
        <f t="shared" si="9"/>
        <v>648223878.20145679</v>
      </c>
      <c r="N84" s="24">
        <f t="shared" si="9"/>
        <v>47204890.138363957</v>
      </c>
      <c r="P84" s="50" t="s">
        <v>1089</v>
      </c>
    </row>
    <row r="85" spans="2:16" ht="12" customHeight="1">
      <c r="B85" s="50" t="s">
        <v>592</v>
      </c>
      <c r="D85" t="s">
        <v>338</v>
      </c>
      <c r="F85" s="21">
        <f>SUM(G85:N85)</f>
        <v>42739140.878653012</v>
      </c>
      <c r="G85" s="34">
        <f t="shared" ref="G85:N85" si="10">G75</f>
        <v>344157.40183685318</v>
      </c>
      <c r="H85" s="34">
        <f t="shared" si="10"/>
        <v>749141.01960153494</v>
      </c>
      <c r="I85" s="34">
        <f t="shared" si="10"/>
        <v>0</v>
      </c>
      <c r="J85" s="34">
        <f t="shared" si="10"/>
        <v>1776474.4446275129</v>
      </c>
      <c r="K85" s="34">
        <f t="shared" si="10"/>
        <v>21994895.155550022</v>
      </c>
      <c r="L85" s="34">
        <f t="shared" si="10"/>
        <v>966697.97342483548</v>
      </c>
      <c r="M85" s="34">
        <f t="shared" si="10"/>
        <v>16882298.513708871</v>
      </c>
      <c r="N85" s="34">
        <f t="shared" si="10"/>
        <v>25476.369903379997</v>
      </c>
      <c r="P85" s="50" t="s">
        <v>1085</v>
      </c>
    </row>
    <row r="86" spans="2:16" ht="12" customHeight="1">
      <c r="B86" s="50" t="s">
        <v>611</v>
      </c>
      <c r="D86" t="s">
        <v>338</v>
      </c>
      <c r="F86" s="21">
        <f>SUM(G86:N86)</f>
        <v>2716770577.5105124</v>
      </c>
      <c r="G86" s="112">
        <f>G84+G85</f>
        <v>16538248.4585863</v>
      </c>
      <c r="H86" s="112">
        <f t="shared" ref="H86:N86" si="11">H84+H85</f>
        <v>70510232.644454315</v>
      </c>
      <c r="I86" s="112">
        <f t="shared" si="11"/>
        <v>32819914.621216629</v>
      </c>
      <c r="J86" s="112">
        <f t="shared" si="11"/>
        <v>900136332.03905785</v>
      </c>
      <c r="K86" s="112">
        <f t="shared" si="11"/>
        <v>973297947.33858883</v>
      </c>
      <c r="L86" s="112">
        <f t="shared" si="11"/>
        <v>11131359.185175493</v>
      </c>
      <c r="M86" s="112">
        <f t="shared" si="11"/>
        <v>665106176.71516562</v>
      </c>
      <c r="N86" s="112">
        <f t="shared" si="11"/>
        <v>47230366.508267336</v>
      </c>
      <c r="P86" s="50" t="s">
        <v>1089</v>
      </c>
    </row>
    <row r="87" spans="2:16" ht="12" customHeight="1">
      <c r="F87" s="52"/>
      <c r="G87" s="52"/>
      <c r="H87" s="52"/>
      <c r="I87" s="52"/>
      <c r="J87" s="52"/>
      <c r="K87" s="52"/>
      <c r="L87" s="52"/>
      <c r="M87" s="52"/>
      <c r="N87" s="52"/>
      <c r="P87" s="50"/>
    </row>
    <row r="88" spans="2:16" ht="12" customHeight="1"/>
    <row r="89" spans="2:16" ht="12" customHeight="1">
      <c r="F89" s="52"/>
      <c r="G89" s="28"/>
      <c r="H89" s="27"/>
      <c r="I89" s="27"/>
      <c r="J89" s="27"/>
      <c r="K89" s="27"/>
      <c r="L89" s="27"/>
      <c r="M89" s="27"/>
      <c r="N89" s="27"/>
      <c r="O89" s="27"/>
    </row>
    <row r="90" spans="2:16" ht="12" customHeight="1">
      <c r="F90" s="52"/>
      <c r="G90" s="27"/>
      <c r="H90" s="27"/>
      <c r="I90" s="27"/>
      <c r="J90" s="27"/>
      <c r="K90" s="27"/>
      <c r="L90" s="27"/>
      <c r="M90" s="27"/>
      <c r="N90" s="27"/>
      <c r="O90" s="27"/>
    </row>
    <row r="91" spans="2:16" ht="12" customHeight="1">
      <c r="F91" s="27"/>
      <c r="G91" s="189"/>
      <c r="H91" s="27"/>
      <c r="I91" s="27"/>
      <c r="J91" s="27"/>
      <c r="K91" s="27"/>
      <c r="L91" s="27"/>
      <c r="M91" s="27"/>
      <c r="N91" s="27"/>
      <c r="O91" s="27"/>
    </row>
    <row r="92" spans="2:16" ht="12" customHeight="1">
      <c r="F92" s="27"/>
      <c r="G92" s="189"/>
      <c r="H92" s="27"/>
      <c r="I92" s="27"/>
      <c r="J92" s="27"/>
      <c r="K92" s="27"/>
      <c r="L92" s="27"/>
      <c r="M92" s="27"/>
      <c r="N92" s="27"/>
      <c r="O92" s="27"/>
    </row>
    <row r="93" spans="2:16" ht="12" customHeight="1">
      <c r="F93" s="27"/>
      <c r="G93" s="189"/>
      <c r="H93" s="27"/>
      <c r="I93" s="27"/>
      <c r="J93" s="27"/>
      <c r="K93" s="27"/>
      <c r="L93" s="27"/>
      <c r="M93" s="27"/>
      <c r="N93" s="27"/>
      <c r="O93" s="27"/>
    </row>
    <row r="94" spans="2:16" ht="12" customHeight="1">
      <c r="F94" s="27"/>
      <c r="G94" s="27"/>
      <c r="H94" s="27"/>
      <c r="I94" s="27"/>
      <c r="J94" s="27"/>
      <c r="K94" s="27"/>
      <c r="L94" s="27"/>
      <c r="M94" s="27"/>
      <c r="N94" s="27"/>
      <c r="O94" s="27"/>
    </row>
    <row r="95" spans="2:16" ht="12" customHeight="1"/>
    <row r="96" spans="2:1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sheetData>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tabColor indexed="43"/>
  </sheetPr>
  <dimension ref="B1:P106"/>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6.140625"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36">
      <c r="B2" s="193" t="s">
        <v>617</v>
      </c>
      <c r="F2" s="5" t="s">
        <v>177</v>
      </c>
      <c r="G2" s="5" t="s">
        <v>168</v>
      </c>
      <c r="H2" s="5" t="s">
        <v>169</v>
      </c>
      <c r="I2" s="5" t="s">
        <v>170</v>
      </c>
      <c r="J2" s="5" t="s">
        <v>171</v>
      </c>
      <c r="K2" s="5" t="s">
        <v>172</v>
      </c>
      <c r="L2" s="5" t="s">
        <v>173</v>
      </c>
      <c r="M2" s="5" t="s">
        <v>174</v>
      </c>
      <c r="N2" s="5" t="s">
        <v>175</v>
      </c>
      <c r="O2" s="5"/>
      <c r="P2" s="5" t="s">
        <v>438</v>
      </c>
    </row>
    <row r="4" spans="2:16">
      <c r="B4" s="50" t="s">
        <v>940</v>
      </c>
    </row>
    <row r="5" spans="2:16">
      <c r="B5" s="50" t="s">
        <v>616</v>
      </c>
    </row>
    <row r="6" spans="2:16">
      <c r="B6" s="50" t="s">
        <v>613</v>
      </c>
    </row>
    <row r="7" spans="2:16">
      <c r="B7" s="50" t="s">
        <v>939</v>
      </c>
    </row>
    <row r="8" spans="2:16">
      <c r="B8" s="13"/>
      <c r="F8" s="51"/>
    </row>
    <row r="9" spans="2:16">
      <c r="F9" s="46"/>
    </row>
    <row r="10" spans="2:16" s="2" customFormat="1">
      <c r="B10" s="2" t="s">
        <v>597</v>
      </c>
      <c r="F10" s="48"/>
    </row>
    <row r="11" spans="2:16">
      <c r="F11" s="46"/>
    </row>
    <row r="12" spans="2:16">
      <c r="B12" s="3" t="s">
        <v>112</v>
      </c>
      <c r="F12" s="46"/>
    </row>
    <row r="13" spans="2:16">
      <c r="F13" s="4"/>
    </row>
    <row r="14" spans="2:16">
      <c r="B14" s="3" t="s">
        <v>614</v>
      </c>
      <c r="F14" s="4"/>
    </row>
    <row r="15" spans="2:16">
      <c r="B15" s="50" t="s">
        <v>615</v>
      </c>
      <c r="D15" t="s">
        <v>338</v>
      </c>
      <c r="F15" s="156">
        <f>'Efficiënte kosten 2013'!F61</f>
        <v>2312443132.3064632</v>
      </c>
    </row>
    <row r="16" spans="2:16">
      <c r="B16" t="s">
        <v>153</v>
      </c>
      <c r="D16" t="s">
        <v>338</v>
      </c>
      <c r="F16" s="156">
        <f>'Efficiënte kosten 2013'!F68</f>
        <v>381432984.7448265</v>
      </c>
    </row>
    <row r="17" spans="2:6">
      <c r="B17" t="s">
        <v>126</v>
      </c>
      <c r="D17" t="s">
        <v>338</v>
      </c>
      <c r="F17" s="156">
        <f>'Efficiënte kosten 2013'!F75</f>
        <v>42739140.878653012</v>
      </c>
    </row>
    <row r="18" spans="2:6">
      <c r="F18" s="4"/>
    </row>
    <row r="19" spans="2:6">
      <c r="B19" s="3" t="s">
        <v>608</v>
      </c>
      <c r="F19" s="4"/>
    </row>
    <row r="20" spans="2:6">
      <c r="B20" s="170" t="s">
        <v>498</v>
      </c>
      <c r="D20" s="50" t="s">
        <v>338</v>
      </c>
      <c r="F20" s="116">
        <f>'Efficiënte kosten 2013'!F48</f>
        <v>7365319.5805697888</v>
      </c>
    </row>
    <row r="21" spans="2:6">
      <c r="B21" s="50" t="s">
        <v>596</v>
      </c>
      <c r="D21" t="s">
        <v>338</v>
      </c>
      <c r="F21" s="37">
        <f>'Data marktmodel'!L21</f>
        <v>6863222.222222222</v>
      </c>
    </row>
    <row r="22" spans="2:6">
      <c r="F22" s="4"/>
    </row>
    <row r="23" spans="2:6">
      <c r="B23" s="3" t="s">
        <v>598</v>
      </c>
      <c r="F23" s="4"/>
    </row>
    <row r="24" spans="2:6">
      <c r="F24" s="4"/>
    </row>
    <row r="25" spans="2:6">
      <c r="B25" s="3" t="s">
        <v>948</v>
      </c>
      <c r="F25" s="4"/>
    </row>
    <row r="26" spans="2:6">
      <c r="B26" s="50" t="s">
        <v>949</v>
      </c>
      <c r="D26" t="s">
        <v>338</v>
      </c>
      <c r="F26" s="194">
        <f>F15+F16+F17+F20-F21</f>
        <v>2737117355.28829</v>
      </c>
    </row>
    <row r="27" spans="2:6">
      <c r="F27" s="4"/>
    </row>
    <row r="28" spans="2:6">
      <c r="F28" s="4"/>
    </row>
    <row r="29" spans="2:6">
      <c r="F29" s="4"/>
    </row>
    <row r="30" spans="2:6">
      <c r="F30" s="4"/>
    </row>
    <row r="31" spans="2:6">
      <c r="F31" s="4"/>
    </row>
    <row r="32" spans="2:6">
      <c r="F32" s="4"/>
    </row>
    <row r="33" spans="6:6">
      <c r="F33" s="4"/>
    </row>
    <row r="34" spans="6:6">
      <c r="F34" s="4"/>
    </row>
    <row r="35" spans="6:6">
      <c r="F35" s="4"/>
    </row>
    <row r="36" spans="6:6">
      <c r="F36" s="4"/>
    </row>
    <row r="37" spans="6:6">
      <c r="F37" s="4"/>
    </row>
    <row r="38" spans="6:6">
      <c r="F38" s="4"/>
    </row>
    <row r="39" spans="6:6">
      <c r="F39" s="4"/>
    </row>
    <row r="40" spans="6:6">
      <c r="F40" s="4"/>
    </row>
    <row r="41" spans="6:6">
      <c r="F41" s="4"/>
    </row>
    <row r="42" spans="6:6">
      <c r="F42" s="4"/>
    </row>
    <row r="43" spans="6:6">
      <c r="F43" s="4"/>
    </row>
    <row r="44" spans="6:6">
      <c r="F44" s="4"/>
    </row>
    <row r="45" spans="6:6">
      <c r="F45" s="4"/>
    </row>
    <row r="46" spans="6:6">
      <c r="F46" s="4"/>
    </row>
    <row r="47" spans="6:6">
      <c r="F47" s="4"/>
    </row>
    <row r="48" spans="6:6">
      <c r="F48" s="4"/>
    </row>
    <row r="49" spans="6:6">
      <c r="F49" s="4"/>
    </row>
    <row r="50" spans="6:6">
      <c r="F50" s="4"/>
    </row>
    <row r="51" spans="6:6">
      <c r="F51" s="4"/>
    </row>
    <row r="52" spans="6:6">
      <c r="F52" s="4"/>
    </row>
    <row r="53" spans="6:6">
      <c r="F53" s="4"/>
    </row>
    <row r="54" spans="6:6">
      <c r="F54" s="4"/>
    </row>
    <row r="55" spans="6:6">
      <c r="F55" s="4"/>
    </row>
    <row r="56" spans="6:6">
      <c r="F56" s="4"/>
    </row>
    <row r="57" spans="6:6">
      <c r="F57" s="4"/>
    </row>
    <row r="58" spans="6:6">
      <c r="F58" s="4"/>
    </row>
    <row r="59" spans="6:6">
      <c r="F59" s="4"/>
    </row>
    <row r="60" spans="6:6">
      <c r="F60" s="4"/>
    </row>
    <row r="61" spans="6:6">
      <c r="F61" s="4"/>
    </row>
    <row r="62" spans="6:6">
      <c r="F62" s="4"/>
    </row>
    <row r="63" spans="6:6">
      <c r="F63" s="4"/>
    </row>
    <row r="64" spans="6:6">
      <c r="F64" s="4"/>
    </row>
    <row r="65" spans="6:6">
      <c r="F65" s="4"/>
    </row>
    <row r="66" spans="6:6">
      <c r="F66" s="4"/>
    </row>
    <row r="67" spans="6:6">
      <c r="F67" s="4"/>
    </row>
    <row r="68" spans="6:6">
      <c r="F68" s="4"/>
    </row>
    <row r="69" spans="6:6">
      <c r="F69" s="4"/>
    </row>
    <row r="70" spans="6:6">
      <c r="F70" s="4"/>
    </row>
    <row r="71" spans="6:6">
      <c r="F71" s="4"/>
    </row>
    <row r="72" spans="6:6">
      <c r="F72" s="4"/>
    </row>
    <row r="73" spans="6:6">
      <c r="F73" s="4"/>
    </row>
    <row r="74" spans="6:6">
      <c r="F74" s="4"/>
    </row>
    <row r="75" spans="6:6">
      <c r="F75" s="4"/>
    </row>
    <row r="76" spans="6:6">
      <c r="F76" s="4"/>
    </row>
    <row r="77" spans="6:6">
      <c r="F77" s="4"/>
    </row>
    <row r="78" spans="6:6">
      <c r="F78" s="4"/>
    </row>
    <row r="79" spans="6:6">
      <c r="F79" s="4"/>
    </row>
    <row r="80" spans="6:6">
      <c r="F80" s="4"/>
    </row>
    <row r="81" spans="6:16">
      <c r="F81" s="4"/>
    </row>
    <row r="82" spans="6:16">
      <c r="P82" s="26"/>
    </row>
    <row r="83" spans="6:16">
      <c r="P83" s="26"/>
    </row>
    <row r="84" spans="6:16">
      <c r="P84" s="26"/>
    </row>
    <row r="85" spans="6:16">
      <c r="P85" s="26"/>
    </row>
    <row r="86" spans="6:16">
      <c r="P86" s="26"/>
    </row>
    <row r="87" spans="6:16">
      <c r="P87" s="26"/>
    </row>
    <row r="88" spans="6:16">
      <c r="P88" s="26"/>
    </row>
    <row r="89" spans="6:16">
      <c r="P89" s="26"/>
    </row>
    <row r="90" spans="6:16">
      <c r="P90" s="26"/>
    </row>
    <row r="91" spans="6:16">
      <c r="P91" s="26"/>
    </row>
    <row r="92" spans="6:16">
      <c r="P92" s="26"/>
    </row>
    <row r="93" spans="6:16">
      <c r="P93" s="26"/>
    </row>
    <row r="94" spans="6:16">
      <c r="P94" s="26"/>
    </row>
    <row r="95" spans="6:16">
      <c r="P95" s="26"/>
    </row>
    <row r="96" spans="6:16">
      <c r="P96" s="26"/>
    </row>
    <row r="97" spans="16:16">
      <c r="P97" s="26"/>
    </row>
    <row r="98" spans="16:16">
      <c r="P98" s="26"/>
    </row>
    <row r="99" spans="16:16">
      <c r="P99" s="26"/>
    </row>
    <row r="100" spans="16:16">
      <c r="P100" s="26"/>
    </row>
    <row r="101" spans="16:16">
      <c r="P101" s="26"/>
    </row>
    <row r="102" spans="16:16">
      <c r="P102" s="26"/>
    </row>
    <row r="103" spans="16:16">
      <c r="P103" s="26"/>
    </row>
    <row r="104" spans="16:16">
      <c r="P104" s="26"/>
    </row>
    <row r="105" spans="16:16">
      <c r="P105" s="26"/>
    </row>
    <row r="106" spans="16:16">
      <c r="P106" s="26"/>
    </row>
  </sheetData>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indexed="43"/>
  </sheetPr>
  <dimension ref="B1:P104"/>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82.5703125"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36">
      <c r="B2" s="195" t="s">
        <v>599</v>
      </c>
      <c r="F2" s="5" t="s">
        <v>177</v>
      </c>
      <c r="G2" s="5" t="s">
        <v>168</v>
      </c>
      <c r="H2" s="5" t="s">
        <v>169</v>
      </c>
      <c r="I2" s="5" t="s">
        <v>170</v>
      </c>
      <c r="J2" s="5" t="s">
        <v>171</v>
      </c>
      <c r="K2" s="5" t="s">
        <v>172</v>
      </c>
      <c r="L2" s="5" t="s">
        <v>173</v>
      </c>
      <c r="M2" s="5" t="s">
        <v>174</v>
      </c>
      <c r="N2" s="5" t="s">
        <v>175</v>
      </c>
      <c r="O2" s="5"/>
      <c r="P2" s="5" t="s">
        <v>438</v>
      </c>
    </row>
    <row r="4" spans="2:16">
      <c r="B4" s="50" t="s">
        <v>600</v>
      </c>
    </row>
    <row r="5" spans="2:16">
      <c r="B5" s="50" t="s">
        <v>604</v>
      </c>
    </row>
    <row r="6" spans="2:16">
      <c r="B6" s="13"/>
      <c r="F6" s="51"/>
    </row>
    <row r="7" spans="2:16">
      <c r="F7" s="46"/>
    </row>
    <row r="8" spans="2:16" s="2" customFormat="1">
      <c r="B8" s="2" t="s">
        <v>610</v>
      </c>
      <c r="F8" s="48"/>
    </row>
    <row r="9" spans="2:16">
      <c r="F9" s="46"/>
    </row>
    <row r="10" spans="2:16">
      <c r="B10" s="50" t="s">
        <v>601</v>
      </c>
      <c r="D10" t="s">
        <v>338</v>
      </c>
      <c r="F10" s="196">
        <f>SUM(G10:N10)</f>
        <v>2974550471.47089</v>
      </c>
      <c r="G10" s="116">
        <f>'BeginInkomsten (obv RV&amp;Tar2013)'!G270</f>
        <v>20240304.589437559</v>
      </c>
      <c r="H10" s="116">
        <f>'BeginInkomsten (obv RV&amp;Tar2013)'!H270</f>
        <v>76119826.16461055</v>
      </c>
      <c r="I10" s="116">
        <f>'BeginInkomsten (obv RV&amp;Tar2013)'!I270</f>
        <v>38247887.500234328</v>
      </c>
      <c r="J10" s="116">
        <f>'BeginInkomsten (obv RV&amp;Tar2013)'!J270</f>
        <v>1002646752.9424448</v>
      </c>
      <c r="K10" s="116">
        <f>'BeginInkomsten (obv RV&amp;Tar2013)'!K270</f>
        <v>1040569379.584234</v>
      </c>
      <c r="L10" s="116">
        <f>'BeginInkomsten (obv RV&amp;Tar2013)'!L270</f>
        <v>12885170.640236346</v>
      </c>
      <c r="M10" s="116">
        <f>'BeginInkomsten (obv RV&amp;Tar2013)'!M270</f>
        <v>736745210.99540901</v>
      </c>
      <c r="N10" s="116">
        <f>'BeginInkomsten (obv RV&amp;Tar2013)'!N270</f>
        <v>47095939.054283574</v>
      </c>
      <c r="P10" t="s">
        <v>451</v>
      </c>
    </row>
    <row r="11" spans="2:16">
      <c r="B11" s="50" t="s">
        <v>611</v>
      </c>
      <c r="D11" t="s">
        <v>338</v>
      </c>
      <c r="F11" s="196">
        <f>SUM(G11:N11)</f>
        <v>2716770577.5105124</v>
      </c>
      <c r="G11" s="116">
        <f>'Efficiënte kosten 2013'!G86</f>
        <v>16538248.4585863</v>
      </c>
      <c r="H11" s="116">
        <f>'Efficiënte kosten 2013'!H86</f>
        <v>70510232.644454315</v>
      </c>
      <c r="I11" s="116">
        <f>'Efficiënte kosten 2013'!I86</f>
        <v>32819914.621216629</v>
      </c>
      <c r="J11" s="116">
        <f>'Efficiënte kosten 2013'!J86</f>
        <v>900136332.03905785</v>
      </c>
      <c r="K11" s="116">
        <f>'Efficiënte kosten 2013'!K86</f>
        <v>973297947.33858883</v>
      </c>
      <c r="L11" s="116">
        <f>'Efficiënte kosten 2013'!L86</f>
        <v>11131359.185175493</v>
      </c>
      <c r="M11" s="116">
        <f>'Efficiënte kosten 2013'!M86</f>
        <v>665106176.71516562</v>
      </c>
      <c r="N11" s="116">
        <f>'Efficiënte kosten 2013'!N86</f>
        <v>47230366.508267336</v>
      </c>
    </row>
    <row r="12" spans="2:16">
      <c r="F12" s="4"/>
    </row>
    <row r="13" spans="2:16">
      <c r="B13" s="50" t="s">
        <v>602</v>
      </c>
      <c r="D13" t="s">
        <v>338</v>
      </c>
      <c r="F13" s="196">
        <f>SUM(G13:N13)</f>
        <v>257779893.96037778</v>
      </c>
      <c r="G13" s="112">
        <f>G10-G11</f>
        <v>3702056.1308512595</v>
      </c>
      <c r="H13" s="112">
        <f t="shared" ref="H13:N13" si="0">H10-H11</f>
        <v>5609593.5201562345</v>
      </c>
      <c r="I13" s="112">
        <f t="shared" si="0"/>
        <v>5427972.8790176995</v>
      </c>
      <c r="J13" s="112">
        <f t="shared" si="0"/>
        <v>102510420.90338695</v>
      </c>
      <c r="K13" s="112">
        <f t="shared" si="0"/>
        <v>67271432.245645165</v>
      </c>
      <c r="L13" s="112">
        <f t="shared" si="0"/>
        <v>1753811.4550608527</v>
      </c>
      <c r="M13" s="112">
        <f t="shared" si="0"/>
        <v>71639034.280243397</v>
      </c>
      <c r="N13" s="112">
        <f t="shared" si="0"/>
        <v>-134427.45398376137</v>
      </c>
      <c r="P13" t="s">
        <v>450</v>
      </c>
    </row>
    <row r="14" spans="2:16">
      <c r="F14" s="4"/>
    </row>
    <row r="15" spans="2:16">
      <c r="F15" s="4"/>
    </row>
    <row r="16" spans="2:16" s="2" customFormat="1">
      <c r="B16" s="2" t="s">
        <v>612</v>
      </c>
      <c r="F16" s="48"/>
    </row>
    <row r="17" spans="2:16">
      <c r="F17" s="46"/>
    </row>
    <row r="18" spans="2:16">
      <c r="B18" s="50" t="s">
        <v>603</v>
      </c>
      <c r="D18" t="s">
        <v>338</v>
      </c>
      <c r="F18" s="197">
        <f>'BeginInkomsten (obv RV&amp;Tar2013)'!F270</f>
        <v>2974550471.47089</v>
      </c>
      <c r="G18" s="28"/>
      <c r="H18" s="28"/>
      <c r="I18" s="28"/>
      <c r="J18" s="28"/>
      <c r="K18" s="28"/>
      <c r="L18" s="28"/>
      <c r="M18" s="28"/>
      <c r="N18" s="28"/>
    </row>
    <row r="19" spans="2:16">
      <c r="B19" s="50" t="s">
        <v>950</v>
      </c>
      <c r="D19" t="s">
        <v>338</v>
      </c>
      <c r="F19" s="197">
        <f>'Inschatting kosten 2013'!F26</f>
        <v>2737117355.28829</v>
      </c>
      <c r="G19" s="28"/>
      <c r="H19" s="28"/>
      <c r="I19" s="28"/>
      <c r="J19" s="28"/>
      <c r="K19" s="28"/>
      <c r="L19" s="28"/>
      <c r="M19" s="28"/>
      <c r="N19" s="28"/>
      <c r="P19" t="s">
        <v>453</v>
      </c>
    </row>
    <row r="20" spans="2:16">
      <c r="F20" s="4"/>
      <c r="G20" s="27"/>
      <c r="H20" s="27"/>
      <c r="I20" s="27"/>
      <c r="J20" s="27"/>
      <c r="K20" s="27"/>
      <c r="L20" s="27"/>
      <c r="M20" s="27"/>
      <c r="N20" s="27"/>
    </row>
    <row r="21" spans="2:16">
      <c r="B21" s="50" t="s">
        <v>937</v>
      </c>
      <c r="D21" t="s">
        <v>338</v>
      </c>
      <c r="F21" s="112">
        <f>F18-F19</f>
        <v>237433116.18260002</v>
      </c>
      <c r="G21" s="52"/>
      <c r="H21" s="52"/>
      <c r="I21" s="52"/>
      <c r="J21" s="52"/>
      <c r="K21" s="52"/>
      <c r="L21" s="52"/>
      <c r="M21" s="52"/>
      <c r="N21" s="52"/>
      <c r="P21" t="s">
        <v>452</v>
      </c>
    </row>
    <row r="22" spans="2:16">
      <c r="B22" s="50" t="s">
        <v>945</v>
      </c>
      <c r="D22" s="899" t="s">
        <v>259</v>
      </c>
      <c r="F22" s="900">
        <f>F21/F10</f>
        <v>7.9821512009910986E-2</v>
      </c>
      <c r="G22" s="52"/>
      <c r="H22" s="52"/>
      <c r="I22" s="52"/>
      <c r="J22" s="52"/>
      <c r="K22" s="52"/>
      <c r="L22" s="52"/>
      <c r="M22" s="52"/>
      <c r="N22" s="52"/>
      <c r="O22" s="52"/>
    </row>
    <row r="23" spans="2:16">
      <c r="F23" s="4"/>
    </row>
    <row r="24" spans="2:16">
      <c r="F24" s="4"/>
    </row>
    <row r="25" spans="2:16" s="2" customFormat="1">
      <c r="B25" s="2" t="s">
        <v>605</v>
      </c>
      <c r="F25" s="48"/>
    </row>
    <row r="26" spans="2:16">
      <c r="F26" s="46"/>
    </row>
    <row r="27" spans="2:16">
      <c r="B27" s="50" t="s">
        <v>606</v>
      </c>
      <c r="G27" s="28"/>
      <c r="H27" s="28"/>
      <c r="I27" s="28"/>
      <c r="J27" s="28"/>
      <c r="K27" s="28"/>
      <c r="L27" s="28"/>
      <c r="M27" s="28"/>
      <c r="N27" s="28"/>
    </row>
    <row r="28" spans="2:16">
      <c r="F28" s="4"/>
    </row>
    <row r="29" spans="2:16">
      <c r="B29" s="50" t="s">
        <v>607</v>
      </c>
      <c r="D29" t="s">
        <v>338</v>
      </c>
      <c r="F29" s="196">
        <f>SUM(G29:N29)</f>
        <v>2716770577.5105124</v>
      </c>
      <c r="G29" s="112">
        <f>G11</f>
        <v>16538248.4585863</v>
      </c>
      <c r="H29" s="112">
        <f t="shared" ref="H29:N29" si="1">H11</f>
        <v>70510232.644454315</v>
      </c>
      <c r="I29" s="112">
        <f t="shared" si="1"/>
        <v>32819914.621216629</v>
      </c>
      <c r="J29" s="112">
        <f t="shared" si="1"/>
        <v>900136332.03905785</v>
      </c>
      <c r="K29" s="112">
        <f t="shared" si="1"/>
        <v>973297947.33858883</v>
      </c>
      <c r="L29" s="112">
        <f t="shared" si="1"/>
        <v>11131359.185175493</v>
      </c>
      <c r="M29" s="112">
        <f t="shared" si="1"/>
        <v>665106176.71516562</v>
      </c>
      <c r="N29" s="112">
        <f t="shared" si="1"/>
        <v>47230366.508267336</v>
      </c>
      <c r="P29" t="s">
        <v>454</v>
      </c>
    </row>
    <row r="30" spans="2:16">
      <c r="F30" s="4"/>
    </row>
    <row r="31" spans="2:16">
      <c r="F31" s="4"/>
    </row>
    <row r="32" spans="2:16">
      <c r="F32" s="4"/>
    </row>
    <row r="33" spans="6:6">
      <c r="F33" s="4"/>
    </row>
    <row r="34" spans="6:6">
      <c r="F34" s="4"/>
    </row>
    <row r="35" spans="6:6">
      <c r="F35" s="4"/>
    </row>
    <row r="36" spans="6:6">
      <c r="F36" s="4"/>
    </row>
    <row r="37" spans="6:6">
      <c r="F37" s="4"/>
    </row>
    <row r="38" spans="6:6">
      <c r="F38" s="4"/>
    </row>
    <row r="39" spans="6:6">
      <c r="F39" s="4"/>
    </row>
    <row r="40" spans="6:6">
      <c r="F40" s="4"/>
    </row>
    <row r="41" spans="6:6">
      <c r="F41" s="4"/>
    </row>
    <row r="42" spans="6:6">
      <c r="F42" s="4"/>
    </row>
    <row r="43" spans="6:6">
      <c r="F43" s="4"/>
    </row>
    <row r="44" spans="6:6">
      <c r="F44" s="4"/>
    </row>
    <row r="45" spans="6:6">
      <c r="F45" s="4"/>
    </row>
    <row r="46" spans="6:6">
      <c r="F46" s="4"/>
    </row>
    <row r="47" spans="6:6">
      <c r="F47" s="4"/>
    </row>
    <row r="48" spans="6:6">
      <c r="F48" s="4"/>
    </row>
    <row r="49" spans="6:6">
      <c r="F49" s="4"/>
    </row>
    <row r="50" spans="6:6">
      <c r="F50" s="4"/>
    </row>
    <row r="51" spans="6:6">
      <c r="F51" s="4"/>
    </row>
    <row r="52" spans="6:6">
      <c r="F52" s="4"/>
    </row>
    <row r="53" spans="6:6">
      <c r="F53" s="4"/>
    </row>
    <row r="54" spans="6:6">
      <c r="F54" s="4"/>
    </row>
    <row r="55" spans="6:6">
      <c r="F55" s="4"/>
    </row>
    <row r="56" spans="6:6">
      <c r="F56" s="4"/>
    </row>
    <row r="57" spans="6:6">
      <c r="F57" s="4"/>
    </row>
    <row r="58" spans="6:6">
      <c r="F58" s="4"/>
    </row>
    <row r="59" spans="6:6">
      <c r="F59" s="4"/>
    </row>
    <row r="60" spans="6:6">
      <c r="F60" s="4"/>
    </row>
    <row r="61" spans="6:6">
      <c r="F61" s="4"/>
    </row>
    <row r="62" spans="6:6">
      <c r="F62" s="4"/>
    </row>
    <row r="63" spans="6:6">
      <c r="F63" s="4"/>
    </row>
    <row r="64" spans="6:6">
      <c r="F64" s="4"/>
    </row>
    <row r="65" spans="6:16">
      <c r="F65" s="4"/>
    </row>
    <row r="66" spans="6:16">
      <c r="F66" s="4"/>
    </row>
    <row r="67" spans="6:16">
      <c r="F67" s="4"/>
    </row>
    <row r="68" spans="6:16">
      <c r="F68" s="4"/>
    </row>
    <row r="69" spans="6:16">
      <c r="F69" s="4"/>
    </row>
    <row r="70" spans="6:16">
      <c r="F70" s="4"/>
    </row>
    <row r="71" spans="6:16">
      <c r="F71" s="4"/>
    </row>
    <row r="72" spans="6:16">
      <c r="F72" s="4"/>
    </row>
    <row r="73" spans="6:16">
      <c r="F73" s="4"/>
    </row>
    <row r="74" spans="6:16">
      <c r="F74" s="4"/>
    </row>
    <row r="75" spans="6:16">
      <c r="F75" s="4"/>
    </row>
    <row r="76" spans="6:16">
      <c r="F76" s="4"/>
    </row>
    <row r="77" spans="6:16">
      <c r="F77" s="4"/>
    </row>
    <row r="78" spans="6:16">
      <c r="F78" s="4"/>
    </row>
    <row r="79" spans="6:16">
      <c r="F79" s="4"/>
    </row>
    <row r="80" spans="6:16">
      <c r="P80" s="26"/>
    </row>
    <row r="81" spans="16:16">
      <c r="P81" s="26"/>
    </row>
    <row r="82" spans="16:16">
      <c r="P82" s="26"/>
    </row>
    <row r="83" spans="16:16">
      <c r="P83" s="26"/>
    </row>
    <row r="84" spans="16:16">
      <c r="P84" s="26"/>
    </row>
    <row r="85" spans="16:16">
      <c r="P85" s="26"/>
    </row>
    <row r="86" spans="16:16">
      <c r="P86" s="26"/>
    </row>
    <row r="87" spans="16:16">
      <c r="P87" s="26"/>
    </row>
    <row r="88" spans="16:16">
      <c r="P88" s="26"/>
    </row>
    <row r="89" spans="16:16">
      <c r="P89" s="26"/>
    </row>
    <row r="90" spans="16:16">
      <c r="P90" s="26"/>
    </row>
    <row r="91" spans="16:16">
      <c r="P91" s="26"/>
    </row>
    <row r="92" spans="16:16">
      <c r="P92" s="26"/>
    </row>
    <row r="93" spans="16:16">
      <c r="P93" s="26"/>
    </row>
    <row r="94" spans="16:16">
      <c r="P94" s="26"/>
    </row>
    <row r="95" spans="16:16">
      <c r="P95" s="26"/>
    </row>
    <row r="96" spans="16:16">
      <c r="P96" s="26"/>
    </row>
    <row r="97" spans="16:16">
      <c r="P97" s="26"/>
    </row>
    <row r="98" spans="16:16">
      <c r="P98" s="26"/>
    </row>
    <row r="99" spans="16:16">
      <c r="P99" s="26"/>
    </row>
    <row r="100" spans="16:16">
      <c r="P100" s="26"/>
    </row>
    <row r="101" spans="16:16">
      <c r="P101" s="26"/>
    </row>
    <row r="102" spans="16:16">
      <c r="P102" s="26"/>
    </row>
    <row r="103" spans="16:16">
      <c r="P103" s="26"/>
    </row>
    <row r="104" spans="16:16">
      <c r="P104" s="26"/>
    </row>
  </sheetData>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enableFormatConditionsCalculation="0">
    <tabColor indexed="43"/>
  </sheetPr>
  <dimension ref="B1:P116"/>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105.42578125" customWidth="1"/>
    <col min="3" max="3" width="2.5703125" customWidth="1"/>
    <col min="4" max="4" width="15" customWidth="1"/>
    <col min="5" max="5" width="2.5703125" customWidth="1"/>
    <col min="6" max="6" width="21.42578125" customWidth="1"/>
    <col min="7" max="8" width="14.7109375" customWidth="1"/>
    <col min="9" max="10" width="14.85546875" customWidth="1"/>
    <col min="11" max="11" width="17.42578125" customWidth="1"/>
    <col min="12" max="13" width="14.85546875" customWidth="1"/>
    <col min="14" max="14" width="17.28515625" bestFit="1" customWidth="1"/>
    <col min="15" max="15" width="6.5703125" customWidth="1"/>
    <col min="16" max="16" width="22.28515625" customWidth="1"/>
  </cols>
  <sheetData>
    <row r="1" spans="2:16" ht="12" customHeight="1"/>
    <row r="2" spans="2:16" s="1" customFormat="1" ht="18">
      <c r="B2" s="1" t="s">
        <v>11</v>
      </c>
      <c r="F2" s="5" t="s">
        <v>177</v>
      </c>
      <c r="G2" s="5" t="s">
        <v>168</v>
      </c>
      <c r="H2" s="5" t="s">
        <v>169</v>
      </c>
      <c r="I2" s="5" t="s">
        <v>170</v>
      </c>
      <c r="J2" s="5" t="s">
        <v>171</v>
      </c>
      <c r="K2" s="5" t="s">
        <v>172</v>
      </c>
      <c r="L2" s="5" t="s">
        <v>173</v>
      </c>
      <c r="M2" s="5" t="s">
        <v>174</v>
      </c>
      <c r="N2" s="5" t="s">
        <v>175</v>
      </c>
      <c r="P2" s="5" t="s">
        <v>438</v>
      </c>
    </row>
    <row r="3" spans="2:16">
      <c r="B3" s="50"/>
    </row>
    <row r="4" spans="2:16">
      <c r="B4" s="50" t="s">
        <v>1107</v>
      </c>
    </row>
    <row r="7" spans="2:16" s="9" customFormat="1">
      <c r="B7" s="2" t="s">
        <v>89</v>
      </c>
      <c r="D7" s="2" t="s">
        <v>278</v>
      </c>
    </row>
    <row r="9" spans="2:16">
      <c r="B9" s="3" t="s">
        <v>148</v>
      </c>
    </row>
    <row r="10" spans="2:16">
      <c r="B10" t="s">
        <v>279</v>
      </c>
      <c r="D10" t="s">
        <v>241</v>
      </c>
      <c r="F10" s="21">
        <f>SUM(G10:N10)</f>
        <v>2478202925.5906563</v>
      </c>
      <c r="G10" s="24">
        <f>SUM('Standaardisatie Output'!G138:G141)</f>
        <v>15806756.594947953</v>
      </c>
      <c r="H10" s="24">
        <f>SUM('Standaardisatie Output'!H138:H141)</f>
        <v>62343041.482818566</v>
      </c>
      <c r="I10" s="24">
        <f>SUM('Standaardisatie Output'!I138:I141)</f>
        <v>31433419.632756192</v>
      </c>
      <c r="J10" s="24">
        <f>SUM('Standaardisatie Output'!J138:J141)</f>
        <v>838158443.05002093</v>
      </c>
      <c r="K10" s="24">
        <f>SUM('Standaardisatie Output'!K138:K141)</f>
        <v>871390641.22796798</v>
      </c>
      <c r="L10" s="24">
        <f>SUM('Standaardisatie Output'!L138:L141)</f>
        <v>9638592.8657970373</v>
      </c>
      <c r="M10" s="24">
        <f>SUM('Standaardisatie Output'!M138:M141)</f>
        <v>613952989.13496804</v>
      </c>
      <c r="N10" s="24">
        <f>SUM('Standaardisatie Output'!N138:N141)</f>
        <v>35479041.601379409</v>
      </c>
    </row>
    <row r="11" spans="2:16">
      <c r="B11" t="s">
        <v>87</v>
      </c>
      <c r="D11" t="s">
        <v>241</v>
      </c>
      <c r="F11" s="21">
        <f>SUM(G11:N11)</f>
        <v>253518280.94210979</v>
      </c>
      <c r="G11" s="37">
        <f>'Standaardisatie Output'!G147</f>
        <v>1688436.0520630111</v>
      </c>
      <c r="H11" s="37">
        <f>'Standaardisatie Output'!H147</f>
        <v>6351776.5117200371</v>
      </c>
      <c r="I11" s="37">
        <f>'Standaardisatie Output'!I147</f>
        <v>3468191.9222373674</v>
      </c>
      <c r="J11" s="37">
        <f>'Standaardisatie Output'!J147</f>
        <v>88269013.164515942</v>
      </c>
      <c r="K11" s="37">
        <f>'Standaardisatie Output'!K147</f>
        <v>91646752.804591104</v>
      </c>
      <c r="L11" s="37">
        <f>'Standaardisatie Output'!L147</f>
        <v>1075393.4054818547</v>
      </c>
      <c r="M11" s="37">
        <f>'Standaardisatie Output'!M147</f>
        <v>58928588.001313947</v>
      </c>
      <c r="N11" s="37">
        <f>'Standaardisatie Output'!N147</f>
        <v>2090129.0801865214</v>
      </c>
    </row>
    <row r="12" spans="2:16">
      <c r="B12" t="s">
        <v>88</v>
      </c>
      <c r="D12" t="s">
        <v>241</v>
      </c>
      <c r="F12" s="21">
        <f>SUM(G12:N12)</f>
        <v>139627435.94752595</v>
      </c>
      <c r="G12" s="37">
        <f>'Standaardisatie Output'!G148</f>
        <v>514485.64652152866</v>
      </c>
      <c r="H12" s="37">
        <f>'Standaardisatie Output'!H148</f>
        <v>3622534.2664391329</v>
      </c>
      <c r="I12" s="37">
        <f>'Standaardisatie Output'!I148</f>
        <v>1477697.6834519361</v>
      </c>
      <c r="J12" s="37">
        <f>'Standaardisatie Output'!J148</f>
        <v>49301127.589185879</v>
      </c>
      <c r="K12" s="37">
        <f>'Standaardisatie Output'!K148</f>
        <v>52658748.951089293</v>
      </c>
      <c r="L12" s="37">
        <f>'Standaardisatie Output'!L148</f>
        <v>575598.72016117861</v>
      </c>
      <c r="M12" s="37">
        <f>'Standaardisatie Output'!M148</f>
        <v>29529760.591694355</v>
      </c>
      <c r="N12" s="37">
        <f>'Standaardisatie Output'!N148</f>
        <v>1947482.4989826491</v>
      </c>
    </row>
    <row r="13" spans="2:16">
      <c r="B13" t="s">
        <v>280</v>
      </c>
      <c r="D13" t="s">
        <v>241</v>
      </c>
      <c r="F13" s="21">
        <f>SUM(G13:N13)</f>
        <v>103201828.99059875</v>
      </c>
      <c r="G13" s="37">
        <f>'Standaardisatie Output'!G144</f>
        <v>4373.6461748681086</v>
      </c>
      <c r="H13" s="37">
        <f>'Standaardisatie Output'!H144</f>
        <v>5283787.7781241871</v>
      </c>
      <c r="I13" s="37">
        <f>'Standaardisatie Output'!I144</f>
        <v>129047.08556973876</v>
      </c>
      <c r="J13" s="37">
        <f>'Standaardisatie Output'!J144</f>
        <v>23592778.447683576</v>
      </c>
      <c r="K13" s="37">
        <f>'Standaardisatie Output'!K144</f>
        <v>42518395.41645766</v>
      </c>
      <c r="L13" s="37">
        <f>'Standaardisatie Output'!L144</f>
        <v>17424.113074568635</v>
      </c>
      <c r="M13" s="37">
        <f>'Standaardisatie Output'!M144</f>
        <v>18662699.064766485</v>
      </c>
      <c r="N13" s="37">
        <f>'Standaardisatie Output'!N144</f>
        <v>12993323.438747671</v>
      </c>
    </row>
    <row r="14" spans="2:16">
      <c r="B14" t="s">
        <v>176</v>
      </c>
      <c r="D14" t="s">
        <v>241</v>
      </c>
      <c r="F14" s="74">
        <f>SUM(G14:N14)</f>
        <v>2974550471.4708905</v>
      </c>
      <c r="G14" s="21">
        <f>SUM(G10:G13)</f>
        <v>18014051.939707357</v>
      </c>
      <c r="H14" s="21">
        <f t="shared" ref="H14:N14" si="0">SUM(H10:H13)</f>
        <v>77601140.039101928</v>
      </c>
      <c r="I14" s="21">
        <f t="shared" si="0"/>
        <v>36508356.324015237</v>
      </c>
      <c r="J14" s="21">
        <f t="shared" si="0"/>
        <v>999321362.25140631</v>
      </c>
      <c r="K14" s="21">
        <f t="shared" si="0"/>
        <v>1058214538.400106</v>
      </c>
      <c r="L14" s="21">
        <f t="shared" si="0"/>
        <v>11307009.10451464</v>
      </c>
      <c r="M14" s="21">
        <f t="shared" si="0"/>
        <v>721074036.79274285</v>
      </c>
      <c r="N14" s="21">
        <f t="shared" si="0"/>
        <v>52509976.619296253</v>
      </c>
      <c r="P14" s="50" t="s">
        <v>1088</v>
      </c>
    </row>
    <row r="16" spans="2:16">
      <c r="B16" s="3" t="s">
        <v>93</v>
      </c>
      <c r="G16" t="s">
        <v>132</v>
      </c>
      <c r="H16" t="s">
        <v>133</v>
      </c>
      <c r="I16" t="s">
        <v>134</v>
      </c>
    </row>
    <row r="17" spans="2:16">
      <c r="B17" t="s">
        <v>136</v>
      </c>
      <c r="D17" t="s">
        <v>259</v>
      </c>
      <c r="F17" s="27" t="s">
        <v>135</v>
      </c>
      <c r="G17" s="75">
        <f>CPI!P43</f>
        <v>6.5341969999999749E-2</v>
      </c>
      <c r="H17" s="75">
        <f>CPI!Q43</f>
        <v>4.9598000000000031E-2</v>
      </c>
      <c r="I17" s="75">
        <f>CPI!R43</f>
        <v>2.3E-2</v>
      </c>
    </row>
    <row r="18" spans="2:16">
      <c r="B18" t="s">
        <v>154</v>
      </c>
      <c r="D18" t="s">
        <v>259</v>
      </c>
      <c r="F18" s="75">
        <f>WACC!F11</f>
        <v>0.02</v>
      </c>
      <c r="G18" s="52"/>
      <c r="H18" s="52"/>
      <c r="I18" s="52"/>
      <c r="J18" s="52"/>
      <c r="K18" s="52"/>
      <c r="L18" s="52"/>
      <c r="M18" s="52"/>
      <c r="N18" s="52"/>
    </row>
    <row r="19" spans="2:16">
      <c r="F19" s="27"/>
    </row>
    <row r="20" spans="2:16">
      <c r="B20" t="s">
        <v>90</v>
      </c>
      <c r="D20" t="s">
        <v>259</v>
      </c>
      <c r="F20" s="31">
        <f>Productiviteitsverandering!F53</f>
        <v>3.2672321451210351E-3</v>
      </c>
    </row>
    <row r="22" spans="2:16">
      <c r="B22" s="3" t="s">
        <v>347</v>
      </c>
    </row>
    <row r="23" spans="2:16">
      <c r="B23" t="s">
        <v>94</v>
      </c>
      <c r="D23" t="s">
        <v>335</v>
      </c>
      <c r="F23" s="37">
        <f>'Genormaliseerde totale kosten'!F103</f>
        <v>1893309192.1918666</v>
      </c>
      <c r="I23" s="28"/>
      <c r="J23" s="28"/>
      <c r="K23" s="28"/>
      <c r="L23" s="28"/>
      <c r="M23" s="28"/>
      <c r="N23" s="28"/>
    </row>
    <row r="24" spans="2:16">
      <c r="B24" t="s">
        <v>95</v>
      </c>
      <c r="D24" t="s">
        <v>336</v>
      </c>
      <c r="F24" s="37">
        <f>'Genormaliseerde totale kosten'!F104</f>
        <v>1946985060.1525073</v>
      </c>
      <c r="I24" s="28"/>
      <c r="J24" s="28"/>
      <c r="K24" s="28"/>
      <c r="L24" s="28"/>
      <c r="M24" s="28"/>
      <c r="N24" s="28"/>
    </row>
    <row r="25" spans="2:16">
      <c r="B25" t="s">
        <v>96</v>
      </c>
      <c r="D25" t="s">
        <v>337</v>
      </c>
      <c r="F25" s="37">
        <f>'Genormaliseerde totale kosten'!F105</f>
        <v>2053166693.0435715</v>
      </c>
      <c r="I25" s="28"/>
      <c r="J25" s="28"/>
      <c r="K25" s="28"/>
      <c r="L25" s="28"/>
      <c r="M25" s="28"/>
      <c r="N25" s="28"/>
    </row>
    <row r="26" spans="2:16">
      <c r="P26" s="27"/>
    </row>
    <row r="27" spans="2:16">
      <c r="B27" s="3" t="s">
        <v>348</v>
      </c>
      <c r="P27" s="27"/>
    </row>
    <row r="28" spans="2:16">
      <c r="B28" s="13" t="s">
        <v>349</v>
      </c>
      <c r="D28" t="s">
        <v>335</v>
      </c>
      <c r="F28" s="21">
        <f>SUM(G28:N28)</f>
        <v>347029979.38999999</v>
      </c>
      <c r="G28" s="37">
        <f>'Genormaliseerde totale kosten'!G31</f>
        <v>3045000</v>
      </c>
      <c r="H28" s="37">
        <f>'Genormaliseerde totale kosten'!H31</f>
        <v>9960074.5800000001</v>
      </c>
      <c r="I28" s="37">
        <f>'Genormaliseerde totale kosten'!I31</f>
        <v>6624716.3400000008</v>
      </c>
      <c r="J28" s="37">
        <f>'Genormaliseerde totale kosten'!J31</f>
        <v>130193000</v>
      </c>
      <c r="K28" s="37">
        <f>'Genormaliseerde totale kosten'!K31</f>
        <v>115356509.47</v>
      </c>
      <c r="L28" s="37">
        <f>'Genormaliseerde totale kosten'!L31</f>
        <v>1836719</v>
      </c>
      <c r="M28" s="37">
        <f>'Genormaliseerde totale kosten'!M31</f>
        <v>73581894.609999999</v>
      </c>
      <c r="N28" s="37">
        <f>'Genormaliseerde totale kosten'!N31</f>
        <v>6432065.3899999997</v>
      </c>
      <c r="P28" s="27"/>
    </row>
    <row r="29" spans="2:16">
      <c r="B29" s="13" t="s">
        <v>350</v>
      </c>
      <c r="D29" t="s">
        <v>336</v>
      </c>
      <c r="F29" s="21">
        <f>SUM(G29:N29)</f>
        <v>372011121.17642117</v>
      </c>
      <c r="G29" s="37">
        <f>'Genormaliseerde totale kosten'!G58</f>
        <v>3205889</v>
      </c>
      <c r="H29" s="37">
        <f>'Genormaliseerde totale kosten'!H58</f>
        <v>8134496.3854211643</v>
      </c>
      <c r="I29" s="37">
        <f>'Genormaliseerde totale kosten'!I58</f>
        <v>6785819.2400000002</v>
      </c>
      <c r="J29" s="37">
        <f>'Genormaliseerde totale kosten'!J58</f>
        <v>146361706.93099999</v>
      </c>
      <c r="K29" s="37">
        <f>'Genormaliseerde totale kosten'!K58</f>
        <v>120558989.81999999</v>
      </c>
      <c r="L29" s="37">
        <f>'Genormaliseerde totale kosten'!L58</f>
        <v>1974084.8</v>
      </c>
      <c r="M29" s="37">
        <f>'Genormaliseerde totale kosten'!M58</f>
        <v>77992123</v>
      </c>
      <c r="N29" s="37">
        <f>'Genormaliseerde totale kosten'!N58</f>
        <v>6998012</v>
      </c>
      <c r="P29" s="27"/>
    </row>
    <row r="30" spans="2:16">
      <c r="B30" s="13" t="s">
        <v>351</v>
      </c>
      <c r="D30" t="s">
        <v>337</v>
      </c>
      <c r="F30" s="21">
        <f>SUM(G30:N30)</f>
        <v>375494842.206792</v>
      </c>
      <c r="G30" s="37">
        <f>'Genormaliseerde totale kosten'!G85</f>
        <v>3258198</v>
      </c>
      <c r="H30" s="37">
        <f>'Genormaliseerde totale kosten'!H85</f>
        <v>8880192.4545788374</v>
      </c>
      <c r="I30" s="37">
        <f>'Genormaliseerde totale kosten'!I85</f>
        <v>6890933.9199999999</v>
      </c>
      <c r="J30" s="37">
        <f>'Genormaliseerde totale kosten'!J85</f>
        <v>142556380.21364</v>
      </c>
      <c r="K30" s="37">
        <f>'Genormaliseerde totale kosten'!K85</f>
        <v>115332914.65833333</v>
      </c>
      <c r="L30" s="37">
        <f>'Genormaliseerde totale kosten'!L85</f>
        <v>2116603.44</v>
      </c>
      <c r="M30" s="37">
        <f>'Genormaliseerde totale kosten'!M85</f>
        <v>88959842.40487273</v>
      </c>
      <c r="N30" s="37">
        <f>'Genormaliseerde totale kosten'!N85</f>
        <v>7499777.115367135</v>
      </c>
      <c r="P30" s="27"/>
    </row>
    <row r="31" spans="2:16">
      <c r="P31" s="27"/>
    </row>
    <row r="32" spans="2:16">
      <c r="B32" s="3" t="s">
        <v>346</v>
      </c>
      <c r="P32" s="27"/>
    </row>
    <row r="33" spans="2:16">
      <c r="B33" s="13" t="s">
        <v>341</v>
      </c>
      <c r="D33" t="s">
        <v>335</v>
      </c>
      <c r="F33" s="21">
        <f>SUM(G33:N33)</f>
        <v>34743242.708109289</v>
      </c>
      <c r="G33" s="37">
        <f>'Genormaliseerde totale kosten'!G30</f>
        <v>963147.86095826142</v>
      </c>
      <c r="H33" s="37">
        <f>'Genormaliseerde totale kosten'!H30</f>
        <v>481846.5</v>
      </c>
      <c r="I33" s="37">
        <f>'Genormaliseerde totale kosten'!I30</f>
        <v>0</v>
      </c>
      <c r="J33" s="37">
        <f>'Genormaliseerde totale kosten'!J30</f>
        <v>1730000</v>
      </c>
      <c r="K33" s="37">
        <f>'Genormaliseerde totale kosten'!K30</f>
        <v>15024290.939999999</v>
      </c>
      <c r="L33" s="37">
        <f>'Genormaliseerde totale kosten'!L30</f>
        <v>815020.40715103236</v>
      </c>
      <c r="M33" s="37">
        <f>'Genormaliseerde totale kosten'!M30</f>
        <v>15702913</v>
      </c>
      <c r="N33" s="37">
        <f>'Genormaliseerde totale kosten'!N30</f>
        <v>26024</v>
      </c>
      <c r="P33" s="27"/>
    </row>
    <row r="34" spans="2:16">
      <c r="B34" s="13" t="s">
        <v>342</v>
      </c>
      <c r="D34" t="s">
        <v>336</v>
      </c>
      <c r="F34" s="21">
        <f>SUM(G34:N34)</f>
        <v>38190106.899427362</v>
      </c>
      <c r="G34" s="37">
        <f>'Genormaliseerde totale kosten'!G57</f>
        <v>4641.99999999989</v>
      </c>
      <c r="H34" s="37">
        <f>'Genormaliseerde totale kosten'!H57</f>
        <v>821971.5</v>
      </c>
      <c r="I34" s="37">
        <f>'Genormaliseerde totale kosten'!I57</f>
        <v>0</v>
      </c>
      <c r="J34" s="37">
        <f>'Genormaliseerde totale kosten'!J57</f>
        <v>1750320</v>
      </c>
      <c r="K34" s="37">
        <f>'Genormaliseerde totale kosten'!K57</f>
        <v>18867648.890763242</v>
      </c>
      <c r="L34" s="37">
        <f>'Genormaliseerde totale kosten'!L57</f>
        <v>804123.93866412179</v>
      </c>
      <c r="M34" s="37">
        <f>'Genormaliseerde totale kosten'!M57</f>
        <v>15909316</v>
      </c>
      <c r="N34" s="37">
        <f>'Genormaliseerde totale kosten'!N57</f>
        <v>32084.57</v>
      </c>
      <c r="P34" s="27"/>
    </row>
    <row r="35" spans="2:16">
      <c r="B35" s="13" t="s">
        <v>343</v>
      </c>
      <c r="D35" t="s">
        <v>337</v>
      </c>
      <c r="F35" s="21">
        <f>SUM(G35:N35)</f>
        <v>49610610.847249292</v>
      </c>
      <c r="G35" s="37">
        <f>'Genormaliseerde totale kosten'!G84</f>
        <v>1483.9999999998868</v>
      </c>
      <c r="H35" s="37">
        <f>'Genormaliseerde totale kosten'!H84</f>
        <v>851761.6</v>
      </c>
      <c r="I35" s="37">
        <f>'Genormaliseerde totale kosten'!I84</f>
        <v>0</v>
      </c>
      <c r="J35" s="37">
        <f>'Genormaliseerde totale kosten'!J84</f>
        <v>1612169.4569135276</v>
      </c>
      <c r="K35" s="37">
        <f>'Genormaliseerde totale kosten'!K84</f>
        <v>29496804.710000001</v>
      </c>
      <c r="L35" s="37">
        <f>'Genormaliseerde totale kosten'!L84</f>
        <v>801308.22033576434</v>
      </c>
      <c r="M35" s="37">
        <f>'Genormaliseerde totale kosten'!M84</f>
        <v>16832392</v>
      </c>
      <c r="N35" s="37">
        <f>'Genormaliseerde totale kosten'!N84</f>
        <v>14690.86</v>
      </c>
      <c r="P35" s="27"/>
    </row>
    <row r="36" spans="2:16">
      <c r="P36" s="27"/>
    </row>
    <row r="37" spans="2:16">
      <c r="B37" s="3" t="s">
        <v>91</v>
      </c>
    </row>
    <row r="38" spans="2:16">
      <c r="B38" s="50" t="s">
        <v>521</v>
      </c>
      <c r="D38" t="s">
        <v>335</v>
      </c>
      <c r="F38" s="116">
        <f>'Genormaliseerde totale kosten'!F95</f>
        <v>1539000</v>
      </c>
    </row>
    <row r="39" spans="2:16">
      <c r="B39" s="50" t="s">
        <v>517</v>
      </c>
      <c r="D39" t="s">
        <v>336</v>
      </c>
      <c r="F39" s="116">
        <f>'Genormaliseerde totale kosten'!F96</f>
        <v>2126000</v>
      </c>
    </row>
    <row r="40" spans="2:16">
      <c r="B40" s="50" t="s">
        <v>522</v>
      </c>
      <c r="D40" t="s">
        <v>337</v>
      </c>
      <c r="F40" s="116">
        <f>'Genormaliseerde totale kosten'!F97</f>
        <v>2367000</v>
      </c>
    </row>
    <row r="41" spans="2:16">
      <c r="B41" s="3"/>
      <c r="F41" s="28"/>
    </row>
    <row r="42" spans="2:16">
      <c r="B42" s="50" t="s">
        <v>523</v>
      </c>
      <c r="D42" t="s">
        <v>338</v>
      </c>
      <c r="F42" s="37">
        <f>'Data marktmodel'!M21</f>
        <v>27210000</v>
      </c>
      <c r="P42" s="50" t="s">
        <v>497</v>
      </c>
    </row>
    <row r="43" spans="2:16">
      <c r="B43" s="50" t="s">
        <v>524</v>
      </c>
      <c r="D43" t="s">
        <v>338</v>
      </c>
      <c r="F43" s="37">
        <f>'Data marktmodel'!O21</f>
        <v>29793000</v>
      </c>
    </row>
    <row r="45" spans="2:16">
      <c r="B45" s="171" t="s">
        <v>494</v>
      </c>
      <c r="D45" t="s">
        <v>335</v>
      </c>
      <c r="F45" s="116">
        <f>'Berekening kosten dub. deb.'!F119</f>
        <v>8194821.3305318067</v>
      </c>
    </row>
    <row r="46" spans="2:16">
      <c r="B46" s="171" t="s">
        <v>495</v>
      </c>
      <c r="D46" t="s">
        <v>336</v>
      </c>
      <c r="F46" s="116">
        <f>'Berekening kosten dub. deb.'!F120</f>
        <v>6215765.0064787548</v>
      </c>
    </row>
    <row r="47" spans="2:16">
      <c r="B47" s="171" t="s">
        <v>496</v>
      </c>
      <c r="D47" t="s">
        <v>337</v>
      </c>
      <c r="F47" s="116">
        <f>'Berekening kosten dub. deb.'!F121</f>
        <v>6687797.7735801628</v>
      </c>
    </row>
    <row r="48" spans="2:16">
      <c r="B48" s="170" t="s">
        <v>498</v>
      </c>
      <c r="D48" s="50" t="s">
        <v>338</v>
      </c>
      <c r="F48" s="115">
        <f>AVERAGE(F45*(1+G17),F46*(1+H17),F47*(1+I17))</f>
        <v>7365319.5805697888</v>
      </c>
    </row>
    <row r="50" spans="2:16">
      <c r="B50" s="50" t="s">
        <v>499</v>
      </c>
      <c r="D50" s="50" t="s">
        <v>338</v>
      </c>
      <c r="F50" s="113">
        <f>F42-F48</f>
        <v>19844680.419430211</v>
      </c>
    </row>
    <row r="51" spans="2:16">
      <c r="B51" s="50" t="s">
        <v>500</v>
      </c>
      <c r="D51" s="50" t="s">
        <v>338</v>
      </c>
      <c r="F51" s="113">
        <f>F43-F48</f>
        <v>22427680.419430211</v>
      </c>
    </row>
    <row r="54" spans="2:16" s="9" customFormat="1">
      <c r="B54" s="2" t="s">
        <v>938</v>
      </c>
      <c r="D54" s="2" t="s">
        <v>278</v>
      </c>
    </row>
    <row r="56" spans="2:16">
      <c r="B56" s="3" t="s">
        <v>609</v>
      </c>
    </row>
    <row r="57" spans="2:16">
      <c r="B57" t="s">
        <v>97</v>
      </c>
      <c r="D57" t="s">
        <v>338</v>
      </c>
      <c r="F57" s="24">
        <f>((F23-F38)*(1-$F$20)^3+F38)*(1+G17)</f>
        <v>1997332051.4166644</v>
      </c>
      <c r="G57" s="27"/>
      <c r="H57" s="27"/>
      <c r="I57" s="27"/>
      <c r="J57" s="27"/>
      <c r="K57" s="27"/>
      <c r="L57" s="27"/>
      <c r="M57" s="27"/>
      <c r="N57" s="27"/>
      <c r="P57" s="50" t="s">
        <v>1087</v>
      </c>
    </row>
    <row r="58" spans="2:16">
      <c r="B58" t="s">
        <v>119</v>
      </c>
      <c r="D58" t="s">
        <v>338</v>
      </c>
      <c r="F58" s="24">
        <f>((F24-F39)*(1-$F$20)^2+F39)*(1+H17)</f>
        <v>2030234482.0426595</v>
      </c>
      <c r="G58" s="27"/>
      <c r="H58" s="27"/>
      <c r="I58" s="27"/>
      <c r="J58" s="27"/>
      <c r="K58" s="27"/>
      <c r="L58" s="27"/>
      <c r="M58" s="27"/>
      <c r="N58" s="27"/>
    </row>
    <row r="59" spans="2:16">
      <c r="B59" t="s">
        <v>120</v>
      </c>
      <c r="D59" t="s">
        <v>338</v>
      </c>
      <c r="F59" s="24">
        <f>((F25-F40)*(1-$F$20)+F40)*(1+I17)</f>
        <v>2093534978.2136099</v>
      </c>
      <c r="G59" s="27"/>
      <c r="H59" s="27"/>
      <c r="I59" s="27"/>
      <c r="J59" s="27"/>
      <c r="K59" s="27"/>
      <c r="L59" s="27"/>
      <c r="M59" s="27"/>
      <c r="N59" s="27"/>
    </row>
    <row r="61" spans="2:16">
      <c r="B61" t="s">
        <v>121</v>
      </c>
      <c r="D61" t="s">
        <v>338</v>
      </c>
      <c r="F61" s="21">
        <f>AVERAGE(F57:F59)</f>
        <v>2040367170.5576446</v>
      </c>
      <c r="G61" s="69"/>
      <c r="P61" s="50" t="s">
        <v>457</v>
      </c>
    </row>
    <row r="62" spans="2:16">
      <c r="F62" s="52"/>
      <c r="G62" s="27"/>
      <c r="H62" s="27"/>
      <c r="I62" s="27"/>
      <c r="J62" s="27"/>
      <c r="K62" s="27"/>
      <c r="L62" s="27"/>
      <c r="M62" s="27"/>
      <c r="N62" s="27"/>
    </row>
    <row r="63" spans="2:16">
      <c r="B63" s="3" t="s">
        <v>150</v>
      </c>
      <c r="F63" s="52"/>
      <c r="G63" s="27"/>
      <c r="H63" s="27"/>
      <c r="I63" s="27"/>
      <c r="J63" s="27"/>
      <c r="K63" s="27"/>
      <c r="L63" s="27"/>
      <c r="M63" s="27"/>
      <c r="N63" s="27"/>
    </row>
    <row r="64" spans="2:16">
      <c r="B64" t="s">
        <v>149</v>
      </c>
      <c r="D64" t="s">
        <v>338</v>
      </c>
      <c r="F64" s="21">
        <f>SUM(G64:N64)</f>
        <v>369705601.89240193</v>
      </c>
      <c r="G64" s="24">
        <f t="shared" ref="G64:N64" si="1">G28*(1+$G$17)</f>
        <v>3243966.2986499993</v>
      </c>
      <c r="H64" s="24">
        <f t="shared" si="1"/>
        <v>10610885.474404121</v>
      </c>
      <c r="I64" s="24">
        <f t="shared" si="1"/>
        <v>7057588.3563467888</v>
      </c>
      <c r="J64" s="24">
        <f t="shared" si="1"/>
        <v>138700067.10020998</v>
      </c>
      <c r="K64" s="24">
        <f t="shared" si="1"/>
        <v>122894131.05109343</v>
      </c>
      <c r="L64" s="24">
        <f t="shared" si="1"/>
        <v>1956733.8377964296</v>
      </c>
      <c r="M64" s="24">
        <f t="shared" si="1"/>
        <v>78389880.560149759</v>
      </c>
      <c r="N64" s="24">
        <f t="shared" si="1"/>
        <v>6852349.2137514167</v>
      </c>
    </row>
    <row r="65" spans="2:16">
      <c r="B65" t="s">
        <v>151</v>
      </c>
      <c r="D65" t="s">
        <v>338</v>
      </c>
      <c r="F65" s="21">
        <f>SUM(G65:N65)</f>
        <v>390462128.76452929</v>
      </c>
      <c r="G65" s="24">
        <f t="shared" ref="G65:N65" si="2">G29*(1+$H$17)</f>
        <v>3364894.6826220001</v>
      </c>
      <c r="H65" s="24">
        <f t="shared" si="2"/>
        <v>8537951.1371452827</v>
      </c>
      <c r="I65" s="24">
        <f t="shared" si="2"/>
        <v>7122382.3026655205</v>
      </c>
      <c r="J65" s="24">
        <f t="shared" si="2"/>
        <v>153620954.87136373</v>
      </c>
      <c r="K65" s="24">
        <f t="shared" si="2"/>
        <v>126538474.59709236</v>
      </c>
      <c r="L65" s="24">
        <f t="shared" si="2"/>
        <v>2071995.4579104001</v>
      </c>
      <c r="M65" s="24">
        <f t="shared" si="2"/>
        <v>81860376.316553995</v>
      </c>
      <c r="N65" s="24">
        <f t="shared" si="2"/>
        <v>7345099.3991760006</v>
      </c>
    </row>
    <row r="66" spans="2:16">
      <c r="B66" t="s">
        <v>152</v>
      </c>
      <c r="D66" t="s">
        <v>338</v>
      </c>
      <c r="F66" s="21">
        <f>SUM(G66:N66)</f>
        <v>384131223.57754821</v>
      </c>
      <c r="G66" s="24">
        <f t="shared" ref="G66:N66" si="3">G30*(1+$I$17)</f>
        <v>3333136.5539999995</v>
      </c>
      <c r="H66" s="24">
        <f t="shared" si="3"/>
        <v>9084436.8810341507</v>
      </c>
      <c r="I66" s="24">
        <f t="shared" si="3"/>
        <v>7049425.4001599997</v>
      </c>
      <c r="J66" s="24">
        <f t="shared" si="3"/>
        <v>145835176.9585537</v>
      </c>
      <c r="K66" s="24">
        <f t="shared" si="3"/>
        <v>117985571.69547498</v>
      </c>
      <c r="L66" s="24">
        <f t="shared" si="3"/>
        <v>2165285.3191199997</v>
      </c>
      <c r="M66" s="24">
        <f t="shared" si="3"/>
        <v>91005918.78018479</v>
      </c>
      <c r="N66" s="24">
        <f t="shared" si="3"/>
        <v>7672271.9890205786</v>
      </c>
    </row>
    <row r="67" spans="2:16">
      <c r="G67" s="27"/>
      <c r="H67" s="27"/>
      <c r="I67" s="27"/>
      <c r="J67" s="27"/>
      <c r="K67" s="27"/>
      <c r="L67" s="27"/>
      <c r="M67" s="27"/>
      <c r="N67" s="27"/>
    </row>
    <row r="68" spans="2:16">
      <c r="B68" t="s">
        <v>153</v>
      </c>
      <c r="D68" t="s">
        <v>338</v>
      </c>
      <c r="F68" s="21">
        <f>AVERAGE(F64:F66)</f>
        <v>381432984.7448265</v>
      </c>
      <c r="G68" s="21">
        <f t="shared" ref="G68:N68" si="4">AVERAGE(G64:G66)</f>
        <v>3313999.1784239993</v>
      </c>
      <c r="H68" s="21">
        <f t="shared" si="4"/>
        <v>9411091.1641945187</v>
      </c>
      <c r="I68" s="21">
        <f t="shared" si="4"/>
        <v>7076465.3530574366</v>
      </c>
      <c r="J68" s="21">
        <f t="shared" si="4"/>
        <v>146052066.31004247</v>
      </c>
      <c r="K68" s="21">
        <f t="shared" si="4"/>
        <v>122472725.78122026</v>
      </c>
      <c r="L68" s="21">
        <f t="shared" si="4"/>
        <v>2064671.53827561</v>
      </c>
      <c r="M68" s="21">
        <f t="shared" si="4"/>
        <v>83752058.552296177</v>
      </c>
      <c r="N68" s="21">
        <f t="shared" si="4"/>
        <v>7289906.8673159992</v>
      </c>
      <c r="P68" s="50" t="s">
        <v>1086</v>
      </c>
    </row>
    <row r="70" spans="2:16">
      <c r="B70" s="3" t="s">
        <v>122</v>
      </c>
    </row>
    <row r="71" spans="2:16">
      <c r="B71" t="s">
        <v>123</v>
      </c>
      <c r="D71" t="s">
        <v>338</v>
      </c>
      <c r="F71" s="21">
        <f>SUM(G71:N71)</f>
        <v>37013434.630845286</v>
      </c>
      <c r="G71" s="24">
        <f t="shared" ref="G71:N71" si="5">G33*(1+$G$17)</f>
        <v>1026081.8395945601</v>
      </c>
      <c r="H71" s="24">
        <f t="shared" si="5"/>
        <v>513331.29954760487</v>
      </c>
      <c r="I71" s="24">
        <f t="shared" si="5"/>
        <v>0</v>
      </c>
      <c r="J71" s="24">
        <f t="shared" si="5"/>
        <v>1843041.6080999996</v>
      </c>
      <c r="K71" s="24">
        <f t="shared" si="5"/>
        <v>16006007.707872748</v>
      </c>
      <c r="L71" s="24">
        <f t="shared" si="5"/>
        <v>868275.4461444827</v>
      </c>
      <c r="M71" s="24">
        <f t="shared" si="5"/>
        <v>16728972.270158606</v>
      </c>
      <c r="N71" s="24">
        <f t="shared" si="5"/>
        <v>27724.459427279995</v>
      </c>
    </row>
    <row r="72" spans="2:16">
      <c r="B72" t="s">
        <v>124</v>
      </c>
      <c r="D72" t="s">
        <v>338</v>
      </c>
      <c r="F72" s="21">
        <f>SUM(G72:N72)</f>
        <v>40084259.821425162</v>
      </c>
      <c r="G72" s="24">
        <f t="shared" ref="G72:N72" si="6">G34*(1+$H$17)</f>
        <v>4872.2339159998846</v>
      </c>
      <c r="H72" s="24">
        <f t="shared" si="6"/>
        <v>862739.64245699998</v>
      </c>
      <c r="I72" s="24">
        <f t="shared" si="6"/>
        <v>0</v>
      </c>
      <c r="J72" s="24">
        <f t="shared" si="6"/>
        <v>1837132.37136</v>
      </c>
      <c r="K72" s="24">
        <f t="shared" si="6"/>
        <v>19803446.540447317</v>
      </c>
      <c r="L72" s="24">
        <f t="shared" si="6"/>
        <v>844006.87777398492</v>
      </c>
      <c r="M72" s="24">
        <f t="shared" si="6"/>
        <v>16698386.254968001</v>
      </c>
      <c r="N72" s="24">
        <f t="shared" si="6"/>
        <v>33675.90050286</v>
      </c>
    </row>
    <row r="73" spans="2:16">
      <c r="B73" t="s">
        <v>125</v>
      </c>
      <c r="D73" t="s">
        <v>338</v>
      </c>
      <c r="F73" s="21">
        <f>SUM(G73:N73)</f>
        <v>50751654.896736026</v>
      </c>
      <c r="G73" s="24">
        <f t="shared" ref="G73:N73" si="7">G35*(1+$I$17)</f>
        <v>1518.1319999998841</v>
      </c>
      <c r="H73" s="24">
        <f t="shared" si="7"/>
        <v>871352.11679999984</v>
      </c>
      <c r="I73" s="24">
        <f t="shared" si="7"/>
        <v>0</v>
      </c>
      <c r="J73" s="24">
        <f t="shared" si="7"/>
        <v>1649249.3544225385</v>
      </c>
      <c r="K73" s="24">
        <f t="shared" si="7"/>
        <v>30175231.21833</v>
      </c>
      <c r="L73" s="24">
        <f t="shared" si="7"/>
        <v>819738.3094034869</v>
      </c>
      <c r="M73" s="24">
        <f t="shared" si="7"/>
        <v>17219537.015999999</v>
      </c>
      <c r="N73" s="24">
        <f t="shared" si="7"/>
        <v>15028.74978</v>
      </c>
      <c r="P73" s="27"/>
    </row>
    <row r="75" spans="2:16">
      <c r="B75" t="s">
        <v>126</v>
      </c>
      <c r="D75" t="s">
        <v>338</v>
      </c>
      <c r="F75" s="21">
        <f>AVERAGE(F71:F73)</f>
        <v>42616449.78300216</v>
      </c>
      <c r="G75" s="21">
        <f t="shared" ref="G75:N75" si="8">AVERAGE(G71:G73)</f>
        <v>344157.4018368533</v>
      </c>
      <c r="H75" s="21">
        <f t="shared" si="8"/>
        <v>749141.01960153494</v>
      </c>
      <c r="I75" s="21">
        <f t="shared" si="8"/>
        <v>0</v>
      </c>
      <c r="J75" s="21">
        <f t="shared" si="8"/>
        <v>1776474.4446275129</v>
      </c>
      <c r="K75" s="21">
        <f t="shared" si="8"/>
        <v>21994895.155550022</v>
      </c>
      <c r="L75" s="21">
        <f t="shared" si="8"/>
        <v>844006.8777739848</v>
      </c>
      <c r="M75" s="21">
        <f t="shared" si="8"/>
        <v>16882298.513708871</v>
      </c>
      <c r="N75" s="21">
        <f t="shared" si="8"/>
        <v>25476.369903379997</v>
      </c>
      <c r="P75" s="50" t="s">
        <v>1085</v>
      </c>
    </row>
    <row r="78" spans="2:16" s="9" customFormat="1">
      <c r="B78" s="2" t="s">
        <v>621</v>
      </c>
      <c r="D78" s="2" t="s">
        <v>278</v>
      </c>
    </row>
    <row r="80" spans="2:16">
      <c r="B80" s="3" t="s">
        <v>946</v>
      </c>
    </row>
    <row r="81" spans="2:16">
      <c r="B81" s="50" t="s">
        <v>947</v>
      </c>
      <c r="D81" t="s">
        <v>338</v>
      </c>
      <c r="F81" s="21">
        <f>F61+F68-F50</f>
        <v>2401955474.8830409</v>
      </c>
      <c r="P81" s="50" t="s">
        <v>457</v>
      </c>
    </row>
    <row r="83" spans="2:16">
      <c r="B83" s="3" t="s">
        <v>128</v>
      </c>
    </row>
    <row r="84" spans="2:16">
      <c r="B84" t="s">
        <v>154</v>
      </c>
      <c r="D84" s="13" t="s">
        <v>259</v>
      </c>
      <c r="F84" s="75">
        <f>F18</f>
        <v>0.02</v>
      </c>
    </row>
    <row r="85" spans="2:16">
      <c r="B85" s="13" t="s">
        <v>365</v>
      </c>
      <c r="D85" s="13" t="s">
        <v>155</v>
      </c>
      <c r="F85" s="115">
        <f>F68*(1+F84)^3</f>
        <v>404779734.8750878</v>
      </c>
      <c r="P85" s="50" t="s">
        <v>1083</v>
      </c>
    </row>
    <row r="86" spans="2:16">
      <c r="B86" t="s">
        <v>359</v>
      </c>
      <c r="D86" s="13" t="s">
        <v>155</v>
      </c>
      <c r="F86" s="21">
        <f>(F81-F68+F50-F51)*(1-F20)^3*(1+F84)^3+F85</f>
        <v>2525311892.004427</v>
      </c>
      <c r="G86" s="27"/>
      <c r="P86" s="50" t="s">
        <v>1082</v>
      </c>
    </row>
    <row r="87" spans="2:16">
      <c r="B87" t="s">
        <v>360</v>
      </c>
      <c r="D87" s="13" t="s">
        <v>362</v>
      </c>
      <c r="F87" s="78">
        <f>F86/F14</f>
        <v>0.84897261492950271</v>
      </c>
      <c r="P87" s="50" t="s">
        <v>1081</v>
      </c>
    </row>
    <row r="88" spans="2:16">
      <c r="F88" s="27"/>
    </row>
    <row r="89" spans="2:16">
      <c r="B89" t="s">
        <v>361</v>
      </c>
      <c r="D89" s="13" t="s">
        <v>155</v>
      </c>
      <c r="F89" s="21">
        <f>SUM(G89:N89)</f>
        <v>2525311892.004427</v>
      </c>
      <c r="G89" s="24">
        <f t="shared" ref="G89:N89" si="9">$F$87*G14</f>
        <v>15293436.780729236</v>
      </c>
      <c r="H89" s="24">
        <f t="shared" si="9"/>
        <v>65881242.780506894</v>
      </c>
      <c r="I89" s="24">
        <f t="shared" si="9"/>
        <v>30994594.735177264</v>
      </c>
      <c r="J89" s="24">
        <f t="shared" si="9"/>
        <v>848396470.06548929</v>
      </c>
      <c r="K89" s="24">
        <f t="shared" si="9"/>
        <v>898395163.82195461</v>
      </c>
      <c r="L89" s="24">
        <f t="shared" si="9"/>
        <v>9599341.0864914879</v>
      </c>
      <c r="M89" s="24">
        <f t="shared" si="9"/>
        <v>612172110.57370734</v>
      </c>
      <c r="N89" s="24">
        <f t="shared" si="9"/>
        <v>44579532.160370991</v>
      </c>
      <c r="P89" s="50" t="s">
        <v>1079</v>
      </c>
    </row>
    <row r="90" spans="2:16">
      <c r="B90" t="s">
        <v>131</v>
      </c>
      <c r="D90" s="13" t="s">
        <v>155</v>
      </c>
      <c r="F90" s="21">
        <f>SUM(G90:N90)</f>
        <v>45224917.441320151</v>
      </c>
      <c r="G90" s="113">
        <f t="shared" ref="G90:N90" si="10">G75*(1+$F$84)^3</f>
        <v>365222.58808848338</v>
      </c>
      <c r="H90" s="113">
        <f t="shared" si="10"/>
        <v>794994.44312930561</v>
      </c>
      <c r="I90" s="113">
        <f t="shared" si="10"/>
        <v>0</v>
      </c>
      <c r="J90" s="113">
        <f t="shared" si="10"/>
        <v>1885208.8924342736</v>
      </c>
      <c r="K90" s="113">
        <f t="shared" si="10"/>
        <v>23341158.698230926</v>
      </c>
      <c r="L90" s="113">
        <f t="shared" si="10"/>
        <v>895666.85074877483</v>
      </c>
      <c r="M90" s="113">
        <f t="shared" si="10"/>
        <v>17915630.241135962</v>
      </c>
      <c r="N90" s="113">
        <f t="shared" si="10"/>
        <v>27035.727552426077</v>
      </c>
      <c r="P90" s="50" t="s">
        <v>1080</v>
      </c>
    </row>
    <row r="91" spans="2:16">
      <c r="B91" t="s">
        <v>130</v>
      </c>
      <c r="D91" s="13" t="s">
        <v>155</v>
      </c>
      <c r="F91" s="21">
        <f>SUM(G91:N91)</f>
        <v>2570536809.4457474</v>
      </c>
      <c r="G91" s="21">
        <f t="shared" ref="G91:N91" si="11">G89+G90</f>
        <v>15658659.368817719</v>
      </c>
      <c r="H91" s="21">
        <f t="shared" si="11"/>
        <v>66676237.223636203</v>
      </c>
      <c r="I91" s="21">
        <f t="shared" si="11"/>
        <v>30994594.735177264</v>
      </c>
      <c r="J91" s="21">
        <f t="shared" si="11"/>
        <v>850281678.95792353</v>
      </c>
      <c r="K91" s="21">
        <f t="shared" si="11"/>
        <v>921736322.52018559</v>
      </c>
      <c r="L91" s="21">
        <f t="shared" si="11"/>
        <v>10495007.937240263</v>
      </c>
      <c r="M91" s="21">
        <f t="shared" si="11"/>
        <v>630087740.8148433</v>
      </c>
      <c r="N91" s="21">
        <f t="shared" si="11"/>
        <v>44606567.887923419</v>
      </c>
      <c r="P91" s="50" t="s">
        <v>1079</v>
      </c>
    </row>
    <row r="92" spans="2:16">
      <c r="B92" t="s">
        <v>80</v>
      </c>
      <c r="D92" s="13" t="s">
        <v>155</v>
      </c>
      <c r="F92" s="52"/>
      <c r="G92" s="112">
        <f t="shared" ref="G92:N92" si="12">G91</f>
        <v>15658659.368817719</v>
      </c>
      <c r="H92" s="112">
        <f t="shared" si="12"/>
        <v>66676237.223636203</v>
      </c>
      <c r="I92" s="112">
        <f t="shared" si="12"/>
        <v>30994594.735177264</v>
      </c>
      <c r="J92" s="112">
        <f t="shared" si="12"/>
        <v>850281678.95792353</v>
      </c>
      <c r="K92" s="112">
        <f t="shared" si="12"/>
        <v>921736322.52018559</v>
      </c>
      <c r="L92" s="112">
        <f t="shared" si="12"/>
        <v>10495007.937240263</v>
      </c>
      <c r="M92" s="112">
        <f t="shared" si="12"/>
        <v>630087740.8148433</v>
      </c>
      <c r="N92" s="112">
        <f t="shared" si="12"/>
        <v>44606567.887923419</v>
      </c>
      <c r="P92" s="50" t="s">
        <v>1079</v>
      </c>
    </row>
    <row r="93" spans="2:16">
      <c r="B93" s="13" t="s">
        <v>364</v>
      </c>
      <c r="D93" s="13" t="s">
        <v>155</v>
      </c>
      <c r="F93" s="52"/>
      <c r="G93" s="113">
        <f t="shared" ref="G93:N93" si="13">G92-G68*(1+$F$84)^3</f>
        <v>12141816.928680744</v>
      </c>
      <c r="H93" s="113">
        <f t="shared" si="13"/>
        <v>56689111.991463669</v>
      </c>
      <c r="I93" s="113">
        <f t="shared" si="13"/>
        <v>23484993.090789888</v>
      </c>
      <c r="J93" s="113">
        <f t="shared" si="13"/>
        <v>695290057.77317595</v>
      </c>
      <c r="K93" s="113">
        <f t="shared" si="13"/>
        <v>791767286.13934839</v>
      </c>
      <c r="L93" s="113">
        <f t="shared" si="13"/>
        <v>8303961.98344988</v>
      </c>
      <c r="M93" s="113">
        <f t="shared" si="13"/>
        <v>541209386.26267815</v>
      </c>
      <c r="N93" s="113">
        <f t="shared" si="13"/>
        <v>36870460.401072741</v>
      </c>
      <c r="P93" s="50" t="s">
        <v>1078</v>
      </c>
    </row>
    <row r="96" spans="2:16" s="9" customFormat="1">
      <c r="B96" s="2" t="s">
        <v>129</v>
      </c>
      <c r="D96" s="2" t="s">
        <v>278</v>
      </c>
    </row>
    <row r="98" spans="2:16">
      <c r="B98" s="50" t="s">
        <v>607</v>
      </c>
      <c r="D98" t="s">
        <v>338</v>
      </c>
      <c r="G98" s="116">
        <f>'Toetsen toepassing one-off'!G29</f>
        <v>16538248.4585863</v>
      </c>
      <c r="H98" s="116">
        <f>'Toetsen toepassing one-off'!H29</f>
        <v>70510232.644454315</v>
      </c>
      <c r="I98" s="116">
        <f>'Toetsen toepassing one-off'!I29</f>
        <v>32819914.621216629</v>
      </c>
      <c r="J98" s="116">
        <f>'Toetsen toepassing one-off'!J29</f>
        <v>900136332.03905785</v>
      </c>
      <c r="K98" s="116">
        <f>'Toetsen toepassing one-off'!K29</f>
        <v>973297947.33858883</v>
      </c>
      <c r="L98" s="116">
        <f>'Toetsen toepassing one-off'!L29</f>
        <v>11131359.185175493</v>
      </c>
      <c r="M98" s="116">
        <f>'Toetsen toepassing one-off'!M29</f>
        <v>665106176.71516562</v>
      </c>
      <c r="N98" s="116">
        <f>'Toetsen toepassing one-off'!N29</f>
        <v>47230366.508267336</v>
      </c>
    </row>
    <row r="99" spans="2:16">
      <c r="B99" s="11" t="s">
        <v>363</v>
      </c>
      <c r="D99" t="s">
        <v>338</v>
      </c>
      <c r="F99" s="21">
        <f>SUM(G99:N99)</f>
        <v>2335337592.765686</v>
      </c>
      <c r="G99" s="113">
        <f>G98-G68</f>
        <v>13224249.280162301</v>
      </c>
      <c r="H99" s="113">
        <f t="shared" ref="H99:N99" si="14">H98-H68</f>
        <v>61099141.480259798</v>
      </c>
      <c r="I99" s="113">
        <f t="shared" si="14"/>
        <v>25743449.268159192</v>
      </c>
      <c r="J99" s="113">
        <f t="shared" si="14"/>
        <v>754084265.72901535</v>
      </c>
      <c r="K99" s="113">
        <f t="shared" si="14"/>
        <v>850825221.55736852</v>
      </c>
      <c r="L99" s="113">
        <f t="shared" si="14"/>
        <v>9066687.6468998827</v>
      </c>
      <c r="M99" s="113">
        <f t="shared" si="14"/>
        <v>581354118.16286945</v>
      </c>
      <c r="N99" s="113">
        <f t="shared" si="14"/>
        <v>39940459.640951335</v>
      </c>
      <c r="P99" t="s">
        <v>1084</v>
      </c>
    </row>
    <row r="101" spans="2:16">
      <c r="B101" t="s">
        <v>156</v>
      </c>
      <c r="D101" t="s">
        <v>155</v>
      </c>
      <c r="F101" s="21">
        <f>SUM(G101:N101)</f>
        <v>2165757074.5706596</v>
      </c>
      <c r="G101" s="34">
        <f t="shared" ref="G101:N101" si="15">G93</f>
        <v>12141816.928680744</v>
      </c>
      <c r="H101" s="34">
        <f t="shared" si="15"/>
        <v>56689111.991463669</v>
      </c>
      <c r="I101" s="34">
        <f t="shared" si="15"/>
        <v>23484993.090789888</v>
      </c>
      <c r="J101" s="34">
        <f t="shared" si="15"/>
        <v>695290057.77317595</v>
      </c>
      <c r="K101" s="34">
        <f t="shared" si="15"/>
        <v>791767286.13934839</v>
      </c>
      <c r="L101" s="34">
        <f t="shared" si="15"/>
        <v>8303961.98344988</v>
      </c>
      <c r="M101" s="34">
        <f t="shared" si="15"/>
        <v>541209386.26267815</v>
      </c>
      <c r="N101" s="34">
        <f t="shared" si="15"/>
        <v>36870460.401072741</v>
      </c>
    </row>
    <row r="103" spans="2:16">
      <c r="B103" s="13" t="s">
        <v>86</v>
      </c>
      <c r="F103" s="114">
        <f>(1+$F$84-(F101/F99)^(1/3))*100</f>
        <v>4.4815723093292519</v>
      </c>
      <c r="G103" s="114">
        <f>(1+$F$84-(G101/G99)^(1/3))*100</f>
        <v>4.806426272291386</v>
      </c>
      <c r="H103" s="114">
        <f t="shared" ref="H103:N103" si="16">(1+$F$84-(H101/H99)^(1/3))*100</f>
        <v>4.4662665478325758</v>
      </c>
      <c r="I103" s="114">
        <f t="shared" si="16"/>
        <v>5.014256324461341</v>
      </c>
      <c r="J103" s="114">
        <f t="shared" si="16"/>
        <v>4.6695540187398299</v>
      </c>
      <c r="K103" s="114">
        <f t="shared" si="16"/>
        <v>4.3694507043886999</v>
      </c>
      <c r="L103" s="114">
        <f t="shared" si="16"/>
        <v>4.8866581339377158</v>
      </c>
      <c r="M103" s="114">
        <f t="shared" si="16"/>
        <v>4.3569082754554733</v>
      </c>
      <c r="N103" s="114">
        <f t="shared" si="16"/>
        <v>4.6307479253506978</v>
      </c>
      <c r="P103" s="50" t="s">
        <v>1077</v>
      </c>
    </row>
    <row r="104" spans="2:16">
      <c r="G104" s="27"/>
    </row>
    <row r="105" spans="2:16">
      <c r="B105" s="3" t="s">
        <v>85</v>
      </c>
      <c r="F105" s="76">
        <f>IF(F103&gt;0,ROUNDDOWN(F103,2),ROUNDUP(F103,2))</f>
        <v>4.4800000000000004</v>
      </c>
      <c r="G105" s="77">
        <f>IF(G103&gt;0,ROUNDDOWN(G103,2),ROUNDUP(G103,2))</f>
        <v>4.8</v>
      </c>
      <c r="H105" s="77">
        <f t="shared" ref="H105:N105" si="17">IF(H103&gt;0,ROUNDDOWN(H103,2),ROUNDUP(H103,2))</f>
        <v>4.46</v>
      </c>
      <c r="I105" s="77">
        <f t="shared" si="17"/>
        <v>5.01</v>
      </c>
      <c r="J105" s="77">
        <f t="shared" si="17"/>
        <v>4.66</v>
      </c>
      <c r="K105" s="77">
        <f t="shared" si="17"/>
        <v>4.3600000000000003</v>
      </c>
      <c r="L105" s="77">
        <f t="shared" si="17"/>
        <v>4.88</v>
      </c>
      <c r="M105" s="77">
        <f t="shared" si="17"/>
        <v>4.3499999999999996</v>
      </c>
      <c r="N105" s="77">
        <f t="shared" si="17"/>
        <v>4.63</v>
      </c>
    </row>
    <row r="108" spans="2:16">
      <c r="F108" s="27"/>
      <c r="G108" s="52"/>
      <c r="H108" s="27"/>
      <c r="I108" s="27"/>
      <c r="J108" s="27"/>
      <c r="K108" s="27"/>
      <c r="L108" s="27"/>
      <c r="M108" s="27"/>
      <c r="N108" s="27"/>
      <c r="O108" s="27"/>
    </row>
    <row r="109" spans="2:16">
      <c r="F109" s="52"/>
      <c r="G109" s="28"/>
      <c r="H109" s="28"/>
      <c r="I109" s="28"/>
      <c r="J109" s="28"/>
      <c r="K109" s="28"/>
      <c r="L109" s="28"/>
      <c r="M109" s="28"/>
      <c r="N109" s="28"/>
      <c r="O109" s="27"/>
    </row>
    <row r="110" spans="2:16">
      <c r="F110" s="52"/>
      <c r="G110" s="28"/>
      <c r="H110" s="28"/>
      <c r="I110" s="28"/>
      <c r="J110" s="28"/>
      <c r="K110" s="28"/>
      <c r="L110" s="28"/>
      <c r="M110" s="28"/>
      <c r="N110" s="28"/>
      <c r="O110" s="27"/>
    </row>
    <row r="111" spans="2:16">
      <c r="F111" s="52"/>
      <c r="G111" s="28"/>
      <c r="H111" s="27"/>
      <c r="I111" s="27"/>
      <c r="J111" s="27"/>
      <c r="K111" s="27"/>
      <c r="L111" s="27"/>
      <c r="M111" s="27"/>
      <c r="N111" s="27"/>
      <c r="O111" s="27"/>
    </row>
    <row r="112" spans="2:16">
      <c r="F112" s="52"/>
      <c r="G112" s="27"/>
      <c r="H112" s="27"/>
      <c r="I112" s="27"/>
      <c r="J112" s="27"/>
      <c r="K112" s="27"/>
      <c r="L112" s="27"/>
      <c r="M112" s="27"/>
      <c r="N112" s="27"/>
      <c r="O112" s="27"/>
    </row>
    <row r="113" spans="6:15">
      <c r="F113" s="27"/>
      <c r="G113" s="189"/>
      <c r="H113" s="27"/>
      <c r="I113" s="27"/>
      <c r="J113" s="27"/>
      <c r="K113" s="27"/>
      <c r="L113" s="27"/>
      <c r="M113" s="27"/>
      <c r="N113" s="27"/>
      <c r="O113" s="27"/>
    </row>
    <row r="114" spans="6:15">
      <c r="F114" s="27"/>
      <c r="G114" s="189"/>
      <c r="H114" s="27"/>
      <c r="I114" s="27"/>
      <c r="J114" s="27"/>
      <c r="K114" s="27"/>
      <c r="L114" s="27"/>
      <c r="M114" s="27"/>
      <c r="N114" s="27"/>
      <c r="O114" s="27"/>
    </row>
    <row r="115" spans="6:15">
      <c r="F115" s="27"/>
      <c r="G115" s="189"/>
      <c r="H115" s="27"/>
      <c r="I115" s="27"/>
      <c r="J115" s="27"/>
      <c r="K115" s="27"/>
      <c r="L115" s="27"/>
      <c r="M115" s="27"/>
      <c r="N115" s="27"/>
      <c r="O115" s="27"/>
    </row>
    <row r="116" spans="6:15">
      <c r="F116" s="27"/>
      <c r="G116" s="27"/>
      <c r="H116" s="27"/>
      <c r="I116" s="27"/>
      <c r="J116" s="27"/>
      <c r="K116" s="27"/>
      <c r="L116" s="27"/>
      <c r="M116" s="27"/>
      <c r="N116" s="27"/>
      <c r="O116" s="27"/>
    </row>
  </sheetData>
  <phoneticPr fontId="3"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194"/>
  <sheetViews>
    <sheetView showGridLines="0" zoomScale="85" zoomScaleNormal="85" workbookViewId="0"/>
  </sheetViews>
  <sheetFormatPr defaultRowHeight="12.75"/>
  <cols>
    <col min="1" max="1" width="3.85546875" style="1010" customWidth="1"/>
    <col min="2" max="2" width="65.7109375" style="1010" customWidth="1"/>
    <col min="3" max="3" width="8.140625" style="1010" bestFit="1" customWidth="1"/>
    <col min="4" max="4" width="31.7109375" style="1010" customWidth="1"/>
    <col min="5" max="5" width="5.85546875" style="1010" bestFit="1" customWidth="1"/>
    <col min="6" max="6" width="16.28515625" style="1010" customWidth="1"/>
    <col min="7" max="7" width="5.140625" style="1010" customWidth="1"/>
    <col min="8" max="8" width="15.5703125" style="1010" customWidth="1"/>
    <col min="9" max="9" width="5.7109375" style="1010" customWidth="1"/>
    <col min="10" max="10" width="15" style="1010" customWidth="1"/>
    <col min="11" max="11" width="4.28515625" style="1010" customWidth="1"/>
    <col min="12" max="16384" width="9.140625" style="1010"/>
  </cols>
  <sheetData>
    <row r="1" spans="1:43" s="50" customFormat="1"/>
    <row r="2" spans="1:43" s="1037" customFormat="1" ht="32.25" customHeight="1">
      <c r="B2" s="1027" t="s">
        <v>1227</v>
      </c>
    </row>
    <row r="3" spans="1:43" s="50" customFormat="1">
      <c r="A3" s="1011"/>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c r="AJ3" s="1011"/>
      <c r="AK3" s="1011"/>
      <c r="AL3" s="1011"/>
      <c r="AM3" s="1011"/>
      <c r="AN3" s="1011"/>
      <c r="AO3" s="1011"/>
      <c r="AP3" s="1011"/>
      <c r="AQ3" s="1011"/>
    </row>
    <row r="4" spans="1:43" s="429" customFormat="1">
      <c r="B4" s="1028" t="s">
        <v>1228</v>
      </c>
    </row>
    <row r="5" spans="1:43" s="1038" customFormat="1">
      <c r="B5" s="1017" t="s">
        <v>1229</v>
      </c>
    </row>
    <row r="6" spans="1:43" s="1029" customFormat="1">
      <c r="B6" s="1029" t="s">
        <v>1230</v>
      </c>
    </row>
    <row r="7" spans="1:43" s="429" customFormat="1">
      <c r="B7" s="429" t="s">
        <v>1224</v>
      </c>
      <c r="C7" s="1039"/>
    </row>
    <row r="8" spans="1:43" s="429" customFormat="1">
      <c r="C8" s="1039"/>
    </row>
    <row r="9" spans="1:43" s="50" customFormat="1">
      <c r="A9" s="1011"/>
      <c r="B9" s="1011" t="s">
        <v>1225</v>
      </c>
      <c r="C9" s="1011"/>
      <c r="D9" s="1011"/>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1"/>
    </row>
    <row r="10" spans="1:43" s="995" customFormat="1">
      <c r="A10" s="1011"/>
      <c r="B10" s="1017" t="s">
        <v>1231</v>
      </c>
      <c r="C10" s="1017"/>
      <c r="D10" s="1017"/>
      <c r="E10" s="1017"/>
      <c r="F10" s="1017"/>
      <c r="G10" s="1017"/>
      <c r="H10" s="1017"/>
      <c r="I10" s="1017"/>
      <c r="J10" s="1017"/>
      <c r="K10" s="1017"/>
      <c r="L10" s="1017"/>
      <c r="M10" s="1011"/>
      <c r="N10" s="1011"/>
      <c r="O10" s="1011"/>
      <c r="P10" s="1011"/>
      <c r="Q10" s="1011"/>
      <c r="R10" s="1011"/>
      <c r="S10" s="1011"/>
      <c r="T10" s="1011"/>
      <c r="U10" s="1011"/>
      <c r="V10" s="1011"/>
      <c r="W10" s="1011"/>
      <c r="X10" s="1011"/>
      <c r="Y10" s="1011"/>
      <c r="Z10" s="1011"/>
      <c r="AA10" s="1011"/>
      <c r="AB10" s="1011"/>
      <c r="AC10" s="1011"/>
      <c r="AD10" s="1011"/>
      <c r="AE10" s="1011"/>
      <c r="AF10" s="1011"/>
      <c r="AG10" s="1011"/>
      <c r="AH10" s="1011"/>
      <c r="AI10" s="1011"/>
      <c r="AJ10" s="1011"/>
      <c r="AK10" s="1011"/>
      <c r="AL10" s="1011"/>
      <c r="AM10" s="1011"/>
      <c r="AN10" s="1011"/>
      <c r="AO10" s="1011"/>
      <c r="AP10" s="1011"/>
      <c r="AQ10" s="1011"/>
    </row>
    <row r="11" spans="1:43" s="50" customFormat="1">
      <c r="A11" s="1011"/>
      <c r="B11" s="1017" t="s">
        <v>1226</v>
      </c>
      <c r="C11" s="1011"/>
      <c r="D11" s="1011"/>
      <c r="E11" s="1011"/>
      <c r="F11" s="1011"/>
      <c r="G11" s="1011"/>
      <c r="H11" s="1011"/>
      <c r="I11" s="1011"/>
      <c r="J11" s="1011"/>
      <c r="K11" s="1011"/>
      <c r="L11" s="1011"/>
      <c r="M11" s="1011"/>
      <c r="N11" s="1011"/>
      <c r="O11" s="1011"/>
      <c r="P11" s="1011"/>
      <c r="Q11" s="1011"/>
      <c r="R11" s="1011"/>
      <c r="S11" s="1011"/>
      <c r="T11" s="1011"/>
      <c r="U11" s="1011"/>
      <c r="V11" s="1011"/>
      <c r="W11" s="1011"/>
      <c r="X11" s="1011"/>
      <c r="Y11" s="1011"/>
      <c r="Z11" s="1011"/>
      <c r="AA11" s="1011"/>
      <c r="AB11" s="1011"/>
      <c r="AC11" s="1011"/>
      <c r="AD11" s="1011"/>
      <c r="AE11" s="1011"/>
      <c r="AF11" s="1011"/>
      <c r="AG11" s="1011"/>
      <c r="AH11" s="1011"/>
      <c r="AI11" s="1011"/>
      <c r="AJ11" s="1011"/>
      <c r="AK11" s="1011"/>
      <c r="AL11" s="1011"/>
      <c r="AM11" s="1011"/>
      <c r="AN11" s="1011"/>
      <c r="AO11" s="1011"/>
      <c r="AP11" s="1011"/>
      <c r="AQ11" s="1011"/>
    </row>
    <row r="12" spans="1:43" s="50" customFormat="1">
      <c r="A12" s="1011"/>
      <c r="B12" s="1017" t="s">
        <v>1266</v>
      </c>
      <c r="C12" s="1011"/>
      <c r="D12" s="1011"/>
      <c r="E12" s="1011"/>
      <c r="F12" s="1011"/>
      <c r="G12" s="1011"/>
      <c r="H12" s="1011"/>
      <c r="I12" s="1011"/>
      <c r="J12" s="1011"/>
      <c r="K12" s="1011"/>
      <c r="L12" s="1011"/>
      <c r="M12" s="1011"/>
      <c r="N12" s="1011"/>
      <c r="O12" s="1011"/>
      <c r="P12" s="1011"/>
      <c r="Q12" s="1011"/>
      <c r="R12" s="1011"/>
      <c r="S12" s="1011"/>
      <c r="T12" s="1011"/>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c r="AQ12" s="1011"/>
    </row>
    <row r="13" spans="1:43" s="50" customFormat="1">
      <c r="A13" s="1011"/>
      <c r="B13" s="1011"/>
      <c r="C13" s="1011"/>
      <c r="D13" s="1011"/>
      <c r="E13" s="1011"/>
      <c r="F13" s="1011"/>
      <c r="G13" s="1011"/>
      <c r="H13" s="1011"/>
      <c r="I13" s="1011"/>
      <c r="J13" s="1011"/>
      <c r="K13" s="1011"/>
      <c r="L13" s="1011"/>
      <c r="M13" s="1011"/>
      <c r="N13" s="1011"/>
      <c r="O13" s="1011"/>
      <c r="P13" s="1011"/>
      <c r="Q13" s="1011"/>
      <c r="R13" s="1011"/>
      <c r="S13" s="1011"/>
      <c r="T13" s="1011"/>
      <c r="U13" s="1011"/>
      <c r="V13" s="1011"/>
      <c r="W13" s="1011"/>
      <c r="X13" s="1011"/>
      <c r="Y13" s="1011"/>
      <c r="Z13" s="1011"/>
      <c r="AA13" s="1011"/>
      <c r="AB13" s="1011"/>
      <c r="AC13" s="1011"/>
      <c r="AD13" s="1011"/>
      <c r="AE13" s="1011"/>
      <c r="AF13" s="1011"/>
      <c r="AG13" s="1011"/>
      <c r="AH13" s="1011"/>
      <c r="AI13" s="1011"/>
      <c r="AJ13" s="1011"/>
      <c r="AK13" s="1011"/>
      <c r="AL13" s="1011"/>
      <c r="AM13" s="1011"/>
      <c r="AN13" s="1011"/>
      <c r="AO13" s="1011"/>
      <c r="AP13" s="1011"/>
      <c r="AQ13" s="1011"/>
    </row>
    <row r="14" spans="1:43" s="50" customFormat="1">
      <c r="A14" s="1011"/>
      <c r="B14" s="1011" t="s">
        <v>1238</v>
      </c>
      <c r="C14" s="1011"/>
      <c r="D14" s="1011"/>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1"/>
      <c r="AA14" s="1011"/>
      <c r="AB14" s="1011"/>
      <c r="AC14" s="1011"/>
      <c r="AD14" s="1011"/>
      <c r="AE14" s="1011"/>
      <c r="AF14" s="1011"/>
      <c r="AG14" s="1011"/>
      <c r="AH14" s="1011"/>
      <c r="AI14" s="1011"/>
      <c r="AJ14" s="1011"/>
      <c r="AK14" s="1011"/>
      <c r="AL14" s="1011"/>
      <c r="AM14" s="1011"/>
      <c r="AN14" s="1011"/>
      <c r="AO14" s="1011"/>
      <c r="AP14" s="1011"/>
      <c r="AQ14" s="1011"/>
    </row>
    <row r="15" spans="1:43" s="50" customFormat="1">
      <c r="A15" s="1011"/>
      <c r="B15" s="1011"/>
      <c r="C15" s="1011"/>
      <c r="D15" s="1011"/>
      <c r="E15" s="1011"/>
      <c r="F15" s="1011"/>
      <c r="G15" s="1011"/>
      <c r="H15" s="1011"/>
      <c r="I15" s="1011"/>
      <c r="J15" s="1011"/>
      <c r="K15" s="1011"/>
      <c r="L15" s="1011"/>
      <c r="M15" s="1011"/>
      <c r="N15" s="1011"/>
      <c r="O15" s="1011"/>
      <c r="P15" s="1011"/>
      <c r="Q15" s="1011"/>
      <c r="R15" s="1011"/>
      <c r="S15" s="1011"/>
      <c r="T15" s="1011"/>
      <c r="U15" s="1011"/>
      <c r="V15" s="1011"/>
      <c r="W15" s="1011"/>
      <c r="X15" s="1011"/>
      <c r="Y15" s="1011"/>
      <c r="Z15" s="1011"/>
      <c r="AA15" s="1011"/>
      <c r="AB15" s="1011"/>
      <c r="AC15" s="1011"/>
      <c r="AD15" s="1011"/>
      <c r="AE15" s="1011"/>
      <c r="AF15" s="1011"/>
      <c r="AG15" s="1011"/>
      <c r="AH15" s="1011"/>
      <c r="AI15" s="1011"/>
      <c r="AJ15" s="1011"/>
      <c r="AK15" s="1011"/>
      <c r="AL15" s="1011"/>
      <c r="AM15" s="1011"/>
      <c r="AN15" s="1011"/>
      <c r="AO15" s="1011"/>
      <c r="AP15" s="1011"/>
      <c r="AQ15" s="1011"/>
    </row>
    <row r="16" spans="1:43" s="1015" customFormat="1">
      <c r="A16" s="1012"/>
      <c r="B16" s="1013" t="s">
        <v>1244</v>
      </c>
      <c r="C16" s="1012"/>
      <c r="D16" s="1012"/>
      <c r="E16" s="1012"/>
      <c r="F16" s="1012"/>
      <c r="G16" s="1012"/>
      <c r="H16" s="1012"/>
      <c r="I16" s="1012"/>
      <c r="J16" s="1012"/>
      <c r="K16" s="1012"/>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row>
    <row r="18" spans="1:42">
      <c r="B18" s="1023" t="s">
        <v>1141</v>
      </c>
      <c r="C18" s="1023"/>
      <c r="D18" s="1023"/>
      <c r="F18" s="1023" t="s">
        <v>171</v>
      </c>
      <c r="G18" s="1023"/>
      <c r="H18" s="1023"/>
      <c r="I18" s="1011"/>
      <c r="J18" s="1011"/>
    </row>
    <row r="19" spans="1:42">
      <c r="B19" s="1023" t="s">
        <v>1245</v>
      </c>
      <c r="C19" s="1036"/>
      <c r="D19" s="1023"/>
      <c r="F19" s="1023" t="s">
        <v>1246</v>
      </c>
      <c r="G19" s="1036"/>
      <c r="H19" s="1023"/>
      <c r="I19" s="1011"/>
      <c r="J19" s="1011"/>
    </row>
    <row r="20" spans="1:42">
      <c r="B20" s="1011"/>
      <c r="C20" s="1011"/>
      <c r="D20" s="1011"/>
      <c r="F20" s="1011"/>
      <c r="G20" s="1011"/>
      <c r="H20" s="1011"/>
      <c r="I20" s="1011"/>
      <c r="J20" s="1011"/>
    </row>
    <row r="21" spans="1:42">
      <c r="B21" s="427" t="s">
        <v>1143</v>
      </c>
      <c r="C21" s="427" t="s">
        <v>0</v>
      </c>
      <c r="D21" s="427" t="s">
        <v>1150</v>
      </c>
      <c r="E21" s="1020" t="s">
        <v>1151</v>
      </c>
      <c r="F21" s="427" t="s">
        <v>1144</v>
      </c>
      <c r="G21" s="427"/>
      <c r="H21" s="427" t="s">
        <v>1146</v>
      </c>
      <c r="I21" s="429"/>
      <c r="J21" s="427" t="s">
        <v>1145</v>
      </c>
    </row>
    <row r="22" spans="1:42">
      <c r="B22" s="1010" t="s">
        <v>277</v>
      </c>
      <c r="C22" s="1010">
        <v>2009</v>
      </c>
      <c r="D22" s="1010" t="s">
        <v>1247</v>
      </c>
      <c r="E22" s="1010" t="s">
        <v>1248</v>
      </c>
      <c r="F22" s="1034">
        <v>31055217.3357016</v>
      </c>
      <c r="H22" s="177">
        <f>J22-F22</f>
        <v>125432.95660500601</v>
      </c>
      <c r="J22" s="1034">
        <v>31180650.292306606</v>
      </c>
    </row>
    <row r="23" spans="1:42" s="429" customFormat="1">
      <c r="B23" s="429" t="s">
        <v>288</v>
      </c>
      <c r="C23" s="1010">
        <v>2009</v>
      </c>
      <c r="D23" s="1010" t="s">
        <v>1247</v>
      </c>
      <c r="E23" s="1010" t="s">
        <v>1249</v>
      </c>
      <c r="F23" s="1034">
        <v>756759920.86396301</v>
      </c>
      <c r="H23" s="177">
        <f>J23-F23</f>
        <v>575839.94313824177</v>
      </c>
      <c r="J23" s="1034">
        <v>757335760.80710125</v>
      </c>
    </row>
    <row r="24" spans="1:42" s="429" customFormat="1">
      <c r="B24" s="1010" t="s">
        <v>277</v>
      </c>
      <c r="C24" s="1010">
        <v>2010</v>
      </c>
      <c r="D24" s="1010" t="s">
        <v>1247</v>
      </c>
      <c r="E24" s="429" t="s">
        <v>1250</v>
      </c>
      <c r="F24" s="1034">
        <v>38602980.369556598</v>
      </c>
      <c r="H24" s="177">
        <f t="shared" ref="H24:H29" si="0">J24-F24</f>
        <v>102673.22972144932</v>
      </c>
      <c r="J24" s="1034">
        <v>38705653.599278048</v>
      </c>
    </row>
    <row r="25" spans="1:42" s="429" customFormat="1">
      <c r="B25" s="429" t="s">
        <v>288</v>
      </c>
      <c r="C25" s="1010">
        <v>2010</v>
      </c>
      <c r="D25" s="1010" t="s">
        <v>1247</v>
      </c>
      <c r="E25" s="429" t="s">
        <v>1251</v>
      </c>
      <c r="F25" s="1034">
        <v>902249442.39699805</v>
      </c>
      <c r="H25" s="177">
        <f t="shared" si="0"/>
        <v>474894.23324644566</v>
      </c>
      <c r="J25" s="1034">
        <v>902724336.63024449</v>
      </c>
    </row>
    <row r="26" spans="1:42" s="429" customFormat="1">
      <c r="B26" s="1010" t="s">
        <v>277</v>
      </c>
      <c r="C26" s="1010">
        <v>2011</v>
      </c>
      <c r="D26" s="1010" t="s">
        <v>1247</v>
      </c>
      <c r="E26" s="429" t="s">
        <v>1252</v>
      </c>
      <c r="F26" s="1034">
        <v>47350641.219784901</v>
      </c>
      <c r="H26" s="177">
        <f t="shared" si="0"/>
        <v>90891.407018214464</v>
      </c>
      <c r="J26" s="1034">
        <v>47441532.626803115</v>
      </c>
    </row>
    <row r="27" spans="1:42" s="429" customFormat="1">
      <c r="B27" s="429" t="s">
        <v>288</v>
      </c>
      <c r="C27" s="1010">
        <v>2011</v>
      </c>
      <c r="D27" s="1010" t="s">
        <v>1247</v>
      </c>
      <c r="E27" s="429" t="s">
        <v>1253</v>
      </c>
      <c r="F27" s="1034">
        <v>1116292903.5831699</v>
      </c>
      <c r="H27" s="177">
        <f t="shared" si="0"/>
        <v>391126.2397248745</v>
      </c>
      <c r="J27" s="1034">
        <v>1116684029.8228948</v>
      </c>
    </row>
    <row r="28" spans="1:42" s="429" customFormat="1">
      <c r="B28" s="1010" t="s">
        <v>277</v>
      </c>
      <c r="C28" s="1010">
        <v>2012</v>
      </c>
      <c r="D28" s="1010" t="s">
        <v>1247</v>
      </c>
      <c r="E28" s="429" t="s">
        <v>1254</v>
      </c>
      <c r="F28" s="1034">
        <v>55916397.075188696</v>
      </c>
      <c r="H28" s="177">
        <f t="shared" si="0"/>
        <v>78195.722838230431</v>
      </c>
      <c r="J28" s="1034">
        <v>55994592.798026927</v>
      </c>
    </row>
    <row r="29" spans="1:42" s="429" customFormat="1">
      <c r="B29" s="429" t="s">
        <v>288</v>
      </c>
      <c r="C29" s="1010">
        <v>2012</v>
      </c>
      <c r="D29" s="1010" t="s">
        <v>1247</v>
      </c>
      <c r="E29" s="429" t="s">
        <v>1255</v>
      </c>
      <c r="F29" s="1034">
        <v>1313687836.2111399</v>
      </c>
      <c r="H29" s="177">
        <f t="shared" si="0"/>
        <v>323099.7991232872</v>
      </c>
      <c r="J29" s="1034">
        <v>1314010936.0102632</v>
      </c>
    </row>
    <row r="30" spans="1:42" s="429" customFormat="1">
      <c r="B30" s="1020"/>
      <c r="C30" s="1039"/>
      <c r="F30" s="1040"/>
    </row>
    <row r="31" spans="1:42" s="429" customFormat="1">
      <c r="B31" s="1020"/>
      <c r="C31" s="1039"/>
    </row>
    <row r="32" spans="1:42" s="1015" customFormat="1">
      <c r="A32" s="1012"/>
      <c r="B32" s="1013" t="s">
        <v>1256</v>
      </c>
      <c r="C32" s="1012"/>
      <c r="D32" s="1012"/>
      <c r="E32" s="1012"/>
      <c r="F32" s="1012"/>
      <c r="G32" s="1012"/>
      <c r="H32" s="1012"/>
      <c r="I32" s="1012"/>
      <c r="J32" s="1012"/>
      <c r="K32" s="1012"/>
      <c r="L32" s="1012"/>
      <c r="M32" s="1012"/>
      <c r="N32" s="1012"/>
      <c r="O32" s="1012"/>
      <c r="P32" s="1012"/>
      <c r="Q32" s="1012"/>
      <c r="R32" s="1012"/>
      <c r="S32" s="1012"/>
      <c r="T32" s="1012"/>
      <c r="U32" s="1012"/>
      <c r="V32" s="1012"/>
      <c r="W32" s="1012"/>
      <c r="X32" s="1012"/>
      <c r="Y32" s="1012"/>
      <c r="Z32" s="1012"/>
      <c r="AA32" s="1012"/>
      <c r="AB32" s="1012"/>
      <c r="AC32" s="1012"/>
      <c r="AD32" s="1012"/>
      <c r="AE32" s="1012"/>
      <c r="AF32" s="1012"/>
      <c r="AG32" s="1012"/>
      <c r="AH32" s="1012"/>
      <c r="AI32" s="1012"/>
      <c r="AJ32" s="1012"/>
      <c r="AK32" s="1012"/>
      <c r="AL32" s="1012"/>
      <c r="AM32" s="1012"/>
      <c r="AN32" s="1012"/>
      <c r="AO32" s="1012"/>
      <c r="AP32" s="1012"/>
    </row>
    <row r="34" spans="1:42">
      <c r="B34" s="1023" t="s">
        <v>1141</v>
      </c>
      <c r="C34" s="1023"/>
      <c r="D34" s="1023"/>
      <c r="F34" s="1023" t="s">
        <v>172</v>
      </c>
      <c r="G34" s="1023"/>
      <c r="H34" s="1023"/>
      <c r="I34" s="1011"/>
      <c r="J34" s="1011"/>
    </row>
    <row r="35" spans="1:42">
      <c r="B35" s="1023" t="s">
        <v>1245</v>
      </c>
      <c r="C35" s="1036"/>
      <c r="D35" s="1023"/>
      <c r="F35" s="1023" t="s">
        <v>1257</v>
      </c>
      <c r="G35" s="1036"/>
      <c r="H35" s="1023"/>
      <c r="I35" s="1011"/>
      <c r="J35" s="1011"/>
    </row>
    <row r="36" spans="1:42">
      <c r="B36" s="1011"/>
      <c r="C36" s="1011"/>
      <c r="D36" s="1056"/>
      <c r="F36" s="1011"/>
      <c r="G36" s="1011"/>
      <c r="H36" s="1011"/>
      <c r="I36" s="1011"/>
      <c r="J36" s="1011"/>
    </row>
    <row r="37" spans="1:42">
      <c r="B37" s="427" t="s">
        <v>1143</v>
      </c>
      <c r="C37" s="427" t="s">
        <v>0</v>
      </c>
      <c r="D37" s="427" t="s">
        <v>1150</v>
      </c>
      <c r="E37" s="1020" t="s">
        <v>1151</v>
      </c>
      <c r="F37" s="427" t="s">
        <v>1144</v>
      </c>
      <c r="G37" s="427"/>
      <c r="H37" s="427" t="s">
        <v>1146</v>
      </c>
      <c r="I37" s="429"/>
      <c r="J37" s="427" t="s">
        <v>1145</v>
      </c>
    </row>
    <row r="38" spans="1:42">
      <c r="B38" s="1010" t="s">
        <v>277</v>
      </c>
      <c r="C38" s="1010">
        <v>2009</v>
      </c>
      <c r="D38" s="1010" t="s">
        <v>1247</v>
      </c>
      <c r="E38" s="1010" t="s">
        <v>1258</v>
      </c>
      <c r="F38" s="8">
        <v>23060040.894486073</v>
      </c>
      <c r="H38" s="177">
        <f>J38-F38</f>
        <v>9548.3729800023139</v>
      </c>
      <c r="J38" s="1034">
        <v>23069589.267466076</v>
      </c>
    </row>
    <row r="39" spans="1:42" s="429" customFormat="1">
      <c r="B39" s="429" t="s">
        <v>288</v>
      </c>
      <c r="C39" s="1010">
        <v>2009</v>
      </c>
      <c r="D39" s="1010" t="s">
        <v>1247</v>
      </c>
      <c r="E39" s="1010" t="s">
        <v>1259</v>
      </c>
      <c r="F39" s="8">
        <v>672505037.38715589</v>
      </c>
      <c r="H39" s="177">
        <f>J39-F39</f>
        <v>437329.41828000546</v>
      </c>
      <c r="J39" s="1034">
        <v>672942366.8054359</v>
      </c>
    </row>
    <row r="40" spans="1:42" s="429" customFormat="1">
      <c r="B40" s="1010" t="s">
        <v>277</v>
      </c>
      <c r="C40" s="1010">
        <v>2010</v>
      </c>
      <c r="D40" s="1010" t="s">
        <v>1247</v>
      </c>
      <c r="E40" s="429" t="s">
        <v>1260</v>
      </c>
      <c r="F40" s="8">
        <v>25814156.316637706</v>
      </c>
      <c r="H40" s="177">
        <f t="shared" ref="H40:H44" si="1">J40-F40</f>
        <v>10409.474441442639</v>
      </c>
      <c r="J40" s="1034">
        <v>25824565.791079149</v>
      </c>
    </row>
    <row r="41" spans="1:42" s="429" customFormat="1">
      <c r="B41" s="429" t="s">
        <v>288</v>
      </c>
      <c r="C41" s="1010">
        <v>2010</v>
      </c>
      <c r="D41" s="1010" t="s">
        <v>1247</v>
      </c>
      <c r="E41" s="429" t="s">
        <v>1261</v>
      </c>
      <c r="F41" s="8">
        <v>785189093.18267965</v>
      </c>
      <c r="H41" s="177">
        <f t="shared" si="1"/>
        <v>489115.93209338188</v>
      </c>
      <c r="J41" s="1034">
        <v>785678209.11477304</v>
      </c>
    </row>
    <row r="42" spans="1:42" s="429" customFormat="1">
      <c r="B42" s="1010" t="s">
        <v>277</v>
      </c>
      <c r="C42" s="1010">
        <v>2011</v>
      </c>
      <c r="D42" s="1010" t="s">
        <v>1247</v>
      </c>
      <c r="E42" s="429" t="s">
        <v>1262</v>
      </c>
      <c r="F42" s="8">
        <v>27466532.034038864</v>
      </c>
      <c r="H42" s="177">
        <f t="shared" si="1"/>
        <v>11827.989158060402</v>
      </c>
      <c r="J42" s="1034">
        <v>27478360.023196924</v>
      </c>
    </row>
    <row r="43" spans="1:42" s="429" customFormat="1">
      <c r="B43" s="429" t="s">
        <v>288</v>
      </c>
      <c r="C43" s="1010">
        <v>2011</v>
      </c>
      <c r="D43" s="1010" t="s">
        <v>1247</v>
      </c>
      <c r="E43" s="429" t="s">
        <v>1263</v>
      </c>
      <c r="F43" s="8">
        <v>946149883.09868419</v>
      </c>
      <c r="H43" s="177">
        <f t="shared" si="1"/>
        <v>549064.68191683292</v>
      </c>
      <c r="J43" s="1034">
        <v>946698947.78060102</v>
      </c>
    </row>
    <row r="44" spans="1:42" s="429" customFormat="1">
      <c r="B44" s="1010" t="s">
        <v>277</v>
      </c>
      <c r="C44" s="1010">
        <v>2012</v>
      </c>
      <c r="D44" s="1010" t="s">
        <v>1247</v>
      </c>
      <c r="E44" s="429" t="s">
        <v>1264</v>
      </c>
      <c r="F44" s="119">
        <v>28273401.33584683</v>
      </c>
      <c r="H44" s="177">
        <f t="shared" si="1"/>
        <v>12796.67127617076</v>
      </c>
      <c r="J44" s="1034">
        <v>28286198.007123001</v>
      </c>
    </row>
    <row r="45" spans="1:42" s="429" customFormat="1">
      <c r="B45" s="429" t="s">
        <v>288</v>
      </c>
      <c r="C45" s="1010">
        <v>2012</v>
      </c>
      <c r="D45" s="1010" t="s">
        <v>1247</v>
      </c>
      <c r="E45" s="429" t="s">
        <v>1265</v>
      </c>
      <c r="F45" s="119">
        <v>1134328786.6240702</v>
      </c>
      <c r="H45" s="177">
        <f>J45-F45</f>
        <v>550543.69237041473</v>
      </c>
      <c r="J45" s="1034">
        <v>1134879330.3164406</v>
      </c>
    </row>
    <row r="47" spans="1:42" s="1015" customFormat="1">
      <c r="A47" s="1012"/>
      <c r="B47" s="1013" t="s">
        <v>1240</v>
      </c>
      <c r="C47" s="1012"/>
      <c r="D47" s="1012"/>
      <c r="E47" s="1012"/>
      <c r="F47" s="1012"/>
      <c r="G47" s="1012"/>
      <c r="H47" s="1012"/>
      <c r="I47" s="1012"/>
      <c r="J47" s="1012"/>
      <c r="K47" s="1012"/>
      <c r="L47" s="1012"/>
      <c r="M47" s="1012"/>
      <c r="N47" s="1012"/>
      <c r="O47" s="1012"/>
      <c r="P47" s="1012"/>
      <c r="Q47" s="1012"/>
      <c r="R47" s="1012"/>
      <c r="S47" s="1012"/>
      <c r="T47" s="1012"/>
      <c r="U47" s="1012"/>
      <c r="V47" s="1012"/>
      <c r="W47" s="1012"/>
      <c r="X47" s="1012"/>
      <c r="Y47" s="1012"/>
      <c r="Z47" s="1012"/>
      <c r="AA47" s="1012"/>
      <c r="AB47" s="1012"/>
      <c r="AC47" s="1012"/>
      <c r="AD47" s="1012"/>
      <c r="AE47" s="1012"/>
      <c r="AF47" s="1012"/>
      <c r="AG47" s="1012"/>
      <c r="AH47" s="1012"/>
      <c r="AI47" s="1012"/>
      <c r="AJ47" s="1012"/>
      <c r="AK47" s="1012"/>
      <c r="AL47" s="1012"/>
      <c r="AM47" s="1012"/>
      <c r="AN47" s="1012"/>
      <c r="AO47" s="1012"/>
      <c r="AP47" s="1012"/>
    </row>
    <row r="49" spans="1:43">
      <c r="B49" s="1011" t="s">
        <v>1141</v>
      </c>
      <c r="C49" s="1011"/>
      <c r="D49" s="1011"/>
      <c r="F49" s="1011" t="s">
        <v>172</v>
      </c>
      <c r="G49" s="1011"/>
      <c r="H49" s="1011"/>
      <c r="I49" s="1011"/>
      <c r="J49" s="1011"/>
    </row>
    <row r="50" spans="1:43">
      <c r="B50" s="1011" t="s">
        <v>1142</v>
      </c>
      <c r="C50" s="1011"/>
      <c r="D50" s="1011"/>
      <c r="F50" s="1033" t="s">
        <v>1241</v>
      </c>
      <c r="G50" s="1011"/>
      <c r="H50" s="1011"/>
      <c r="I50" s="1011"/>
      <c r="J50" s="1011"/>
    </row>
    <row r="51" spans="1:43">
      <c r="B51" s="1011"/>
      <c r="C51" s="1011"/>
      <c r="D51" s="1011"/>
      <c r="F51" s="1011"/>
      <c r="G51" s="1011"/>
      <c r="H51" s="1011"/>
      <c r="I51" s="1011"/>
      <c r="J51" s="1011"/>
    </row>
    <row r="52" spans="1:43">
      <c r="B52" s="427" t="s">
        <v>1143</v>
      </c>
      <c r="C52" s="427" t="s">
        <v>0</v>
      </c>
      <c r="D52" s="427" t="s">
        <v>1150</v>
      </c>
      <c r="E52" s="1020" t="s">
        <v>1151</v>
      </c>
      <c r="F52" s="427" t="s">
        <v>1144</v>
      </c>
      <c r="G52" s="427"/>
      <c r="H52" s="427" t="s">
        <v>1146</v>
      </c>
      <c r="I52" s="429"/>
      <c r="J52" s="427" t="s">
        <v>1145</v>
      </c>
    </row>
    <row r="53" spans="1:43">
      <c r="B53" s="1010" t="s">
        <v>195</v>
      </c>
      <c r="C53" s="1010">
        <v>2009</v>
      </c>
      <c r="D53" s="1010" t="s">
        <v>1156</v>
      </c>
      <c r="E53" s="1010" t="s">
        <v>1242</v>
      </c>
      <c r="F53" s="1034">
        <v>84321682</v>
      </c>
      <c r="H53" s="1034">
        <f>13728471-12926271</f>
        <v>802200</v>
      </c>
      <c r="J53" s="1035">
        <f>F53+H53</f>
        <v>85123882</v>
      </c>
    </row>
    <row r="55" spans="1:43" s="1015" customFormat="1">
      <c r="A55" s="1012"/>
      <c r="B55" s="1013" t="s">
        <v>1222</v>
      </c>
      <c r="C55" s="1012"/>
      <c r="D55" s="1012"/>
      <c r="E55" s="1012"/>
      <c r="F55" s="1012"/>
      <c r="G55" s="1012"/>
      <c r="H55" s="1012"/>
      <c r="I55" s="1012"/>
      <c r="J55" s="1012"/>
      <c r="K55" s="1012"/>
      <c r="L55" s="1012"/>
      <c r="M55" s="1012"/>
      <c r="N55" s="1012"/>
      <c r="O55" s="1012"/>
      <c r="P55" s="1012"/>
      <c r="Q55" s="1012"/>
      <c r="R55" s="1012"/>
      <c r="S55" s="1012"/>
      <c r="T55" s="1012"/>
      <c r="U55" s="1012"/>
      <c r="V55" s="1012"/>
      <c r="W55" s="1012"/>
      <c r="X55" s="1012"/>
      <c r="Y55" s="1012"/>
      <c r="Z55" s="1012"/>
      <c r="AA55" s="1012"/>
      <c r="AB55" s="1012"/>
      <c r="AC55" s="1012"/>
      <c r="AD55" s="1012"/>
      <c r="AE55" s="1012"/>
      <c r="AF55" s="1012"/>
      <c r="AG55" s="1012"/>
      <c r="AH55" s="1012"/>
      <c r="AI55" s="1012"/>
      <c r="AJ55" s="1012"/>
      <c r="AK55" s="1012"/>
      <c r="AL55" s="1012"/>
      <c r="AM55" s="1012"/>
      <c r="AN55" s="1012"/>
      <c r="AO55" s="1012"/>
      <c r="AP55" s="1012"/>
      <c r="AQ55" s="1012"/>
    </row>
    <row r="56" spans="1:43" s="429" customFormat="1">
      <c r="A56" s="1011"/>
      <c r="B56" s="1011"/>
      <c r="C56" s="1011"/>
      <c r="D56" s="1011"/>
      <c r="E56" s="1011"/>
      <c r="F56" s="1011"/>
      <c r="G56" s="1011"/>
      <c r="H56" s="1011"/>
      <c r="I56" s="1011"/>
      <c r="J56" s="1011"/>
      <c r="K56" s="1011"/>
      <c r="L56" s="1011"/>
      <c r="M56" s="1011"/>
      <c r="N56" s="1011"/>
      <c r="O56" s="1011"/>
      <c r="P56" s="1011"/>
      <c r="Q56" s="1011"/>
      <c r="R56" s="1011"/>
      <c r="S56" s="1011"/>
      <c r="T56" s="1011"/>
      <c r="U56" s="1011"/>
      <c r="V56" s="1011"/>
      <c r="W56" s="1011"/>
      <c r="X56" s="1011"/>
      <c r="Y56" s="1011"/>
      <c r="Z56" s="1011"/>
      <c r="AA56" s="1011"/>
      <c r="AB56" s="1011"/>
      <c r="AC56" s="1011"/>
      <c r="AD56" s="1011"/>
      <c r="AE56" s="1011"/>
      <c r="AF56" s="1011"/>
      <c r="AG56" s="1011"/>
      <c r="AH56" s="1011"/>
      <c r="AI56" s="1011"/>
      <c r="AJ56" s="1011"/>
      <c r="AK56" s="1011"/>
      <c r="AL56" s="1011"/>
      <c r="AM56" s="1011"/>
      <c r="AN56" s="1011"/>
      <c r="AO56" s="1011"/>
      <c r="AP56" s="1011"/>
      <c r="AQ56" s="1011"/>
    </row>
    <row r="57" spans="1:43" s="429" customFormat="1">
      <c r="A57" s="1011"/>
      <c r="B57" s="1011" t="s">
        <v>1141</v>
      </c>
      <c r="C57" s="1011"/>
      <c r="D57" s="1011"/>
      <c r="E57" s="1011"/>
      <c r="F57" s="1017" t="s">
        <v>1185</v>
      </c>
      <c r="G57" s="1017"/>
      <c r="H57" s="1017"/>
      <c r="I57" s="1017"/>
      <c r="J57" s="1017"/>
      <c r="K57" s="1017"/>
      <c r="L57" s="1017"/>
      <c r="M57" s="1017"/>
      <c r="N57" s="1017"/>
      <c r="O57" s="1011"/>
      <c r="P57" s="1011"/>
      <c r="Q57" s="1011"/>
      <c r="R57" s="1011"/>
      <c r="S57" s="1011"/>
      <c r="T57" s="1011"/>
      <c r="U57" s="1011"/>
      <c r="V57" s="1011"/>
      <c r="W57" s="1011"/>
      <c r="X57" s="1011"/>
      <c r="Y57" s="1011"/>
      <c r="Z57" s="1011"/>
      <c r="AA57" s="1011"/>
      <c r="AB57" s="1011"/>
      <c r="AC57" s="1011"/>
      <c r="AD57" s="1011"/>
      <c r="AE57" s="1011"/>
      <c r="AF57" s="1011"/>
      <c r="AG57" s="1011"/>
      <c r="AH57" s="1011"/>
      <c r="AI57" s="1011"/>
      <c r="AJ57" s="1011"/>
      <c r="AK57" s="1011"/>
      <c r="AL57" s="1011"/>
      <c r="AM57" s="1011"/>
      <c r="AN57" s="1011"/>
      <c r="AO57" s="1011"/>
      <c r="AP57" s="1011"/>
      <c r="AQ57" s="1011"/>
    </row>
    <row r="58" spans="1:43" s="429" customFormat="1">
      <c r="A58" s="1011"/>
      <c r="B58" s="1014" t="s">
        <v>1142</v>
      </c>
      <c r="C58" s="1011"/>
      <c r="D58" s="1011"/>
      <c r="E58" s="1011"/>
      <c r="F58" s="1187" t="s">
        <v>1186</v>
      </c>
      <c r="G58" s="1187"/>
      <c r="H58" s="1187"/>
      <c r="I58" s="1187"/>
      <c r="J58" s="1187"/>
      <c r="K58" s="1187"/>
      <c r="L58" s="1187"/>
      <c r="M58" s="1187"/>
      <c r="N58" s="1187"/>
      <c r="O58" s="1011"/>
      <c r="P58" s="1011"/>
      <c r="Q58" s="1011"/>
      <c r="R58" s="1011"/>
      <c r="S58" s="1011"/>
      <c r="T58" s="1011"/>
      <c r="U58" s="1011"/>
      <c r="V58" s="1011"/>
      <c r="W58" s="1011"/>
      <c r="X58" s="1011"/>
      <c r="Y58" s="1011"/>
      <c r="Z58" s="1011"/>
      <c r="AA58" s="1011"/>
      <c r="AB58" s="1011"/>
      <c r="AC58" s="1011"/>
      <c r="AD58" s="1011"/>
      <c r="AE58" s="1011"/>
      <c r="AF58" s="1011"/>
      <c r="AG58" s="1011"/>
      <c r="AH58" s="1011"/>
      <c r="AI58" s="1011"/>
      <c r="AJ58" s="1011"/>
      <c r="AK58" s="1011"/>
      <c r="AL58" s="1011"/>
      <c r="AM58" s="1011"/>
      <c r="AN58" s="1011"/>
      <c r="AO58" s="1011"/>
      <c r="AP58" s="1011"/>
      <c r="AQ58" s="1011"/>
    </row>
    <row r="59" spans="1:43" s="429" customFormat="1">
      <c r="A59" s="1011"/>
      <c r="B59" s="1011"/>
      <c r="C59" s="1011"/>
      <c r="D59" s="1011"/>
      <c r="E59" s="1011"/>
      <c r="F59" s="1011"/>
      <c r="G59" s="1011"/>
      <c r="H59" s="1011"/>
      <c r="I59" s="1011"/>
      <c r="J59" s="1011"/>
      <c r="K59" s="1011"/>
      <c r="L59" s="1011"/>
      <c r="M59" s="1011"/>
      <c r="N59" s="1011"/>
      <c r="O59" s="1011"/>
      <c r="P59" s="1011"/>
      <c r="Q59" s="1011"/>
      <c r="R59" s="1011"/>
      <c r="S59" s="1011"/>
      <c r="T59" s="1011"/>
      <c r="U59" s="1011"/>
      <c r="V59" s="1011"/>
      <c r="W59" s="1011"/>
      <c r="X59" s="1011"/>
      <c r="Y59" s="1011"/>
      <c r="Z59" s="1011"/>
      <c r="AA59" s="1011"/>
      <c r="AB59" s="1011"/>
      <c r="AC59" s="1011"/>
      <c r="AD59" s="1011"/>
      <c r="AE59" s="1011"/>
      <c r="AF59" s="1011"/>
      <c r="AG59" s="1011"/>
      <c r="AH59" s="1011"/>
      <c r="AI59" s="1011"/>
      <c r="AJ59" s="1011"/>
      <c r="AK59" s="1011"/>
      <c r="AL59" s="1011"/>
      <c r="AM59" s="1011"/>
      <c r="AN59" s="1011"/>
      <c r="AO59" s="1011"/>
      <c r="AP59" s="1011"/>
      <c r="AQ59" s="1011"/>
    </row>
    <row r="60" spans="1:43" s="429" customFormat="1">
      <c r="A60" s="1011"/>
      <c r="B60" s="427" t="s">
        <v>1143</v>
      </c>
      <c r="C60" s="427" t="s">
        <v>0</v>
      </c>
      <c r="D60" s="427" t="s">
        <v>1150</v>
      </c>
      <c r="E60" s="1020" t="s">
        <v>1151</v>
      </c>
      <c r="F60" s="427" t="s">
        <v>1144</v>
      </c>
      <c r="G60" s="427"/>
      <c r="H60" s="427"/>
      <c r="J60" s="427" t="s">
        <v>1145</v>
      </c>
      <c r="K60" s="1011"/>
      <c r="L60" s="1011"/>
      <c r="M60" s="1011"/>
      <c r="N60" s="1011"/>
      <c r="O60" s="1011"/>
      <c r="P60" s="1011"/>
      <c r="Q60" s="1011"/>
      <c r="R60" s="1011"/>
      <c r="S60" s="1011"/>
      <c r="T60" s="1011"/>
      <c r="U60" s="1011"/>
      <c r="V60" s="1011"/>
      <c r="W60" s="1011"/>
      <c r="X60" s="1011"/>
      <c r="Y60" s="1011"/>
      <c r="Z60" s="1011"/>
      <c r="AA60" s="1011"/>
      <c r="AB60" s="1011"/>
      <c r="AC60" s="1011"/>
      <c r="AD60" s="1011"/>
      <c r="AE60" s="1011"/>
      <c r="AF60" s="1011"/>
      <c r="AG60" s="1011"/>
      <c r="AH60" s="1011"/>
      <c r="AI60" s="1011"/>
      <c r="AJ60" s="1011"/>
      <c r="AK60" s="1011"/>
      <c r="AL60" s="1011"/>
      <c r="AM60" s="1011"/>
      <c r="AN60" s="1011"/>
      <c r="AO60" s="1011"/>
      <c r="AP60" s="1011"/>
      <c r="AQ60" s="1011"/>
    </row>
    <row r="61" spans="1:43">
      <c r="B61" s="1010" t="s">
        <v>1187</v>
      </c>
      <c r="C61" s="1010">
        <v>2010</v>
      </c>
      <c r="D61" s="1010" t="s">
        <v>1188</v>
      </c>
      <c r="E61" s="1010" t="s">
        <v>1207</v>
      </c>
      <c r="F61" s="1024">
        <v>0</v>
      </c>
      <c r="J61" s="1016">
        <v>45000</v>
      </c>
    </row>
    <row r="62" spans="1:43">
      <c r="B62" s="1010" t="s">
        <v>1189</v>
      </c>
      <c r="C62" s="1010">
        <v>2010</v>
      </c>
      <c r="D62" s="1010" t="s">
        <v>1188</v>
      </c>
      <c r="E62" s="1010" t="s">
        <v>1208</v>
      </c>
      <c r="F62" s="1024">
        <v>0</v>
      </c>
      <c r="J62" s="1016">
        <v>66000</v>
      </c>
    </row>
    <row r="63" spans="1:43">
      <c r="B63" s="1010" t="s">
        <v>1190</v>
      </c>
      <c r="C63" s="1010">
        <v>2010</v>
      </c>
      <c r="D63" s="1010" t="s">
        <v>1188</v>
      </c>
      <c r="E63" s="1010" t="s">
        <v>1209</v>
      </c>
      <c r="F63" s="1024">
        <v>0</v>
      </c>
      <c r="J63" s="1016">
        <v>701920627.31632304</v>
      </c>
    </row>
    <row r="64" spans="1:43">
      <c r="B64" s="1010" t="s">
        <v>1192</v>
      </c>
      <c r="C64" s="1010">
        <v>2010</v>
      </c>
      <c r="D64" s="1010" t="s">
        <v>1188</v>
      </c>
      <c r="E64" s="1010" t="s">
        <v>1191</v>
      </c>
      <c r="F64" s="1024">
        <v>0</v>
      </c>
      <c r="J64" s="1016">
        <v>64467324.410593003</v>
      </c>
    </row>
    <row r="65" spans="2:10">
      <c r="B65" s="1010" t="s">
        <v>1193</v>
      </c>
      <c r="C65" s="1010">
        <v>2010</v>
      </c>
      <c r="D65" s="1010" t="s">
        <v>1188</v>
      </c>
      <c r="E65" s="1010" t="s">
        <v>1210</v>
      </c>
      <c r="F65" s="1016">
        <v>19890953.550000001</v>
      </c>
      <c r="J65" s="1016">
        <v>42560365.516598105</v>
      </c>
    </row>
    <row r="66" spans="2:10">
      <c r="B66" s="1010" t="s">
        <v>1195</v>
      </c>
      <c r="C66" s="1010">
        <v>2010</v>
      </c>
      <c r="D66" s="1010" t="s">
        <v>1188</v>
      </c>
      <c r="E66" s="1010" t="s">
        <v>1194</v>
      </c>
      <c r="F66" s="1016">
        <v>6249659.021892</v>
      </c>
      <c r="J66" s="1016">
        <v>11623227.804853581</v>
      </c>
    </row>
    <row r="67" spans="2:10">
      <c r="B67" s="1010" t="s">
        <v>1193</v>
      </c>
      <c r="C67" s="1010">
        <v>2010</v>
      </c>
      <c r="D67" s="1010" t="s">
        <v>1188</v>
      </c>
      <c r="E67" s="1010" t="s">
        <v>1211</v>
      </c>
      <c r="F67" s="1016">
        <v>200795499.338337</v>
      </c>
      <c r="J67" s="1016">
        <v>218270484.3766703</v>
      </c>
    </row>
    <row r="68" spans="2:10">
      <c r="B68" s="1010" t="s">
        <v>1195</v>
      </c>
      <c r="C68" s="1010">
        <v>2010</v>
      </c>
      <c r="D68" s="1010" t="s">
        <v>1188</v>
      </c>
      <c r="E68" s="1010" t="s">
        <v>1196</v>
      </c>
      <c r="F68" s="1016">
        <v>39403202.117064901</v>
      </c>
      <c r="J68" s="1016">
        <v>46201617.45597703</v>
      </c>
    </row>
    <row r="69" spans="2:10">
      <c r="B69" s="1010" t="s">
        <v>1193</v>
      </c>
      <c r="C69" s="1010">
        <v>2010</v>
      </c>
      <c r="D69" s="1010" t="s">
        <v>1188</v>
      </c>
      <c r="E69" s="1010" t="s">
        <v>1212</v>
      </c>
      <c r="F69" s="1024">
        <v>0</v>
      </c>
      <c r="J69" s="1016">
        <v>238454441.167153</v>
      </c>
    </row>
    <row r="70" spans="2:10">
      <c r="B70" s="1010" t="s">
        <v>1195</v>
      </c>
      <c r="C70" s="1010">
        <v>2010</v>
      </c>
      <c r="D70" s="1010" t="s">
        <v>1188</v>
      </c>
      <c r="E70" s="1010" t="s">
        <v>1197</v>
      </c>
      <c r="F70" s="1024">
        <v>0</v>
      </c>
      <c r="J70" s="1016">
        <v>57743278.195998959</v>
      </c>
    </row>
    <row r="71" spans="2:10">
      <c r="B71" s="1010" t="s">
        <v>1193</v>
      </c>
      <c r="C71" s="1010">
        <v>2010</v>
      </c>
      <c r="D71" s="1010" t="s">
        <v>1188</v>
      </c>
      <c r="E71" s="1010" t="s">
        <v>1213</v>
      </c>
      <c r="F71" s="1024">
        <v>0</v>
      </c>
      <c r="J71" s="1016">
        <v>19890953.550000001</v>
      </c>
    </row>
    <row r="72" spans="2:10">
      <c r="B72" s="1010" t="s">
        <v>1195</v>
      </c>
      <c r="C72" s="1010">
        <v>2010</v>
      </c>
      <c r="D72" s="1010" t="s">
        <v>1188</v>
      </c>
      <c r="E72" s="1010" t="s">
        <v>1198</v>
      </c>
      <c r="F72" s="1024">
        <v>0</v>
      </c>
      <c r="J72" s="1016">
        <v>6249659.021892</v>
      </c>
    </row>
    <row r="73" spans="2:10">
      <c r="B73" s="1010" t="s">
        <v>1193</v>
      </c>
      <c r="C73" s="1010">
        <v>2010</v>
      </c>
      <c r="D73" s="1010" t="s">
        <v>1188</v>
      </c>
      <c r="E73" s="1010" t="s">
        <v>1214</v>
      </c>
      <c r="F73" s="1024">
        <v>0</v>
      </c>
      <c r="J73" s="1016">
        <v>22669411.966598101</v>
      </c>
    </row>
    <row r="74" spans="2:10">
      <c r="B74" s="1010" t="s">
        <v>1195</v>
      </c>
      <c r="C74" s="1010">
        <v>2010</v>
      </c>
      <c r="D74" s="1010" t="s">
        <v>1188</v>
      </c>
      <c r="E74" s="1010" t="s">
        <v>1199</v>
      </c>
      <c r="F74" s="1024">
        <v>0</v>
      </c>
      <c r="J74" s="1016">
        <v>5373568.78296158</v>
      </c>
    </row>
    <row r="75" spans="2:10">
      <c r="B75" s="1010" t="s">
        <v>1193</v>
      </c>
      <c r="C75" s="1010">
        <v>2010</v>
      </c>
      <c r="D75" s="1010" t="s">
        <v>1188</v>
      </c>
      <c r="E75" s="1010" t="s">
        <v>1215</v>
      </c>
      <c r="F75" s="1024">
        <v>0</v>
      </c>
      <c r="J75" s="1016">
        <v>200795499.338337</v>
      </c>
    </row>
    <row r="76" spans="2:10">
      <c r="B76" s="1010" t="s">
        <v>1195</v>
      </c>
      <c r="C76" s="1010">
        <v>2010</v>
      </c>
      <c r="D76" s="1010" t="s">
        <v>1188</v>
      </c>
      <c r="E76" s="1010" t="s">
        <v>1200</v>
      </c>
      <c r="F76" s="1024">
        <v>0</v>
      </c>
      <c r="J76" s="1016">
        <v>39403202.117064901</v>
      </c>
    </row>
    <row r="77" spans="2:10">
      <c r="B77" s="1010" t="s">
        <v>1193</v>
      </c>
      <c r="C77" s="1010">
        <v>2010</v>
      </c>
      <c r="D77" s="1010" t="s">
        <v>1188</v>
      </c>
      <c r="E77" s="1010" t="s">
        <v>1216</v>
      </c>
      <c r="F77" s="1024">
        <v>0</v>
      </c>
      <c r="J77" s="1016">
        <v>17474985.038333301</v>
      </c>
    </row>
    <row r="78" spans="2:10">
      <c r="B78" s="1010" t="s">
        <v>1195</v>
      </c>
      <c r="C78" s="1010">
        <v>2010</v>
      </c>
      <c r="D78" s="1010" t="s">
        <v>1188</v>
      </c>
      <c r="E78" s="1010" t="s">
        <v>1201</v>
      </c>
      <c r="F78" s="1024">
        <v>0</v>
      </c>
      <c r="J78" s="1016">
        <v>6798415.3389121303</v>
      </c>
    </row>
    <row r="79" spans="2:10">
      <c r="B79" s="1010" t="s">
        <v>1193</v>
      </c>
      <c r="C79" s="1010">
        <v>2010</v>
      </c>
      <c r="D79" s="1010" t="s">
        <v>1188</v>
      </c>
      <c r="E79" s="1010" t="s">
        <v>1217</v>
      </c>
      <c r="F79" s="1024">
        <v>0</v>
      </c>
      <c r="J79" s="1016">
        <v>232067856.33715299</v>
      </c>
    </row>
    <row r="80" spans="2:10">
      <c r="B80" s="1010" t="s">
        <v>1195</v>
      </c>
      <c r="C80" s="1010">
        <v>2010</v>
      </c>
      <c r="D80" s="1010" t="s">
        <v>1188</v>
      </c>
      <c r="E80" s="1010" t="s">
        <v>1202</v>
      </c>
      <c r="F80" s="1024">
        <v>0</v>
      </c>
      <c r="J80" s="1016">
        <v>56133842.82</v>
      </c>
    </row>
    <row r="81" spans="1:43">
      <c r="B81" s="1010" t="s">
        <v>1193</v>
      </c>
      <c r="C81" s="1010">
        <v>2010</v>
      </c>
      <c r="D81" s="1010" t="s">
        <v>1188</v>
      </c>
      <c r="E81" s="1010" t="s">
        <v>1218</v>
      </c>
      <c r="F81" s="1024">
        <v>0</v>
      </c>
      <c r="J81" s="1016">
        <v>6386584.8300000001</v>
      </c>
    </row>
    <row r="82" spans="1:43">
      <c r="B82" s="1010" t="s">
        <v>1195</v>
      </c>
      <c r="C82" s="1010">
        <v>2010</v>
      </c>
      <c r="D82" s="1010" t="s">
        <v>1188</v>
      </c>
      <c r="E82" s="1010" t="s">
        <v>1203</v>
      </c>
      <c r="F82" s="1024">
        <v>0</v>
      </c>
      <c r="J82" s="1016">
        <v>1609435.3759989601</v>
      </c>
    </row>
    <row r="83" spans="1:43">
      <c r="B83" s="1010" t="s">
        <v>1193</v>
      </c>
      <c r="C83" s="1010">
        <v>2011</v>
      </c>
      <c r="D83" s="1010" t="s">
        <v>1188</v>
      </c>
      <c r="E83" s="1010" t="s">
        <v>1219</v>
      </c>
      <c r="F83" s="1016">
        <v>216471739.68324199</v>
      </c>
      <c r="J83" s="1016">
        <v>235447455.37324199</v>
      </c>
    </row>
    <row r="84" spans="1:43">
      <c r="B84" s="1010" t="s">
        <v>1195</v>
      </c>
      <c r="C84" s="1010">
        <v>2011</v>
      </c>
      <c r="D84" s="1010" t="s">
        <v>1188</v>
      </c>
      <c r="E84" s="1010" t="s">
        <v>1204</v>
      </c>
      <c r="F84" s="1016">
        <v>36981739.341618776</v>
      </c>
      <c r="J84" s="1016">
        <v>41851682.109690897</v>
      </c>
    </row>
    <row r="85" spans="1:43">
      <c r="B85" s="1010" t="s">
        <v>1193</v>
      </c>
      <c r="C85" s="1010">
        <v>2011</v>
      </c>
      <c r="D85" s="1010" t="s">
        <v>1188</v>
      </c>
      <c r="E85" s="1010" t="s">
        <v>1220</v>
      </c>
      <c r="F85" s="1024">
        <v>0</v>
      </c>
      <c r="J85" s="1016">
        <v>216471739.68324199</v>
      </c>
    </row>
    <row r="86" spans="1:43">
      <c r="B86" s="1010" t="s">
        <v>1195</v>
      </c>
      <c r="C86" s="1010">
        <v>2011</v>
      </c>
      <c r="D86" s="1010" t="s">
        <v>1188</v>
      </c>
      <c r="E86" s="1010" t="s">
        <v>1205</v>
      </c>
      <c r="F86" s="1024">
        <v>0</v>
      </c>
      <c r="J86" s="1016">
        <v>36981739.341618776</v>
      </c>
    </row>
    <row r="87" spans="1:43">
      <c r="B87" s="1010" t="s">
        <v>1193</v>
      </c>
      <c r="C87" s="1010">
        <v>2011</v>
      </c>
      <c r="D87" s="1010" t="s">
        <v>1188</v>
      </c>
      <c r="E87" s="1010" t="s">
        <v>1221</v>
      </c>
      <c r="F87" s="1024">
        <v>0</v>
      </c>
      <c r="J87" s="1016">
        <v>18975715.690000001</v>
      </c>
    </row>
    <row r="88" spans="1:43">
      <c r="B88" s="1010" t="s">
        <v>1195</v>
      </c>
      <c r="C88" s="1010">
        <v>2011</v>
      </c>
      <c r="D88" s="1010" t="s">
        <v>1188</v>
      </c>
      <c r="E88" s="1010" t="s">
        <v>1206</v>
      </c>
      <c r="F88" s="1024">
        <v>0</v>
      </c>
      <c r="J88" s="1016">
        <v>4869942.7680721181</v>
      </c>
    </row>
    <row r="89" spans="1:43" s="429" customFormat="1" ht="12.75" customHeight="1">
      <c r="A89" s="1011"/>
      <c r="B89" s="1011"/>
      <c r="C89" s="1011"/>
      <c r="D89" s="1011"/>
      <c r="E89" s="1011"/>
      <c r="F89" s="1011"/>
      <c r="G89" s="1011"/>
      <c r="H89" s="1011"/>
      <c r="I89" s="1011"/>
      <c r="J89" s="1011"/>
      <c r="K89" s="1011"/>
      <c r="L89" s="1011"/>
      <c r="M89" s="1011"/>
      <c r="N89" s="1011"/>
      <c r="O89" s="1011"/>
      <c r="P89" s="1011"/>
      <c r="Q89" s="1011"/>
      <c r="R89" s="1011"/>
      <c r="S89" s="1011"/>
      <c r="T89" s="1011"/>
      <c r="U89" s="1011"/>
      <c r="V89" s="1011"/>
      <c r="W89" s="1011"/>
      <c r="X89" s="1011"/>
      <c r="Y89" s="1011"/>
      <c r="Z89" s="1011"/>
      <c r="AA89" s="1011"/>
      <c r="AB89" s="1011"/>
      <c r="AC89" s="1011"/>
      <c r="AD89" s="1011"/>
      <c r="AE89" s="1011"/>
      <c r="AF89" s="1011"/>
      <c r="AG89" s="1011"/>
      <c r="AH89" s="1011"/>
      <c r="AI89" s="1011"/>
      <c r="AJ89" s="1011"/>
      <c r="AK89" s="1011"/>
      <c r="AL89" s="1011"/>
      <c r="AM89" s="1011"/>
      <c r="AN89" s="1011"/>
      <c r="AO89" s="1011"/>
      <c r="AP89" s="1011"/>
      <c r="AQ89" s="1011"/>
    </row>
    <row r="90" spans="1:43" s="1015" customFormat="1">
      <c r="A90" s="1012"/>
      <c r="B90" s="1013" t="s">
        <v>1153</v>
      </c>
      <c r="C90" s="1012"/>
      <c r="D90" s="1012"/>
      <c r="E90" s="1012"/>
      <c r="F90" s="1012"/>
      <c r="G90" s="1012"/>
      <c r="H90" s="1012"/>
      <c r="I90" s="1012"/>
      <c r="J90" s="1012"/>
      <c r="K90" s="1012"/>
      <c r="L90" s="1012"/>
      <c r="M90" s="1012"/>
      <c r="N90" s="1012"/>
      <c r="O90" s="1012"/>
      <c r="P90" s="1012"/>
      <c r="Q90" s="1012"/>
      <c r="R90" s="1012"/>
      <c r="S90" s="1012"/>
      <c r="T90" s="1012"/>
      <c r="U90" s="1012"/>
      <c r="V90" s="1012"/>
      <c r="W90" s="1012"/>
      <c r="X90" s="1012"/>
      <c r="Y90" s="1012"/>
      <c r="Z90" s="1012"/>
      <c r="AA90" s="1012"/>
      <c r="AB90" s="1012"/>
      <c r="AC90" s="1012"/>
      <c r="AD90" s="1012"/>
      <c r="AE90" s="1012"/>
      <c r="AF90" s="1012"/>
      <c r="AG90" s="1012"/>
      <c r="AH90" s="1012"/>
      <c r="AI90" s="1012"/>
      <c r="AJ90" s="1012"/>
      <c r="AK90" s="1012"/>
      <c r="AL90" s="1012"/>
      <c r="AM90" s="1012"/>
      <c r="AN90" s="1012"/>
      <c r="AO90" s="1012"/>
      <c r="AP90" s="1012"/>
      <c r="AQ90" s="1012"/>
    </row>
    <row r="92" spans="1:43">
      <c r="B92" s="1011" t="s">
        <v>1141</v>
      </c>
      <c r="F92" s="1010" t="s">
        <v>174</v>
      </c>
    </row>
    <row r="93" spans="1:43">
      <c r="B93" s="1014" t="s">
        <v>1142</v>
      </c>
      <c r="F93" s="1010" t="s">
        <v>1147</v>
      </c>
    </row>
    <row r="95" spans="1:43" s="429" customFormat="1">
      <c r="A95" s="1011"/>
      <c r="B95" s="427" t="s">
        <v>1143</v>
      </c>
      <c r="C95" s="427" t="s">
        <v>0</v>
      </c>
      <c r="D95" s="427" t="s">
        <v>1150</v>
      </c>
      <c r="E95" s="1020" t="s">
        <v>1151</v>
      </c>
      <c r="F95" s="427" t="s">
        <v>1144</v>
      </c>
      <c r="G95" s="427"/>
      <c r="H95" s="427" t="s">
        <v>1146</v>
      </c>
      <c r="J95" s="427" t="s">
        <v>1145</v>
      </c>
      <c r="K95" s="1011"/>
      <c r="L95" s="1011"/>
      <c r="M95" s="1011"/>
      <c r="N95" s="1011"/>
      <c r="O95" s="1011"/>
      <c r="P95" s="1011"/>
      <c r="Q95" s="1011"/>
      <c r="R95" s="1011"/>
      <c r="S95" s="1011"/>
      <c r="T95" s="1011"/>
      <c r="U95" s="1011"/>
      <c r="V95" s="1011"/>
      <c r="W95" s="1011"/>
      <c r="X95" s="1011"/>
      <c r="Y95" s="1011"/>
      <c r="Z95" s="1011"/>
      <c r="AA95" s="1011"/>
      <c r="AB95" s="1011"/>
      <c r="AC95" s="1011"/>
      <c r="AD95" s="1011"/>
      <c r="AE95" s="1011"/>
      <c r="AF95" s="1011"/>
      <c r="AG95" s="1011"/>
      <c r="AH95" s="1011"/>
      <c r="AI95" s="1011"/>
      <c r="AJ95" s="1011"/>
      <c r="AK95" s="1011"/>
      <c r="AL95" s="1011"/>
      <c r="AM95" s="1011"/>
      <c r="AN95" s="1011"/>
      <c r="AO95" s="1011"/>
      <c r="AP95" s="1011"/>
      <c r="AQ95" s="1011"/>
    </row>
    <row r="96" spans="1:43">
      <c r="B96" s="1010" t="s">
        <v>1148</v>
      </c>
      <c r="C96" s="1010">
        <v>2013</v>
      </c>
      <c r="D96" s="1010" t="s">
        <v>1152</v>
      </c>
      <c r="E96" s="1010" t="s">
        <v>1149</v>
      </c>
      <c r="F96" s="1016">
        <v>0</v>
      </c>
      <c r="H96" s="1016">
        <v>83525.258310990801</v>
      </c>
      <c r="J96" s="1019">
        <f>F96+H96</f>
        <v>83525.258310990801</v>
      </c>
    </row>
    <row r="98" spans="1:43" s="1015" customFormat="1">
      <c r="A98" s="1012"/>
      <c r="B98" s="1013" t="s">
        <v>1155</v>
      </c>
      <c r="C98" s="1012"/>
      <c r="D98" s="1012"/>
      <c r="E98" s="1012"/>
      <c r="F98" s="1012"/>
      <c r="G98" s="1012"/>
      <c r="H98" s="1012"/>
      <c r="I98" s="1012"/>
      <c r="J98" s="1012"/>
      <c r="K98" s="1012"/>
      <c r="L98" s="1012"/>
      <c r="M98" s="1012"/>
      <c r="N98" s="1012"/>
      <c r="O98" s="1012"/>
      <c r="P98" s="1012"/>
      <c r="Q98" s="1012"/>
      <c r="R98" s="1012"/>
      <c r="S98" s="1012"/>
      <c r="T98" s="1012"/>
      <c r="U98" s="1012"/>
      <c r="V98" s="1012"/>
      <c r="W98" s="1012"/>
      <c r="X98" s="1012"/>
      <c r="Y98" s="1012"/>
      <c r="Z98" s="1012"/>
      <c r="AA98" s="1012"/>
      <c r="AB98" s="1012"/>
      <c r="AC98" s="1012"/>
      <c r="AD98" s="1012"/>
      <c r="AE98" s="1012"/>
      <c r="AF98" s="1012"/>
      <c r="AG98" s="1012"/>
      <c r="AH98" s="1012"/>
      <c r="AI98" s="1012"/>
      <c r="AJ98" s="1012"/>
      <c r="AK98" s="1012"/>
      <c r="AL98" s="1012"/>
      <c r="AM98" s="1012"/>
      <c r="AN98" s="1012"/>
      <c r="AO98" s="1012"/>
      <c r="AP98" s="1012"/>
      <c r="AQ98" s="1012"/>
    </row>
    <row r="100" spans="1:43">
      <c r="B100" s="1011" t="s">
        <v>1141</v>
      </c>
      <c r="F100" s="1010" t="s">
        <v>169</v>
      </c>
    </row>
    <row r="101" spans="1:43">
      <c r="B101" s="1014" t="s">
        <v>1142</v>
      </c>
      <c r="F101" s="1010" t="s">
        <v>1154</v>
      </c>
    </row>
    <row r="103" spans="1:43">
      <c r="B103" s="427" t="s">
        <v>1143</v>
      </c>
      <c r="C103" s="427" t="s">
        <v>0</v>
      </c>
      <c r="D103" s="427" t="s">
        <v>1150</v>
      </c>
      <c r="E103" s="1020" t="s">
        <v>1151</v>
      </c>
      <c r="F103" s="427" t="s">
        <v>1144</v>
      </c>
      <c r="G103" s="427"/>
      <c r="H103" s="427" t="s">
        <v>1146</v>
      </c>
      <c r="I103" s="429"/>
      <c r="J103" s="427" t="s">
        <v>1145</v>
      </c>
    </row>
    <row r="104" spans="1:43">
      <c r="B104" s="81" t="s">
        <v>194</v>
      </c>
    </row>
    <row r="105" spans="1:43">
      <c r="B105" s="25" t="s">
        <v>195</v>
      </c>
      <c r="C105" s="1010">
        <v>2009</v>
      </c>
      <c r="D105" s="1010" t="s">
        <v>1156</v>
      </c>
      <c r="E105" s="1010" t="s">
        <v>1157</v>
      </c>
      <c r="F105" s="1016">
        <v>0</v>
      </c>
      <c r="H105" s="1016">
        <v>6923123.1100000003</v>
      </c>
      <c r="J105" s="1019">
        <f>F105+H105</f>
        <v>6923123.1100000003</v>
      </c>
    </row>
    <row r="106" spans="1:43">
      <c r="B106" s="25" t="s">
        <v>196</v>
      </c>
      <c r="C106" s="1010">
        <v>2009</v>
      </c>
      <c r="D106" s="1010" t="s">
        <v>1156</v>
      </c>
      <c r="E106" s="1010" t="s">
        <v>1158</v>
      </c>
      <c r="F106" s="1016">
        <v>6923123.1100000003</v>
      </c>
      <c r="H106" s="1016">
        <v>-6923123.1100000003</v>
      </c>
      <c r="J106" s="1019">
        <f t="shared" ref="J106:J121" si="2">F106+H106</f>
        <v>0</v>
      </c>
    </row>
    <row r="107" spans="1:43">
      <c r="B107" s="25" t="s">
        <v>197</v>
      </c>
      <c r="C107" s="1010">
        <v>2009</v>
      </c>
      <c r="D107" s="1010" t="s">
        <v>1156</v>
      </c>
      <c r="E107" s="1010" t="s">
        <v>1159</v>
      </c>
      <c r="F107" s="1016">
        <v>0</v>
      </c>
      <c r="H107" s="1016">
        <v>9030346.6398865208</v>
      </c>
      <c r="J107" s="1019">
        <f t="shared" si="2"/>
        <v>9030346.6398865208</v>
      </c>
    </row>
    <row r="108" spans="1:43">
      <c r="B108" s="25" t="s">
        <v>330</v>
      </c>
      <c r="C108" s="1010">
        <v>2009</v>
      </c>
      <c r="D108" s="1010" t="s">
        <v>1156</v>
      </c>
      <c r="E108" s="1010" t="s">
        <v>1160</v>
      </c>
      <c r="F108" s="1016">
        <v>8938279.6398865208</v>
      </c>
      <c r="H108" s="1016">
        <v>-8938279.6398865208</v>
      </c>
      <c r="J108" s="1019">
        <f t="shared" si="2"/>
        <v>0</v>
      </c>
    </row>
    <row r="109" spans="1:43">
      <c r="B109" s="25"/>
    </row>
    <row r="110" spans="1:43">
      <c r="B110" s="81" t="s">
        <v>198</v>
      </c>
    </row>
    <row r="111" spans="1:43">
      <c r="B111" s="25" t="s">
        <v>199</v>
      </c>
      <c r="C111" s="1010">
        <v>2009</v>
      </c>
      <c r="D111" s="1010" t="s">
        <v>1156</v>
      </c>
      <c r="E111" s="1010" t="s">
        <v>1161</v>
      </c>
      <c r="F111" s="1016">
        <v>0</v>
      </c>
      <c r="H111" s="1016">
        <v>22670873.55496677</v>
      </c>
      <c r="J111" s="1019">
        <f t="shared" si="2"/>
        <v>22670873.55496677</v>
      </c>
    </row>
    <row r="112" spans="1:43">
      <c r="B112" s="25" t="s">
        <v>200</v>
      </c>
      <c r="C112" s="1010">
        <v>2009</v>
      </c>
      <c r="D112" s="1010" t="s">
        <v>1156</v>
      </c>
      <c r="E112" s="1010" t="s">
        <v>1162</v>
      </c>
      <c r="F112" s="1016">
        <v>22670873.5549668</v>
      </c>
      <c r="H112" s="1016">
        <v>-22670873.55496677</v>
      </c>
      <c r="J112" s="1019">
        <f t="shared" si="2"/>
        <v>2.9802322387695313E-8</v>
      </c>
    </row>
    <row r="113" spans="1:43">
      <c r="B113" s="25"/>
    </row>
    <row r="114" spans="1:43">
      <c r="B114" s="81" t="s">
        <v>201</v>
      </c>
    </row>
    <row r="115" spans="1:43">
      <c r="B115" s="25" t="s">
        <v>202</v>
      </c>
      <c r="C115" s="1010">
        <v>2009</v>
      </c>
      <c r="D115" s="1010" t="s">
        <v>1156</v>
      </c>
      <c r="E115" s="1010" t="s">
        <v>1163</v>
      </c>
      <c r="F115" s="1016">
        <v>0</v>
      </c>
      <c r="H115" s="1016">
        <v>494009.98</v>
      </c>
      <c r="J115" s="1019">
        <f t="shared" si="2"/>
        <v>494009.98</v>
      </c>
    </row>
    <row r="116" spans="1:43">
      <c r="B116" s="25" t="s">
        <v>203</v>
      </c>
      <c r="C116" s="1010">
        <v>2009</v>
      </c>
      <c r="D116" s="1010" t="s">
        <v>1156</v>
      </c>
      <c r="E116" s="1010" t="s">
        <v>1164</v>
      </c>
      <c r="F116" s="1016">
        <v>494009.98</v>
      </c>
      <c r="H116" s="1016">
        <v>-494009.98</v>
      </c>
      <c r="J116" s="1019">
        <f t="shared" si="2"/>
        <v>0</v>
      </c>
    </row>
    <row r="118" spans="1:43">
      <c r="B118" s="81" t="s">
        <v>204</v>
      </c>
    </row>
    <row r="119" spans="1:43">
      <c r="B119" s="25" t="s">
        <v>331</v>
      </c>
      <c r="C119" s="1010">
        <v>2009</v>
      </c>
      <c r="D119" s="1010" t="s">
        <v>1156</v>
      </c>
      <c r="E119" s="1010" t="s">
        <v>1165</v>
      </c>
      <c r="F119" s="1016">
        <v>0</v>
      </c>
      <c r="H119" s="1016">
        <v>191361.32392851418</v>
      </c>
      <c r="J119" s="1019">
        <f t="shared" si="2"/>
        <v>191361.32392851418</v>
      </c>
    </row>
    <row r="120" spans="1:43">
      <c r="B120" s="25" t="s">
        <v>332</v>
      </c>
      <c r="C120" s="1010">
        <v>2009</v>
      </c>
      <c r="D120" s="1010" t="s">
        <v>1156</v>
      </c>
      <c r="E120" s="1010" t="s">
        <v>1166</v>
      </c>
      <c r="F120" s="1016">
        <v>191361.323928514</v>
      </c>
      <c r="H120" s="1016">
        <v>-106831.38360829378</v>
      </c>
      <c r="J120" s="1019">
        <f t="shared" si="2"/>
        <v>84529.940320220223</v>
      </c>
    </row>
    <row r="121" spans="1:43">
      <c r="B121" s="83" t="s">
        <v>333</v>
      </c>
      <c r="C121" s="1010">
        <v>2009</v>
      </c>
      <c r="D121" s="1010" t="s">
        <v>1156</v>
      </c>
      <c r="E121" s="1010" t="s">
        <v>1167</v>
      </c>
      <c r="F121" s="1016">
        <v>84529.940320220398</v>
      </c>
      <c r="H121" s="1016">
        <v>-84529.940320220398</v>
      </c>
      <c r="J121" s="1019">
        <f t="shared" si="2"/>
        <v>0</v>
      </c>
    </row>
    <row r="124" spans="1:43">
      <c r="B124" s="25" t="s">
        <v>197</v>
      </c>
      <c r="C124" s="1010">
        <v>2010</v>
      </c>
      <c r="D124" s="1010" t="s">
        <v>1156</v>
      </c>
      <c r="E124" s="1010" t="s">
        <v>1168</v>
      </c>
      <c r="F124" s="1016">
        <v>9030346.6398865208</v>
      </c>
      <c r="H124" s="1016">
        <v>-2660340.1098865205</v>
      </c>
      <c r="J124" s="1019">
        <f t="shared" ref="J124" si="3">F124+H124</f>
        <v>6370006.5300000003</v>
      </c>
    </row>
    <row r="125" spans="1:43">
      <c r="B125" s="25" t="s">
        <v>197</v>
      </c>
      <c r="C125" s="1010">
        <v>2011</v>
      </c>
      <c r="D125" s="1010" t="s">
        <v>1156</v>
      </c>
      <c r="E125" s="1010" t="s">
        <v>1169</v>
      </c>
      <c r="F125" s="1016">
        <v>6370006.5300000003</v>
      </c>
      <c r="H125" s="1016">
        <v>-259186.41999999713</v>
      </c>
      <c r="J125" s="1019">
        <f t="shared" ref="J125" si="4">F125+H125</f>
        <v>6110820.1100000031</v>
      </c>
    </row>
    <row r="127" spans="1:43" s="1015" customFormat="1">
      <c r="A127" s="1012"/>
      <c r="B127" s="1013" t="s">
        <v>1177</v>
      </c>
      <c r="C127" s="1012"/>
      <c r="D127" s="1012"/>
      <c r="E127" s="1012"/>
      <c r="F127" s="1012"/>
      <c r="G127" s="1012"/>
      <c r="H127" s="1012"/>
      <c r="I127" s="1012"/>
      <c r="J127" s="1012"/>
      <c r="K127" s="1012"/>
      <c r="L127" s="1012"/>
      <c r="M127" s="1012"/>
      <c r="N127" s="1012"/>
      <c r="O127" s="1012"/>
      <c r="P127" s="1012"/>
      <c r="Q127" s="1012"/>
      <c r="R127" s="1012"/>
      <c r="S127" s="1012"/>
      <c r="T127" s="1012"/>
      <c r="U127" s="1012"/>
      <c r="V127" s="1012"/>
      <c r="W127" s="1012"/>
      <c r="X127" s="1012"/>
      <c r="Y127" s="1012"/>
      <c r="Z127" s="1012"/>
      <c r="AA127" s="1012"/>
      <c r="AB127" s="1012"/>
      <c r="AC127" s="1012"/>
      <c r="AD127" s="1012"/>
      <c r="AE127" s="1012"/>
      <c r="AF127" s="1012"/>
      <c r="AG127" s="1012"/>
      <c r="AH127" s="1012"/>
      <c r="AI127" s="1012"/>
      <c r="AJ127" s="1012"/>
      <c r="AK127" s="1012"/>
      <c r="AL127" s="1012"/>
      <c r="AM127" s="1012"/>
      <c r="AN127" s="1012"/>
      <c r="AO127" s="1012"/>
      <c r="AP127" s="1012"/>
      <c r="AQ127" s="1012"/>
    </row>
    <row r="129" spans="1:43">
      <c r="B129" s="1010" t="s">
        <v>1170</v>
      </c>
      <c r="F129" s="1010" t="s">
        <v>1171</v>
      </c>
    </row>
    <row r="131" spans="1:43" s="429" customFormat="1">
      <c r="A131" s="1011"/>
      <c r="B131" s="427" t="s">
        <v>1143</v>
      </c>
      <c r="C131" s="427" t="s">
        <v>0</v>
      </c>
      <c r="D131" s="427" t="s">
        <v>1150</v>
      </c>
      <c r="E131" s="1020" t="s">
        <v>1151</v>
      </c>
      <c r="F131" s="427" t="s">
        <v>1144</v>
      </c>
      <c r="G131" s="427"/>
      <c r="H131" s="427" t="s">
        <v>1146</v>
      </c>
      <c r="J131" s="427" t="s">
        <v>1145</v>
      </c>
      <c r="K131" s="1011"/>
      <c r="L131" s="1011"/>
      <c r="M131" s="1011"/>
      <c r="N131" s="1011"/>
      <c r="O131" s="1011"/>
      <c r="P131" s="1011"/>
      <c r="Q131" s="1011"/>
      <c r="R131" s="1011"/>
      <c r="S131" s="1011"/>
      <c r="T131" s="1011"/>
      <c r="U131" s="1011"/>
      <c r="V131" s="1011"/>
      <c r="W131" s="1011"/>
      <c r="X131" s="1011"/>
      <c r="Y131" s="1011"/>
      <c r="Z131" s="1011"/>
      <c r="AA131" s="1011"/>
      <c r="AB131" s="1011"/>
      <c r="AC131" s="1011"/>
      <c r="AD131" s="1011"/>
      <c r="AE131" s="1011"/>
      <c r="AF131" s="1011"/>
      <c r="AG131" s="1011"/>
      <c r="AH131" s="1011"/>
      <c r="AI131" s="1011"/>
      <c r="AJ131" s="1011"/>
      <c r="AK131" s="1011"/>
      <c r="AL131" s="1011"/>
      <c r="AM131" s="1011"/>
      <c r="AN131" s="1011"/>
      <c r="AO131" s="1011"/>
      <c r="AP131" s="1011"/>
      <c r="AQ131" s="1011"/>
    </row>
    <row r="132" spans="1:43">
      <c r="B132" s="25" t="s">
        <v>200</v>
      </c>
      <c r="C132" s="1010">
        <v>2010</v>
      </c>
      <c r="D132" s="1010" t="s">
        <v>1156</v>
      </c>
      <c r="E132" s="1010" t="s">
        <v>1173</v>
      </c>
      <c r="F132" s="1016">
        <v>49660399.8990459</v>
      </c>
      <c r="H132" s="1016">
        <v>-453000</v>
      </c>
      <c r="J132" s="1019">
        <f>F132+H132</f>
        <v>49207399.8990459</v>
      </c>
    </row>
    <row r="135" spans="1:43" ht="12.75" customHeight="1">
      <c r="B135" s="1010" t="s">
        <v>1170</v>
      </c>
      <c r="F135" s="1010" t="s">
        <v>1172</v>
      </c>
    </row>
    <row r="137" spans="1:43">
      <c r="B137" s="427" t="s">
        <v>1143</v>
      </c>
      <c r="C137" s="427" t="s">
        <v>0</v>
      </c>
      <c r="D137" s="427" t="s">
        <v>1150</v>
      </c>
      <c r="E137" s="1020" t="s">
        <v>1151</v>
      </c>
      <c r="F137" s="427" t="s">
        <v>1144</v>
      </c>
      <c r="G137" s="427"/>
      <c r="H137" s="427" t="s">
        <v>1146</v>
      </c>
      <c r="I137" s="429"/>
      <c r="J137" s="427" t="s">
        <v>1145</v>
      </c>
    </row>
    <row r="138" spans="1:43">
      <c r="B138" s="25" t="s">
        <v>200</v>
      </c>
      <c r="C138" s="1010">
        <v>2009</v>
      </c>
      <c r="D138" s="1010" t="s">
        <v>1156</v>
      </c>
      <c r="E138" s="1010" t="s">
        <v>1174</v>
      </c>
      <c r="F138" s="1016">
        <v>62271141.267873302</v>
      </c>
      <c r="H138" s="1016">
        <v>-612000</v>
      </c>
      <c r="J138" s="1019">
        <f>F138+H138</f>
        <v>61659141.267873302</v>
      </c>
    </row>
    <row r="140" spans="1:43" s="1015" customFormat="1">
      <c r="A140" s="1012"/>
      <c r="B140" s="1013" t="s">
        <v>1178</v>
      </c>
      <c r="C140" s="1012"/>
      <c r="D140" s="1012"/>
      <c r="E140" s="1012"/>
      <c r="F140" s="1012"/>
      <c r="G140" s="1012"/>
      <c r="H140" s="1012"/>
      <c r="I140" s="1012"/>
      <c r="J140" s="1012"/>
      <c r="K140" s="1012"/>
      <c r="L140" s="1012"/>
      <c r="M140" s="1012"/>
      <c r="N140" s="1012"/>
      <c r="O140" s="1012"/>
      <c r="P140" s="1012"/>
      <c r="Q140" s="1012"/>
      <c r="R140" s="1012"/>
      <c r="S140" s="1012"/>
      <c r="T140" s="1012"/>
      <c r="U140" s="1012"/>
      <c r="V140" s="1012"/>
      <c r="W140" s="1012"/>
      <c r="X140" s="1012"/>
      <c r="Y140" s="1012"/>
      <c r="Z140" s="1012"/>
      <c r="AA140" s="1012"/>
      <c r="AB140" s="1012"/>
      <c r="AC140" s="1012"/>
      <c r="AD140" s="1012"/>
      <c r="AE140" s="1012"/>
      <c r="AF140" s="1012"/>
      <c r="AG140" s="1012"/>
      <c r="AH140" s="1012"/>
      <c r="AI140" s="1012"/>
      <c r="AJ140" s="1012"/>
      <c r="AK140" s="1012"/>
      <c r="AL140" s="1012"/>
      <c r="AM140" s="1012"/>
      <c r="AN140" s="1012"/>
      <c r="AO140" s="1012"/>
      <c r="AP140" s="1012"/>
      <c r="AQ140" s="1012"/>
    </row>
    <row r="142" spans="1:43">
      <c r="B142" s="1010" t="s">
        <v>1170</v>
      </c>
      <c r="F142" s="1010" t="s">
        <v>1175</v>
      </c>
    </row>
    <row r="144" spans="1:43">
      <c r="B144" s="427" t="s">
        <v>1143</v>
      </c>
      <c r="C144" s="427" t="s">
        <v>0</v>
      </c>
      <c r="D144" s="427" t="s">
        <v>1150</v>
      </c>
      <c r="E144" s="1020" t="s">
        <v>1151</v>
      </c>
      <c r="F144" s="427" t="s">
        <v>1144</v>
      </c>
      <c r="G144" s="427"/>
      <c r="H144" s="427" t="s">
        <v>1146</v>
      </c>
      <c r="I144" s="429"/>
      <c r="J144" s="427" t="s">
        <v>1145</v>
      </c>
    </row>
    <row r="145" spans="2:10">
      <c r="B145" s="50" t="s">
        <v>316</v>
      </c>
      <c r="C145" s="1010">
        <v>2009</v>
      </c>
      <c r="D145" s="1010" t="s">
        <v>1179</v>
      </c>
      <c r="E145" s="1010" t="s">
        <v>1176</v>
      </c>
      <c r="F145" s="1016">
        <v>0</v>
      </c>
      <c r="H145" s="197">
        <f>'PRD Ov.Opbrengsten (2009-2012)'!J19</f>
        <v>6704169.123636364</v>
      </c>
      <c r="J145" s="1019">
        <f>F145+H145</f>
        <v>6704169.123636364</v>
      </c>
    </row>
    <row r="146" spans="2:10">
      <c r="B146" s="50" t="s">
        <v>316</v>
      </c>
      <c r="C146" s="1010">
        <v>2010</v>
      </c>
      <c r="D146" s="1010" t="s">
        <v>1179</v>
      </c>
      <c r="E146" s="1010" t="s">
        <v>1243</v>
      </c>
      <c r="F146" s="1016">
        <v>0</v>
      </c>
      <c r="H146" s="197">
        <f>'PRD Ov.Opbrengsten (2009-2012)'!J77</f>
        <v>6561000</v>
      </c>
      <c r="J146" s="1019">
        <f>F146+H146</f>
        <v>6561000</v>
      </c>
    </row>
    <row r="147" spans="2:10">
      <c r="F147" s="1023"/>
    </row>
    <row r="148" spans="2:10">
      <c r="B148" s="1010" t="s">
        <v>1170</v>
      </c>
      <c r="F148" s="1023" t="s">
        <v>1180</v>
      </c>
    </row>
    <row r="149" spans="2:10">
      <c r="F149" s="1023"/>
    </row>
    <row r="150" spans="2:10">
      <c r="B150" s="427" t="s">
        <v>1143</v>
      </c>
      <c r="C150" s="427" t="s">
        <v>0</v>
      </c>
      <c r="D150" s="427" t="s">
        <v>1150</v>
      </c>
      <c r="E150" s="1020" t="s">
        <v>1151</v>
      </c>
      <c r="F150" s="427" t="s">
        <v>1144</v>
      </c>
      <c r="G150" s="427"/>
      <c r="H150" s="427" t="s">
        <v>1146</v>
      </c>
      <c r="I150" s="429"/>
      <c r="J150" s="427" t="s">
        <v>1145</v>
      </c>
    </row>
    <row r="151" spans="2:10">
      <c r="B151" s="25" t="s">
        <v>199</v>
      </c>
      <c r="C151" s="1010">
        <v>2009</v>
      </c>
      <c r="D151" s="1010" t="s">
        <v>1156</v>
      </c>
      <c r="E151" s="1010" t="s">
        <v>1181</v>
      </c>
      <c r="F151" s="1016">
        <v>268678422.56993598</v>
      </c>
      <c r="H151" s="1016">
        <f>-8016250*68.2%</f>
        <v>-5467082.5</v>
      </c>
      <c r="J151" s="1019">
        <f>F151+H151</f>
        <v>263211340.06993598</v>
      </c>
    </row>
    <row r="154" spans="2:10">
      <c r="B154" s="1010" t="s">
        <v>1170</v>
      </c>
      <c r="F154" s="1023" t="s">
        <v>1223</v>
      </c>
    </row>
    <row r="155" spans="2:10">
      <c r="F155" s="1023"/>
    </row>
    <row r="156" spans="2:10">
      <c r="B156" s="427" t="s">
        <v>1143</v>
      </c>
      <c r="C156" s="427" t="s">
        <v>0</v>
      </c>
      <c r="D156" s="427" t="s">
        <v>1150</v>
      </c>
      <c r="E156" s="1020" t="s">
        <v>1151</v>
      </c>
      <c r="F156" s="427" t="s">
        <v>1144</v>
      </c>
      <c r="G156" s="427"/>
      <c r="H156" s="427" t="s">
        <v>1146</v>
      </c>
      <c r="I156" s="429"/>
      <c r="J156" s="427" t="s">
        <v>1145</v>
      </c>
    </row>
    <row r="157" spans="2:10">
      <c r="B157" s="25" t="s">
        <v>199</v>
      </c>
      <c r="C157" s="1010">
        <v>2009</v>
      </c>
      <c r="D157" s="1010" t="s">
        <v>1156</v>
      </c>
      <c r="E157" s="1010" t="s">
        <v>1181</v>
      </c>
      <c r="F157" s="197">
        <f>J151</f>
        <v>263211340.06993598</v>
      </c>
      <c r="H157" s="1016">
        <f>-307930*68.2%</f>
        <v>-210008.26</v>
      </c>
      <c r="J157" s="1019">
        <f>F157+H157</f>
        <v>263001331.80993599</v>
      </c>
    </row>
    <row r="160" spans="2:10">
      <c r="B160" s="1010" t="s">
        <v>1170</v>
      </c>
      <c r="F160" s="1023" t="s">
        <v>1277</v>
      </c>
    </row>
    <row r="161" spans="1:43">
      <c r="F161" s="1023"/>
    </row>
    <row r="162" spans="1:43">
      <c r="B162" s="427" t="s">
        <v>1143</v>
      </c>
      <c r="C162" s="427" t="s">
        <v>0</v>
      </c>
      <c r="D162" s="427" t="s">
        <v>1150</v>
      </c>
      <c r="E162" s="1020" t="s">
        <v>1151</v>
      </c>
      <c r="F162" s="427" t="s">
        <v>1144</v>
      </c>
      <c r="G162" s="427"/>
      <c r="H162" s="427" t="s">
        <v>1146</v>
      </c>
      <c r="I162" s="429"/>
      <c r="J162" s="427" t="s">
        <v>1145</v>
      </c>
    </row>
    <row r="163" spans="1:43">
      <c r="B163" s="25" t="s">
        <v>199</v>
      </c>
      <c r="C163" s="1010">
        <v>2010</v>
      </c>
      <c r="D163" s="1010" t="s">
        <v>1156</v>
      </c>
      <c r="E163" s="1010" t="s">
        <v>1267</v>
      </c>
      <c r="F163" s="1016">
        <v>232353449.83862001</v>
      </c>
      <c r="H163" s="1016">
        <v>6000000</v>
      </c>
      <c r="J163" s="1019">
        <f>F163+H163</f>
        <v>238353449.83862001</v>
      </c>
    </row>
    <row r="164" spans="1:43">
      <c r="B164" s="25" t="s">
        <v>1276</v>
      </c>
      <c r="C164" s="1010">
        <v>2010</v>
      </c>
      <c r="D164" s="1010" t="s">
        <v>1269</v>
      </c>
      <c r="E164" s="1010" t="s">
        <v>1274</v>
      </c>
      <c r="F164" s="1016">
        <v>22627316.5699361</v>
      </c>
      <c r="H164" s="1016">
        <v>600000</v>
      </c>
      <c r="J164" s="1019">
        <f>F164+H164</f>
        <v>23227316.5699361</v>
      </c>
    </row>
    <row r="165" spans="1:43">
      <c r="B165" s="25" t="s">
        <v>1276</v>
      </c>
      <c r="C165" s="1010">
        <v>2010</v>
      </c>
      <c r="D165" s="1010" t="s">
        <v>1269</v>
      </c>
      <c r="E165" s="1010" t="s">
        <v>1275</v>
      </c>
      <c r="F165" s="1016">
        <v>22627316.5699361</v>
      </c>
      <c r="H165" s="1016">
        <v>600000</v>
      </c>
      <c r="J165" s="1019">
        <f>F165+H165</f>
        <v>23227316.5699361</v>
      </c>
    </row>
    <row r="167" spans="1:43">
      <c r="B167" s="1010" t="s">
        <v>1170</v>
      </c>
      <c r="F167" s="1023" t="s">
        <v>1268</v>
      </c>
    </row>
    <row r="168" spans="1:43">
      <c r="F168" s="1023"/>
    </row>
    <row r="169" spans="1:43">
      <c r="B169" s="427" t="s">
        <v>1143</v>
      </c>
      <c r="C169" s="427" t="s">
        <v>0</v>
      </c>
      <c r="D169" s="427" t="s">
        <v>1150</v>
      </c>
      <c r="E169" s="1020" t="s">
        <v>1151</v>
      </c>
      <c r="F169" s="427" t="s">
        <v>1144</v>
      </c>
      <c r="G169" s="427"/>
      <c r="H169" s="427" t="s">
        <v>1146</v>
      </c>
      <c r="I169" s="429"/>
      <c r="J169" s="427" t="s">
        <v>1145</v>
      </c>
    </row>
    <row r="170" spans="1:43">
      <c r="B170" s="25" t="s">
        <v>199</v>
      </c>
      <c r="C170" s="1010">
        <v>2009</v>
      </c>
      <c r="D170" s="1010" t="s">
        <v>1269</v>
      </c>
      <c r="E170" s="1010" t="s">
        <v>1270</v>
      </c>
      <c r="F170" s="1016">
        <v>400574</v>
      </c>
      <c r="H170" s="1016">
        <f>F170*5*17.5%-F170</f>
        <v>-50071.75</v>
      </c>
      <c r="J170" s="1019">
        <f>F170+H170</f>
        <v>350502.25</v>
      </c>
    </row>
    <row r="171" spans="1:43">
      <c r="B171" s="25" t="s">
        <v>199</v>
      </c>
      <c r="C171" s="1010">
        <v>2010</v>
      </c>
      <c r="D171" s="1010" t="s">
        <v>1269</v>
      </c>
      <c r="E171" s="1010" t="s">
        <v>1271</v>
      </c>
      <c r="F171" s="1016">
        <v>414510.43854545499</v>
      </c>
      <c r="H171" s="1016">
        <f>F171*5*17.5%-F171</f>
        <v>-51813.804818181903</v>
      </c>
      <c r="J171" s="1019">
        <f>F171+H171</f>
        <v>362696.63372727309</v>
      </c>
    </row>
    <row r="172" spans="1:43">
      <c r="B172" s="25" t="s">
        <v>199</v>
      </c>
      <c r="C172" s="1010">
        <v>2011</v>
      </c>
      <c r="D172" s="1010" t="s">
        <v>1269</v>
      </c>
      <c r="E172" s="1010" t="s">
        <v>1272</v>
      </c>
      <c r="F172" s="1016">
        <v>522249.51509091002</v>
      </c>
      <c r="H172" s="1016">
        <f>F172*5*17.5%-F172</f>
        <v>-65281.18938636384</v>
      </c>
      <c r="J172" s="1019">
        <f>F172+H172</f>
        <v>456968.32570454618</v>
      </c>
    </row>
    <row r="173" spans="1:43">
      <c r="B173" s="25" t="s">
        <v>199</v>
      </c>
      <c r="C173" s="1010">
        <v>2012</v>
      </c>
      <c r="D173" s="1010" t="s">
        <v>1269</v>
      </c>
      <c r="E173" s="1010" t="s">
        <v>1273</v>
      </c>
      <c r="F173" s="1016">
        <v>557600.04872727301</v>
      </c>
      <c r="H173" s="1016">
        <f>F173*5*17.5%-F173</f>
        <v>-69700.006090909184</v>
      </c>
      <c r="J173" s="1019">
        <f>F173+H173</f>
        <v>487900.04263636383</v>
      </c>
    </row>
    <row r="175" spans="1:43" s="1015" customFormat="1">
      <c r="A175" s="1012"/>
      <c r="B175" s="1013" t="s">
        <v>1182</v>
      </c>
      <c r="C175" s="1012"/>
      <c r="D175" s="1012"/>
      <c r="E175" s="1012"/>
      <c r="F175" s="1012"/>
      <c r="G175" s="1012"/>
      <c r="H175" s="1012"/>
      <c r="I175" s="1012"/>
      <c r="J175" s="1012"/>
      <c r="K175" s="1012"/>
      <c r="L175" s="1012"/>
      <c r="M175" s="1012"/>
      <c r="N175" s="1012"/>
      <c r="O175" s="1012"/>
      <c r="P175" s="1012"/>
      <c r="Q175" s="1012"/>
      <c r="R175" s="1012"/>
      <c r="S175" s="1012"/>
      <c r="T175" s="1012"/>
      <c r="U175" s="1012"/>
      <c r="V175" s="1012"/>
      <c r="W175" s="1012"/>
      <c r="X175" s="1012"/>
      <c r="Y175" s="1012"/>
      <c r="Z175" s="1012"/>
      <c r="AA175" s="1012"/>
      <c r="AB175" s="1012"/>
      <c r="AC175" s="1012"/>
      <c r="AD175" s="1012"/>
      <c r="AE175" s="1012"/>
      <c r="AF175" s="1012"/>
      <c r="AG175" s="1012"/>
      <c r="AH175" s="1012"/>
      <c r="AI175" s="1012"/>
      <c r="AJ175" s="1012"/>
      <c r="AK175" s="1012"/>
      <c r="AL175" s="1012"/>
      <c r="AM175" s="1012"/>
      <c r="AN175" s="1012"/>
      <c r="AO175" s="1012"/>
      <c r="AP175" s="1012"/>
      <c r="AQ175" s="1012"/>
    </row>
    <row r="177" spans="1:43" ht="12.75" customHeight="1">
      <c r="B177" s="1010" t="s">
        <v>1170</v>
      </c>
      <c r="F177" s="1023" t="s">
        <v>1183</v>
      </c>
    </row>
    <row r="179" spans="1:43">
      <c r="B179" s="427" t="s">
        <v>1143</v>
      </c>
      <c r="C179" s="427" t="s">
        <v>0</v>
      </c>
      <c r="D179" s="427" t="s">
        <v>1150</v>
      </c>
      <c r="E179" s="1020" t="s">
        <v>1151</v>
      </c>
      <c r="F179" s="427" t="s">
        <v>1144</v>
      </c>
      <c r="G179" s="427"/>
      <c r="H179" s="427" t="s">
        <v>1146</v>
      </c>
      <c r="I179" s="429"/>
      <c r="J179" s="427" t="s">
        <v>1145</v>
      </c>
    </row>
    <row r="180" spans="1:43">
      <c r="B180" s="25" t="s">
        <v>199</v>
      </c>
      <c r="C180" s="1010">
        <v>2009</v>
      </c>
      <c r="D180" s="1010" t="s">
        <v>1156</v>
      </c>
      <c r="E180" s="1010" t="s">
        <v>1184</v>
      </c>
      <c r="F180" s="1016">
        <v>317209852.44123697</v>
      </c>
      <c r="H180" s="1016">
        <f>-2446442*79%</f>
        <v>-1932689.1800000002</v>
      </c>
      <c r="J180" s="1019">
        <f>F180+H180</f>
        <v>315277163.26123697</v>
      </c>
    </row>
    <row r="182" spans="1:43" s="1015" customFormat="1">
      <c r="A182" s="1012"/>
      <c r="B182" s="1013" t="s">
        <v>1232</v>
      </c>
      <c r="C182" s="1012"/>
      <c r="D182" s="1012"/>
      <c r="E182" s="1012"/>
      <c r="F182" s="1012"/>
      <c r="G182" s="1012"/>
      <c r="H182" s="1012"/>
      <c r="I182" s="1012"/>
      <c r="J182" s="1012"/>
      <c r="K182" s="1012"/>
      <c r="L182" s="1012"/>
      <c r="M182" s="1012"/>
      <c r="N182" s="1012"/>
      <c r="O182" s="1012"/>
      <c r="P182" s="1012"/>
      <c r="Q182" s="1012"/>
      <c r="R182" s="1012"/>
      <c r="S182" s="1012"/>
      <c r="T182" s="1012"/>
      <c r="U182" s="1012"/>
      <c r="V182" s="1012"/>
      <c r="W182" s="1012"/>
      <c r="X182" s="1012"/>
      <c r="Y182" s="1012"/>
      <c r="Z182" s="1012"/>
      <c r="AA182" s="1012"/>
      <c r="AB182" s="1012"/>
      <c r="AC182" s="1012"/>
      <c r="AD182" s="1012"/>
      <c r="AE182" s="1012"/>
      <c r="AF182" s="1012"/>
      <c r="AG182" s="1012"/>
      <c r="AH182" s="1012"/>
      <c r="AI182" s="1012"/>
      <c r="AJ182" s="1012"/>
      <c r="AK182" s="1012"/>
      <c r="AL182" s="1012"/>
      <c r="AM182" s="1012"/>
      <c r="AN182" s="1012"/>
      <c r="AO182" s="1012"/>
      <c r="AP182" s="1012"/>
      <c r="AQ182" s="1012"/>
    </row>
    <row r="184" spans="1:43">
      <c r="B184" s="1010" t="s">
        <v>1170</v>
      </c>
      <c r="F184" s="1010" t="s">
        <v>1239</v>
      </c>
    </row>
    <row r="186" spans="1:43">
      <c r="B186" s="427" t="s">
        <v>1143</v>
      </c>
      <c r="C186" s="427"/>
      <c r="D186" s="427" t="s">
        <v>1150</v>
      </c>
      <c r="E186" s="1020" t="s">
        <v>1151</v>
      </c>
      <c r="F186" s="427" t="s">
        <v>1144</v>
      </c>
      <c r="G186" s="427"/>
      <c r="I186" s="429"/>
      <c r="J186" s="427" t="s">
        <v>1145</v>
      </c>
    </row>
    <row r="187" spans="1:43">
      <c r="B187" s="50" t="s">
        <v>481</v>
      </c>
      <c r="D187" s="1010" t="s">
        <v>1118</v>
      </c>
      <c r="E187" s="1010" t="s">
        <v>1233</v>
      </c>
      <c r="F187" s="1031">
        <v>4.78288083078489E-2</v>
      </c>
      <c r="J187" s="1032">
        <v>3.425995973882974E-2</v>
      </c>
    </row>
    <row r="188" spans="1:43">
      <c r="B188" s="50" t="s">
        <v>482</v>
      </c>
      <c r="D188" s="1010" t="s">
        <v>1118</v>
      </c>
      <c r="E188" s="1010" t="s">
        <v>1234</v>
      </c>
      <c r="F188" s="1031">
        <v>1.7300488701200271E-2</v>
      </c>
      <c r="J188" s="1032">
        <v>1.7300488701200271E-2</v>
      </c>
    </row>
    <row r="189" spans="1:43">
      <c r="B189" s="50" t="s">
        <v>483</v>
      </c>
      <c r="D189" s="1010" t="s">
        <v>1118</v>
      </c>
      <c r="E189" s="1010" t="s">
        <v>1235</v>
      </c>
      <c r="F189" s="1031">
        <v>-1.820263291157238E-3</v>
      </c>
      <c r="J189" s="1032">
        <v>-9.8403939713011847E-3</v>
      </c>
    </row>
    <row r="190" spans="1:43">
      <c r="B190" s="50" t="s">
        <v>484</v>
      </c>
      <c r="D190" s="1010" t="s">
        <v>1118</v>
      </c>
      <c r="E190" s="1010" t="s">
        <v>1236</v>
      </c>
      <c r="F190" s="1031">
        <v>-1.7013752319074114E-2</v>
      </c>
      <c r="J190" s="1032">
        <v>-1.2008105072161218E-2</v>
      </c>
    </row>
    <row r="191" spans="1:43">
      <c r="B191" s="50" t="s">
        <v>485</v>
      </c>
      <c r="D191" s="1010" t="s">
        <v>1118</v>
      </c>
      <c r="E191" s="1010" t="s">
        <v>1237</v>
      </c>
      <c r="F191" s="1031">
        <v>-4.3679339635371683E-2</v>
      </c>
      <c r="J191" s="1032">
        <v>-4.4706429533366836E-2</v>
      </c>
    </row>
    <row r="194" spans="2:2">
      <c r="B194" s="50"/>
    </row>
  </sheetData>
  <mergeCells count="1">
    <mergeCell ref="F58:N58"/>
  </mergeCells>
  <pageMargins left="0.11811023622047245" right="0.11811023622047245" top="0.74803149606299213" bottom="0.74803149606299213" header="0.31496062992125984" footer="0.31496062992125984"/>
  <pageSetup paperSize="8" scale="5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enableFormatConditionsCalculation="0">
    <tabColor rgb="FFDBE91F"/>
  </sheetPr>
  <dimension ref="B1:P55"/>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6.28515625" customWidth="1"/>
    <col min="3" max="3" width="2.5703125" customWidth="1"/>
    <col min="4" max="4" width="15" customWidth="1"/>
    <col min="5" max="5" width="2.5703125" customWidth="1"/>
    <col min="6" max="6" width="21.42578125" customWidth="1"/>
    <col min="7" max="8" width="14.7109375" customWidth="1"/>
    <col min="9" max="10" width="14.85546875" customWidth="1"/>
    <col min="11" max="11" width="17.42578125" customWidth="1"/>
    <col min="12" max="13" width="14.85546875" customWidth="1"/>
    <col min="14" max="14" width="17.28515625" bestFit="1" customWidth="1"/>
    <col min="15" max="15" width="9.42578125" customWidth="1"/>
    <col min="16" max="16" width="19.28515625" customWidth="1"/>
  </cols>
  <sheetData>
    <row r="1" spans="2:16" ht="12" customHeight="1"/>
    <row r="2" spans="2:16" s="1" customFormat="1" ht="18">
      <c r="B2" s="1" t="s">
        <v>356</v>
      </c>
      <c r="F2" s="5" t="s">
        <v>177</v>
      </c>
      <c r="G2" s="5" t="s">
        <v>168</v>
      </c>
      <c r="H2" s="5" t="s">
        <v>169</v>
      </c>
      <c r="I2" s="5" t="s">
        <v>170</v>
      </c>
      <c r="J2" s="5" t="s">
        <v>171</v>
      </c>
      <c r="K2" s="5" t="s">
        <v>172</v>
      </c>
      <c r="L2" s="5" t="s">
        <v>173</v>
      </c>
      <c r="M2" s="5" t="s">
        <v>174</v>
      </c>
      <c r="N2" s="5" t="s">
        <v>175</v>
      </c>
      <c r="P2" s="5" t="s">
        <v>438</v>
      </c>
    </row>
    <row r="4" spans="2:16">
      <c r="B4" s="50" t="s">
        <v>436</v>
      </c>
    </row>
    <row r="5" spans="2:16">
      <c r="B5" s="50" t="s">
        <v>437</v>
      </c>
    </row>
    <row r="6" spans="2:16">
      <c r="B6" s="50"/>
    </row>
    <row r="8" spans="2:16" s="9" customFormat="1">
      <c r="B8" s="2" t="s">
        <v>89</v>
      </c>
      <c r="D8" s="2" t="s">
        <v>278</v>
      </c>
    </row>
    <row r="10" spans="2:16">
      <c r="B10" s="3" t="s">
        <v>138</v>
      </c>
      <c r="G10" s="27"/>
    </row>
    <row r="11" spans="2:16">
      <c r="B11" s="50" t="s">
        <v>622</v>
      </c>
      <c r="D11" t="s">
        <v>338</v>
      </c>
      <c r="F11" s="52"/>
      <c r="G11" s="37">
        <f>'X-factorberekening'!G98</f>
        <v>16538248.4585863</v>
      </c>
      <c r="H11" s="37">
        <f>'X-factorberekening'!H98</f>
        <v>70510232.644454315</v>
      </c>
      <c r="I11" s="37">
        <f>'X-factorberekening'!I98</f>
        <v>32819914.621216629</v>
      </c>
      <c r="J11" s="37">
        <f>'X-factorberekening'!J98</f>
        <v>900136332.03905785</v>
      </c>
      <c r="K11" s="37">
        <f>'X-factorberekening'!K98</f>
        <v>973297947.33858883</v>
      </c>
      <c r="L11" s="37">
        <f>'X-factorberekening'!L98</f>
        <v>11131359.185175493</v>
      </c>
      <c r="M11" s="37">
        <f>'X-factorberekening'!M98</f>
        <v>665106176.71516562</v>
      </c>
      <c r="N11" s="37">
        <f>'X-factorberekening'!N98</f>
        <v>47230366.508267336</v>
      </c>
    </row>
    <row r="12" spans="2:16">
      <c r="B12" t="s">
        <v>85</v>
      </c>
      <c r="G12" s="187">
        <f>'X-factorberekening'!G105</f>
        <v>4.8</v>
      </c>
      <c r="H12" s="187">
        <f>'X-factorberekening'!H105</f>
        <v>4.46</v>
      </c>
      <c r="I12" s="187">
        <f>'X-factorberekening'!I105</f>
        <v>5.01</v>
      </c>
      <c r="J12" s="187">
        <f>'X-factorberekening'!J105</f>
        <v>4.66</v>
      </c>
      <c r="K12" s="187">
        <f>'X-factorberekening'!K105</f>
        <v>4.3600000000000003</v>
      </c>
      <c r="L12" s="187">
        <f>'X-factorberekening'!L105</f>
        <v>4.88</v>
      </c>
      <c r="M12" s="187">
        <f>'X-factorberekening'!M105</f>
        <v>4.3499999999999996</v>
      </c>
      <c r="N12" s="187">
        <f>'X-factorberekening'!N105</f>
        <v>4.63</v>
      </c>
    </row>
    <row r="13" spans="2:16">
      <c r="B13" t="s">
        <v>139</v>
      </c>
      <c r="G13" s="1134">
        <f>'Aanpassing gegevens (aug 2016)'!$I244</f>
        <v>2.0499999999999998</v>
      </c>
      <c r="H13" s="1134">
        <f>'Aanpassing gegevens (aug 2016)'!$I245</f>
        <v>0.02</v>
      </c>
      <c r="I13" s="1134">
        <f>'Aanpassing gegevens (aug 2016)'!$I246</f>
        <v>0.99</v>
      </c>
      <c r="J13" s="1134">
        <f>'Aanpassing gegevens (aug 2016)'!$I247</f>
        <v>0.04</v>
      </c>
      <c r="K13" s="1134">
        <f>'Aanpassing gegevens (aug 2016)'!$I248</f>
        <v>-0.18</v>
      </c>
      <c r="L13" s="1134">
        <f>'Aanpassing gegevens (aug 2016)'!$I249</f>
        <v>1.25</v>
      </c>
      <c r="M13" s="1134">
        <f>'Aanpassing gegevens (aug 2016)'!$I250</f>
        <v>9.9999999999999992E-2</v>
      </c>
      <c r="N13" s="1134">
        <f>'Aanpassing gegevens (aug 2016)'!$I251</f>
        <v>0.02</v>
      </c>
      <c r="P13" s="1178" t="s">
        <v>1518</v>
      </c>
    </row>
    <row r="14" spans="2:16">
      <c r="B14" t="s">
        <v>154</v>
      </c>
      <c r="D14" t="s">
        <v>259</v>
      </c>
      <c r="F14" s="75">
        <f>WACC!F11</f>
        <v>0.02</v>
      </c>
      <c r="G14" s="27"/>
      <c r="H14" s="27"/>
      <c r="I14" s="27"/>
      <c r="J14" s="27"/>
      <c r="K14" s="27"/>
      <c r="L14" s="27"/>
      <c r="M14" s="27"/>
      <c r="N14" s="27"/>
    </row>
    <row r="16" spans="2:16">
      <c r="B16" s="3" t="s">
        <v>137</v>
      </c>
    </row>
    <row r="17" spans="2:16">
      <c r="B17" t="s">
        <v>153</v>
      </c>
      <c r="D17" t="s">
        <v>338</v>
      </c>
      <c r="F17" s="52"/>
      <c r="G17" s="37">
        <f>'X-factorberekening'!G68</f>
        <v>3313999.1784239993</v>
      </c>
      <c r="H17" s="37">
        <f>'X-factorberekening'!H68</f>
        <v>9411091.1641945187</v>
      </c>
      <c r="I17" s="37">
        <f>'X-factorberekening'!I68</f>
        <v>7076465.3530574366</v>
      </c>
      <c r="J17" s="37">
        <f>'X-factorberekening'!J68</f>
        <v>146052066.31004247</v>
      </c>
      <c r="K17" s="37">
        <f>'X-factorberekening'!K68</f>
        <v>122472725.78122026</v>
      </c>
      <c r="L17" s="37">
        <f>'X-factorberekening'!L68</f>
        <v>2064671.53827561</v>
      </c>
      <c r="M17" s="37">
        <f>'X-factorberekening'!M68</f>
        <v>83752058.552296177</v>
      </c>
      <c r="N17" s="37">
        <f>'X-factorberekening'!N68</f>
        <v>7289906.8673159992</v>
      </c>
      <c r="P17" s="27"/>
    </row>
    <row r="20" spans="2:16" s="9" customFormat="1">
      <c r="B20" s="2" t="s">
        <v>140</v>
      </c>
      <c r="D20" s="2" t="s">
        <v>278</v>
      </c>
    </row>
    <row r="22" spans="2:16">
      <c r="B22" s="3" t="s">
        <v>352</v>
      </c>
    </row>
    <row r="23" spans="2:16">
      <c r="B23" t="s">
        <v>141</v>
      </c>
      <c r="D23" t="s">
        <v>157</v>
      </c>
      <c r="F23" s="21">
        <f>SUM(G23:N23)</f>
        <v>389061644.43972301</v>
      </c>
      <c r="G23" s="24">
        <f t="shared" ref="G23:N23" si="0">G17*(1+$F$14)</f>
        <v>3380279.1619924796</v>
      </c>
      <c r="H23" s="24">
        <f t="shared" si="0"/>
        <v>9599312.987478409</v>
      </c>
      <c r="I23" s="24">
        <f t="shared" si="0"/>
        <v>7217994.6601185855</v>
      </c>
      <c r="J23" s="24">
        <f t="shared" si="0"/>
        <v>148973107.63624331</v>
      </c>
      <c r="K23" s="24">
        <f t="shared" si="0"/>
        <v>124922180.29684466</v>
      </c>
      <c r="L23" s="24">
        <f t="shared" si="0"/>
        <v>2105964.9690411221</v>
      </c>
      <c r="M23" s="24">
        <f t="shared" si="0"/>
        <v>85427099.723342106</v>
      </c>
      <c r="N23" s="24">
        <f t="shared" si="0"/>
        <v>7435705.0046623191</v>
      </c>
      <c r="P23" s="27"/>
    </row>
    <row r="24" spans="2:16">
      <c r="B24" t="s">
        <v>142</v>
      </c>
      <c r="D24" t="s">
        <v>158</v>
      </c>
      <c r="F24" s="21">
        <f>SUM(G24:N24)</f>
        <v>396842877.3285175</v>
      </c>
      <c r="G24" s="24">
        <f>G23*(1+$F$14)</f>
        <v>3447884.7452323292</v>
      </c>
      <c r="H24" s="24">
        <f t="shared" ref="H24:N25" si="1">H23*(1+$F$14)</f>
        <v>9791299.247227978</v>
      </c>
      <c r="I24" s="24">
        <f t="shared" si="1"/>
        <v>7362354.5533209573</v>
      </c>
      <c r="J24" s="24">
        <f t="shared" si="1"/>
        <v>151952569.78896818</v>
      </c>
      <c r="K24" s="24">
        <f t="shared" si="1"/>
        <v>127420623.90278156</v>
      </c>
      <c r="L24" s="24">
        <f t="shared" si="1"/>
        <v>2148084.2684219447</v>
      </c>
      <c r="M24" s="24">
        <f t="shared" si="1"/>
        <v>87135641.717808947</v>
      </c>
      <c r="N24" s="24">
        <f t="shared" si="1"/>
        <v>7584419.1047555655</v>
      </c>
    </row>
    <row r="25" spans="2:16">
      <c r="B25" t="s">
        <v>143</v>
      </c>
      <c r="D25" t="s">
        <v>155</v>
      </c>
      <c r="F25" s="21">
        <f>SUM(G25:N25)</f>
        <v>404779734.8750878</v>
      </c>
      <c r="G25" s="24">
        <f>G24*(1+$F$14)</f>
        <v>3516842.4401369761</v>
      </c>
      <c r="H25" s="24">
        <f t="shared" si="1"/>
        <v>9987125.2321725376</v>
      </c>
      <c r="I25" s="24">
        <f t="shared" si="1"/>
        <v>7509601.6443873765</v>
      </c>
      <c r="J25" s="24">
        <f t="shared" si="1"/>
        <v>154991621.18474755</v>
      </c>
      <c r="K25" s="24">
        <f t="shared" si="1"/>
        <v>129969036.38083719</v>
      </c>
      <c r="L25" s="24">
        <f t="shared" si="1"/>
        <v>2191045.9537903834</v>
      </c>
      <c r="M25" s="24">
        <f t="shared" si="1"/>
        <v>88878354.552165121</v>
      </c>
      <c r="N25" s="24">
        <f t="shared" si="1"/>
        <v>7736107.4868506771</v>
      </c>
    </row>
    <row r="26" spans="2:16">
      <c r="F26" s="52"/>
      <c r="G26" s="27"/>
      <c r="H26" s="27"/>
      <c r="I26" s="27"/>
      <c r="J26" s="27"/>
      <c r="K26" s="27"/>
      <c r="L26" s="27"/>
      <c r="M26" s="27"/>
      <c r="N26" s="27"/>
    </row>
    <row r="27" spans="2:16">
      <c r="B27" s="3" t="s">
        <v>144</v>
      </c>
      <c r="F27" s="36"/>
      <c r="G27" s="27"/>
      <c r="H27" s="27"/>
      <c r="I27" s="27"/>
      <c r="J27" s="27"/>
      <c r="K27" s="27"/>
      <c r="L27" s="27"/>
      <c r="M27" s="27"/>
      <c r="N27" s="27"/>
    </row>
    <row r="28" spans="2:16">
      <c r="B28" t="s">
        <v>118</v>
      </c>
      <c r="D28" t="s">
        <v>241</v>
      </c>
      <c r="F28" s="21">
        <f>SUM(G28:N28)</f>
        <v>2478202925.5906563</v>
      </c>
      <c r="G28" s="37">
        <f>'X-factorberekening'!G10</f>
        <v>15806756.594947953</v>
      </c>
      <c r="H28" s="37">
        <f>'X-factorberekening'!H10</f>
        <v>62343041.482818566</v>
      </c>
      <c r="I28" s="37">
        <f>'X-factorberekening'!I10</f>
        <v>31433419.632756192</v>
      </c>
      <c r="J28" s="37">
        <f>'X-factorberekening'!J10</f>
        <v>838158443.05002093</v>
      </c>
      <c r="K28" s="37">
        <f>'X-factorberekening'!K10</f>
        <v>871390641.22796798</v>
      </c>
      <c r="L28" s="37">
        <f>'X-factorberekening'!L10</f>
        <v>9638592.8657970373</v>
      </c>
      <c r="M28" s="37">
        <f>'X-factorberekening'!M10</f>
        <v>613952989.13496804</v>
      </c>
      <c r="N28" s="37">
        <f>'X-factorberekening'!N10</f>
        <v>35479041.601379409</v>
      </c>
    </row>
    <row r="31" spans="2:16" s="9" customFormat="1">
      <c r="B31" s="2" t="s">
        <v>355</v>
      </c>
      <c r="D31" s="2" t="s">
        <v>278</v>
      </c>
    </row>
    <row r="33" spans="2:14">
      <c r="B33" s="3" t="s">
        <v>354</v>
      </c>
    </row>
    <row r="34" spans="2:14">
      <c r="B34" t="s">
        <v>145</v>
      </c>
      <c r="D34" t="s">
        <v>157</v>
      </c>
      <c r="F34" s="21">
        <f>SUM(G34:N34)</f>
        <v>2277588905.1151543</v>
      </c>
      <c r="G34" s="24">
        <f t="shared" ref="G34:N34" si="2">(G11-G17)*(1-G12/100+G13/100+$F$14)</f>
        <v>13125067.410561083</v>
      </c>
      <c r="H34" s="24">
        <f t="shared" si="2"/>
        <v>59608322.42814146</v>
      </c>
      <c r="I34" s="24">
        <f t="shared" si="2"/>
        <v>25223431.592942376</v>
      </c>
      <c r="J34" s="24">
        <f t="shared" si="2"/>
        <v>734327257.96691513</v>
      </c>
      <c r="K34" s="24">
        <f t="shared" si="2"/>
        <v>829214260.92981136</v>
      </c>
      <c r="L34" s="24">
        <f t="shared" si="2"/>
        <v>8918900.6382554155</v>
      </c>
      <c r="M34" s="24">
        <f t="shared" si="2"/>
        <v>568273650.50420487</v>
      </c>
      <c r="N34" s="24">
        <f t="shared" si="2"/>
        <v>38898013.644322507</v>
      </c>
    </row>
    <row r="35" spans="2:14">
      <c r="B35" t="s">
        <v>146</v>
      </c>
      <c r="D35" t="s">
        <v>158</v>
      </c>
      <c r="F35" s="21">
        <f>SUM(G35:N35)</f>
        <v>2221278320.9649358</v>
      </c>
      <c r="G35" s="21">
        <f t="shared" ref="G35:N35" si="3">G34*(1-G12/100+G13/100+$F$14)</f>
        <v>13026629.404981874</v>
      </c>
      <c r="H35" s="21">
        <f t="shared" si="3"/>
        <v>58153879.360894807</v>
      </c>
      <c r="I35" s="21">
        <f t="shared" si="3"/>
        <v>24713918.27476494</v>
      </c>
      <c r="J35" s="21">
        <f t="shared" si="3"/>
        <v>715087883.808182</v>
      </c>
      <c r="K35" s="21">
        <f t="shared" si="3"/>
        <v>808152218.70219421</v>
      </c>
      <c r="L35" s="21">
        <f t="shared" si="3"/>
        <v>8773522.5578518528</v>
      </c>
      <c r="M35" s="21">
        <f t="shared" si="3"/>
        <v>555487493.36786032</v>
      </c>
      <c r="N35" s="21">
        <f t="shared" si="3"/>
        <v>37882775.488205686</v>
      </c>
    </row>
    <row r="36" spans="2:14">
      <c r="B36" t="s">
        <v>147</v>
      </c>
      <c r="D36" t="s">
        <v>155</v>
      </c>
      <c r="F36" s="21">
        <f>SUM(G36:N36)</f>
        <v>2166369859.0693202</v>
      </c>
      <c r="G36" s="21">
        <f t="shared" ref="G36:N36" si="4">G35*(1-G12/100+G13/100+$F$14)</f>
        <v>12928929.684444509</v>
      </c>
      <c r="H36" s="21">
        <f t="shared" si="4"/>
        <v>56734924.704488978</v>
      </c>
      <c r="I36" s="21">
        <f t="shared" si="4"/>
        <v>24214697.125614688</v>
      </c>
      <c r="J36" s="21">
        <f t="shared" si="4"/>
        <v>696352581.25240767</v>
      </c>
      <c r="K36" s="21">
        <f t="shared" si="4"/>
        <v>787625152.34715855</v>
      </c>
      <c r="L36" s="21">
        <f t="shared" si="4"/>
        <v>8630514.1401588675</v>
      </c>
      <c r="M36" s="21">
        <f t="shared" si="4"/>
        <v>542989024.76708353</v>
      </c>
      <c r="N36" s="21">
        <f t="shared" si="4"/>
        <v>36894035.047963515</v>
      </c>
    </row>
    <row r="37" spans="2:14">
      <c r="F37" s="52"/>
      <c r="G37" s="27"/>
      <c r="H37" s="27"/>
      <c r="I37" s="27"/>
      <c r="J37" s="27"/>
      <c r="K37" s="27"/>
      <c r="L37" s="27"/>
      <c r="M37" s="27"/>
      <c r="N37" s="27"/>
    </row>
    <row r="38" spans="2:14">
      <c r="B38" s="3" t="s">
        <v>353</v>
      </c>
    </row>
    <row r="39" spans="2:14">
      <c r="B39" s="13" t="s">
        <v>159</v>
      </c>
      <c r="D39" t="s">
        <v>157</v>
      </c>
      <c r="F39" s="21">
        <f>SUM(G39:N39)</f>
        <v>2666650549.5548773</v>
      </c>
      <c r="G39" s="21">
        <f>G34+G23</f>
        <v>16505346.572553562</v>
      </c>
      <c r="H39" s="21">
        <f t="shared" ref="G39:N41" si="5">H34+H23</f>
        <v>69207635.415619865</v>
      </c>
      <c r="I39" s="21">
        <f t="shared" si="5"/>
        <v>32441426.253060959</v>
      </c>
      <c r="J39" s="21">
        <f t="shared" si="5"/>
        <v>883300365.60315847</v>
      </c>
      <c r="K39" s="21">
        <f t="shared" si="5"/>
        <v>954136441.22665596</v>
      </c>
      <c r="L39" s="21">
        <f t="shared" si="5"/>
        <v>11024865.607296538</v>
      </c>
      <c r="M39" s="21">
        <f t="shared" si="5"/>
        <v>653700750.22754693</v>
      </c>
      <c r="N39" s="21">
        <f t="shared" si="5"/>
        <v>46333718.648984827</v>
      </c>
    </row>
    <row r="40" spans="2:14">
      <c r="B40" s="13" t="s">
        <v>160</v>
      </c>
      <c r="D40" t="s">
        <v>158</v>
      </c>
      <c r="F40" s="21">
        <f>SUM(G40:N40)</f>
        <v>2618121198.2934532</v>
      </c>
      <c r="G40" s="21">
        <f t="shared" si="5"/>
        <v>16474514.150214203</v>
      </c>
      <c r="H40" s="21">
        <f t="shared" si="5"/>
        <v>67945178.608122781</v>
      </c>
      <c r="I40" s="21">
        <f t="shared" si="5"/>
        <v>32076272.828085899</v>
      </c>
      <c r="J40" s="21">
        <f t="shared" si="5"/>
        <v>867040453.59715021</v>
      </c>
      <c r="K40" s="21">
        <f t="shared" si="5"/>
        <v>935572842.60497582</v>
      </c>
      <c r="L40" s="21">
        <f t="shared" si="5"/>
        <v>10921606.826273797</v>
      </c>
      <c r="M40" s="21">
        <f t="shared" si="5"/>
        <v>642623135.08566928</v>
      </c>
      <c r="N40" s="21">
        <f t="shared" si="5"/>
        <v>45467194.592961252</v>
      </c>
    </row>
    <row r="41" spans="2:14">
      <c r="B41" s="13" t="s">
        <v>161</v>
      </c>
      <c r="D41" t="s">
        <v>155</v>
      </c>
      <c r="F41" s="21">
        <f>SUM(G41:N41)</f>
        <v>2571149593.9444084</v>
      </c>
      <c r="G41" s="21">
        <f t="shared" si="5"/>
        <v>16445772.124581486</v>
      </c>
      <c r="H41" s="21">
        <f t="shared" si="5"/>
        <v>66722049.936661512</v>
      </c>
      <c r="I41" s="21">
        <f t="shared" si="5"/>
        <v>31724298.770002063</v>
      </c>
      <c r="J41" s="21">
        <f t="shared" si="5"/>
        <v>851344202.43715525</v>
      </c>
      <c r="K41" s="21">
        <f t="shared" si="5"/>
        <v>917594188.72799575</v>
      </c>
      <c r="L41" s="21">
        <f t="shared" si="5"/>
        <v>10821560.093949251</v>
      </c>
      <c r="M41" s="21">
        <f t="shared" si="5"/>
        <v>631867379.31924868</v>
      </c>
      <c r="N41" s="21">
        <f t="shared" si="5"/>
        <v>44630142.534814194</v>
      </c>
    </row>
    <row r="46" spans="2:14">
      <c r="F46" s="118"/>
    </row>
    <row r="47" spans="2:14">
      <c r="F47" s="32"/>
      <c r="G47" s="50"/>
      <c r="H47" s="50"/>
      <c r="I47" s="50"/>
      <c r="J47" s="50"/>
      <c r="K47" s="50"/>
      <c r="L47" s="50"/>
      <c r="M47" s="50"/>
      <c r="N47" s="50"/>
    </row>
    <row r="48" spans="2:14">
      <c r="G48" s="991"/>
      <c r="H48" s="991"/>
      <c r="I48" s="991"/>
      <c r="J48" s="991"/>
      <c r="K48" s="991"/>
      <c r="L48" s="991"/>
      <c r="M48" s="991"/>
      <c r="N48" s="991"/>
    </row>
    <row r="49" spans="7:14">
      <c r="G49" s="992"/>
      <c r="H49" s="992"/>
      <c r="I49" s="992"/>
      <c r="J49" s="992"/>
      <c r="K49" s="992"/>
      <c r="L49" s="992"/>
      <c r="M49" s="992"/>
      <c r="N49" s="992"/>
    </row>
    <row r="52" spans="7:14">
      <c r="G52" s="33"/>
    </row>
    <row r="53" spans="7:14">
      <c r="G53" s="33"/>
    </row>
    <row r="55" spans="7:14">
      <c r="G55" s="110"/>
      <c r="H55" s="110"/>
    </row>
  </sheetData>
  <phoneticPr fontId="3" type="noConversion"/>
  <pageMargins left="0.75" right="0.75" top="1" bottom="1"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B1:P54"/>
  <sheetViews>
    <sheetView showGridLines="0" zoomScale="85" zoomScaleNormal="85" zoomScaleSheetLayoutView="115" workbookViewId="0"/>
  </sheetViews>
  <sheetFormatPr defaultRowHeight="12.75"/>
  <cols>
    <col min="1" max="1" width="2.5703125" style="182" customWidth="1"/>
    <col min="2" max="2" width="53.140625" style="182" customWidth="1"/>
    <col min="3" max="3" width="2.5703125" style="182" customWidth="1"/>
    <col min="4" max="4" width="12.5703125" style="182" bestFit="1" customWidth="1"/>
    <col min="5" max="5" width="2.5703125" style="182" customWidth="1"/>
    <col min="6" max="6" width="15.42578125" style="182" bestFit="1" customWidth="1"/>
    <col min="7" max="7" width="14.28515625" style="182" bestFit="1" customWidth="1"/>
    <col min="8" max="8" width="13.28515625" style="182" bestFit="1" customWidth="1"/>
    <col min="9" max="9" width="13" style="182" customWidth="1"/>
    <col min="10" max="10" width="14.140625" style="182" bestFit="1" customWidth="1"/>
    <col min="11" max="11" width="14.42578125" style="182" bestFit="1" customWidth="1"/>
    <col min="12" max="12" width="12.7109375" style="182" bestFit="1" customWidth="1"/>
    <col min="13" max="13" width="14.140625" style="182" bestFit="1" customWidth="1"/>
    <col min="14" max="14" width="12.7109375" style="182" bestFit="1" customWidth="1"/>
    <col min="15" max="15" width="9.42578125" style="182" customWidth="1"/>
    <col min="16" max="16" width="19.28515625" style="182" customWidth="1"/>
    <col min="17" max="16384" width="9.140625" style="182"/>
  </cols>
  <sheetData>
    <row r="1" spans="2:16" ht="12" customHeight="1"/>
    <row r="2" spans="2:16" s="993" customFormat="1" ht="18">
      <c r="B2" s="993" t="s">
        <v>1128</v>
      </c>
      <c r="F2" s="994"/>
      <c r="G2" s="994"/>
      <c r="H2" s="994"/>
      <c r="I2" s="994"/>
      <c r="J2" s="994"/>
      <c r="K2" s="994"/>
      <c r="L2" s="994"/>
      <c r="M2" s="994"/>
      <c r="N2" s="994"/>
      <c r="P2" s="994"/>
    </row>
    <row r="4" spans="2:16">
      <c r="B4" s="995" t="s">
        <v>1134</v>
      </c>
    </row>
    <row r="6" spans="2:16" s="997" customFormat="1">
      <c r="B6" s="996" t="s">
        <v>1133</v>
      </c>
      <c r="D6" s="996" t="s">
        <v>278</v>
      </c>
      <c r="F6" s="996" t="s">
        <v>1113</v>
      </c>
      <c r="G6" s="996" t="s">
        <v>168</v>
      </c>
      <c r="H6" s="996" t="s">
        <v>169</v>
      </c>
      <c r="I6" s="996" t="s">
        <v>170</v>
      </c>
      <c r="J6" s="996" t="s">
        <v>171</v>
      </c>
      <c r="K6" s="996" t="s">
        <v>172</v>
      </c>
      <c r="L6" s="996" t="s">
        <v>173</v>
      </c>
      <c r="M6" s="996" t="s">
        <v>174</v>
      </c>
      <c r="N6" s="996" t="s">
        <v>175</v>
      </c>
    </row>
    <row r="7" spans="2:16">
      <c r="B7" s="995"/>
    </row>
    <row r="8" spans="2:16">
      <c r="B8" s="181" t="s">
        <v>1132</v>
      </c>
    </row>
    <row r="9" spans="2:16">
      <c r="B9" s="50" t="s">
        <v>622</v>
      </c>
      <c r="F9" s="998">
        <f>SUM(G9:N9)</f>
        <v>2716770577.5105124</v>
      </c>
      <c r="G9" s="134">
        <f>'X-factorberekening'!G98</f>
        <v>16538248.4585863</v>
      </c>
      <c r="H9" s="134">
        <f>'X-factorberekening'!H98</f>
        <v>70510232.644454315</v>
      </c>
      <c r="I9" s="134">
        <f>'X-factorberekening'!I98</f>
        <v>32819914.621216629</v>
      </c>
      <c r="J9" s="134">
        <f>'X-factorberekening'!J98</f>
        <v>900136332.03905785</v>
      </c>
      <c r="K9" s="134">
        <f>'X-factorberekening'!K98</f>
        <v>973297947.33858883</v>
      </c>
      <c r="L9" s="134">
        <f>'X-factorberekening'!L98</f>
        <v>11131359.185175493</v>
      </c>
      <c r="M9" s="134">
        <f>'X-factorberekening'!M98</f>
        <v>665106176.71516562</v>
      </c>
      <c r="N9" s="134">
        <f>'X-factorberekening'!N98</f>
        <v>47230366.508267336</v>
      </c>
    </row>
    <row r="10" spans="2:16">
      <c r="B10" s="80" t="s">
        <v>363</v>
      </c>
      <c r="F10" s="998">
        <f>SUM(G10:N10)</f>
        <v>2335337592.765686</v>
      </c>
      <c r="G10" s="134">
        <f>'X-factorberekening'!G99</f>
        <v>13224249.280162301</v>
      </c>
      <c r="H10" s="134">
        <f>'X-factorberekening'!H99</f>
        <v>61099141.480259798</v>
      </c>
      <c r="I10" s="134">
        <f>'X-factorberekening'!I99</f>
        <v>25743449.268159192</v>
      </c>
      <c r="J10" s="134">
        <f>'X-factorberekening'!J99</f>
        <v>754084265.72901535</v>
      </c>
      <c r="K10" s="134">
        <f>'X-factorberekening'!K99</f>
        <v>850825221.55736852</v>
      </c>
      <c r="L10" s="134">
        <f>'X-factorberekening'!L99</f>
        <v>9066687.6468998827</v>
      </c>
      <c r="M10" s="134">
        <f>'X-factorberekening'!M99</f>
        <v>581354118.16286945</v>
      </c>
      <c r="N10" s="134">
        <f>'X-factorberekening'!N99</f>
        <v>39940459.640951335</v>
      </c>
    </row>
    <row r="11" spans="2:16">
      <c r="B11" s="50" t="s">
        <v>1129</v>
      </c>
      <c r="F11" s="998">
        <f>SUM(G11:N11)</f>
        <v>2165757074.5706596</v>
      </c>
      <c r="G11" s="134">
        <f>'X-factorberekening'!G101</f>
        <v>12141816.928680744</v>
      </c>
      <c r="H11" s="134">
        <f>'X-factorberekening'!H101</f>
        <v>56689111.991463669</v>
      </c>
      <c r="I11" s="134">
        <f>'X-factorberekening'!I101</f>
        <v>23484993.090789888</v>
      </c>
      <c r="J11" s="134">
        <f>'X-factorberekening'!J101</f>
        <v>695290057.77317595</v>
      </c>
      <c r="K11" s="134">
        <f>'X-factorberekening'!K101</f>
        <v>791767286.13934839</v>
      </c>
      <c r="L11" s="134">
        <f>'X-factorberekening'!L101</f>
        <v>8303961.98344988</v>
      </c>
      <c r="M11" s="134">
        <f>'X-factorberekening'!M101</f>
        <v>541209386.26267815</v>
      </c>
      <c r="N11" s="134">
        <f>'X-factorberekening'!N101</f>
        <v>36870460.401072741</v>
      </c>
    </row>
    <row r="12" spans="2:16">
      <c r="B12" s="50"/>
      <c r="F12" s="1002"/>
      <c r="G12" s="36"/>
      <c r="H12" s="36"/>
      <c r="I12" s="36"/>
      <c r="J12" s="36"/>
      <c r="K12" s="36"/>
      <c r="L12" s="36"/>
      <c r="M12" s="36"/>
      <c r="N12" s="36"/>
    </row>
    <row r="13" spans="2:16">
      <c r="B13" s="995" t="s">
        <v>1114</v>
      </c>
      <c r="G13" s="999">
        <f>'X-factorberekening'!G105</f>
        <v>4.8</v>
      </c>
      <c r="H13" s="999">
        <f>'X-factorberekening'!H105</f>
        <v>4.46</v>
      </c>
      <c r="I13" s="999">
        <f>'X-factorberekening'!I105</f>
        <v>5.01</v>
      </c>
      <c r="J13" s="999">
        <f>'X-factorberekening'!J105</f>
        <v>4.66</v>
      </c>
      <c r="K13" s="999">
        <f>'X-factorberekening'!K105</f>
        <v>4.3600000000000003</v>
      </c>
      <c r="L13" s="999">
        <f>'X-factorberekening'!L105</f>
        <v>4.88</v>
      </c>
      <c r="M13" s="999">
        <f>'X-factorberekening'!M105</f>
        <v>4.3499999999999996</v>
      </c>
      <c r="N13" s="999">
        <f>'X-factorberekening'!N105</f>
        <v>4.63</v>
      </c>
    </row>
    <row r="14" spans="2:16">
      <c r="B14"/>
    </row>
    <row r="15" spans="2:16">
      <c r="B15" s="3" t="s">
        <v>1131</v>
      </c>
    </row>
    <row r="16" spans="2:16">
      <c r="B16" s="995" t="s">
        <v>1130</v>
      </c>
      <c r="D16" s="995" t="s">
        <v>338</v>
      </c>
      <c r="F16" s="998">
        <f>SUM(G16:N16)</f>
        <v>2716770577.5105124</v>
      </c>
      <c r="G16" s="37">
        <f>'X-factorberekening'!G98</f>
        <v>16538248.4585863</v>
      </c>
      <c r="H16" s="37">
        <f>'X-factorberekening'!H98</f>
        <v>70510232.644454315</v>
      </c>
      <c r="I16" s="37">
        <f>'X-factorberekening'!I98</f>
        <v>32819914.621216629</v>
      </c>
      <c r="J16" s="37">
        <f>'X-factorberekening'!J98</f>
        <v>900136332.03905785</v>
      </c>
      <c r="K16" s="37">
        <f>'X-factorberekening'!K98</f>
        <v>973297947.33858883</v>
      </c>
      <c r="L16" s="37">
        <f>'X-factorberekening'!L98</f>
        <v>11131359.185175493</v>
      </c>
      <c r="M16" s="37">
        <f>'X-factorberekening'!M98</f>
        <v>665106176.71516562</v>
      </c>
      <c r="N16" s="37">
        <f>'X-factorberekening'!N98</f>
        <v>47230366.508267336</v>
      </c>
    </row>
    <row r="17" spans="2:16">
      <c r="B17" s="995"/>
      <c r="D17" s="995"/>
      <c r="F17" s="1002"/>
      <c r="G17" s="28"/>
      <c r="H17" s="28"/>
      <c r="I17" s="28"/>
      <c r="J17" s="28"/>
      <c r="K17" s="28"/>
      <c r="L17" s="28"/>
      <c r="M17" s="28"/>
      <c r="N17" s="28"/>
    </row>
    <row r="18" spans="2:16">
      <c r="B18" s="995" t="s">
        <v>1115</v>
      </c>
      <c r="G18" s="1006">
        <f>'Indicatieve TI bedragen ''14-''16'!G13</f>
        <v>2.0499999999999998</v>
      </c>
      <c r="H18" s="1006">
        <f>'Indicatieve TI bedragen ''14-''16'!H13</f>
        <v>0.02</v>
      </c>
      <c r="I18" s="1006">
        <f>'Indicatieve TI bedragen ''14-''16'!I13</f>
        <v>0.99</v>
      </c>
      <c r="J18" s="1006">
        <f>'Indicatieve TI bedragen ''14-''16'!J13</f>
        <v>0.04</v>
      </c>
      <c r="K18" s="1006">
        <f>'Indicatieve TI bedragen ''14-''16'!K13</f>
        <v>-0.18</v>
      </c>
      <c r="L18" s="1006">
        <f>'Indicatieve TI bedragen ''14-''16'!L13</f>
        <v>1.25</v>
      </c>
      <c r="M18" s="1006">
        <f>'Indicatieve TI bedragen ''14-''16'!M13</f>
        <v>9.9999999999999992E-2</v>
      </c>
      <c r="N18" s="1006">
        <f>'Indicatieve TI bedragen ''14-''16'!N13</f>
        <v>0.02</v>
      </c>
      <c r="O18"/>
      <c r="P18" s="50"/>
    </row>
    <row r="19" spans="2:16" s="1000" customFormat="1">
      <c r="B19" s="1001"/>
      <c r="F19" s="1002"/>
      <c r="G19" s="1042"/>
      <c r="H19" s="1042"/>
      <c r="I19" s="1042"/>
      <c r="J19" s="1042"/>
      <c r="K19" s="1042"/>
      <c r="L19" s="1042"/>
      <c r="M19" s="1042"/>
      <c r="N19" s="1042"/>
    </row>
    <row r="20" spans="2:16" s="1000" customFormat="1">
      <c r="B20" s="1001"/>
      <c r="F20" s="1002"/>
      <c r="G20" s="28"/>
      <c r="H20" s="28"/>
      <c r="I20" s="28"/>
      <c r="J20" s="28"/>
      <c r="K20" s="28"/>
      <c r="L20" s="28"/>
      <c r="M20" s="28"/>
      <c r="N20" s="28"/>
    </row>
    <row r="21" spans="2:16" s="997" customFormat="1">
      <c r="B21" s="996" t="s">
        <v>1116</v>
      </c>
      <c r="D21" s="996" t="s">
        <v>278</v>
      </c>
      <c r="F21" s="996" t="s">
        <v>1113</v>
      </c>
      <c r="G21" s="996" t="s">
        <v>168</v>
      </c>
      <c r="H21" s="996" t="s">
        <v>169</v>
      </c>
      <c r="I21" s="996" t="s">
        <v>170</v>
      </c>
      <c r="J21" s="996" t="s">
        <v>171</v>
      </c>
      <c r="K21" s="996" t="s">
        <v>172</v>
      </c>
      <c r="L21" s="996" t="s">
        <v>173</v>
      </c>
      <c r="M21" s="996" t="s">
        <v>174</v>
      </c>
      <c r="N21" s="996" t="s">
        <v>175</v>
      </c>
    </row>
    <row r="23" spans="2:16">
      <c r="B23" s="995" t="s">
        <v>1117</v>
      </c>
      <c r="D23" s="182" t="s">
        <v>259</v>
      </c>
      <c r="F23" s="75">
        <f>WACC!F9</f>
        <v>3.5999999999999997E-2</v>
      </c>
    </row>
    <row r="25" spans="2:16">
      <c r="B25" s="181" t="s">
        <v>1119</v>
      </c>
      <c r="E25" s="1000"/>
      <c r="F25" s="1003"/>
      <c r="G25" s="1000"/>
      <c r="H25" s="1000"/>
      <c r="I25" s="1000"/>
      <c r="J25" s="1000"/>
      <c r="K25" s="1000"/>
      <c r="L25" s="1000"/>
      <c r="M25" s="1000"/>
      <c r="N25" s="1000"/>
    </row>
    <row r="26" spans="2:16">
      <c r="B26" s="995" t="s">
        <v>1120</v>
      </c>
      <c r="D26" s="995" t="s">
        <v>241</v>
      </c>
      <c r="F26" s="998">
        <f>SUM(G26:N26)</f>
        <v>2974550471.4708905</v>
      </c>
      <c r="G26" s="37">
        <f>'Standaardisatie Output'!G150</f>
        <v>18014051.939707361</v>
      </c>
      <c r="H26" s="37">
        <f>'Standaardisatie Output'!H150</f>
        <v>77601140.039101928</v>
      </c>
      <c r="I26" s="37">
        <f>'Standaardisatie Output'!I150</f>
        <v>36508356.324015237</v>
      </c>
      <c r="J26" s="37">
        <f>'Standaardisatie Output'!J150</f>
        <v>999321362.25140631</v>
      </c>
      <c r="K26" s="37">
        <f>'Standaardisatie Output'!K150</f>
        <v>1058214538.4001061</v>
      </c>
      <c r="L26" s="37">
        <f>'Standaardisatie Output'!L150</f>
        <v>11307009.10451464</v>
      </c>
      <c r="M26" s="37">
        <f>'Standaardisatie Output'!M150</f>
        <v>721074036.79274285</v>
      </c>
      <c r="N26" s="37">
        <f>'Standaardisatie Output'!N150</f>
        <v>52509976.619296253</v>
      </c>
    </row>
    <row r="27" spans="2:16">
      <c r="B27" s="995" t="s">
        <v>1121</v>
      </c>
      <c r="D27" s="182" t="s">
        <v>259</v>
      </c>
      <c r="F27" s="1004">
        <f t="shared" ref="F27:N27" si="0">F26/$F$26*100%</f>
        <v>1</v>
      </c>
      <c r="G27" s="1004">
        <f t="shared" si="0"/>
        <v>6.0560585918717196E-3</v>
      </c>
      <c r="H27" s="1004">
        <f t="shared" si="0"/>
        <v>2.6088358823754907E-2</v>
      </c>
      <c r="I27" s="1004">
        <f t="shared" si="0"/>
        <v>1.2273570972881209E-2</v>
      </c>
      <c r="J27" s="1004">
        <f t="shared" si="0"/>
        <v>0.33595710405184359</v>
      </c>
      <c r="K27" s="1004">
        <f t="shared" si="0"/>
        <v>0.35575612131967888</v>
      </c>
      <c r="L27" s="1004">
        <f t="shared" si="0"/>
        <v>3.8012497057827422E-3</v>
      </c>
      <c r="M27" s="1004">
        <f t="shared" si="0"/>
        <v>0.24241445680905785</v>
      </c>
      <c r="N27" s="1004">
        <f t="shared" si="0"/>
        <v>1.7653079725129191E-2</v>
      </c>
    </row>
    <row r="29" spans="2:16">
      <c r="B29" s="181" t="s">
        <v>1118</v>
      </c>
      <c r="G29" s="1007" t="s">
        <v>501</v>
      </c>
      <c r="H29" s="1007" t="s">
        <v>502</v>
      </c>
      <c r="I29" s="1007" t="s">
        <v>503</v>
      </c>
      <c r="J29" s="1007" t="s">
        <v>504</v>
      </c>
      <c r="K29" s="1007" t="s">
        <v>505</v>
      </c>
      <c r="L29" s="1007" t="s">
        <v>506</v>
      </c>
      <c r="M29" s="1007" t="s">
        <v>507</v>
      </c>
      <c r="N29" s="1007" t="s">
        <v>508</v>
      </c>
    </row>
    <row r="30" spans="2:16">
      <c r="B30" s="182" t="s">
        <v>1125</v>
      </c>
      <c r="D30" s="182" t="s">
        <v>259</v>
      </c>
      <c r="G30" s="1008">
        <f>Productiviteitsverandering!G50</f>
        <v>3.425995973882974E-2</v>
      </c>
      <c r="H30" s="1008">
        <f>Productiviteitsverandering!H50</f>
        <v>1.7300488701200271E-2</v>
      </c>
      <c r="I30" s="1008">
        <f>Productiviteitsverandering!I50</f>
        <v>-5.3188850905792244E-3</v>
      </c>
      <c r="J30" s="1008">
        <f>Productiviteitsverandering!J50</f>
        <v>-2.0735154963991833E-2</v>
      </c>
      <c r="K30" s="1008">
        <f>Productiviteitsverandering!K50</f>
        <v>-3.5343875767043995E-2</v>
      </c>
      <c r="L30" s="1008">
        <f>Productiviteitsverandering!L50</f>
        <v>6.7434039535301471E-2</v>
      </c>
      <c r="M30" s="1008">
        <f>Productiviteitsverandering!M50</f>
        <v>-2.4818831350901238E-3</v>
      </c>
      <c r="N30" s="1008">
        <f>Productiviteitsverandering!N50</f>
        <v>-2.4930310753759732E-2</v>
      </c>
    </row>
    <row r="31" spans="2:16">
      <c r="B31" s="182" t="s">
        <v>1126</v>
      </c>
      <c r="D31" s="182" t="s">
        <v>259</v>
      </c>
      <c r="F31" s="1008">
        <f>Productiviteitsverandering!F53</f>
        <v>3.2672321451210351E-3</v>
      </c>
    </row>
    <row r="33" spans="2:16" s="1000" customFormat="1">
      <c r="B33" s="1001"/>
      <c r="F33" s="1002"/>
      <c r="G33" s="28"/>
      <c r="H33" s="28"/>
      <c r="I33" s="28"/>
      <c r="J33" s="28"/>
      <c r="K33" s="28"/>
      <c r="L33" s="28"/>
      <c r="M33" s="28"/>
      <c r="N33" s="28"/>
    </row>
    <row r="34" spans="2:16" s="9" customFormat="1">
      <c r="B34" s="2" t="s">
        <v>140</v>
      </c>
      <c r="D34" s="2" t="s">
        <v>278</v>
      </c>
      <c r="F34" s="996" t="s">
        <v>1113</v>
      </c>
      <c r="G34" s="996" t="s">
        <v>168</v>
      </c>
      <c r="H34" s="996" t="s">
        <v>169</v>
      </c>
      <c r="I34" s="996" t="s">
        <v>170</v>
      </c>
      <c r="J34" s="996" t="s">
        <v>171</v>
      </c>
      <c r="K34" s="996" t="s">
        <v>172</v>
      </c>
      <c r="L34" s="996" t="s">
        <v>173</v>
      </c>
      <c r="M34" s="996" t="s">
        <v>174</v>
      </c>
      <c r="N34" s="996" t="s">
        <v>175</v>
      </c>
    </row>
    <row r="35" spans="2:16" customFormat="1"/>
    <row r="36" spans="2:16" customFormat="1">
      <c r="B36" s="3" t="s">
        <v>1122</v>
      </c>
    </row>
    <row r="37" spans="2:16" customFormat="1">
      <c r="B37" s="26" t="s">
        <v>1124</v>
      </c>
    </row>
    <row r="38" spans="2:16" customFormat="1">
      <c r="B38" s="50" t="s">
        <v>1123</v>
      </c>
      <c r="D38" t="s">
        <v>338</v>
      </c>
      <c r="F38" s="21">
        <f>SUM(G38:N38)</f>
        <v>381432984.74482644</v>
      </c>
      <c r="G38" s="37">
        <f>'X-factorberekening'!G68</f>
        <v>3313999.1784239993</v>
      </c>
      <c r="H38" s="37">
        <f>'X-factorberekening'!H68</f>
        <v>9411091.1641945187</v>
      </c>
      <c r="I38" s="37">
        <f>'X-factorberekening'!I68</f>
        <v>7076465.3530574366</v>
      </c>
      <c r="J38" s="37">
        <f>'X-factorberekening'!J68</f>
        <v>146052066.31004247</v>
      </c>
      <c r="K38" s="37">
        <f>'X-factorberekening'!K68</f>
        <v>122472725.78122026</v>
      </c>
      <c r="L38" s="37">
        <f>'X-factorberekening'!L68</f>
        <v>2064671.53827561</v>
      </c>
      <c r="M38" s="37">
        <f>'X-factorberekening'!M68</f>
        <v>83752058.552296177</v>
      </c>
      <c r="N38" s="37">
        <f>'X-factorberekening'!N68</f>
        <v>7289906.8673159992</v>
      </c>
      <c r="P38" s="27"/>
    </row>
    <row r="39" spans="2:16" customFormat="1">
      <c r="F39" s="52"/>
      <c r="G39" s="27"/>
      <c r="H39" s="27"/>
      <c r="I39" s="27"/>
      <c r="J39" s="27"/>
      <c r="K39" s="27"/>
      <c r="L39" s="27"/>
      <c r="M39" s="27"/>
      <c r="N39" s="27"/>
    </row>
    <row r="40" spans="2:16" customFormat="1">
      <c r="B40" s="3" t="s">
        <v>1127</v>
      </c>
      <c r="F40" s="36"/>
      <c r="G40" s="27"/>
      <c r="H40" s="27"/>
      <c r="I40" s="27"/>
      <c r="J40" s="27"/>
      <c r="K40" s="27"/>
      <c r="L40" s="27"/>
      <c r="M40" s="27"/>
      <c r="N40" s="27"/>
    </row>
    <row r="41" spans="2:16" customFormat="1">
      <c r="B41" t="s">
        <v>118</v>
      </c>
      <c r="D41" t="s">
        <v>241</v>
      </c>
      <c r="F41" s="21">
        <f>SUM(G41:N41)</f>
        <v>2478202925.5906563</v>
      </c>
      <c r="G41" s="37">
        <f>'X-factorberekening'!G10</f>
        <v>15806756.594947953</v>
      </c>
      <c r="H41" s="37">
        <f>'X-factorberekening'!H10</f>
        <v>62343041.482818566</v>
      </c>
      <c r="I41" s="37">
        <f>'X-factorberekening'!I10</f>
        <v>31433419.632756192</v>
      </c>
      <c r="J41" s="37">
        <f>'X-factorberekening'!J10</f>
        <v>838158443.05002093</v>
      </c>
      <c r="K41" s="37">
        <f>'X-factorberekening'!K10</f>
        <v>871390641.22796798</v>
      </c>
      <c r="L41" s="37">
        <f>'X-factorberekening'!L10</f>
        <v>9638592.8657970373</v>
      </c>
      <c r="M41" s="37">
        <f>'X-factorberekening'!M10</f>
        <v>613952989.13496804</v>
      </c>
      <c r="N41" s="37">
        <f>'X-factorberekening'!N10</f>
        <v>35479041.601379409</v>
      </c>
    </row>
    <row r="42" spans="2:16" customFormat="1"/>
    <row r="49" spans="2:8">
      <c r="B49"/>
    </row>
    <row r="54" spans="2:8">
      <c r="G54" s="1005"/>
      <c r="H54" s="1005"/>
    </row>
  </sheetData>
  <pageMargins left="0.25" right="0.25" top="0.75" bottom="0.75" header="0.3" footer="0.3"/>
  <pageSetup scale="77"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tabColor theme="0" tint="-0.34998626667073579"/>
  </sheetPr>
  <dimension ref="A1"/>
  <sheetViews>
    <sheetView showGridLines="0" zoomScale="85" zoomScaleNormal="85" workbookViewId="0"/>
  </sheetViews>
  <sheetFormatPr defaultRowHeight="12.75"/>
  <cols>
    <col min="1" max="16384" width="9.140625" style="883"/>
  </cols>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B2:M75"/>
  <sheetViews>
    <sheetView showGridLines="0" zoomScale="85" zoomScaleNormal="85" zoomScaleSheetLayoutView="70" workbookViewId="0"/>
  </sheetViews>
  <sheetFormatPr defaultRowHeight="12.75"/>
  <cols>
    <col min="1" max="1" width="9.140625" style="1153"/>
    <col min="2" max="2" width="55.28515625" style="1153" customWidth="1"/>
    <col min="3" max="3" width="15.85546875" style="1153" customWidth="1"/>
    <col min="4" max="4" width="3" style="1153" customWidth="1"/>
    <col min="5" max="5" width="2.85546875" style="1153" customWidth="1"/>
    <col min="6" max="6" width="55.28515625" style="1153" customWidth="1"/>
    <col min="7" max="7" width="15.85546875" style="1153" customWidth="1"/>
    <col min="8" max="8" width="3.140625" style="1153" customWidth="1"/>
    <col min="9" max="9" width="2.85546875" style="1153" customWidth="1"/>
    <col min="10" max="10" width="55.28515625" style="1153" customWidth="1"/>
    <col min="11" max="11" width="15.85546875" style="1153" customWidth="1"/>
    <col min="12" max="12" width="3.28515625" style="1153" customWidth="1"/>
    <col min="13" max="16384" width="9.140625" style="1153"/>
  </cols>
  <sheetData>
    <row r="2" spans="2:13" s="1145" customFormat="1" ht="19.5" customHeight="1">
      <c r="B2" s="1144" t="s">
        <v>1507</v>
      </c>
      <c r="C2" s="879"/>
      <c r="D2" s="880"/>
      <c r="E2" s="880"/>
      <c r="F2" s="880"/>
      <c r="G2" s="880"/>
      <c r="H2" s="880"/>
      <c r="I2" s="880"/>
      <c r="J2" s="880"/>
      <c r="K2" s="880"/>
      <c r="L2" s="881"/>
    </row>
    <row r="3" spans="2:13" s="1146" customFormat="1" ht="4.5" customHeight="1">
      <c r="B3" s="1147"/>
      <c r="D3" s="1145"/>
      <c r="E3" s="1145"/>
      <c r="F3" s="1145"/>
      <c r="G3" s="1145"/>
      <c r="H3" s="1145"/>
      <c r="I3" s="1145"/>
      <c r="J3" s="1145"/>
      <c r="K3" s="1145"/>
      <c r="L3" s="1148"/>
      <c r="M3" s="1145"/>
    </row>
    <row r="4" spans="2:13" s="1145" customFormat="1">
      <c r="B4" s="1149" t="s">
        <v>1135</v>
      </c>
      <c r="C4" s="1150"/>
      <c r="D4" s="1150"/>
      <c r="E4" s="1150"/>
      <c r="F4" s="1151"/>
      <c r="G4" s="1150"/>
      <c r="H4" s="1150"/>
      <c r="I4" s="1150"/>
      <c r="J4" s="1150"/>
      <c r="K4" s="1150"/>
      <c r="L4" s="1152"/>
    </row>
    <row r="5" spans="2:13" ht="15.75">
      <c r="B5" s="1009" t="s">
        <v>70</v>
      </c>
      <c r="C5" s="879"/>
      <c r="D5" s="880"/>
      <c r="E5" s="880"/>
      <c r="F5" s="880"/>
      <c r="G5" s="880"/>
      <c r="H5" s="880"/>
      <c r="I5" s="880"/>
      <c r="J5" s="880"/>
      <c r="K5" s="880"/>
      <c r="L5" s="881"/>
    </row>
    <row r="7" spans="2:13">
      <c r="B7" s="892" t="s">
        <v>49</v>
      </c>
      <c r="C7" s="891"/>
      <c r="D7" s="1154"/>
      <c r="F7" s="892" t="s">
        <v>50</v>
      </c>
      <c r="G7" s="891"/>
      <c r="H7" s="1154"/>
      <c r="J7" s="892" t="s">
        <v>51</v>
      </c>
      <c r="K7" s="891"/>
      <c r="L7" s="1154"/>
    </row>
    <row r="9" spans="2:13">
      <c r="B9" s="882" t="s">
        <v>212</v>
      </c>
      <c r="C9" s="1155" t="s">
        <v>1110</v>
      </c>
      <c r="D9" s="1156"/>
      <c r="J9" s="887" t="s">
        <v>227</v>
      </c>
      <c r="K9" s="1155" t="s">
        <v>1110</v>
      </c>
      <c r="L9" s="1157"/>
    </row>
    <row r="10" spans="2:13">
      <c r="B10" s="1158" t="s">
        <v>213</v>
      </c>
      <c r="C10" s="886">
        <f>'Berekening rekenvolumes'!G15</f>
        <v>0</v>
      </c>
      <c r="D10" s="1159"/>
      <c r="J10" s="1158" t="s">
        <v>213</v>
      </c>
      <c r="K10" s="886">
        <f>'Berekening rekenvolumes'!G77</f>
        <v>309</v>
      </c>
      <c r="L10" s="1159"/>
    </row>
    <row r="11" spans="2:13">
      <c r="B11" s="1160" t="s">
        <v>214</v>
      </c>
      <c r="C11" s="885">
        <f>'Berekening rekenvolumes'!G16</f>
        <v>0</v>
      </c>
      <c r="D11" s="1161"/>
      <c r="J11" s="1160" t="s">
        <v>223</v>
      </c>
      <c r="K11" s="885">
        <f>'Berekening rekenvolumes'!G78</f>
        <v>24223.388888888887</v>
      </c>
      <c r="L11" s="1161"/>
    </row>
    <row r="12" spans="2:13">
      <c r="B12" s="1162" t="s">
        <v>215</v>
      </c>
      <c r="C12" s="884">
        <f>'Berekening rekenvolumes'!G17</f>
        <v>0</v>
      </c>
      <c r="D12" s="1163"/>
      <c r="J12" s="1160" t="s">
        <v>228</v>
      </c>
      <c r="K12" s="885">
        <f>'Berekening rekenvolumes'!G79</f>
        <v>14508512</v>
      </c>
      <c r="L12" s="1161"/>
    </row>
    <row r="13" spans="2:13">
      <c r="J13" s="1162" t="s">
        <v>224</v>
      </c>
      <c r="K13" s="884">
        <f>'Berekening rekenvolumes'!G80</f>
        <v>28424163</v>
      </c>
      <c r="L13" s="1163"/>
    </row>
    <row r="14" spans="2:13">
      <c r="B14" s="887" t="s">
        <v>932</v>
      </c>
      <c r="C14" s="1155" t="s">
        <v>1110</v>
      </c>
      <c r="D14" s="1157"/>
    </row>
    <row r="15" spans="2:13">
      <c r="B15" s="1158" t="s">
        <v>213</v>
      </c>
      <c r="C15" s="886">
        <f>'Berekening rekenvolumes'!G20</f>
        <v>0</v>
      </c>
      <c r="D15" s="1159"/>
      <c r="F15" s="887" t="s">
        <v>1108</v>
      </c>
      <c r="G15" s="1155" t="s">
        <v>1110</v>
      </c>
      <c r="H15" s="1157"/>
      <c r="J15" s="889" t="s">
        <v>229</v>
      </c>
      <c r="K15" s="1155" t="s">
        <v>1110</v>
      </c>
      <c r="L15" s="1156"/>
    </row>
    <row r="16" spans="2:13">
      <c r="B16" s="1160" t="s">
        <v>214</v>
      </c>
      <c r="C16" s="885">
        <f>'Berekening rekenvolumes'!G21</f>
        <v>0</v>
      </c>
      <c r="D16" s="1161"/>
      <c r="F16" s="1158" t="s">
        <v>213</v>
      </c>
      <c r="G16" s="886">
        <f>'Berekening rekenvolumes'!G58</f>
        <v>29.461538461538463</v>
      </c>
      <c r="H16" s="1159"/>
      <c r="J16" s="1158" t="s">
        <v>230</v>
      </c>
      <c r="K16" s="886">
        <f>'Berekening rekenvolumes'!G83</f>
        <v>23252.333333333332</v>
      </c>
      <c r="L16" s="1159"/>
    </row>
    <row r="17" spans="2:12">
      <c r="B17" s="1162" t="s">
        <v>217</v>
      </c>
      <c r="C17" s="884">
        <f>'Berekening rekenvolumes'!G22</f>
        <v>0</v>
      </c>
      <c r="D17" s="1163"/>
      <c r="F17" s="1160" t="s">
        <v>223</v>
      </c>
      <c r="G17" s="885">
        <f>'Berekening rekenvolumes'!G59</f>
        <v>34721.25</v>
      </c>
      <c r="H17" s="1161"/>
      <c r="J17" s="1162" t="s">
        <v>231</v>
      </c>
      <c r="K17" s="884">
        <f>'Berekening rekenvolumes'!G84</f>
        <v>52116.948717948719</v>
      </c>
      <c r="L17" s="1163"/>
    </row>
    <row r="18" spans="2:12">
      <c r="F18" s="1160" t="s">
        <v>215</v>
      </c>
      <c r="G18" s="885">
        <f>'Berekening rekenvolumes'!G60</f>
        <v>320935.33333333331</v>
      </c>
      <c r="H18" s="1161"/>
    </row>
    <row r="19" spans="2:12">
      <c r="B19" s="887" t="s">
        <v>218</v>
      </c>
      <c r="C19" s="1155" t="s">
        <v>1110</v>
      </c>
      <c r="D19" s="1157"/>
      <c r="F19" s="1162" t="s">
        <v>224</v>
      </c>
      <c r="G19" s="884">
        <f>'Berekening rekenvolumes'!G61</f>
        <v>110373377.66666667</v>
      </c>
      <c r="H19" s="1163"/>
      <c r="J19" s="887" t="s">
        <v>232</v>
      </c>
      <c r="K19" s="1155" t="s">
        <v>1110</v>
      </c>
      <c r="L19" s="1157"/>
    </row>
    <row r="20" spans="2:12">
      <c r="B20" s="1158" t="s">
        <v>213</v>
      </c>
      <c r="C20" s="886">
        <f>'Berekening rekenvolumes'!G25</f>
        <v>0</v>
      </c>
      <c r="D20" s="1159"/>
      <c r="J20" s="1158" t="s">
        <v>233</v>
      </c>
      <c r="K20" s="886">
        <f>'Berekening rekenvolumes'!G87</f>
        <v>260.35897435897436</v>
      </c>
      <c r="L20" s="1159"/>
    </row>
    <row r="21" spans="2:12">
      <c r="B21" s="1160" t="s">
        <v>214</v>
      </c>
      <c r="C21" s="885">
        <f>'Berekening rekenvolumes'!G26</f>
        <v>0</v>
      </c>
      <c r="D21" s="1161"/>
      <c r="F21" s="887" t="s">
        <v>226</v>
      </c>
      <c r="G21" s="1155" t="s">
        <v>1110</v>
      </c>
      <c r="H21" s="1157"/>
      <c r="J21" s="1160" t="s">
        <v>234</v>
      </c>
      <c r="K21" s="885">
        <f>'Berekening rekenvolumes'!G88</f>
        <v>265.58974358974359</v>
      </c>
      <c r="L21" s="1161"/>
    </row>
    <row r="22" spans="2:12">
      <c r="B22" s="1162" t="s">
        <v>215</v>
      </c>
      <c r="C22" s="884">
        <f>'Berekening rekenvolumes'!G27</f>
        <v>0</v>
      </c>
      <c r="D22" s="1163"/>
      <c r="F22" s="1158" t="s">
        <v>213</v>
      </c>
      <c r="G22" s="886">
        <f>'Berekening rekenvolumes'!G64</f>
        <v>217.69230769230771</v>
      </c>
      <c r="H22" s="1159"/>
      <c r="J22" s="1160" t="s">
        <v>235</v>
      </c>
      <c r="K22" s="885">
        <f>'Berekening rekenvolumes'!G89</f>
        <v>292.02564102564105</v>
      </c>
      <c r="L22" s="1161"/>
    </row>
    <row r="23" spans="2:12">
      <c r="F23" s="1160" t="s">
        <v>223</v>
      </c>
      <c r="G23" s="885">
        <f>'Berekening rekenvolumes'!G65</f>
        <v>42159.027777777781</v>
      </c>
      <c r="H23" s="1161"/>
      <c r="J23" s="1160" t="s">
        <v>236</v>
      </c>
      <c r="K23" s="885">
        <f>'Berekening rekenvolumes'!G90</f>
        <v>865.25641025641016</v>
      </c>
      <c r="L23" s="1161"/>
    </row>
    <row r="24" spans="2:12" ht="14.25">
      <c r="B24" s="887" t="s">
        <v>933</v>
      </c>
      <c r="C24" s="1155" t="s">
        <v>1110</v>
      </c>
      <c r="D24" s="1157"/>
      <c r="F24" s="1160" t="s">
        <v>215</v>
      </c>
      <c r="G24" s="885">
        <f>'Berekening rekenvolumes'!G66</f>
        <v>372992</v>
      </c>
      <c r="H24" s="1161"/>
      <c r="J24" s="1160" t="s">
        <v>934</v>
      </c>
      <c r="K24" s="885">
        <f>'Berekening rekenvolumes'!G91</f>
        <v>50433.717948717946</v>
      </c>
      <c r="L24" s="1161"/>
    </row>
    <row r="25" spans="2:12">
      <c r="B25" s="1158" t="s">
        <v>213</v>
      </c>
      <c r="C25" s="886">
        <f>'Berekening rekenvolumes'!G30</f>
        <v>0</v>
      </c>
      <c r="D25" s="1159"/>
      <c r="F25" s="1162" t="s">
        <v>224</v>
      </c>
      <c r="G25" s="884">
        <f>'Berekening rekenvolumes'!G67</f>
        <v>103948925</v>
      </c>
      <c r="H25" s="1163"/>
      <c r="J25" s="1162" t="s">
        <v>238</v>
      </c>
      <c r="K25" s="884">
        <f>'Berekening rekenvolumes'!G92</f>
        <v>23252.333333333332</v>
      </c>
      <c r="L25" s="1163"/>
    </row>
    <row r="26" spans="2:12" ht="14.25">
      <c r="B26" s="1160" t="s">
        <v>214</v>
      </c>
      <c r="C26" s="885">
        <f>'Berekening rekenvolumes'!G31</f>
        <v>0</v>
      </c>
      <c r="D26" s="1161"/>
      <c r="J26" s="1153" t="s">
        <v>1508</v>
      </c>
    </row>
    <row r="27" spans="2:12">
      <c r="B27" s="1162" t="s">
        <v>217</v>
      </c>
      <c r="C27" s="884">
        <f>'Berekening rekenvolumes'!G32</f>
        <v>0</v>
      </c>
      <c r="D27" s="1163"/>
      <c r="K27" s="893"/>
    </row>
    <row r="28" spans="2:12">
      <c r="J28" s="892" t="s">
        <v>53</v>
      </c>
      <c r="K28" s="891"/>
      <c r="L28" s="1154"/>
    </row>
    <row r="29" spans="2:12">
      <c r="B29" s="887" t="s">
        <v>220</v>
      </c>
      <c r="C29" s="1155" t="s">
        <v>1110</v>
      </c>
      <c r="D29" s="1157"/>
      <c r="J29" s="887"/>
      <c r="K29" s="1155" t="s">
        <v>1110</v>
      </c>
      <c r="L29" s="1157"/>
    </row>
    <row r="30" spans="2:12">
      <c r="B30" s="1158" t="s">
        <v>213</v>
      </c>
      <c r="C30" s="886">
        <f>'Berekening rekenvolumes'!G35</f>
        <v>0</v>
      </c>
      <c r="D30" s="1159"/>
      <c r="J30" s="1158" t="s">
        <v>239</v>
      </c>
      <c r="K30" s="886">
        <f>'Berekening rekenvolumes'!G103</f>
        <v>3789875</v>
      </c>
      <c r="L30" s="1159"/>
    </row>
    <row r="31" spans="2:12">
      <c r="B31" s="1160" t="s">
        <v>214</v>
      </c>
      <c r="C31" s="885">
        <f>'Berekening rekenvolumes'!G36</f>
        <v>0</v>
      </c>
      <c r="D31" s="1161"/>
      <c r="J31" s="1162" t="s">
        <v>240</v>
      </c>
      <c r="K31" s="884">
        <f>'Berekening rekenvolumes'!G104</f>
        <v>785853.66666666663</v>
      </c>
      <c r="L31" s="1163"/>
    </row>
    <row r="32" spans="2:12">
      <c r="B32" s="1162" t="s">
        <v>215</v>
      </c>
      <c r="C32" s="884">
        <f>'Berekening rekenvolumes'!G37</f>
        <v>0</v>
      </c>
      <c r="D32" s="1163"/>
    </row>
    <row r="34" spans="2:12">
      <c r="B34" s="887" t="s">
        <v>935</v>
      </c>
      <c r="C34" s="1155" t="s">
        <v>1110</v>
      </c>
      <c r="D34" s="1157"/>
    </row>
    <row r="35" spans="2:12">
      <c r="B35" s="1158" t="s">
        <v>213</v>
      </c>
      <c r="C35" s="886">
        <f>'Berekening rekenvolumes'!G40</f>
        <v>0</v>
      </c>
      <c r="D35" s="1159"/>
    </row>
    <row r="36" spans="2:12">
      <c r="B36" s="1160" t="s">
        <v>214</v>
      </c>
      <c r="C36" s="885">
        <f>'Berekening rekenvolumes'!G41</f>
        <v>0</v>
      </c>
      <c r="D36" s="1161"/>
    </row>
    <row r="37" spans="2:12">
      <c r="B37" s="1162" t="s">
        <v>217</v>
      </c>
      <c r="C37" s="884">
        <f>'Berekening rekenvolumes'!G42</f>
        <v>0</v>
      </c>
      <c r="D37" s="1163"/>
    </row>
    <row r="39" spans="2:12" ht="15.75">
      <c r="B39" s="1009" t="s">
        <v>936</v>
      </c>
      <c r="C39" s="879"/>
      <c r="D39" s="880"/>
      <c r="E39" s="880"/>
      <c r="F39" s="880"/>
      <c r="G39" s="880"/>
      <c r="H39" s="880"/>
      <c r="I39" s="880"/>
      <c r="J39" s="880"/>
      <c r="K39" s="880"/>
      <c r="L39" s="881"/>
    </row>
    <row r="41" spans="2:12">
      <c r="B41" s="889" t="s">
        <v>658</v>
      </c>
      <c r="C41" s="1155" t="s">
        <v>1110</v>
      </c>
      <c r="D41" s="1156"/>
      <c r="F41" s="887" t="s">
        <v>942</v>
      </c>
      <c r="G41" s="1155" t="s">
        <v>1110</v>
      </c>
      <c r="H41" s="1157"/>
      <c r="J41" s="887" t="s">
        <v>943</v>
      </c>
      <c r="K41" s="1155" t="s">
        <v>1110</v>
      </c>
      <c r="L41" s="1157"/>
    </row>
    <row r="42" spans="2:12">
      <c r="B42" s="1158" t="str">
        <f>Cogas!V16</f>
        <v>Afnemers EHS/HS (&gt;=110 kV)</v>
      </c>
      <c r="C42" s="886">
        <f>Cogas!X16</f>
        <v>0</v>
      </c>
      <c r="D42" s="1159"/>
      <c r="F42" s="1158" t="str">
        <f>Cogas!V67</f>
        <v>0 t/m 1*6A  (OV)</v>
      </c>
      <c r="G42" s="886">
        <f>Cogas!X67</f>
        <v>239.33333333333334</v>
      </c>
      <c r="H42" s="1159"/>
      <c r="J42" s="1158" t="str">
        <f>Cogas!V96</f>
        <v>0 t/m 1*6A  (OV)</v>
      </c>
      <c r="K42" s="886">
        <f>Cogas!X96</f>
        <v>364.66666666666669</v>
      </c>
      <c r="L42" s="1159"/>
    </row>
    <row r="43" spans="2:12">
      <c r="B43" s="1164" t="str">
        <f>Cogas!V17</f>
        <v>Afnemers TS (25-50 kV)</v>
      </c>
      <c r="C43" s="894">
        <f>Cogas!X17</f>
        <v>0</v>
      </c>
      <c r="D43" s="1165"/>
      <c r="F43" s="1164" t="str">
        <f>Cogas!V68</f>
        <v>&gt; 1*6A  en t/m 3*25A</v>
      </c>
      <c r="G43" s="894">
        <f>Cogas!X68</f>
        <v>222.66666666666666</v>
      </c>
      <c r="H43" s="1165"/>
      <c r="J43" s="1164" t="str">
        <f>Cogas!V97</f>
        <v>&gt; 1*6A  en t/m 3*25A</v>
      </c>
      <c r="K43" s="894">
        <f>Cogas!X97</f>
        <v>250</v>
      </c>
      <c r="L43" s="1165"/>
    </row>
    <row r="44" spans="2:12">
      <c r="B44" s="1164" t="str">
        <f>Cogas!V18</f>
        <v>Afnemers Trafo HS + TS/MS</v>
      </c>
      <c r="C44" s="894">
        <f>Cogas!X18</f>
        <v>0</v>
      </c>
      <c r="D44" s="1165"/>
      <c r="F44" s="1164" t="str">
        <f>Cogas!V69</f>
        <v>&gt;3*25A en t/m 3*35A</v>
      </c>
      <c r="G44" s="894">
        <f>Cogas!X69</f>
        <v>12</v>
      </c>
      <c r="H44" s="1165"/>
      <c r="J44" s="1164" t="str">
        <f>Cogas!V98</f>
        <v>&gt;3*25A en t/m 3*35A</v>
      </c>
      <c r="K44" s="894">
        <f>Cogas!X98</f>
        <v>174.66666666666666</v>
      </c>
      <c r="L44" s="1165"/>
    </row>
    <row r="45" spans="2:12">
      <c r="B45" s="1164" t="str">
        <f>Cogas!V19</f>
        <v>Afnemers MS (1-20 kV) - Transport</v>
      </c>
      <c r="C45" s="894">
        <f>Cogas!X19</f>
        <v>0</v>
      </c>
      <c r="D45" s="1165"/>
      <c r="F45" s="1164" t="str">
        <f>Cogas!V70</f>
        <v>&gt;3*35A en t/m 3*50A</v>
      </c>
      <c r="G45" s="894">
        <f>Cogas!X70</f>
        <v>1.6666666666666667</v>
      </c>
      <c r="H45" s="1165"/>
      <c r="J45" s="1164" t="str">
        <f>Cogas!V99</f>
        <v>&gt;3*35A en t/m 3*50A</v>
      </c>
      <c r="K45" s="894">
        <f>Cogas!X99</f>
        <v>19.333333333333332</v>
      </c>
      <c r="L45" s="1165"/>
    </row>
    <row r="46" spans="2:12">
      <c r="B46" s="1164" t="str">
        <f>Cogas!V20</f>
        <v>Afnemers MS (1-20 kV) - Distributie (&gt; 3,0 MVA t/m 6,0  MVA)</v>
      </c>
      <c r="C46" s="894">
        <f>Cogas!X20</f>
        <v>0</v>
      </c>
      <c r="D46" s="1165"/>
      <c r="F46" s="1164" t="str">
        <f>Cogas!V71</f>
        <v>&gt;3*50A en t/m 3*63A</v>
      </c>
      <c r="G46" s="894">
        <f>Cogas!X71</f>
        <v>4</v>
      </c>
      <c r="H46" s="1165"/>
      <c r="J46" s="1164" t="str">
        <f>Cogas!V100</f>
        <v>&gt;3*50A en t/m 3*63A</v>
      </c>
      <c r="K46" s="894">
        <f>Cogas!X100</f>
        <v>12.333333333333334</v>
      </c>
      <c r="L46" s="1165"/>
    </row>
    <row r="47" spans="2:12">
      <c r="B47" s="1164" t="str">
        <f>Cogas!V21</f>
        <v>Afnemers MS (1-20 kV) - Distributie (&gt; 1,2 MVA t/m 3,0  MVA)</v>
      </c>
      <c r="C47" s="894">
        <f>Cogas!X21</f>
        <v>29.461538461538463</v>
      </c>
      <c r="D47" s="1165"/>
      <c r="F47" s="1164" t="str">
        <f>Cogas!V72</f>
        <v>&gt;3*63A en t/m 3*80A</v>
      </c>
      <c r="G47" s="894">
        <f>Cogas!X72</f>
        <v>6</v>
      </c>
      <c r="H47" s="1165"/>
      <c r="J47" s="1164" t="str">
        <f>Cogas!V101</f>
        <v>&gt;3*63A en t/m 3*80A</v>
      </c>
      <c r="K47" s="894">
        <f>Cogas!X101</f>
        <v>49.666666666666664</v>
      </c>
      <c r="L47" s="1165"/>
    </row>
    <row r="48" spans="2:12">
      <c r="B48" s="1164" t="str">
        <f>Cogas!V22</f>
        <v>Afnemers Trafo MS/LS (&gt;0,15 MVA t/m 1,2 MVA)</v>
      </c>
      <c r="C48" s="894">
        <f>Cogas!X22</f>
        <v>217.69230769230771</v>
      </c>
      <c r="D48" s="1165"/>
      <c r="F48" s="1164" t="str">
        <f>Cogas!V73</f>
        <v>&gt;3*80A en t/m 3*100A af sec. zijde LS-transformator</v>
      </c>
      <c r="G48" s="894">
        <f>Cogas!X73</f>
        <v>0</v>
      </c>
      <c r="H48" s="1165"/>
      <c r="J48" s="1164" t="str">
        <f>Cogas!V102</f>
        <v>&gt;3*80A en t/m 3*100A af sec. zijde LS-transformator</v>
      </c>
      <c r="K48" s="894">
        <f>Cogas!X102</f>
        <v>93</v>
      </c>
      <c r="L48" s="1165"/>
    </row>
    <row r="49" spans="2:12">
      <c r="B49" s="1164" t="str">
        <f>Cogas!V23</f>
        <v>Afnemers LS (&gt;3*80A  t/m  3*225A)</v>
      </c>
      <c r="C49" s="894">
        <f>Cogas!X23</f>
        <v>309</v>
      </c>
      <c r="D49" s="1165"/>
      <c r="F49" s="1164" t="str">
        <f>Cogas!V74</f>
        <v>&gt;3*100A en t/m 3*125A af sec.zijde LS-transformator</v>
      </c>
      <c r="G49" s="894">
        <f>Cogas!X74</f>
        <v>2.3333333333333335</v>
      </c>
      <c r="H49" s="1165"/>
      <c r="J49" s="1164" t="str">
        <f>Cogas!V103</f>
        <v>&gt;3*100A en t/m 3*125A af sec.zijde LS-transformator</v>
      </c>
      <c r="K49" s="894">
        <f>Cogas!X103</f>
        <v>208</v>
      </c>
      <c r="L49" s="1165"/>
    </row>
    <row r="50" spans="2:12">
      <c r="B50" s="1164" t="str">
        <f>Cogas!V24</f>
        <v>Afnemers &gt; 3*25A  t/m  3*80A</v>
      </c>
      <c r="C50" s="894">
        <f>Cogas!X24</f>
        <v>1683.2564102564102</v>
      </c>
      <c r="D50" s="1165"/>
      <c r="F50" s="1164" t="str">
        <f>Cogas!V75</f>
        <v>&gt;3*125A en t/m 3*160A af sec.zijde LS-transformator</v>
      </c>
      <c r="G50" s="894">
        <f>Cogas!X75</f>
        <v>1.6666666666666667</v>
      </c>
      <c r="H50" s="1165"/>
      <c r="J50" s="1164" t="str">
        <f>Cogas!V104</f>
        <v>&gt;3*125A en t/m 3*160A af sec.zijde LS-transformator</v>
      </c>
      <c r="K50" s="894">
        <f>Cogas!X104</f>
        <v>186.66666666666666</v>
      </c>
      <c r="L50" s="1165"/>
    </row>
    <row r="51" spans="2:12">
      <c r="B51" s="1164" t="str">
        <f>Cogas!V25</f>
        <v>Afnemers &gt;  1* 6A  t/m 3* 25A</v>
      </c>
      <c r="C51" s="894">
        <f>Cogas!X25</f>
        <v>50433.743589743586</v>
      </c>
      <c r="D51" s="1165"/>
      <c r="F51" s="1164" t="str">
        <f>Cogas!V76</f>
        <v>&gt;3*160A en t/m 3*200A af sec.zijde LS-transformator</v>
      </c>
      <c r="G51" s="894">
        <f>Cogas!X76</f>
        <v>0</v>
      </c>
      <c r="H51" s="1165"/>
      <c r="J51" s="1164" t="str">
        <f>Cogas!V105</f>
        <v>&gt;3*160A en t/m 3*200A af sec.zijde LS-transformator</v>
      </c>
      <c r="K51" s="894">
        <f>Cogas!X105</f>
        <v>58.333333333333336</v>
      </c>
      <c r="L51" s="1165"/>
    </row>
    <row r="52" spans="2:12">
      <c r="B52" s="1164" t="str">
        <f>Cogas!V26</f>
        <v>Afnemers 0 t/m 1* 6A  (OV)</v>
      </c>
      <c r="C52" s="894">
        <f>Cogas!X26</f>
        <v>23252.333333333332</v>
      </c>
      <c r="D52" s="1165"/>
      <c r="F52" s="1164" t="str">
        <f>Cogas!V77</f>
        <v>&gt;3*200A en t/m 3*225A af sec.zijde LS-transformator</v>
      </c>
      <c r="G52" s="894">
        <f>Cogas!X77</f>
        <v>3.3333333333333335</v>
      </c>
      <c r="H52" s="1165"/>
      <c r="J52" s="1164" t="str">
        <f>Cogas!V106</f>
        <v>&gt;3*200A en t/m 3*225A af sec.zijde LS-transformator</v>
      </c>
      <c r="K52" s="894">
        <f>Cogas!X106</f>
        <v>286.33333333333331</v>
      </c>
      <c r="L52" s="1165"/>
    </row>
    <row r="53" spans="2:12">
      <c r="B53" s="1164"/>
      <c r="C53" s="894"/>
      <c r="D53" s="1165"/>
      <c r="F53" s="1164" t="str">
        <f>Cogas!V78</f>
        <v>&gt;0,15 MVA en t/m 0,63 MVA MS met  LS meting</v>
      </c>
      <c r="G53" s="894">
        <f>Cogas!X78</f>
        <v>5</v>
      </c>
      <c r="H53" s="1165"/>
      <c r="J53" s="1164" t="str">
        <f>Cogas!V107</f>
        <v>&gt;0,15 MVA en t/m 0,63 MVA MS met  LS meting</v>
      </c>
      <c r="K53" s="894">
        <f>Cogas!X107</f>
        <v>135.66666666666666</v>
      </c>
      <c r="L53" s="1165"/>
    </row>
    <row r="54" spans="2:12">
      <c r="B54" s="1164"/>
      <c r="C54" s="894"/>
      <c r="D54" s="1165"/>
      <c r="F54" s="1164" t="str">
        <f>Cogas!V79</f>
        <v>&gt;0,63 MVA en t/m 1,2 MVA MS met LS meting</v>
      </c>
      <c r="G54" s="894">
        <f>Cogas!X79</f>
        <v>0</v>
      </c>
      <c r="H54" s="1165"/>
      <c r="J54" s="1164" t="str">
        <f>Cogas!V108</f>
        <v>&gt;0,63 MVA en t/m 1,2 MVA MS met LS meting</v>
      </c>
      <c r="K54" s="894">
        <f>Cogas!X108</f>
        <v>0</v>
      </c>
      <c r="L54" s="1165"/>
    </row>
    <row r="55" spans="2:12">
      <c r="B55" s="1164"/>
      <c r="C55" s="894"/>
      <c r="D55" s="1165"/>
      <c r="F55" s="1164" t="str">
        <f>Cogas!V80</f>
        <v>&gt;1,2 MVA en t/m 1,8 MVA MS met  MS meting</v>
      </c>
      <c r="G55" s="894">
        <f>Cogas!X80</f>
        <v>0</v>
      </c>
      <c r="H55" s="1165"/>
      <c r="J55" s="1164" t="str">
        <f>Cogas!V109</f>
        <v>&gt;1,2 MVA en t/m 1,8 MVA MS met  MS meting</v>
      </c>
      <c r="K55" s="894">
        <f>Cogas!X109</f>
        <v>0</v>
      </c>
      <c r="L55" s="1165"/>
    </row>
    <row r="56" spans="2:12">
      <c r="B56" s="1164"/>
      <c r="C56" s="894"/>
      <c r="D56" s="1165"/>
      <c r="F56" s="1164" t="str">
        <f>Cogas!V81</f>
        <v>&gt;1,8 MVA en t/m 2,4 MVA MS met  MS meting</v>
      </c>
      <c r="G56" s="894">
        <f>Cogas!X81</f>
        <v>0</v>
      </c>
      <c r="H56" s="1165"/>
      <c r="J56" s="1164" t="str">
        <f>Cogas!V110</f>
        <v>&gt;1,8 MVA en t/m 2,4 MVA MS met  MS meting</v>
      </c>
      <c r="K56" s="894">
        <f>Cogas!X110</f>
        <v>0</v>
      </c>
      <c r="L56" s="1165"/>
    </row>
    <row r="57" spans="2:12">
      <c r="B57" s="1164"/>
      <c r="C57" s="894"/>
      <c r="D57" s="1165"/>
      <c r="F57" s="1164" t="str">
        <f>Cogas!V82</f>
        <v>&gt;2,4 MVA en t/m 3,0 MVA MS met  MS meting</v>
      </c>
      <c r="G57" s="894">
        <f>Cogas!X82</f>
        <v>0</v>
      </c>
      <c r="H57" s="1165"/>
      <c r="J57" s="1164" t="str">
        <f>Cogas!V111</f>
        <v>&gt;2,4 MVA en t/m 3,0 MVA MS met  MS meting</v>
      </c>
      <c r="K57" s="894">
        <f>Cogas!X111</f>
        <v>0</v>
      </c>
      <c r="L57" s="1165"/>
    </row>
    <row r="58" spans="2:12">
      <c r="B58" s="1162"/>
      <c r="C58" s="884"/>
      <c r="D58" s="1163"/>
      <c r="F58" s="1162" t="str">
        <f>Cogas!V83</f>
        <v>&gt;3,0 MVA en t/m 6,0 MVA MS met  MS meting</v>
      </c>
      <c r="G58" s="884">
        <f>Cogas!X83</f>
        <v>0.33333333333333331</v>
      </c>
      <c r="H58" s="1163"/>
      <c r="J58" s="1162" t="str">
        <f>Cogas!V112</f>
        <v>&gt;3,0 MVA en t/m 6,0 MVA MS met  MS meting</v>
      </c>
      <c r="K58" s="884">
        <f>Cogas!X112</f>
        <v>50</v>
      </c>
      <c r="L58" s="1163"/>
    </row>
    <row r="59" spans="2:12">
      <c r="B59" s="1166" t="s">
        <v>260</v>
      </c>
      <c r="C59" s="1166"/>
      <c r="F59" s="1167"/>
      <c r="G59" s="1167"/>
      <c r="H59" s="1167"/>
    </row>
    <row r="60" spans="2:12">
      <c r="B60" s="889" t="s">
        <v>944</v>
      </c>
      <c r="C60" s="1155" t="s">
        <v>1110</v>
      </c>
      <c r="D60" s="1156"/>
      <c r="F60" s="1167"/>
      <c r="G60" s="1167"/>
      <c r="H60" s="1167"/>
    </row>
    <row r="61" spans="2:12">
      <c r="B61" s="1158"/>
      <c r="C61" s="886">
        <f>Cogas!X31</f>
        <v>0</v>
      </c>
      <c r="D61" s="1159"/>
    </row>
    <row r="62" spans="2:12">
      <c r="B62" s="1162"/>
      <c r="C62" s="884"/>
      <c r="D62" s="1163"/>
      <c r="F62" s="1153" t="s">
        <v>1516</v>
      </c>
    </row>
    <row r="63" spans="2:12">
      <c r="C63" s="1167"/>
    </row>
    <row r="64" spans="2:12">
      <c r="B64" s="1167"/>
      <c r="C64" s="1167"/>
    </row>
    <row r="65" spans="3:3">
      <c r="C65" s="896"/>
    </row>
    <row r="66" spans="3:3">
      <c r="C66" s="1167"/>
    </row>
    <row r="67" spans="3:3">
      <c r="C67" s="1167"/>
    </row>
    <row r="68" spans="3:3">
      <c r="C68" s="1167"/>
    </row>
    <row r="70" spans="3:3">
      <c r="C70" s="890"/>
    </row>
    <row r="71" spans="3:3">
      <c r="C71" s="897"/>
    </row>
    <row r="72" spans="3:3">
      <c r="C72" s="897"/>
    </row>
    <row r="73" spans="3:3">
      <c r="C73" s="897"/>
    </row>
    <row r="74" spans="3:3">
      <c r="C74" s="897"/>
    </row>
    <row r="75" spans="3:3">
      <c r="C75" s="897"/>
    </row>
  </sheetData>
  <pageMargins left="0.7" right="0.7" top="0.75" bottom="0.75" header="0.3" footer="0.3"/>
  <pageSetup paperSize="9" scale="51"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tabColor rgb="FFCCFFFF"/>
    <pageSetUpPr fitToPage="1"/>
  </sheetPr>
  <dimension ref="B2:M75"/>
  <sheetViews>
    <sheetView showGridLines="0" zoomScale="85" zoomScaleNormal="85" workbookViewId="0"/>
  </sheetViews>
  <sheetFormatPr defaultRowHeight="12.75"/>
  <cols>
    <col min="1" max="1" width="9.140625" style="1153"/>
    <col min="2" max="2" width="55.28515625" style="1153" customWidth="1"/>
    <col min="3" max="3" width="15.85546875" style="1153" customWidth="1"/>
    <col min="4" max="4" width="3" style="1153" customWidth="1"/>
    <col min="5" max="5" width="2.85546875" style="1153" customWidth="1"/>
    <col min="6" max="6" width="55.28515625" style="1153" customWidth="1"/>
    <col min="7" max="7" width="15.85546875" style="1153" customWidth="1"/>
    <col min="8" max="8" width="3.140625" style="1153" customWidth="1"/>
    <col min="9" max="9" width="2.85546875" style="1153" customWidth="1"/>
    <col min="10" max="10" width="55.28515625" style="1153" customWidth="1"/>
    <col min="11" max="11" width="15.85546875" style="1153" customWidth="1"/>
    <col min="12" max="12" width="3.28515625" style="1153" customWidth="1"/>
    <col min="13" max="16384" width="9.140625" style="1153"/>
  </cols>
  <sheetData>
    <row r="2" spans="2:13" s="1168" customFormat="1" ht="19.5" customHeight="1">
      <c r="B2" s="1144" t="s">
        <v>1509</v>
      </c>
      <c r="C2" s="1169"/>
      <c r="D2" s="1170"/>
      <c r="E2" s="1170"/>
      <c r="F2" s="1170"/>
      <c r="G2" s="1170"/>
      <c r="H2" s="1170"/>
      <c r="I2" s="1170"/>
      <c r="J2" s="1170"/>
      <c r="K2" s="1170"/>
      <c r="L2" s="1171"/>
    </row>
    <row r="3" spans="2:13" s="1146" customFormat="1" ht="4.5" customHeight="1">
      <c r="B3" s="1147"/>
      <c r="D3" s="1145"/>
      <c r="E3" s="1145"/>
      <c r="F3" s="1145"/>
      <c r="G3" s="1145"/>
      <c r="H3" s="1145"/>
      <c r="I3" s="1145"/>
      <c r="J3" s="1145"/>
      <c r="K3" s="1145"/>
      <c r="L3" s="1148"/>
      <c r="M3" s="1145"/>
    </row>
    <row r="4" spans="2:13" s="1145" customFormat="1">
      <c r="B4" s="1149" t="s">
        <v>1135</v>
      </c>
      <c r="C4" s="1150"/>
      <c r="D4" s="1150"/>
      <c r="E4" s="1150"/>
      <c r="F4" s="1151"/>
      <c r="G4" s="1150"/>
      <c r="H4" s="1150"/>
      <c r="I4" s="1150"/>
      <c r="J4" s="1150"/>
      <c r="K4" s="1150"/>
      <c r="L4" s="1152"/>
    </row>
    <row r="5" spans="2:13" ht="15.75">
      <c r="B5" s="1009" t="s">
        <v>70</v>
      </c>
      <c r="C5" s="879"/>
      <c r="D5" s="880"/>
      <c r="E5" s="880"/>
      <c r="F5" s="880"/>
      <c r="G5" s="880"/>
      <c r="H5" s="880"/>
      <c r="I5" s="880"/>
      <c r="J5" s="880"/>
      <c r="K5" s="880"/>
      <c r="L5" s="881"/>
    </row>
    <row r="7" spans="2:13">
      <c r="B7" s="892" t="s">
        <v>49</v>
      </c>
      <c r="C7" s="891"/>
      <c r="D7" s="1154"/>
      <c r="F7" s="892" t="s">
        <v>50</v>
      </c>
      <c r="G7" s="891"/>
      <c r="H7" s="1154"/>
      <c r="J7" s="892" t="s">
        <v>51</v>
      </c>
      <c r="K7" s="891"/>
      <c r="L7" s="1154"/>
    </row>
    <row r="9" spans="2:13">
      <c r="B9" s="882" t="s">
        <v>212</v>
      </c>
      <c r="C9" s="1155" t="s">
        <v>1110</v>
      </c>
      <c r="D9" s="1156"/>
      <c r="J9" s="887" t="s">
        <v>227</v>
      </c>
      <c r="K9" s="1155" t="s">
        <v>1110</v>
      </c>
      <c r="L9" s="1157"/>
    </row>
    <row r="10" spans="2:13">
      <c r="B10" s="1158" t="s">
        <v>213</v>
      </c>
      <c r="C10" s="886">
        <f>'Berekening rekenvolumes'!H15</f>
        <v>0</v>
      </c>
      <c r="D10" s="1159"/>
      <c r="J10" s="1158" t="s">
        <v>213</v>
      </c>
      <c r="K10" s="886">
        <f>'Berekening rekenvolumes'!H77</f>
        <v>358.0555555555556</v>
      </c>
      <c r="L10" s="1159"/>
    </row>
    <row r="11" spans="2:13">
      <c r="B11" s="1160" t="s">
        <v>214</v>
      </c>
      <c r="C11" s="885">
        <f>'Berekening rekenvolumes'!H16</f>
        <v>0</v>
      </c>
      <c r="D11" s="1161"/>
      <c r="J11" s="1160" t="s">
        <v>223</v>
      </c>
      <c r="K11" s="885">
        <f>'Berekening rekenvolumes'!H78</f>
        <v>17651.444444444445</v>
      </c>
      <c r="L11" s="1161"/>
    </row>
    <row r="12" spans="2:13">
      <c r="B12" s="1162" t="s">
        <v>215</v>
      </c>
      <c r="C12" s="884">
        <f>'Berekening rekenvolumes'!H17</f>
        <v>0</v>
      </c>
      <c r="D12" s="1163"/>
      <c r="J12" s="1160" t="s">
        <v>228</v>
      </c>
      <c r="K12" s="885">
        <f>'Berekening rekenvolumes'!H79</f>
        <v>7717334.4515989637</v>
      </c>
      <c r="L12" s="1161"/>
    </row>
    <row r="13" spans="2:13">
      <c r="J13" s="1162" t="s">
        <v>224</v>
      </c>
      <c r="K13" s="884">
        <f>'Berekening rekenvolumes'!H80</f>
        <v>10105588.11879169</v>
      </c>
      <c r="L13" s="1163"/>
    </row>
    <row r="14" spans="2:13">
      <c r="B14" s="887" t="s">
        <v>932</v>
      </c>
      <c r="C14" s="1155" t="s">
        <v>1110</v>
      </c>
      <c r="D14" s="1157"/>
    </row>
    <row r="15" spans="2:13">
      <c r="B15" s="1158" t="s">
        <v>213</v>
      </c>
      <c r="C15" s="886">
        <f>'Berekening rekenvolumes'!H20</f>
        <v>0</v>
      </c>
      <c r="D15" s="1159"/>
      <c r="F15" s="887" t="s">
        <v>1109</v>
      </c>
      <c r="G15" s="1155" t="s">
        <v>1110</v>
      </c>
      <c r="H15" s="1157"/>
      <c r="J15" s="889" t="s">
        <v>229</v>
      </c>
      <c r="K15" s="1155" t="s">
        <v>1110</v>
      </c>
      <c r="L15" s="1156"/>
    </row>
    <row r="16" spans="2:13">
      <c r="B16" s="1160" t="s">
        <v>214</v>
      </c>
      <c r="C16" s="885">
        <f>'Berekening rekenvolumes'!H21</f>
        <v>0</v>
      </c>
      <c r="D16" s="1161"/>
      <c r="F16" s="1158" t="s">
        <v>213</v>
      </c>
      <c r="G16" s="886">
        <f>'Berekening rekenvolumes'!H58</f>
        <v>428.61111111111109</v>
      </c>
      <c r="H16" s="1159"/>
      <c r="J16" s="1158" t="s">
        <v>230</v>
      </c>
      <c r="K16" s="886">
        <f>'Berekening rekenvolumes'!H83</f>
        <v>86556.777777777796</v>
      </c>
      <c r="L16" s="1159"/>
    </row>
    <row r="17" spans="2:12">
      <c r="B17" s="1162" t="s">
        <v>217</v>
      </c>
      <c r="C17" s="884">
        <f>'Berekening rekenvolumes'!H22</f>
        <v>0</v>
      </c>
      <c r="D17" s="1163"/>
      <c r="F17" s="1160" t="s">
        <v>223</v>
      </c>
      <c r="G17" s="885">
        <f>'Berekening rekenvolumes'!H59</f>
        <v>189767.63888888891</v>
      </c>
      <c r="H17" s="1161"/>
      <c r="J17" s="1162" t="s">
        <v>231</v>
      </c>
      <c r="K17" s="884">
        <f>'Berekening rekenvolumes'!H84</f>
        <v>204916.55555555559</v>
      </c>
      <c r="L17" s="1163"/>
    </row>
    <row r="18" spans="2:12">
      <c r="F18" s="1160" t="s">
        <v>215</v>
      </c>
      <c r="G18" s="885">
        <f>'Berekening rekenvolumes'!H60</f>
        <v>1567660.111111111</v>
      </c>
      <c r="H18" s="1161"/>
    </row>
    <row r="19" spans="2:12">
      <c r="B19" s="887" t="s">
        <v>218</v>
      </c>
      <c r="C19" s="1155" t="s">
        <v>1110</v>
      </c>
      <c r="D19" s="1157"/>
      <c r="F19" s="1162" t="s">
        <v>224</v>
      </c>
      <c r="G19" s="884">
        <f>'Berekening rekenvolumes'!H61</f>
        <v>478601104.70968658</v>
      </c>
      <c r="H19" s="1163"/>
      <c r="J19" s="887" t="s">
        <v>232</v>
      </c>
      <c r="K19" s="1155" t="s">
        <v>1110</v>
      </c>
      <c r="L19" s="1157"/>
    </row>
    <row r="20" spans="2:12">
      <c r="B20" s="1158" t="s">
        <v>213</v>
      </c>
      <c r="C20" s="886">
        <f>'Berekening rekenvolumes'!H25</f>
        <v>1.9074070048309177</v>
      </c>
      <c r="D20" s="1159"/>
      <c r="J20" s="1158" t="s">
        <v>233</v>
      </c>
      <c r="K20" s="886">
        <f>'Berekening rekenvolumes'!H87</f>
        <v>1151.1944444444443</v>
      </c>
      <c r="L20" s="1159"/>
    </row>
    <row r="21" spans="2:12">
      <c r="B21" s="1160" t="s">
        <v>214</v>
      </c>
      <c r="C21" s="885">
        <f>'Berekening rekenvolumes'!H26</f>
        <v>25570.620370370369</v>
      </c>
      <c r="D21" s="1161"/>
      <c r="F21" s="887" t="s">
        <v>226</v>
      </c>
      <c r="G21" s="1155" t="s">
        <v>1110</v>
      </c>
      <c r="H21" s="1157"/>
      <c r="J21" s="1160" t="s">
        <v>234</v>
      </c>
      <c r="K21" s="885">
        <f>'Berekening rekenvolumes'!H88</f>
        <v>1242.0277777777781</v>
      </c>
      <c r="L21" s="1161"/>
    </row>
    <row r="22" spans="2:12">
      <c r="B22" s="1162" t="s">
        <v>215</v>
      </c>
      <c r="C22" s="884">
        <f>'Berekening rekenvolumes'!H27</f>
        <v>273820.66503267974</v>
      </c>
      <c r="D22" s="1163"/>
      <c r="F22" s="1158" t="s">
        <v>213</v>
      </c>
      <c r="G22" s="886">
        <f>'Berekening rekenvolumes'!H64</f>
        <v>1532.75</v>
      </c>
      <c r="H22" s="1159"/>
      <c r="J22" s="1160" t="s">
        <v>235</v>
      </c>
      <c r="K22" s="885">
        <f>'Berekening rekenvolumes'!H89</f>
        <v>1803.3055555555557</v>
      </c>
      <c r="L22" s="1161"/>
    </row>
    <row r="23" spans="2:12">
      <c r="F23" s="1160" t="s">
        <v>223</v>
      </c>
      <c r="G23" s="885">
        <f>'Berekening rekenvolumes'!H65</f>
        <v>145507</v>
      </c>
      <c r="H23" s="1161"/>
      <c r="J23" s="1160" t="s">
        <v>236</v>
      </c>
      <c r="K23" s="885">
        <f>'Berekening rekenvolumes'!H90</f>
        <v>3667.6388888888891</v>
      </c>
      <c r="L23" s="1161"/>
    </row>
    <row r="24" spans="2:12" ht="14.25">
      <c r="B24" s="887" t="s">
        <v>933</v>
      </c>
      <c r="C24" s="1155" t="s">
        <v>1110</v>
      </c>
      <c r="D24" s="1157"/>
      <c r="F24" s="1160" t="s">
        <v>215</v>
      </c>
      <c r="G24" s="885">
        <f>'Berekening rekenvolumes'!H66</f>
        <v>1113537.42</v>
      </c>
      <c r="H24" s="1161"/>
      <c r="J24" s="1160" t="s">
        <v>934</v>
      </c>
      <c r="K24" s="885">
        <f>'Berekening rekenvolumes'!H91</f>
        <v>197052.38888888891</v>
      </c>
      <c r="L24" s="1161"/>
    </row>
    <row r="25" spans="2:12">
      <c r="B25" s="1158" t="s">
        <v>213</v>
      </c>
      <c r="C25" s="886">
        <f>'Berekening rekenvolumes'!H30</f>
        <v>0</v>
      </c>
      <c r="D25" s="1159"/>
      <c r="F25" s="1162" t="s">
        <v>224</v>
      </c>
      <c r="G25" s="884">
        <f>'Berekening rekenvolumes'!H67</f>
        <v>285067629.17407411</v>
      </c>
      <c r="H25" s="1163"/>
      <c r="J25" s="1162" t="s">
        <v>238</v>
      </c>
      <c r="K25" s="884">
        <f>'Berekening rekenvolumes'!H92</f>
        <v>86556.777777777796</v>
      </c>
      <c r="L25" s="1163"/>
    </row>
    <row r="26" spans="2:12" ht="14.25">
      <c r="B26" s="1160" t="s">
        <v>214</v>
      </c>
      <c r="C26" s="885">
        <f>'Berekening rekenvolumes'!H31</f>
        <v>0</v>
      </c>
      <c r="D26" s="1161"/>
      <c r="J26" s="1153" t="s">
        <v>1508</v>
      </c>
    </row>
    <row r="27" spans="2:12">
      <c r="B27" s="1162" t="s">
        <v>217</v>
      </c>
      <c r="C27" s="884">
        <f>'Berekening rekenvolumes'!H32</f>
        <v>0</v>
      </c>
      <c r="D27" s="1163"/>
      <c r="K27" s="893"/>
    </row>
    <row r="28" spans="2:12">
      <c r="J28" s="892" t="s">
        <v>53</v>
      </c>
      <c r="K28" s="891"/>
      <c r="L28" s="1154"/>
    </row>
    <row r="29" spans="2:12">
      <c r="B29" s="887" t="s">
        <v>220</v>
      </c>
      <c r="C29" s="1155" t="s">
        <v>1110</v>
      </c>
      <c r="D29" s="1157"/>
      <c r="J29" s="887"/>
      <c r="K29" s="1155" t="s">
        <v>1110</v>
      </c>
      <c r="L29" s="1157"/>
    </row>
    <row r="30" spans="2:12">
      <c r="B30" s="1158" t="s">
        <v>213</v>
      </c>
      <c r="C30" s="886">
        <f>'Berekening rekenvolumes'!H35</f>
        <v>44.25</v>
      </c>
      <c r="D30" s="1159"/>
      <c r="J30" s="1158" t="s">
        <v>239</v>
      </c>
      <c r="K30" s="886">
        <f>'Berekening rekenvolumes'!H103</f>
        <v>0</v>
      </c>
      <c r="L30" s="1159"/>
    </row>
    <row r="31" spans="2:12">
      <c r="B31" s="1160" t="s">
        <v>214</v>
      </c>
      <c r="C31" s="885">
        <f>'Berekening rekenvolumes'!H36</f>
        <v>87302.888888888891</v>
      </c>
      <c r="D31" s="1161"/>
      <c r="J31" s="1162" t="s">
        <v>240</v>
      </c>
      <c r="K31" s="884">
        <f>'Berekening rekenvolumes'!H104</f>
        <v>0</v>
      </c>
      <c r="L31" s="1163"/>
    </row>
    <row r="32" spans="2:12">
      <c r="B32" s="1162" t="s">
        <v>215</v>
      </c>
      <c r="C32" s="884">
        <f>'Berekening rekenvolumes'!H37</f>
        <v>690124.52380952379</v>
      </c>
      <c r="D32" s="1163"/>
    </row>
    <row r="34" spans="2:12">
      <c r="B34" s="887" t="s">
        <v>935</v>
      </c>
      <c r="C34" s="1155" t="s">
        <v>1110</v>
      </c>
      <c r="D34" s="1157"/>
    </row>
    <row r="35" spans="2:12">
      <c r="B35" s="1158" t="s">
        <v>213</v>
      </c>
      <c r="C35" s="886">
        <f>'Berekening rekenvolumes'!H40</f>
        <v>1</v>
      </c>
      <c r="D35" s="1159"/>
    </row>
    <row r="36" spans="2:12">
      <c r="B36" s="1160" t="s">
        <v>214</v>
      </c>
      <c r="C36" s="885">
        <f>'Berekening rekenvolumes'!H41</f>
        <v>9116</v>
      </c>
      <c r="D36" s="1161"/>
    </row>
    <row r="37" spans="2:12">
      <c r="B37" s="1162" t="s">
        <v>217</v>
      </c>
      <c r="C37" s="884">
        <f>'Berekening rekenvolumes'!H42</f>
        <v>166372.38095238095</v>
      </c>
      <c r="D37" s="1163"/>
    </row>
    <row r="39" spans="2:12" ht="15.75">
      <c r="B39" s="1009" t="s">
        <v>936</v>
      </c>
      <c r="C39" s="879"/>
      <c r="D39" s="880"/>
      <c r="E39" s="880"/>
      <c r="F39" s="880"/>
      <c r="G39" s="880"/>
      <c r="H39" s="880"/>
      <c r="I39" s="880"/>
      <c r="J39" s="880"/>
      <c r="K39" s="880"/>
      <c r="L39" s="881"/>
    </row>
    <row r="41" spans="2:12">
      <c r="B41" s="889" t="s">
        <v>658</v>
      </c>
      <c r="C41" s="1155" t="s">
        <v>1110</v>
      </c>
      <c r="D41" s="1156"/>
      <c r="F41" s="887" t="s">
        <v>942</v>
      </c>
      <c r="G41" s="1155" t="s">
        <v>1110</v>
      </c>
      <c r="H41" s="1157"/>
      <c r="J41" s="887" t="s">
        <v>943</v>
      </c>
      <c r="K41" s="1155" t="s">
        <v>1110</v>
      </c>
      <c r="L41" s="1157"/>
    </row>
    <row r="42" spans="2:12">
      <c r="B42" s="1158" t="str">
        <f>DNWB!V15</f>
        <v>Afnemers TS (25-50 kV)</v>
      </c>
      <c r="C42" s="886">
        <f>DNWB!X15</f>
        <v>0</v>
      </c>
      <c r="D42" s="1159"/>
      <c r="F42" s="1158" t="str">
        <f>DNWB!V67</f>
        <v xml:space="preserve">t/m 1*6 A  geschakeld net </v>
      </c>
      <c r="G42" s="886">
        <f>DNWB!X67</f>
        <v>1290</v>
      </c>
      <c r="H42" s="1159"/>
      <c r="J42" s="1158" t="str">
        <f>DNWB!V96</f>
        <v xml:space="preserve">t/m 1*6 A  geschakeld net </v>
      </c>
      <c r="K42" s="886">
        <f>DNWB!X96</f>
        <v>1887.6666666666667</v>
      </c>
      <c r="L42" s="1159"/>
    </row>
    <row r="43" spans="2:12">
      <c r="B43" s="1164" t="str">
        <f>DNWB!V16</f>
        <v>Afnemers Trafo HS + TS/MS (&gt;2 MW t/m 10 MVA)</v>
      </c>
      <c r="C43" s="894">
        <f>DNWB!X16</f>
        <v>10</v>
      </c>
      <c r="D43" s="1165"/>
      <c r="F43" s="1164" t="str">
        <f>DNWB!V68</f>
        <v>&gt; 1*6A en t/m 3*25A</v>
      </c>
      <c r="G43" s="894">
        <f>DNWB!X68</f>
        <v>1750.6666666666667</v>
      </c>
      <c r="H43" s="1165"/>
      <c r="J43" s="1164" t="str">
        <f>DNWB!V97</f>
        <v>&gt; 1*6A en t/m 3*25A</v>
      </c>
      <c r="K43" s="894">
        <f>DNWB!X97</f>
        <v>4417.333333333333</v>
      </c>
      <c r="L43" s="1165"/>
    </row>
    <row r="44" spans="2:12">
      <c r="B44" s="1164" t="str">
        <f>DNWB!V17</f>
        <v>Afnemers MS (1-20 kV) - Transport</v>
      </c>
      <c r="C44" s="894">
        <f>DNWB!X17</f>
        <v>0</v>
      </c>
      <c r="D44" s="1165"/>
      <c r="F44" s="1164" t="str">
        <f>DNWB!V69</f>
        <v>&gt;3*25A en t/m 3*35A</v>
      </c>
      <c r="G44" s="894">
        <f>DNWB!X69</f>
        <v>154.66666666666666</v>
      </c>
      <c r="H44" s="1165"/>
      <c r="J44" s="1164" t="str">
        <f>DNWB!V98</f>
        <v>&gt;3*25A en t/m 3*35A</v>
      </c>
      <c r="K44" s="894">
        <f>DNWB!X98</f>
        <v>797</v>
      </c>
      <c r="L44" s="1165"/>
    </row>
    <row r="45" spans="2:12">
      <c r="B45" s="1164" t="str">
        <f>DNWB!V18</f>
        <v>Afnemers MS (1-20 kV) - Distributie (&gt;0,2 MW t/m 2 MW)</v>
      </c>
      <c r="C45" s="894">
        <f>DNWB!X18</f>
        <v>411.36111111111114</v>
      </c>
      <c r="D45" s="1165"/>
      <c r="F45" s="1164" t="str">
        <f>DNWB!V70</f>
        <v>&gt;3*35A en t/m 3*50A</v>
      </c>
      <c r="G45" s="894">
        <f>DNWB!X70</f>
        <v>55</v>
      </c>
      <c r="H45" s="1165"/>
      <c r="J45" s="1164" t="str">
        <f>DNWB!V99</f>
        <v>&gt;3*35A en t/m 3*50A</v>
      </c>
      <c r="K45" s="894">
        <f>DNWB!X99</f>
        <v>702.66666666666663</v>
      </c>
      <c r="L45" s="1165"/>
    </row>
    <row r="46" spans="2:12">
      <c r="B46" s="1164" t="str">
        <f>DNWB!V19</f>
        <v>Afnemers Trafo MS/LS (&gt;50 kW t/m 0,2 MW)</v>
      </c>
      <c r="C46" s="894">
        <f>DNWB!X19</f>
        <v>1532.75</v>
      </c>
      <c r="D46" s="1165"/>
      <c r="F46" s="1164" t="str">
        <f>DNWB!V71</f>
        <v>&gt;3*50A en t/m 3*63A</v>
      </c>
      <c r="G46" s="894">
        <f>DNWB!X71</f>
        <v>54.666666666666664</v>
      </c>
      <c r="H46" s="1165"/>
      <c r="J46" s="1164" t="str">
        <f>DNWB!V100</f>
        <v>&gt;3*50A en t/m 3*63A</v>
      </c>
      <c r="K46" s="894">
        <f>DNWB!X100</f>
        <v>365.66666666666669</v>
      </c>
      <c r="L46" s="1165"/>
    </row>
    <row r="47" spans="2:12">
      <c r="B47" s="1164" t="str">
        <f>DNWB!V20</f>
        <v>Afnemers LS (&gt; 3*80A t/m 50 kW)</v>
      </c>
      <c r="C47" s="894">
        <f>DNWB!X20</f>
        <v>358.08333333333331</v>
      </c>
      <c r="D47" s="1165"/>
      <c r="F47" s="1164" t="str">
        <f>DNWB!V72</f>
        <v>&gt;3*63A en t/m 3*80A</v>
      </c>
      <c r="G47" s="894">
        <f>DNWB!X72</f>
        <v>53</v>
      </c>
      <c r="H47" s="1165"/>
      <c r="J47" s="1164" t="str">
        <f>DNWB!V101</f>
        <v>&gt;3*63A en t/m 3*80A</v>
      </c>
      <c r="K47" s="894">
        <f>DNWB!X101</f>
        <v>788</v>
      </c>
      <c r="L47" s="1165"/>
    </row>
    <row r="48" spans="2:12">
      <c r="B48" s="1164" t="str">
        <f>DNWB!V21</f>
        <v>Afnemers &gt; 3 x 25A (&gt;3*25A t/m 3*80A)</v>
      </c>
      <c r="C48" s="894">
        <f>DNWB!X21</f>
        <v>7864.166666666667</v>
      </c>
      <c r="D48" s="1165"/>
      <c r="F48" s="1164" t="str">
        <f>DNWB!V73</f>
        <v>&gt;50 kW en t/m 0,2 MW af sec. zijde LS</v>
      </c>
      <c r="G48" s="894">
        <f>DNWB!X73</f>
        <v>58.066666666666663</v>
      </c>
      <c r="H48" s="1165"/>
      <c r="J48" s="1164" t="str">
        <f>DNWB!V102</f>
        <v>&gt;50 kW en t/m 0,2 MW af sec. zijde LS</v>
      </c>
      <c r="K48" s="894">
        <f>DNWB!X102</f>
        <v>7911.47</v>
      </c>
      <c r="L48" s="1165"/>
    </row>
    <row r="49" spans="2:12">
      <c r="B49" s="1164" t="str">
        <f>DNWB!V22</f>
        <v>Afnemers &gt; 1*6A (&gt; 1*6A t/m 3*25A)</v>
      </c>
      <c r="C49" s="894">
        <f>DNWB!X22</f>
        <v>197052.38888888891</v>
      </c>
      <c r="D49" s="1165"/>
      <c r="F49" s="1164" t="str">
        <f>DNWB!V74</f>
        <v>&gt;0,2 MW en t/m 0.6 MW, LS meting</v>
      </c>
      <c r="G49" s="894">
        <f>DNWB!X74</f>
        <v>10</v>
      </c>
      <c r="H49" s="1165"/>
      <c r="J49" s="1164" t="str">
        <f>DNWB!V103</f>
        <v>&gt;0,2 MW en t/m 0.6 MW, LS meting</v>
      </c>
      <c r="K49" s="894">
        <f>DNWB!X103</f>
        <v>675</v>
      </c>
      <c r="L49" s="1165"/>
    </row>
    <row r="50" spans="2:12">
      <c r="B50" s="1164" t="str">
        <f>DNWB!V23</f>
        <v>Afnemers t/m 1 x 6A geschakeld net</v>
      </c>
      <c r="C50" s="894">
        <f>DNWB!X23</f>
        <v>86556.777777777796</v>
      </c>
      <c r="D50" s="1165"/>
      <c r="F50" s="1164" t="str">
        <f>DNWB!V75</f>
        <v>&gt;0,6 MW en t/m 2.0 MW, MS meting</v>
      </c>
      <c r="G50" s="894">
        <f>DNWB!X75</f>
        <v>1</v>
      </c>
      <c r="H50" s="1165"/>
      <c r="J50" s="1164" t="str">
        <f>DNWB!V104</f>
        <v>&gt;0,6 MW en t/m 2.0 MW, MS meting</v>
      </c>
      <c r="K50" s="894">
        <f>DNWB!X104</f>
        <v>25</v>
      </c>
      <c r="L50" s="1165"/>
    </row>
    <row r="51" spans="2:12">
      <c r="B51" s="1164"/>
      <c r="C51" s="894"/>
      <c r="D51" s="1165"/>
      <c r="F51" s="1164" t="str">
        <f>DNWB!V76</f>
        <v>&gt;2,0 MVA en t/m 5 MVA</v>
      </c>
      <c r="G51" s="894">
        <f>DNWB!X76</f>
        <v>0.33333333333333331</v>
      </c>
      <c r="H51" s="1165"/>
      <c r="J51" s="1164" t="str">
        <f>DNWB!V105</f>
        <v>&gt;2,0 MVA en t/m 5 MVA</v>
      </c>
      <c r="K51" s="894">
        <f>DNWB!X105</f>
        <v>5</v>
      </c>
      <c r="L51" s="1165"/>
    </row>
    <row r="52" spans="2:12">
      <c r="B52" s="1164"/>
      <c r="C52" s="894"/>
      <c r="D52" s="1165"/>
      <c r="F52" s="1164" t="str">
        <f>DNWB!V77</f>
        <v>&gt;5,0 MVA en t/m 10 MVA</v>
      </c>
      <c r="G52" s="894">
        <f>DNWB!X77</f>
        <v>0.66666666666666663</v>
      </c>
      <c r="H52" s="1165"/>
      <c r="J52" s="1164" t="str">
        <f>DNWB!V106</f>
        <v>&gt;5,0 MVA en t/m 10 MVA</v>
      </c>
      <c r="K52" s="894">
        <f>DNWB!X106</f>
        <v>308.33333333333331</v>
      </c>
      <c r="L52" s="1165"/>
    </row>
    <row r="53" spans="2:12">
      <c r="B53" s="1164"/>
      <c r="C53" s="894"/>
      <c r="D53" s="1165"/>
      <c r="F53" s="1164"/>
      <c r="G53" s="894"/>
      <c r="H53" s="1165"/>
      <c r="J53" s="1164"/>
      <c r="K53" s="894"/>
      <c r="L53" s="1165"/>
    </row>
    <row r="54" spans="2:12">
      <c r="B54" s="1164"/>
      <c r="C54" s="894"/>
      <c r="D54" s="1165"/>
      <c r="F54" s="1164"/>
      <c r="G54" s="894"/>
      <c r="H54" s="1165"/>
      <c r="J54" s="1164"/>
      <c r="K54" s="894"/>
      <c r="L54" s="1165"/>
    </row>
    <row r="55" spans="2:12">
      <c r="B55" s="1164"/>
      <c r="C55" s="894"/>
      <c r="D55" s="1165"/>
      <c r="F55" s="1164"/>
      <c r="G55" s="894"/>
      <c r="H55" s="1165"/>
      <c r="J55" s="1164"/>
      <c r="K55" s="894"/>
      <c r="L55" s="1165"/>
    </row>
    <row r="56" spans="2:12">
      <c r="B56" s="1164"/>
      <c r="C56" s="894"/>
      <c r="D56" s="1165"/>
      <c r="F56" s="1164"/>
      <c r="G56" s="894"/>
      <c r="H56" s="1165"/>
      <c r="J56" s="1164"/>
      <c r="K56" s="894"/>
      <c r="L56" s="1165"/>
    </row>
    <row r="57" spans="2:12">
      <c r="B57" s="1164"/>
      <c r="C57" s="894"/>
      <c r="D57" s="1165"/>
      <c r="F57" s="1164"/>
      <c r="G57" s="894"/>
      <c r="H57" s="1165"/>
      <c r="J57" s="1164"/>
      <c r="K57" s="894"/>
      <c r="L57" s="1165"/>
    </row>
    <row r="58" spans="2:12">
      <c r="B58" s="888"/>
      <c r="C58" s="884"/>
      <c r="D58" s="1163"/>
      <c r="F58" s="888"/>
      <c r="G58" s="884"/>
      <c r="H58" s="1163"/>
      <c r="J58" s="888"/>
      <c r="K58" s="884"/>
      <c r="L58" s="1163"/>
    </row>
    <row r="59" spans="2:12">
      <c r="B59" s="1166" t="s">
        <v>260</v>
      </c>
      <c r="C59" s="1166"/>
      <c r="F59" s="1167"/>
      <c r="G59" s="1167"/>
      <c r="H59" s="1167"/>
    </row>
    <row r="60" spans="2:12">
      <c r="B60" s="889" t="s">
        <v>944</v>
      </c>
      <c r="C60" s="1155" t="s">
        <v>1110</v>
      </c>
      <c r="D60" s="1156"/>
      <c r="F60" s="1167"/>
      <c r="G60" s="1167"/>
      <c r="H60" s="1167"/>
    </row>
    <row r="61" spans="2:12">
      <c r="B61" s="1158" t="str">
        <f>DNWB!V48</f>
        <v>3-10 MVA</v>
      </c>
      <c r="C61" s="886">
        <f>DNWB!X48</f>
        <v>23200</v>
      </c>
      <c r="D61" s="1159"/>
    </row>
    <row r="62" spans="2:12">
      <c r="B62" s="1172"/>
      <c r="C62" s="895"/>
      <c r="D62" s="1173"/>
      <c r="F62" s="1153" t="s">
        <v>1516</v>
      </c>
    </row>
    <row r="63" spans="2:12">
      <c r="C63" s="1167"/>
    </row>
    <row r="64" spans="2:12">
      <c r="B64" s="1167"/>
      <c r="C64" s="1167"/>
    </row>
    <row r="65" spans="3:3">
      <c r="C65" s="896"/>
    </row>
    <row r="66" spans="3:3">
      <c r="C66" s="1167"/>
    </row>
    <row r="67" spans="3:3">
      <c r="C67" s="1167"/>
    </row>
    <row r="68" spans="3:3">
      <c r="C68" s="1167"/>
    </row>
    <row r="70" spans="3:3">
      <c r="C70" s="890"/>
    </row>
    <row r="71" spans="3:3">
      <c r="C71" s="897"/>
    </row>
    <row r="72" spans="3:3">
      <c r="C72" s="897"/>
    </row>
    <row r="73" spans="3:3">
      <c r="C73" s="897"/>
    </row>
    <row r="74" spans="3:3">
      <c r="C74" s="897"/>
    </row>
    <row r="75" spans="3:3">
      <c r="C75" s="897"/>
    </row>
  </sheetData>
  <pageMargins left="0.7" right="0.7" top="0.75" bottom="0.75" header="0.3" footer="0.3"/>
  <pageSetup paperSize="9" scale="58"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tabColor rgb="FFCCFFFF"/>
    <pageSetUpPr fitToPage="1"/>
  </sheetPr>
  <dimension ref="B2:M75"/>
  <sheetViews>
    <sheetView showGridLines="0" zoomScale="85" zoomScaleNormal="85" workbookViewId="0"/>
  </sheetViews>
  <sheetFormatPr defaultRowHeight="12.75"/>
  <cols>
    <col min="1" max="1" width="9.140625" style="1153"/>
    <col min="2" max="2" width="55.28515625" style="1153" customWidth="1"/>
    <col min="3" max="3" width="15.85546875" style="1153" customWidth="1"/>
    <col min="4" max="4" width="3" style="1153" customWidth="1"/>
    <col min="5" max="5" width="2.85546875" style="1153" customWidth="1"/>
    <col min="6" max="6" width="55.28515625" style="1153" customWidth="1"/>
    <col min="7" max="7" width="15.85546875" style="1153" customWidth="1"/>
    <col min="8" max="8" width="3.140625" style="1153" customWidth="1"/>
    <col min="9" max="9" width="2.85546875" style="1153" customWidth="1"/>
    <col min="10" max="10" width="55.28515625" style="1153" customWidth="1"/>
    <col min="11" max="11" width="15.85546875" style="1153" customWidth="1"/>
    <col min="12" max="12" width="3.28515625" style="1153" customWidth="1"/>
    <col min="13" max="16384" width="9.140625" style="1153"/>
  </cols>
  <sheetData>
    <row r="2" spans="2:13" s="1168" customFormat="1" ht="19.5" customHeight="1">
      <c r="B2" s="1144" t="s">
        <v>1510</v>
      </c>
      <c r="C2" s="1169"/>
      <c r="D2" s="1170"/>
      <c r="E2" s="1170"/>
      <c r="F2" s="1170"/>
      <c r="G2" s="1170"/>
      <c r="H2" s="1170"/>
      <c r="I2" s="1170"/>
      <c r="J2" s="1170"/>
      <c r="K2" s="1170"/>
      <c r="L2" s="1171"/>
    </row>
    <row r="3" spans="2:13" s="1146" customFormat="1" ht="4.5" customHeight="1">
      <c r="B3" s="1147"/>
      <c r="D3" s="1145"/>
      <c r="E3" s="1145"/>
      <c r="F3" s="1145"/>
      <c r="G3" s="1145"/>
      <c r="H3" s="1145"/>
      <c r="I3" s="1145"/>
      <c r="J3" s="1145"/>
      <c r="K3" s="1145"/>
      <c r="L3" s="1148"/>
      <c r="M3" s="1145"/>
    </row>
    <row r="4" spans="2:13" s="1145" customFormat="1">
      <c r="B4" s="1149" t="s">
        <v>1135</v>
      </c>
      <c r="C4" s="1150"/>
      <c r="D4" s="1150"/>
      <c r="E4" s="1150"/>
      <c r="F4" s="1151"/>
      <c r="G4" s="1150"/>
      <c r="H4" s="1150"/>
      <c r="I4" s="1150"/>
      <c r="J4" s="1150"/>
      <c r="K4" s="1150"/>
      <c r="L4" s="1152"/>
    </row>
    <row r="5" spans="2:13" ht="15.75">
      <c r="B5" s="1009" t="s">
        <v>70</v>
      </c>
      <c r="C5" s="879"/>
      <c r="D5" s="880"/>
      <c r="E5" s="880"/>
      <c r="F5" s="880"/>
      <c r="G5" s="880"/>
      <c r="H5" s="880"/>
      <c r="I5" s="880"/>
      <c r="J5" s="880"/>
      <c r="K5" s="880"/>
      <c r="L5" s="881"/>
    </row>
    <row r="7" spans="2:13">
      <c r="B7" s="892" t="s">
        <v>49</v>
      </c>
      <c r="C7" s="891"/>
      <c r="D7" s="1154"/>
      <c r="F7" s="892" t="s">
        <v>50</v>
      </c>
      <c r="G7" s="891"/>
      <c r="H7" s="1154"/>
      <c r="J7" s="892" t="s">
        <v>51</v>
      </c>
      <c r="K7" s="891"/>
      <c r="L7" s="1154"/>
    </row>
    <row r="9" spans="2:13">
      <c r="B9" s="882" t="s">
        <v>212</v>
      </c>
      <c r="C9" s="1155" t="s">
        <v>1110</v>
      </c>
      <c r="D9" s="1156"/>
      <c r="F9" s="887" t="s">
        <v>222</v>
      </c>
      <c r="G9" s="1155" t="s">
        <v>1110</v>
      </c>
      <c r="H9" s="1157"/>
      <c r="J9" s="887" t="s">
        <v>227</v>
      </c>
      <c r="K9" s="1155" t="s">
        <v>1110</v>
      </c>
      <c r="L9" s="1157"/>
    </row>
    <row r="10" spans="2:13">
      <c r="B10" s="1158" t="s">
        <v>213</v>
      </c>
      <c r="C10" s="886">
        <f>'Berekening rekenvolumes'!I15</f>
        <v>0</v>
      </c>
      <c r="D10" s="1159"/>
      <c r="F10" s="1158" t="s">
        <v>213</v>
      </c>
      <c r="G10" s="886">
        <f>'Berekening rekenvolumes'!I52</f>
        <v>4</v>
      </c>
      <c r="H10" s="1159"/>
      <c r="J10" s="1158" t="s">
        <v>213</v>
      </c>
      <c r="K10" s="886">
        <f>'Berekening rekenvolumes'!I77</f>
        <v>0</v>
      </c>
      <c r="L10" s="1159"/>
    </row>
    <row r="11" spans="2:13">
      <c r="B11" s="1160" t="s">
        <v>214</v>
      </c>
      <c r="C11" s="885">
        <f>'Berekening rekenvolumes'!I16</f>
        <v>0</v>
      </c>
      <c r="D11" s="1161"/>
      <c r="F11" s="1160" t="s">
        <v>223</v>
      </c>
      <c r="G11" s="885">
        <f>'Berekening rekenvolumes'!I53</f>
        <v>23095.342988819899</v>
      </c>
      <c r="H11" s="1161"/>
      <c r="J11" s="1160" t="s">
        <v>223</v>
      </c>
      <c r="K11" s="885">
        <f>'Berekening rekenvolumes'!I78</f>
        <v>0</v>
      </c>
      <c r="L11" s="1161"/>
    </row>
    <row r="12" spans="2:13">
      <c r="B12" s="1162" t="s">
        <v>215</v>
      </c>
      <c r="C12" s="884">
        <f>'Berekening rekenvolumes'!I17</f>
        <v>0</v>
      </c>
      <c r="D12" s="1163"/>
      <c r="F12" s="1160" t="s">
        <v>215</v>
      </c>
      <c r="G12" s="885">
        <f>'Berekening rekenvolumes'!I54</f>
        <v>247535.59175073914</v>
      </c>
      <c r="H12" s="1161"/>
      <c r="J12" s="1160" t="s">
        <v>228</v>
      </c>
      <c r="K12" s="885">
        <f>'Berekening rekenvolumes'!I79</f>
        <v>0</v>
      </c>
      <c r="L12" s="1161"/>
    </row>
    <row r="13" spans="2:13">
      <c r="F13" s="1162" t="s">
        <v>224</v>
      </c>
      <c r="G13" s="884">
        <f>'Berekening rekenvolumes'!I55</f>
        <v>90817212.524660364</v>
      </c>
      <c r="H13" s="1163"/>
      <c r="J13" s="1162" t="s">
        <v>224</v>
      </c>
      <c r="K13" s="884">
        <f>'Berekening rekenvolumes'!I80</f>
        <v>0</v>
      </c>
      <c r="L13" s="1163"/>
    </row>
    <row r="14" spans="2:13">
      <c r="B14" s="887" t="s">
        <v>932</v>
      </c>
      <c r="C14" s="1155" t="s">
        <v>1110</v>
      </c>
      <c r="D14" s="1157"/>
    </row>
    <row r="15" spans="2:13">
      <c r="B15" s="1158" t="s">
        <v>213</v>
      </c>
      <c r="C15" s="886">
        <f>'Berekening rekenvolumes'!I20</f>
        <v>0</v>
      </c>
      <c r="D15" s="1159"/>
      <c r="F15" s="887" t="s">
        <v>225</v>
      </c>
      <c r="G15" s="1155" t="s">
        <v>1110</v>
      </c>
      <c r="H15" s="1157"/>
      <c r="J15" s="889" t="s">
        <v>229</v>
      </c>
      <c r="K15" s="1155" t="s">
        <v>1110</v>
      </c>
      <c r="L15" s="1156"/>
    </row>
    <row r="16" spans="2:13">
      <c r="B16" s="1160" t="s">
        <v>214</v>
      </c>
      <c r="C16" s="885">
        <f>'Berekening rekenvolumes'!I21</f>
        <v>0</v>
      </c>
      <c r="D16" s="1161"/>
      <c r="F16" s="1158" t="s">
        <v>213</v>
      </c>
      <c r="G16" s="886">
        <f>'Berekening rekenvolumes'!I58</f>
        <v>571</v>
      </c>
      <c r="H16" s="1159"/>
      <c r="J16" s="1158" t="s">
        <v>230</v>
      </c>
      <c r="K16" s="886">
        <f>'Berekening rekenvolumes'!I83</f>
        <v>44664.666666666664</v>
      </c>
      <c r="L16" s="1159"/>
    </row>
    <row r="17" spans="2:12">
      <c r="B17" s="1162" t="s">
        <v>217</v>
      </c>
      <c r="C17" s="884">
        <f>'Berekening rekenvolumes'!I22</f>
        <v>0</v>
      </c>
      <c r="D17" s="1163"/>
      <c r="F17" s="1160" t="s">
        <v>223</v>
      </c>
      <c r="G17" s="885">
        <f>'Berekening rekenvolumes'!I59</f>
        <v>145204.52111372154</v>
      </c>
      <c r="H17" s="1161"/>
      <c r="J17" s="1162" t="s">
        <v>231</v>
      </c>
      <c r="K17" s="884">
        <f>'Berekening rekenvolumes'!I84</f>
        <v>104509.33333333333</v>
      </c>
      <c r="L17" s="1163"/>
    </row>
    <row r="18" spans="2:12">
      <c r="F18" s="1160" t="s">
        <v>215</v>
      </c>
      <c r="G18" s="885">
        <f>'Berekening rekenvolumes'!I60</f>
        <v>1148239.9146794514</v>
      </c>
      <c r="H18" s="1161"/>
    </row>
    <row r="19" spans="2:12">
      <c r="B19" s="887" t="s">
        <v>218</v>
      </c>
      <c r="C19" s="1155" t="s">
        <v>1110</v>
      </c>
      <c r="D19" s="1157"/>
      <c r="F19" s="1162" t="s">
        <v>224</v>
      </c>
      <c r="G19" s="884">
        <f>'Berekening rekenvolumes'!I61</f>
        <v>388427939.12372059</v>
      </c>
      <c r="H19" s="1163"/>
      <c r="J19" s="887" t="s">
        <v>232</v>
      </c>
      <c r="K19" s="1155" t="s">
        <v>1110</v>
      </c>
      <c r="L19" s="1157"/>
    </row>
    <row r="20" spans="2:12">
      <c r="B20" s="1158" t="s">
        <v>213</v>
      </c>
      <c r="C20" s="886">
        <f>'Berekening rekenvolumes'!I25</f>
        <v>0</v>
      </c>
      <c r="D20" s="1159"/>
      <c r="J20" s="1158" t="s">
        <v>233</v>
      </c>
      <c r="K20" s="886">
        <f>'Berekening rekenvolumes'!I87</f>
        <v>143.33333333333334</v>
      </c>
      <c r="L20" s="1159"/>
    </row>
    <row r="21" spans="2:12">
      <c r="B21" s="1160" t="s">
        <v>214</v>
      </c>
      <c r="C21" s="885">
        <f>'Berekening rekenvolumes'!I26</f>
        <v>0</v>
      </c>
      <c r="D21" s="1161"/>
      <c r="F21" s="887" t="s">
        <v>226</v>
      </c>
      <c r="G21" s="1155" t="s">
        <v>1110</v>
      </c>
      <c r="H21" s="1157"/>
      <c r="J21" s="1160" t="s">
        <v>234</v>
      </c>
      <c r="K21" s="885">
        <f>'Berekening rekenvolumes'!I88</f>
        <v>1264</v>
      </c>
      <c r="L21" s="1161"/>
    </row>
    <row r="22" spans="2:12">
      <c r="B22" s="1162" t="s">
        <v>215</v>
      </c>
      <c r="C22" s="884">
        <f>'Berekening rekenvolumes'!I27</f>
        <v>0</v>
      </c>
      <c r="D22" s="1163"/>
      <c r="F22" s="1158" t="s">
        <v>213</v>
      </c>
      <c r="G22" s="886">
        <f>'Berekening rekenvolumes'!I64</f>
        <v>692</v>
      </c>
      <c r="H22" s="1159"/>
      <c r="J22" s="1160" t="s">
        <v>235</v>
      </c>
      <c r="K22" s="885">
        <f>'Berekening rekenvolumes'!I89</f>
        <v>721</v>
      </c>
      <c r="L22" s="1161"/>
    </row>
    <row r="23" spans="2:12">
      <c r="F23" s="1160" t="s">
        <v>223</v>
      </c>
      <c r="G23" s="885">
        <f>'Berekening rekenvolumes'!I65</f>
        <v>43148.053908278096</v>
      </c>
      <c r="H23" s="1161"/>
      <c r="J23" s="1160" t="s">
        <v>236</v>
      </c>
      <c r="K23" s="885">
        <f>'Berekening rekenvolumes'!I90</f>
        <v>1334.3333333333333</v>
      </c>
      <c r="L23" s="1161"/>
    </row>
    <row r="24" spans="2:12" ht="14.25">
      <c r="B24" s="887" t="s">
        <v>933</v>
      </c>
      <c r="C24" s="1155" t="s">
        <v>1110</v>
      </c>
      <c r="D24" s="1157"/>
      <c r="F24" s="1160" t="s">
        <v>215</v>
      </c>
      <c r="G24" s="885">
        <f>'Berekening rekenvolumes'!I66</f>
        <v>282330.99912649975</v>
      </c>
      <c r="H24" s="1161"/>
      <c r="J24" s="1160" t="s">
        <v>934</v>
      </c>
      <c r="K24" s="885">
        <f>'Berekening rekenvolumes'!I91</f>
        <v>101046.66666666667</v>
      </c>
      <c r="L24" s="1161"/>
    </row>
    <row r="25" spans="2:12">
      <c r="B25" s="1158" t="s">
        <v>213</v>
      </c>
      <c r="C25" s="886">
        <f>'Berekening rekenvolumes'!I30</f>
        <v>0</v>
      </c>
      <c r="D25" s="1159"/>
      <c r="F25" s="1162" t="s">
        <v>224</v>
      </c>
      <c r="G25" s="884">
        <f>'Berekening rekenvolumes'!I67</f>
        <v>71762585.471251354</v>
      </c>
      <c r="H25" s="1163"/>
      <c r="J25" s="1162" t="s">
        <v>238</v>
      </c>
      <c r="K25" s="884">
        <f>'Berekening rekenvolumes'!I92</f>
        <v>44664.666666666664</v>
      </c>
      <c r="L25" s="1163"/>
    </row>
    <row r="26" spans="2:12" ht="14.25">
      <c r="B26" s="1160" t="s">
        <v>214</v>
      </c>
      <c r="C26" s="885">
        <f>'Berekening rekenvolumes'!I31</f>
        <v>0</v>
      </c>
      <c r="D26" s="1161"/>
      <c r="J26" s="1153" t="s">
        <v>1508</v>
      </c>
    </row>
    <row r="27" spans="2:12">
      <c r="B27" s="1162" t="s">
        <v>217</v>
      </c>
      <c r="C27" s="884">
        <f>'Berekening rekenvolumes'!I32</f>
        <v>0</v>
      </c>
      <c r="D27" s="1163"/>
      <c r="K27" s="893"/>
    </row>
    <row r="28" spans="2:12">
      <c r="J28" s="892" t="s">
        <v>53</v>
      </c>
      <c r="K28" s="891"/>
      <c r="L28" s="1154"/>
    </row>
    <row r="29" spans="2:12">
      <c r="B29" s="887" t="s">
        <v>220</v>
      </c>
      <c r="C29" s="1155" t="s">
        <v>1110</v>
      </c>
      <c r="D29" s="1157"/>
      <c r="J29" s="887"/>
      <c r="K29" s="1155" t="s">
        <v>1110</v>
      </c>
      <c r="L29" s="1157"/>
    </row>
    <row r="30" spans="2:12">
      <c r="B30" s="1158" t="s">
        <v>213</v>
      </c>
      <c r="C30" s="886">
        <f>'Berekening rekenvolumes'!I35</f>
        <v>1</v>
      </c>
      <c r="D30" s="1159"/>
      <c r="J30" s="1158" t="s">
        <v>239</v>
      </c>
      <c r="K30" s="886">
        <f>'Berekening rekenvolumes'!I103</f>
        <v>4078036.5645219549</v>
      </c>
      <c r="L30" s="1159"/>
    </row>
    <row r="31" spans="2:12">
      <c r="B31" s="1160" t="s">
        <v>214</v>
      </c>
      <c r="C31" s="885">
        <f>'Berekening rekenvolumes'!I36</f>
        <v>14864.26815717665</v>
      </c>
      <c r="D31" s="1161"/>
      <c r="J31" s="1162" t="s">
        <v>240</v>
      </c>
      <c r="K31" s="884">
        <f>'Berekening rekenvolumes'!I104</f>
        <v>0</v>
      </c>
      <c r="L31" s="1163"/>
    </row>
    <row r="32" spans="2:12">
      <c r="B32" s="1162" t="s">
        <v>215</v>
      </c>
      <c r="C32" s="884">
        <f>'Berekening rekenvolumes'!I37</f>
        <v>166831.79892515155</v>
      </c>
      <c r="D32" s="1163"/>
    </row>
    <row r="34" spans="2:12">
      <c r="B34" s="887" t="s">
        <v>935</v>
      </c>
      <c r="C34" s="1155" t="s">
        <v>1110</v>
      </c>
      <c r="D34" s="1157"/>
    </row>
    <row r="35" spans="2:12">
      <c r="B35" s="1158" t="s">
        <v>213</v>
      </c>
      <c r="C35" s="886">
        <f>'Berekening rekenvolumes'!I40</f>
        <v>0</v>
      </c>
      <c r="D35" s="1159"/>
    </row>
    <row r="36" spans="2:12">
      <c r="B36" s="1160" t="s">
        <v>214</v>
      </c>
      <c r="C36" s="885">
        <f>'Berekening rekenvolumes'!I41</f>
        <v>0</v>
      </c>
      <c r="D36" s="1161"/>
    </row>
    <row r="37" spans="2:12">
      <c r="B37" s="1162" t="s">
        <v>217</v>
      </c>
      <c r="C37" s="884">
        <f>'Berekening rekenvolumes'!I42</f>
        <v>0</v>
      </c>
      <c r="D37" s="1163"/>
    </row>
    <row r="39" spans="2:12" ht="15.75">
      <c r="B39" s="1009" t="s">
        <v>936</v>
      </c>
      <c r="C39" s="879"/>
      <c r="D39" s="880"/>
      <c r="E39" s="880"/>
      <c r="F39" s="880"/>
      <c r="G39" s="880"/>
      <c r="H39" s="880"/>
      <c r="I39" s="880"/>
      <c r="J39" s="880"/>
      <c r="K39" s="880"/>
      <c r="L39" s="881"/>
    </row>
    <row r="41" spans="2:12">
      <c r="B41" s="889" t="s">
        <v>658</v>
      </c>
      <c r="C41" s="1155" t="s">
        <v>1110</v>
      </c>
      <c r="D41" s="1156"/>
      <c r="F41" s="887" t="s">
        <v>942</v>
      </c>
      <c r="G41" s="1155" t="s">
        <v>1110</v>
      </c>
      <c r="H41" s="1157"/>
      <c r="J41" s="887" t="s">
        <v>943</v>
      </c>
      <c r="K41" s="1155" t="s">
        <v>1110</v>
      </c>
      <c r="L41" s="1157"/>
    </row>
    <row r="42" spans="2:12">
      <c r="B42" s="1158" t="str">
        <f>Endinet!V15</f>
        <v>Afnemers EHS/HS (&gt;=110 kV)</v>
      </c>
      <c r="C42" s="886">
        <f>Endinet!X15</f>
        <v>0</v>
      </c>
      <c r="D42" s="1159"/>
      <c r="F42" s="1158" t="str">
        <f>Endinet!V67</f>
        <v>0 t/m 1*6 A aansluting op geschakeld net</v>
      </c>
      <c r="G42" s="886">
        <f>Endinet!X67</f>
        <v>744.53663683606328</v>
      </c>
      <c r="H42" s="1159"/>
      <c r="J42" s="1158" t="str">
        <f>Endinet!V96</f>
        <v>0 t/m 1*6 A aansluting op geschakeld net</v>
      </c>
      <c r="K42" s="886">
        <f>Endinet!X96</f>
        <v>67.960258152173907</v>
      </c>
      <c r="L42" s="1159"/>
    </row>
    <row r="43" spans="2:12">
      <c r="B43" s="1164" t="str">
        <f>Endinet!V16</f>
        <v>Afnemers TS (25-50 kV)</v>
      </c>
      <c r="C43" s="894">
        <f>Endinet!X16</f>
        <v>0</v>
      </c>
      <c r="D43" s="1165"/>
      <c r="F43" s="1164" t="str">
        <f>Endinet!V68</f>
        <v>&gt; 1*6A t/m 3*25A</v>
      </c>
      <c r="G43" s="894">
        <f>Endinet!X68</f>
        <v>843.24900389512788</v>
      </c>
      <c r="H43" s="1165"/>
      <c r="J43" s="1164" t="str">
        <f>Endinet!V97</f>
        <v>&gt; 1*6A t/m 3*25A</v>
      </c>
      <c r="K43" s="894">
        <f>Endinet!X97</f>
        <v>621.61926249311898</v>
      </c>
      <c r="L43" s="1165"/>
    </row>
    <row r="44" spans="2:12">
      <c r="B44" s="1164" t="str">
        <f>Endinet!V17</f>
        <v>Afnemers Trafo HS + TS/MS</v>
      </c>
      <c r="C44" s="894">
        <f>Endinet!X17</f>
        <v>1</v>
      </c>
      <c r="D44" s="1165"/>
      <c r="F44" s="1164" t="str">
        <f>Endinet!V69</f>
        <v>&gt;3*25A t/m 3*63A</v>
      </c>
      <c r="G44" s="894">
        <f>Endinet!X69</f>
        <v>89.222544240528109</v>
      </c>
      <c r="H44" s="1165"/>
      <c r="J44" s="1164" t="str">
        <f>Endinet!V98</f>
        <v>&gt;3*25A t/m 3*63A</v>
      </c>
      <c r="K44" s="894">
        <f>Endinet!X98</f>
        <v>461.24437666140238</v>
      </c>
      <c r="L44" s="1165"/>
    </row>
    <row r="45" spans="2:12">
      <c r="B45" s="1164" t="str">
        <f>Endinet!V18</f>
        <v>Afnemers MS (&gt; 3 MW )</v>
      </c>
      <c r="C45" s="894">
        <f>Endinet!X18</f>
        <v>4</v>
      </c>
      <c r="D45" s="1165"/>
      <c r="F45" s="1164" t="str">
        <f>Endinet!V70</f>
        <v>&gt;3*63A t/m 3*80A</v>
      </c>
      <c r="G45" s="894">
        <f>Endinet!X70</f>
        <v>8.251153497051698</v>
      </c>
      <c r="H45" s="1165"/>
      <c r="J45" s="1164" t="str">
        <f>Endinet!V99</f>
        <v>&gt;3*63A t/m 3*80A</v>
      </c>
      <c r="K45" s="894">
        <f>Endinet!X99</f>
        <v>93.145250016326699</v>
      </c>
      <c r="L45" s="1165"/>
    </row>
    <row r="46" spans="2:12">
      <c r="B46" s="1164" t="str">
        <f>Endinet!V19</f>
        <v xml:space="preserve">Afnemers MS (&gt; 3x250A t/m 3 MW) </v>
      </c>
      <c r="C46" s="894">
        <f>Endinet!X19</f>
        <v>571</v>
      </c>
      <c r="D46" s="1165"/>
      <c r="F46" s="1164" t="str">
        <f>Endinet!V71</f>
        <v>&gt;3*80 A t/m 3*160A</v>
      </c>
      <c r="G46" s="894">
        <f>Endinet!X71</f>
        <v>7.9155080840246681</v>
      </c>
      <c r="H46" s="1165"/>
      <c r="J46" s="1164" t="str">
        <f>Endinet!V100</f>
        <v>&gt;3*80 A t/m 3*160A</v>
      </c>
      <c r="K46" s="894">
        <f>Endinet!X100</f>
        <v>712.22990167979845</v>
      </c>
      <c r="L46" s="1165"/>
    </row>
    <row r="47" spans="2:12">
      <c r="B47" s="1164" t="str">
        <f>Endinet!V20</f>
        <v>Afnemers Trafo MS/LS (&gt; 3x80A t/m 3x250A) aansluiting MS/LS</v>
      </c>
      <c r="C47" s="894">
        <f>Endinet!X20</f>
        <v>692</v>
      </c>
      <c r="D47" s="1165"/>
      <c r="F47" s="1164" t="str">
        <f>Endinet!V72</f>
        <v>&gt;3*160 A t/m 250 A</v>
      </c>
      <c r="G47" s="894">
        <f>Endinet!X72</f>
        <v>7.0933879044112587</v>
      </c>
      <c r="H47" s="1165"/>
      <c r="J47" s="1164" t="str">
        <f>Endinet!V101</f>
        <v>&gt;3*160 A t/m 250 A</v>
      </c>
      <c r="K47" s="894">
        <f>Endinet!X101</f>
        <v>453.41881733562781</v>
      </c>
      <c r="L47" s="1165"/>
    </row>
    <row r="48" spans="2:12">
      <c r="B48" s="1164" t="str">
        <f>Endinet!V21</f>
        <v>Afnemers LS</v>
      </c>
      <c r="C48" s="894">
        <f>Endinet!X21</f>
        <v>0</v>
      </c>
      <c r="D48" s="1165"/>
      <c r="F48" s="1164" t="str">
        <f>Endinet!V73</f>
        <v>&gt;110 kVA t/m 630 kVA</v>
      </c>
      <c r="G48" s="894">
        <f>Endinet!X73</f>
        <v>9.669693358976625</v>
      </c>
      <c r="H48" s="1165"/>
      <c r="J48" s="1164" t="str">
        <f>Endinet!V102</f>
        <v>&gt;110 kVA t/m 630 kVA</v>
      </c>
      <c r="K48" s="894">
        <f>Endinet!X102</f>
        <v>253.28627355257217</v>
      </c>
      <c r="L48" s="1165"/>
    </row>
    <row r="49" spans="2:12">
      <c r="B49" s="1164" t="str">
        <f>Endinet!V22</f>
        <v>Afnemers &gt; 3x25A t/m 3x80A aangesloten op ls</v>
      </c>
      <c r="C49" s="894">
        <f>Endinet!X22</f>
        <v>3462.6666666666665</v>
      </c>
      <c r="D49" s="1165"/>
      <c r="F49" s="1164" t="str">
        <f>Endinet!V74</f>
        <v>&gt;630 kVA t/m &lt;1 MVA</v>
      </c>
      <c r="G49" s="894">
        <f>Endinet!X74</f>
        <v>0.64246568892212674</v>
      </c>
      <c r="H49" s="1165"/>
      <c r="J49" s="1164" t="str">
        <f>Endinet!V103</f>
        <v>&gt;630 kVA t/m &lt;1 MVA</v>
      </c>
      <c r="K49" s="894">
        <f>Endinet!X103</f>
        <v>0</v>
      </c>
      <c r="L49" s="1165"/>
    </row>
    <row r="50" spans="2:12">
      <c r="B50" s="1164" t="str">
        <f>Endinet!V23</f>
        <v>Afnemers &gt; 1x6A t/m 3x25A aangesloten op ls</v>
      </c>
      <c r="C50" s="894">
        <f>Endinet!X23</f>
        <v>101046.66666666667</v>
      </c>
      <c r="D50" s="1165"/>
      <c r="F50" s="1164" t="str">
        <f>Endinet!V75</f>
        <v>&gt;1 MVA t/m 2 MVA</v>
      </c>
      <c r="G50" s="894">
        <f>Endinet!X75</f>
        <v>1.2612637827788069</v>
      </c>
      <c r="H50" s="1165"/>
      <c r="J50" s="1164" t="str">
        <f>Endinet!V104</f>
        <v>&gt;1 MVA t/m 2 MVA</v>
      </c>
      <c r="K50" s="894">
        <f>Endinet!X104</f>
        <v>24.266666666666666</v>
      </c>
      <c r="L50" s="1165"/>
    </row>
    <row r="51" spans="2:12">
      <c r="B51" s="1164" t="str">
        <f>Endinet!V24</f>
        <v>Afnemers LS geschakeld (t/m 1x6A)</v>
      </c>
      <c r="C51" s="894">
        <f>Endinet!X24</f>
        <v>44664.666666666664</v>
      </c>
      <c r="D51" s="1165"/>
      <c r="F51" s="1164" t="str">
        <f>Endinet!V76</f>
        <v>&gt;2 MVA t/m 5,0 MVA</v>
      </c>
      <c r="G51" s="894">
        <f>Endinet!X76</f>
        <v>0.3091303219803716</v>
      </c>
      <c r="H51" s="1165"/>
      <c r="J51" s="1164" t="str">
        <f>Endinet!V105</f>
        <v>&gt;2 MVA t/m 5,0 MVA</v>
      </c>
      <c r="K51" s="894">
        <f>Endinet!X105</f>
        <v>111.29255505068157</v>
      </c>
      <c r="L51" s="1165"/>
    </row>
    <row r="52" spans="2:12">
      <c r="B52" s="1164"/>
      <c r="C52" s="894"/>
      <c r="D52" s="1165"/>
      <c r="F52" s="1164" t="str">
        <f>Endinet!V77</f>
        <v>&gt;5,0 MVA t/m 10 MVA</v>
      </c>
      <c r="G52" s="894">
        <f>Endinet!X77</f>
        <v>0.28112826249067863</v>
      </c>
      <c r="H52" s="1165"/>
      <c r="J52" s="1164" t="str">
        <f>Endinet!V106</f>
        <v>&gt;5,0 MVA t/m 10 MVA</v>
      </c>
      <c r="K52" s="894">
        <f>Endinet!X106</f>
        <v>58.927570093457945</v>
      </c>
      <c r="L52" s="1165"/>
    </row>
    <row r="53" spans="2:12">
      <c r="B53" s="1164"/>
      <c r="C53" s="894"/>
      <c r="D53" s="1165"/>
      <c r="F53" s="1164"/>
      <c r="G53" s="894"/>
      <c r="H53" s="1165"/>
      <c r="J53" s="1164"/>
      <c r="K53" s="894"/>
      <c r="L53" s="1165"/>
    </row>
    <row r="54" spans="2:12">
      <c r="B54" s="1164"/>
      <c r="C54" s="894"/>
      <c r="D54" s="1165"/>
      <c r="F54" s="1164"/>
      <c r="G54" s="894"/>
      <c r="H54" s="1165"/>
      <c r="J54" s="1164"/>
      <c r="K54" s="894"/>
      <c r="L54" s="1165"/>
    </row>
    <row r="55" spans="2:12">
      <c r="B55" s="1164"/>
      <c r="C55" s="894"/>
      <c r="D55" s="1165"/>
      <c r="F55" s="1164"/>
      <c r="G55" s="894"/>
      <c r="H55" s="1165"/>
      <c r="J55" s="1164"/>
      <c r="K55" s="894"/>
      <c r="L55" s="1165"/>
    </row>
    <row r="56" spans="2:12">
      <c r="B56" s="1164"/>
      <c r="C56" s="894"/>
      <c r="D56" s="1165"/>
      <c r="F56" s="1164"/>
      <c r="G56" s="894"/>
      <c r="H56" s="1165"/>
      <c r="J56" s="1164"/>
      <c r="K56" s="894"/>
      <c r="L56" s="1165"/>
    </row>
    <row r="57" spans="2:12">
      <c r="B57" s="1160"/>
      <c r="C57" s="885"/>
      <c r="D57" s="1161"/>
      <c r="F57" s="1160"/>
      <c r="G57" s="885"/>
      <c r="H57" s="1161"/>
      <c r="J57" s="1160"/>
      <c r="K57" s="885"/>
      <c r="L57" s="1161"/>
    </row>
    <row r="58" spans="2:12">
      <c r="B58" s="888"/>
      <c r="C58" s="884"/>
      <c r="D58" s="1163"/>
      <c r="F58" s="888"/>
      <c r="G58" s="884"/>
      <c r="H58" s="1163"/>
      <c r="J58" s="888"/>
      <c r="K58" s="884"/>
      <c r="L58" s="1163"/>
    </row>
    <row r="59" spans="2:12">
      <c r="B59" s="1166" t="s">
        <v>260</v>
      </c>
      <c r="C59" s="1166"/>
      <c r="F59" s="1167"/>
      <c r="G59" s="1167"/>
      <c r="H59" s="1167"/>
    </row>
    <row r="60" spans="2:12">
      <c r="B60" s="889" t="s">
        <v>944</v>
      </c>
      <c r="C60" s="1155" t="s">
        <v>1110</v>
      </c>
      <c r="D60" s="1156"/>
      <c r="F60" s="1167"/>
      <c r="G60" s="1167"/>
      <c r="H60" s="1167"/>
    </row>
    <row r="61" spans="2:12">
      <c r="B61" s="1158" t="str">
        <f>Endinet!V31</f>
        <v>3-10 MVA</v>
      </c>
      <c r="C61" s="886">
        <f>Endinet!X31</f>
        <v>2835</v>
      </c>
      <c r="D61" s="1159"/>
    </row>
    <row r="62" spans="2:12">
      <c r="B62" s="1172"/>
      <c r="C62" s="895"/>
      <c r="D62" s="1173"/>
      <c r="F62" s="1153" t="s">
        <v>1516</v>
      </c>
    </row>
    <row r="63" spans="2:12">
      <c r="C63" s="1167"/>
    </row>
    <row r="64" spans="2:12">
      <c r="B64" s="1167"/>
      <c r="C64" s="1167"/>
    </row>
    <row r="65" spans="3:3">
      <c r="C65" s="896"/>
    </row>
    <row r="66" spans="3:3">
      <c r="C66" s="1167"/>
    </row>
    <row r="67" spans="3:3">
      <c r="C67" s="1167"/>
    </row>
    <row r="68" spans="3:3">
      <c r="C68" s="1167"/>
    </row>
    <row r="70" spans="3:3">
      <c r="C70" s="890"/>
    </row>
    <row r="71" spans="3:3">
      <c r="C71" s="897"/>
    </row>
    <row r="72" spans="3:3">
      <c r="C72" s="897"/>
    </row>
    <row r="73" spans="3:3">
      <c r="C73" s="897"/>
    </row>
    <row r="74" spans="3:3">
      <c r="C74" s="897"/>
    </row>
    <row r="75" spans="3:3">
      <c r="C75" s="897"/>
    </row>
  </sheetData>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tabColor rgb="FFCCFFFF"/>
    <pageSetUpPr fitToPage="1"/>
  </sheetPr>
  <dimension ref="B2:M75"/>
  <sheetViews>
    <sheetView showGridLines="0" zoomScale="85" zoomScaleNormal="85" workbookViewId="0"/>
  </sheetViews>
  <sheetFormatPr defaultRowHeight="12.75"/>
  <cols>
    <col min="1" max="1" width="9.140625" style="1153"/>
    <col min="2" max="2" width="55.28515625" style="1153" customWidth="1"/>
    <col min="3" max="3" width="15.85546875" style="1153" customWidth="1"/>
    <col min="4" max="4" width="3" style="1153" customWidth="1"/>
    <col min="5" max="5" width="2.85546875" style="1153" customWidth="1"/>
    <col min="6" max="6" width="55.28515625" style="1153" customWidth="1"/>
    <col min="7" max="7" width="15.85546875" style="1153" customWidth="1"/>
    <col min="8" max="8" width="3.140625" style="1153" customWidth="1"/>
    <col min="9" max="9" width="2.85546875" style="1153" customWidth="1"/>
    <col min="10" max="10" width="55.28515625" style="1153" customWidth="1"/>
    <col min="11" max="11" width="15.85546875" style="1153" customWidth="1"/>
    <col min="12" max="12" width="3.28515625" style="1153" customWidth="1"/>
    <col min="13" max="16384" width="9.140625" style="1153"/>
  </cols>
  <sheetData>
    <row r="2" spans="2:13" s="1168" customFormat="1" ht="19.5" customHeight="1">
      <c r="B2" s="1144" t="s">
        <v>1511</v>
      </c>
      <c r="C2" s="1169"/>
      <c r="D2" s="1170"/>
      <c r="E2" s="1170"/>
      <c r="F2" s="1170"/>
      <c r="G2" s="1170"/>
      <c r="H2" s="1170"/>
      <c r="I2" s="1170"/>
      <c r="J2" s="1170"/>
      <c r="K2" s="1170"/>
      <c r="L2" s="1171"/>
    </row>
    <row r="3" spans="2:13" s="1146" customFormat="1" ht="4.5" customHeight="1">
      <c r="B3" s="1147"/>
      <c r="D3" s="1145"/>
      <c r="E3" s="1145"/>
      <c r="F3" s="1145"/>
      <c r="G3" s="1145"/>
      <c r="H3" s="1145"/>
      <c r="I3" s="1145"/>
      <c r="J3" s="1145"/>
      <c r="K3" s="1145"/>
      <c r="L3" s="1148"/>
      <c r="M3" s="1145"/>
    </row>
    <row r="4" spans="2:13" s="1145" customFormat="1">
      <c r="B4" s="1149" t="s">
        <v>1135</v>
      </c>
      <c r="C4" s="1150"/>
      <c r="D4" s="1150"/>
      <c r="E4" s="1150"/>
      <c r="F4" s="1151"/>
      <c r="G4" s="1150"/>
      <c r="H4" s="1150"/>
      <c r="I4" s="1150"/>
      <c r="J4" s="1150"/>
      <c r="K4" s="1150"/>
      <c r="L4" s="1152"/>
    </row>
    <row r="5" spans="2:13" ht="15.75">
      <c r="B5" s="1009" t="s">
        <v>70</v>
      </c>
      <c r="C5" s="879"/>
      <c r="D5" s="880"/>
      <c r="E5" s="880"/>
      <c r="F5" s="880"/>
      <c r="G5" s="880"/>
      <c r="H5" s="880"/>
      <c r="I5" s="880"/>
      <c r="J5" s="880"/>
      <c r="K5" s="880"/>
      <c r="L5" s="881"/>
    </row>
    <row r="7" spans="2:13">
      <c r="B7" s="892" t="s">
        <v>49</v>
      </c>
      <c r="C7" s="891"/>
      <c r="D7" s="1154"/>
      <c r="F7" s="892" t="s">
        <v>50</v>
      </c>
      <c r="G7" s="891"/>
      <c r="H7" s="1154"/>
      <c r="J7" s="892" t="s">
        <v>51</v>
      </c>
      <c r="K7" s="891"/>
      <c r="L7" s="1154"/>
    </row>
    <row r="9" spans="2:13">
      <c r="B9" s="882" t="s">
        <v>212</v>
      </c>
      <c r="C9" s="1155" t="s">
        <v>1110</v>
      </c>
      <c r="D9" s="1156"/>
      <c r="F9" s="887" t="s">
        <v>222</v>
      </c>
      <c r="G9" s="1155" t="s">
        <v>1110</v>
      </c>
      <c r="H9" s="1157"/>
      <c r="J9" s="887" t="s">
        <v>227</v>
      </c>
      <c r="K9" s="1155" t="s">
        <v>1110</v>
      </c>
      <c r="L9" s="1157"/>
    </row>
    <row r="10" spans="2:13">
      <c r="B10" s="1158" t="s">
        <v>213</v>
      </c>
      <c r="C10" s="886">
        <f>'Berekening rekenvolumes'!J15</f>
        <v>0</v>
      </c>
      <c r="D10" s="1159"/>
      <c r="F10" s="1158" t="s">
        <v>213</v>
      </c>
      <c r="G10" s="886">
        <f>'Berekening rekenvolumes'!J52</f>
        <v>262.66522023670018</v>
      </c>
      <c r="H10" s="1159"/>
      <c r="J10" s="1158" t="s">
        <v>213</v>
      </c>
      <c r="K10" s="886">
        <f>'Berekening rekenvolumes'!J77</f>
        <v>3402.5176536497424</v>
      </c>
      <c r="L10" s="1159"/>
    </row>
    <row r="11" spans="2:13">
      <c r="B11" s="1160" t="s">
        <v>214</v>
      </c>
      <c r="C11" s="885">
        <f>'Berekening rekenvolumes'!J16</f>
        <v>0</v>
      </c>
      <c r="D11" s="1161"/>
      <c r="F11" s="1160" t="s">
        <v>223</v>
      </c>
      <c r="G11" s="885">
        <f>'Berekening rekenvolumes'!J53</f>
        <v>738066.99403288495</v>
      </c>
      <c r="H11" s="1161"/>
      <c r="J11" s="1160" t="s">
        <v>223</v>
      </c>
      <c r="K11" s="885">
        <f>'Berekening rekenvolumes'!J78</f>
        <v>112737.48600977665</v>
      </c>
      <c r="L11" s="1161"/>
    </row>
    <row r="12" spans="2:13">
      <c r="B12" s="1162" t="s">
        <v>215</v>
      </c>
      <c r="C12" s="884">
        <f>'Berekening rekenvolumes'!J17</f>
        <v>0</v>
      </c>
      <c r="D12" s="1163"/>
      <c r="F12" s="1160" t="s">
        <v>215</v>
      </c>
      <c r="G12" s="885">
        <f>'Berekening rekenvolumes'!J54</f>
        <v>7095795.9797390886</v>
      </c>
      <c r="H12" s="1161"/>
      <c r="J12" s="1160" t="s">
        <v>228</v>
      </c>
      <c r="K12" s="885">
        <f>'Berekening rekenvolumes'!J79</f>
        <v>68348144.513242409</v>
      </c>
      <c r="L12" s="1161"/>
    </row>
    <row r="13" spans="2:13">
      <c r="F13" s="1162" t="s">
        <v>224</v>
      </c>
      <c r="G13" s="884">
        <f>'Berekening rekenvolumes'!J55</f>
        <v>2863757785.3946438</v>
      </c>
      <c r="H13" s="1163"/>
      <c r="J13" s="1162" t="s">
        <v>224</v>
      </c>
      <c r="K13" s="884">
        <f>'Berekening rekenvolumes'!J80</f>
        <v>106904342.78655021</v>
      </c>
      <c r="L13" s="1163"/>
    </row>
    <row r="14" spans="2:13">
      <c r="B14" s="887" t="s">
        <v>932</v>
      </c>
      <c r="C14" s="1155" t="s">
        <v>1110</v>
      </c>
      <c r="D14" s="1157"/>
    </row>
    <row r="15" spans="2:13">
      <c r="B15" s="1158" t="s">
        <v>213</v>
      </c>
      <c r="C15" s="886">
        <f>'Berekening rekenvolumes'!J20</f>
        <v>0</v>
      </c>
      <c r="D15" s="1159"/>
      <c r="F15" s="887" t="s">
        <v>225</v>
      </c>
      <c r="G15" s="1155" t="s">
        <v>1110</v>
      </c>
      <c r="H15" s="1157"/>
      <c r="J15" s="889" t="s">
        <v>229</v>
      </c>
      <c r="K15" s="1155" t="s">
        <v>1110</v>
      </c>
      <c r="L15" s="1156"/>
    </row>
    <row r="16" spans="2:13">
      <c r="B16" s="1160" t="s">
        <v>214</v>
      </c>
      <c r="C16" s="885">
        <f>'Berekening rekenvolumes'!J21</f>
        <v>0</v>
      </c>
      <c r="D16" s="1161"/>
      <c r="F16" s="1158" t="s">
        <v>213</v>
      </c>
      <c r="G16" s="886">
        <f>'Berekening rekenvolumes'!J58</f>
        <v>9688.2809347966813</v>
      </c>
      <c r="H16" s="1159"/>
      <c r="J16" s="1158" t="s">
        <v>230</v>
      </c>
      <c r="K16" s="886">
        <f>'Berekening rekenvolumes'!J83</f>
        <v>1096825.0528899145</v>
      </c>
      <c r="L16" s="1159"/>
    </row>
    <row r="17" spans="2:12">
      <c r="B17" s="1162" t="s">
        <v>217</v>
      </c>
      <c r="C17" s="884">
        <f>'Berekening rekenvolumes'!J22</f>
        <v>0</v>
      </c>
      <c r="D17" s="1163"/>
      <c r="F17" s="1160" t="s">
        <v>223</v>
      </c>
      <c r="G17" s="885">
        <f>'Berekening rekenvolumes'!J59</f>
        <v>2966855.5120938788</v>
      </c>
      <c r="H17" s="1161"/>
      <c r="J17" s="1162" t="s">
        <v>231</v>
      </c>
      <c r="K17" s="884">
        <f>'Berekening rekenvolumes'!J84</f>
        <v>2564129.5448696087</v>
      </c>
      <c r="L17" s="1163"/>
    </row>
    <row r="18" spans="2:12">
      <c r="F18" s="1160" t="s">
        <v>215</v>
      </c>
      <c r="G18" s="885">
        <f>'Berekening rekenvolumes'!J60</f>
        <v>26106939.69247644</v>
      </c>
      <c r="H18" s="1161"/>
    </row>
    <row r="19" spans="2:12">
      <c r="B19" s="887" t="s">
        <v>218</v>
      </c>
      <c r="C19" s="1155" t="s">
        <v>1110</v>
      </c>
      <c r="D19" s="1157"/>
      <c r="F19" s="1162" t="s">
        <v>224</v>
      </c>
      <c r="G19" s="884">
        <f>'Berekening rekenvolumes'!J61</f>
        <v>8034768554.2295141</v>
      </c>
      <c r="H19" s="1163"/>
      <c r="J19" s="887" t="s">
        <v>232</v>
      </c>
      <c r="K19" s="1155" t="s">
        <v>1110</v>
      </c>
      <c r="L19" s="1157"/>
    </row>
    <row r="20" spans="2:12">
      <c r="B20" s="1158" t="s">
        <v>213</v>
      </c>
      <c r="C20" s="886">
        <f>'Berekening rekenvolumes'!J25</f>
        <v>3.5455070448257615</v>
      </c>
      <c r="D20" s="1159"/>
      <c r="J20" s="1158" t="s">
        <v>233</v>
      </c>
      <c r="K20" s="886">
        <f>'Berekening rekenvolumes'!J87</f>
        <v>18106.634091573782</v>
      </c>
      <c r="L20" s="1159"/>
    </row>
    <row r="21" spans="2:12">
      <c r="B21" s="1160" t="s">
        <v>214</v>
      </c>
      <c r="C21" s="885">
        <f>'Berekening rekenvolumes'!J26</f>
        <v>65246.509240481479</v>
      </c>
      <c r="D21" s="1161"/>
      <c r="F21" s="887" t="s">
        <v>226</v>
      </c>
      <c r="G21" s="1155" t="s">
        <v>1110</v>
      </c>
      <c r="H21" s="1157"/>
      <c r="J21" s="1160" t="s">
        <v>234</v>
      </c>
      <c r="K21" s="885">
        <f>'Berekening rekenvolumes'!J88</f>
        <v>22525.967686870019</v>
      </c>
      <c r="L21" s="1161"/>
    </row>
    <row r="22" spans="2:12">
      <c r="B22" s="1162" t="s">
        <v>215</v>
      </c>
      <c r="C22" s="884">
        <f>'Berekening rekenvolumes'!J27</f>
        <v>620960.00738594739</v>
      </c>
      <c r="D22" s="1163"/>
      <c r="F22" s="1158" t="s">
        <v>213</v>
      </c>
      <c r="G22" s="886">
        <f>'Berekening rekenvolumes'!J64</f>
        <v>14613.038714865668</v>
      </c>
      <c r="H22" s="1159"/>
      <c r="J22" s="1160" t="s">
        <v>235</v>
      </c>
      <c r="K22" s="885">
        <f>'Berekening rekenvolumes'!J89</f>
        <v>24154.977839928975</v>
      </c>
      <c r="L22" s="1161"/>
    </row>
    <row r="23" spans="2:12">
      <c r="F23" s="1160" t="s">
        <v>223</v>
      </c>
      <c r="G23" s="885">
        <f>'Berekening rekenvolumes'!J65</f>
        <v>1060364.4309226701</v>
      </c>
      <c r="H23" s="1161"/>
      <c r="J23" s="1160" t="s">
        <v>236</v>
      </c>
      <c r="K23" s="885">
        <f>'Berekening rekenvolumes'!J90</f>
        <v>60759.802105860173</v>
      </c>
      <c r="L23" s="1161"/>
    </row>
    <row r="24" spans="2:12" ht="14.25">
      <c r="B24" s="887" t="s">
        <v>933</v>
      </c>
      <c r="C24" s="1155" t="s">
        <v>1110</v>
      </c>
      <c r="D24" s="1157"/>
      <c r="F24" s="1160" t="s">
        <v>215</v>
      </c>
      <c r="G24" s="885">
        <f>'Berekening rekenvolumes'!J66</f>
        <v>8301833.4831808507</v>
      </c>
      <c r="H24" s="1161"/>
      <c r="J24" s="1160" t="s">
        <v>934</v>
      </c>
      <c r="K24" s="885">
        <f>'Berekening rekenvolumes'!J91</f>
        <v>2438250.2628558222</v>
      </c>
      <c r="L24" s="1161"/>
    </row>
    <row r="25" spans="2:12">
      <c r="B25" s="1158" t="s">
        <v>213</v>
      </c>
      <c r="C25" s="886">
        <f>'Berekening rekenvolumes'!J30</f>
        <v>1.6363898860492447</v>
      </c>
      <c r="D25" s="1159"/>
      <c r="F25" s="1162" t="s">
        <v>224</v>
      </c>
      <c r="G25" s="884">
        <f>'Berekening rekenvolumes'!J67</f>
        <v>2173614445.7117639</v>
      </c>
      <c r="H25" s="1163"/>
      <c r="J25" s="1162" t="s">
        <v>238</v>
      </c>
      <c r="K25" s="884">
        <f>'Berekening rekenvolumes'!J92</f>
        <v>1096825.0528899147</v>
      </c>
      <c r="L25" s="1163"/>
    </row>
    <row r="26" spans="2:12" ht="14.25">
      <c r="B26" s="1160" t="s">
        <v>214</v>
      </c>
      <c r="C26" s="885">
        <f>'Berekening rekenvolumes'!J31</f>
        <v>9471.7609484006243</v>
      </c>
      <c r="D26" s="1161"/>
      <c r="J26" s="1153" t="s">
        <v>1508</v>
      </c>
    </row>
    <row r="27" spans="2:12">
      <c r="B27" s="1162" t="s">
        <v>217</v>
      </c>
      <c r="C27" s="884">
        <f>'Berekening rekenvolumes'!J32</f>
        <v>83121.452813852826</v>
      </c>
      <c r="D27" s="1163"/>
      <c r="K27" s="893"/>
    </row>
    <row r="28" spans="2:12">
      <c r="J28" s="892" t="s">
        <v>53</v>
      </c>
      <c r="K28" s="891"/>
      <c r="L28" s="1154"/>
    </row>
    <row r="29" spans="2:12">
      <c r="B29" s="887" t="s">
        <v>220</v>
      </c>
      <c r="C29" s="1155" t="s">
        <v>1110</v>
      </c>
      <c r="D29" s="1157"/>
      <c r="J29" s="887"/>
      <c r="K29" s="1155" t="s">
        <v>1110</v>
      </c>
      <c r="L29" s="1157"/>
    </row>
    <row r="30" spans="2:12">
      <c r="B30" s="1158" t="s">
        <v>213</v>
      </c>
      <c r="C30" s="886">
        <f>'Berekening rekenvolumes'!J35</f>
        <v>182.93615437156924</v>
      </c>
      <c r="D30" s="1159"/>
      <c r="J30" s="1158" t="s">
        <v>239</v>
      </c>
      <c r="K30" s="886">
        <f>'Berekening rekenvolumes'!J103</f>
        <v>341783801.28543502</v>
      </c>
      <c r="L30" s="1159"/>
    </row>
    <row r="31" spans="2:12">
      <c r="B31" s="1160" t="s">
        <v>214</v>
      </c>
      <c r="C31" s="885">
        <f>'Berekening rekenvolumes'!J36</f>
        <v>1355587.1943745094</v>
      </c>
      <c r="D31" s="1161"/>
      <c r="J31" s="1162" t="s">
        <v>240</v>
      </c>
      <c r="K31" s="884">
        <f>'Berekening rekenvolumes'!J104</f>
        <v>9315848.8888888899</v>
      </c>
      <c r="L31" s="1163"/>
    </row>
    <row r="32" spans="2:12">
      <c r="B32" s="1162" t="s">
        <v>215</v>
      </c>
      <c r="C32" s="884">
        <f>'Berekening rekenvolumes'!J37</f>
        <v>13434268.934637122</v>
      </c>
      <c r="D32" s="1163"/>
    </row>
    <row r="34" spans="2:12">
      <c r="B34" s="887" t="s">
        <v>935</v>
      </c>
      <c r="C34" s="1155" t="s">
        <v>1110</v>
      </c>
      <c r="D34" s="1157"/>
    </row>
    <row r="35" spans="2:12">
      <c r="B35" s="1158" t="s">
        <v>213</v>
      </c>
      <c r="C35" s="886">
        <f>'Berekening rekenvolumes'!J40</f>
        <v>10.096436133613892</v>
      </c>
      <c r="D35" s="1159"/>
    </row>
    <row r="36" spans="2:12">
      <c r="B36" s="1160" t="s">
        <v>214</v>
      </c>
      <c r="C36" s="885">
        <f>'Berekening rekenvolumes'!J41</f>
        <v>63623.429487925016</v>
      </c>
      <c r="D36" s="1161"/>
    </row>
    <row r="37" spans="2:12">
      <c r="B37" s="1162" t="s">
        <v>217</v>
      </c>
      <c r="C37" s="884">
        <f>'Berekening rekenvolumes'!J42</f>
        <v>1005191.4048389882</v>
      </c>
      <c r="D37" s="1163"/>
    </row>
    <row r="39" spans="2:12" ht="15.75">
      <c r="B39" s="1009" t="s">
        <v>936</v>
      </c>
      <c r="C39" s="879"/>
      <c r="D39" s="880"/>
      <c r="E39" s="880"/>
      <c r="F39" s="880"/>
      <c r="G39" s="880"/>
      <c r="H39" s="880"/>
      <c r="I39" s="880"/>
      <c r="J39" s="880"/>
      <c r="K39" s="880"/>
      <c r="L39" s="881"/>
    </row>
    <row r="41" spans="2:12">
      <c r="B41" s="889" t="s">
        <v>658</v>
      </c>
      <c r="C41" s="1155" t="s">
        <v>1110</v>
      </c>
      <c r="D41" s="1156"/>
      <c r="F41" s="887" t="s">
        <v>942</v>
      </c>
      <c r="G41" s="1155" t="s">
        <v>1110</v>
      </c>
      <c r="H41" s="1157"/>
      <c r="J41" s="887" t="s">
        <v>943</v>
      </c>
      <c r="K41" s="1155" t="s">
        <v>1110</v>
      </c>
      <c r="L41" s="1157"/>
    </row>
    <row r="42" spans="2:12">
      <c r="B42" s="1158" t="str">
        <f>Enexis!V15</f>
        <v>Afnemers TS (25-50)   (30 MVA maatwerk aansluiting)</v>
      </c>
      <c r="C42" s="886">
        <f>Enexis!X15</f>
        <v>0</v>
      </c>
      <c r="D42" s="1159"/>
      <c r="F42" s="1158" t="str">
        <f>Enexis!V67</f>
        <v>t/m 1*6 A op geschakeld net</v>
      </c>
      <c r="G42" s="886">
        <f>Enexis!X67</f>
        <v>23978.365156737796</v>
      </c>
      <c r="H42" s="1159"/>
      <c r="J42" s="1158" t="str">
        <f>Enexis!V96</f>
        <v>t/m 1*6 A op geschakeld net</v>
      </c>
      <c r="K42" s="886">
        <f>Enexis!X96</f>
        <v>18313.749474011827</v>
      </c>
      <c r="L42" s="1159"/>
    </row>
    <row r="43" spans="2:12">
      <c r="B43" s="1164" t="str">
        <f>Enexis!V16</f>
        <v>Aansl. cap. &gt; 6 MVA t/m 10 MVA  - (indien aansl &gt; 10 MVA: maatwerk p.a.v.))</v>
      </c>
      <c r="C43" s="894">
        <f>Enexis!X16</f>
        <v>173.1504796230785</v>
      </c>
      <c r="D43" s="1165"/>
      <c r="F43" s="1164" t="str">
        <f>Enexis!V68</f>
        <v xml:space="preserve">t/m 1*40A </v>
      </c>
      <c r="G43" s="894">
        <f>Enexis!X68</f>
        <v>14821.900472817382</v>
      </c>
      <c r="H43" s="1165"/>
      <c r="J43" s="1164" t="str">
        <f>Enexis!V97</f>
        <v xml:space="preserve">t/m 1*40A </v>
      </c>
      <c r="K43" s="894">
        <f>Enexis!X97</f>
        <v>69655.663219799419</v>
      </c>
      <c r="L43" s="1165"/>
    </row>
    <row r="44" spans="2:12">
      <c r="B44" s="1164" t="str">
        <f>Enexis!V17</f>
        <v>Aansl. cap. &gt;1750 kVA t/m 6 MVA</v>
      </c>
      <c r="C44" s="894">
        <f>Enexis!X17</f>
        <v>688.10190787999056</v>
      </c>
      <c r="D44" s="1165"/>
      <c r="F44" s="1164" t="str">
        <f>Enexis!V69</f>
        <v>&gt; 1*40A t/m 3*25A</v>
      </c>
      <c r="G44" s="894">
        <f>Enexis!X69</f>
        <v>6764.0015651099711</v>
      </c>
      <c r="H44" s="1165"/>
      <c r="J44" s="1164" t="str">
        <f>Enexis!V98</f>
        <v>&gt; 1*40A t/m 3*25A</v>
      </c>
      <c r="K44" s="894">
        <f>Enexis!X98</f>
        <v>0</v>
      </c>
      <c r="L44" s="1165"/>
    </row>
    <row r="45" spans="2:12">
      <c r="B45" s="1164" t="str">
        <f>Enexis!V18</f>
        <v>Aansl. cap. &gt;173 kVA t/m 1750 kVA</v>
      </c>
      <c r="C45" s="894">
        <f>Enexis!X18</f>
        <v>14198.338953071201</v>
      </c>
      <c r="D45" s="1165"/>
      <c r="F45" s="1164" t="str">
        <f>Enexis!V70</f>
        <v>&gt;3*25A en t/m 3*40A</v>
      </c>
      <c r="G45" s="894">
        <f>Enexis!X70</f>
        <v>996.55006116207949</v>
      </c>
      <c r="H45" s="1165"/>
      <c r="J45" s="1164" t="str">
        <f>Enexis!V99</f>
        <v>&gt;3*25A en t/m 3*40A</v>
      </c>
      <c r="K45" s="894">
        <f>Enexis!X99</f>
        <v>0</v>
      </c>
      <c r="L45" s="1165"/>
    </row>
    <row r="46" spans="2:12">
      <c r="B46" s="1164" t="str">
        <f>Enexis!V19</f>
        <v>Aansl. cap. &gt; 3x80A t/m 3x250A (173 kVA)</v>
      </c>
      <c r="C46" s="894">
        <f>Enexis!X19</f>
        <v>13138.854708250414</v>
      </c>
      <c r="D46" s="1165"/>
      <c r="F46" s="1164" t="str">
        <f>Enexis!V71</f>
        <v>&gt;3*40A en t/m 3*50A</v>
      </c>
      <c r="G46" s="894">
        <f>Enexis!X71</f>
        <v>355.07323979694075</v>
      </c>
      <c r="H46" s="1165"/>
      <c r="J46" s="1164" t="str">
        <f>Enexis!V100</f>
        <v>&gt;3*40A en t/m 3*50A</v>
      </c>
      <c r="K46" s="894">
        <f>Enexis!X100</f>
        <v>65</v>
      </c>
      <c r="L46" s="1165"/>
    </row>
    <row r="47" spans="2:12">
      <c r="B47" s="1164" t="str">
        <f>Enexis!V20</f>
        <v>Aansl. cap. &gt; 3x80A t/m 3x250A (173 kVA) fysiek aangesloten op LS</v>
      </c>
      <c r="C47" s="894">
        <f>Enexis!X20</f>
        <v>0</v>
      </c>
      <c r="D47" s="1165"/>
      <c r="F47" s="1164" t="str">
        <f>Enexis!V72</f>
        <v>&gt;3*50A en t/m 3*63A</v>
      </c>
      <c r="G47" s="894">
        <f>Enexis!X72</f>
        <v>410.00946242768231</v>
      </c>
      <c r="H47" s="1165"/>
      <c r="J47" s="1164" t="str">
        <f>Enexis!V101</f>
        <v>&gt;3*50A en t/m 3*63A</v>
      </c>
      <c r="K47" s="894">
        <f>Enexis!X101</f>
        <v>15807.782643097642</v>
      </c>
      <c r="L47" s="1165"/>
    </row>
    <row r="48" spans="2:12">
      <c r="B48" s="1164" t="str">
        <f>Enexis!V21</f>
        <v>Afnemers &gt; 3 x 25A  t/m 3x80A</v>
      </c>
      <c r="C48" s="894">
        <f>Enexis!X21</f>
        <v>125584.99373603147</v>
      </c>
      <c r="D48" s="1165"/>
      <c r="F48" s="1164" t="str">
        <f>Enexis!V73</f>
        <v>&gt;3*63A en t/m 3*80A</v>
      </c>
      <c r="G48" s="894">
        <f>Enexis!X73</f>
        <v>536.61388334930382</v>
      </c>
      <c r="H48" s="1165"/>
      <c r="J48" s="1164" t="str">
        <f>Enexis!V102</f>
        <v>&gt;3*63A en t/m 3*80A</v>
      </c>
      <c r="K48" s="894">
        <f>Enexis!X102</f>
        <v>22272.762145262142</v>
      </c>
      <c r="L48" s="1165"/>
    </row>
    <row r="49" spans="2:12">
      <c r="B49" s="1164" t="str">
        <f>Enexis!V22</f>
        <v>Afnemers t/m 3 x 25A</v>
      </c>
      <c r="C49" s="894">
        <f>Enexis!X22</f>
        <v>2438235.0180991953</v>
      </c>
      <c r="D49" s="1165"/>
      <c r="F49" s="1164" t="str">
        <f>Enexis!V74</f>
        <v>&gt;3*80A en t/m 3*160A</v>
      </c>
      <c r="G49" s="894">
        <f>Enexis!X74</f>
        <v>384.69558851051744</v>
      </c>
      <c r="H49" s="1165"/>
      <c r="J49" s="1164" t="str">
        <f>Enexis!V103</f>
        <v>&gt;3*80A en t/m 3*160A</v>
      </c>
      <c r="K49" s="894">
        <f>Enexis!X103</f>
        <v>46583.527692307696</v>
      </c>
      <c r="L49" s="1165"/>
    </row>
    <row r="50" spans="2:12">
      <c r="B50" s="1164" t="str">
        <f>Enexis!V23</f>
        <v>Afnemers t/m 6A (geschakeld ls net)</v>
      </c>
      <c r="C50" s="894">
        <f>Enexis!X23</f>
        <v>1097407.0757186192</v>
      </c>
      <c r="D50" s="1165"/>
      <c r="F50" s="1164" t="str">
        <f>Enexis!V75</f>
        <v>&gt;3*160A  t/m 3*250A</v>
      </c>
      <c r="G50" s="894">
        <f>Enexis!X75</f>
        <v>363.23344221929784</v>
      </c>
      <c r="H50" s="1165"/>
      <c r="J50" s="1164" t="str">
        <f>Enexis!V104</f>
        <v>&gt;3*160A  t/m 3*250A</v>
      </c>
      <c r="K50" s="894">
        <f>Enexis!X104</f>
        <v>72676.298591753803</v>
      </c>
      <c r="L50" s="1165"/>
    </row>
    <row r="51" spans="2:12">
      <c r="B51" s="1164"/>
      <c r="C51" s="894"/>
      <c r="D51" s="1165"/>
      <c r="F51" s="1164" t="str">
        <f>Enexis!V76</f>
        <v>&gt;3*250A (173 kVA) t/m 630 kVA</v>
      </c>
      <c r="G51" s="894">
        <f>Enexis!X76</f>
        <v>260.77495275732713</v>
      </c>
      <c r="H51" s="1165"/>
      <c r="J51" s="1164" t="str">
        <f>Enexis!V105</f>
        <v>&gt;3*250A (173 kVA) t/m 630 kVA</v>
      </c>
      <c r="K51" s="894">
        <f>Enexis!X105</f>
        <v>14287.337046917344</v>
      </c>
      <c r="L51" s="1165"/>
    </row>
    <row r="52" spans="2:12">
      <c r="B52" s="1164"/>
      <c r="C52" s="894"/>
      <c r="D52" s="1165"/>
      <c r="F52" s="1164" t="str">
        <f>Enexis!V77</f>
        <v>&gt; 630 kVA t/m 1750 kVA</v>
      </c>
      <c r="G52" s="894">
        <f>Enexis!X77</f>
        <v>103.08809135984193</v>
      </c>
      <c r="H52" s="1165"/>
      <c r="J52" s="1164" t="str">
        <f>Enexis!V106</f>
        <v>&gt; 630 kVA t/m 1750 kVA</v>
      </c>
      <c r="K52" s="894">
        <f>Enexis!X106</f>
        <v>6910.3735416666668</v>
      </c>
      <c r="L52" s="1165"/>
    </row>
    <row r="53" spans="2:12">
      <c r="B53" s="1164"/>
      <c r="C53" s="894"/>
      <c r="D53" s="1165"/>
      <c r="F53" s="1164" t="str">
        <f>Enexis!V78</f>
        <v>&gt; 1750 kVA t/m 6 MVA</v>
      </c>
      <c r="G53" s="894">
        <f>Enexis!X78</f>
        <v>4.9392190587045537</v>
      </c>
      <c r="H53" s="1165"/>
      <c r="J53" s="1164" t="str">
        <f>Enexis!V107</f>
        <v>&gt; 1750 kVA t/m 6 MVA</v>
      </c>
      <c r="K53" s="894">
        <f>Enexis!X107</f>
        <v>3246.2338463439373</v>
      </c>
      <c r="L53" s="1165"/>
    </row>
    <row r="54" spans="2:12">
      <c r="B54" s="1164"/>
      <c r="C54" s="894"/>
      <c r="D54" s="1165"/>
      <c r="F54" s="1164" t="str">
        <f>Enexis!V79</f>
        <v>&gt;6,0 MVA en t/m 10 MVA</v>
      </c>
      <c r="G54" s="894">
        <f>Enexis!X79</f>
        <v>0</v>
      </c>
      <c r="H54" s="1165"/>
      <c r="J54" s="1164" t="str">
        <f>Enexis!V108</f>
        <v>&gt;6,0 MVA en t/m 10 MVA</v>
      </c>
      <c r="K54" s="894">
        <f>Enexis!X108</f>
        <v>0</v>
      </c>
      <c r="L54" s="1165"/>
    </row>
    <row r="55" spans="2:12">
      <c r="B55" s="1164"/>
      <c r="C55" s="894"/>
      <c r="D55" s="1165"/>
      <c r="F55" s="1164"/>
      <c r="G55" s="894"/>
      <c r="H55" s="1165"/>
      <c r="J55" s="1164"/>
      <c r="K55" s="894"/>
      <c r="L55" s="1165"/>
    </row>
    <row r="56" spans="2:12">
      <c r="B56" s="1160"/>
      <c r="C56" s="885"/>
      <c r="D56" s="1161"/>
      <c r="F56" s="1160"/>
      <c r="G56" s="885"/>
      <c r="H56" s="1161"/>
      <c r="J56" s="1160"/>
      <c r="K56" s="885"/>
      <c r="L56" s="1161"/>
    </row>
    <row r="57" spans="2:12">
      <c r="B57" s="1160"/>
      <c r="C57" s="885"/>
      <c r="D57" s="1161"/>
      <c r="F57" s="1160"/>
      <c r="G57" s="885"/>
      <c r="H57" s="1161"/>
      <c r="J57" s="1160"/>
      <c r="K57" s="885"/>
      <c r="L57" s="1161"/>
    </row>
    <row r="58" spans="2:12">
      <c r="B58" s="888"/>
      <c r="C58" s="884"/>
      <c r="D58" s="1163"/>
      <c r="F58" s="888"/>
      <c r="G58" s="884"/>
      <c r="H58" s="1163"/>
      <c r="J58" s="888"/>
      <c r="K58" s="884"/>
      <c r="L58" s="1163"/>
    </row>
    <row r="59" spans="2:12">
      <c r="B59" s="1166" t="s">
        <v>260</v>
      </c>
      <c r="C59" s="1166"/>
      <c r="F59" s="1167"/>
      <c r="G59" s="1167"/>
      <c r="H59" s="1167"/>
    </row>
    <row r="60" spans="2:12">
      <c r="B60" s="889" t="s">
        <v>944</v>
      </c>
      <c r="C60" s="1155" t="s">
        <v>1110</v>
      </c>
      <c r="D60" s="1156"/>
      <c r="F60" s="1167"/>
      <c r="G60" s="1167"/>
      <c r="H60" s="1167"/>
    </row>
    <row r="61" spans="2:12">
      <c r="B61" s="1158" t="str">
        <f>Enexis!V31</f>
        <v>PAV &gt; 6 t/m 10 MVA</v>
      </c>
      <c r="C61" s="886">
        <f>Enexis!X31</f>
        <v>107193.93956228955</v>
      </c>
      <c r="D61" s="1159"/>
    </row>
    <row r="62" spans="2:12">
      <c r="B62" s="1162" t="str">
        <f>Enexis!V32</f>
        <v>PAV 3 t/m 6 MVA</v>
      </c>
      <c r="C62" s="884">
        <f>Enexis!X32</f>
        <v>103405.08237762237</v>
      </c>
      <c r="D62" s="1163"/>
      <c r="F62" s="1153" t="s">
        <v>1516</v>
      </c>
    </row>
    <row r="63" spans="2:12">
      <c r="C63" s="1167"/>
    </row>
    <row r="64" spans="2:12">
      <c r="B64" s="1167"/>
      <c r="C64" s="1167"/>
    </row>
    <row r="65" spans="3:3">
      <c r="C65" s="896"/>
    </row>
    <row r="66" spans="3:3">
      <c r="C66" s="1167"/>
    </row>
    <row r="67" spans="3:3">
      <c r="C67" s="1167"/>
    </row>
    <row r="68" spans="3:3">
      <c r="C68" s="1167"/>
    </row>
    <row r="70" spans="3:3">
      <c r="C70" s="890"/>
    </row>
    <row r="71" spans="3:3">
      <c r="C71" s="897"/>
    </row>
    <row r="72" spans="3:3">
      <c r="C72" s="897"/>
    </row>
    <row r="73" spans="3:3">
      <c r="C73" s="897"/>
    </row>
    <row r="74" spans="3:3">
      <c r="C74" s="897"/>
    </row>
    <row r="75" spans="3:3">
      <c r="C75" s="897"/>
    </row>
  </sheetData>
  <pageMargins left="0.7" right="0.7" top="0.75" bottom="0.75" header="0.3" footer="0.3"/>
  <pageSetup paperSize="9" scale="58"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tabColor rgb="FFCCFFFF"/>
    <pageSetUpPr fitToPage="1"/>
  </sheetPr>
  <dimension ref="B2:N75"/>
  <sheetViews>
    <sheetView showGridLines="0" zoomScale="85" zoomScaleNormal="85" workbookViewId="0"/>
  </sheetViews>
  <sheetFormatPr defaultRowHeight="12.75"/>
  <cols>
    <col min="1" max="1" width="9.140625" style="1153"/>
    <col min="2" max="2" width="55.28515625" style="1153" customWidth="1"/>
    <col min="3" max="3" width="15.85546875" style="1153" customWidth="1"/>
    <col min="4" max="4" width="3" style="1153" customWidth="1"/>
    <col min="5" max="5" width="2.85546875" style="1153" customWidth="1"/>
    <col min="6" max="6" width="55.28515625" style="1153" customWidth="1"/>
    <col min="7" max="7" width="15.85546875" style="1153" customWidth="1"/>
    <col min="8" max="8" width="3.140625" style="1153" customWidth="1"/>
    <col min="9" max="9" width="2.85546875" style="1153" customWidth="1"/>
    <col min="10" max="10" width="55.28515625" style="1153" customWidth="1"/>
    <col min="11" max="11" width="15.85546875" style="1153" customWidth="1"/>
    <col min="12" max="12" width="3.28515625" style="1153" customWidth="1"/>
    <col min="13" max="13" width="9.140625" style="1153"/>
    <col min="14" max="14" width="10.28515625" style="1153" bestFit="1" customWidth="1"/>
    <col min="15" max="16384" width="9.140625" style="1153"/>
  </cols>
  <sheetData>
    <row r="2" spans="2:13" s="1168" customFormat="1" ht="19.5" customHeight="1">
      <c r="B2" s="1144" t="s">
        <v>1512</v>
      </c>
      <c r="C2" s="1169"/>
      <c r="D2" s="1170"/>
      <c r="E2" s="1170"/>
      <c r="F2" s="1170"/>
      <c r="G2" s="1170"/>
      <c r="H2" s="1170"/>
      <c r="I2" s="1170"/>
      <c r="J2" s="1170"/>
      <c r="K2" s="1170"/>
      <c r="L2" s="1171"/>
    </row>
    <row r="3" spans="2:13" s="1146" customFormat="1" ht="4.5" customHeight="1">
      <c r="B3" s="1147"/>
      <c r="D3" s="1145"/>
      <c r="E3" s="1145"/>
      <c r="F3" s="1145"/>
      <c r="G3" s="1145"/>
      <c r="H3" s="1145"/>
      <c r="I3" s="1145"/>
      <c r="J3" s="1145"/>
      <c r="K3" s="1145"/>
      <c r="L3" s="1148"/>
      <c r="M3" s="1145"/>
    </row>
    <row r="4" spans="2:13" s="1145" customFormat="1">
      <c r="B4" s="1149" t="s">
        <v>1135</v>
      </c>
      <c r="C4" s="1150"/>
      <c r="D4" s="1150"/>
      <c r="E4" s="1150"/>
      <c r="F4" s="1151"/>
      <c r="G4" s="1150"/>
      <c r="H4" s="1150"/>
      <c r="I4" s="1150"/>
      <c r="J4" s="1150"/>
      <c r="K4" s="1150"/>
      <c r="L4" s="1152"/>
    </row>
    <row r="5" spans="2:13" ht="15.75">
      <c r="B5" s="1009" t="s">
        <v>70</v>
      </c>
      <c r="C5" s="879"/>
      <c r="D5" s="880"/>
      <c r="E5" s="880"/>
      <c r="F5" s="880"/>
      <c r="G5" s="880"/>
      <c r="H5" s="880"/>
      <c r="I5" s="880"/>
      <c r="J5" s="880"/>
      <c r="K5" s="880"/>
      <c r="L5" s="881"/>
    </row>
    <row r="7" spans="2:13">
      <c r="B7" s="892" t="s">
        <v>49</v>
      </c>
      <c r="C7" s="891"/>
      <c r="D7" s="1154"/>
      <c r="F7" s="892" t="s">
        <v>50</v>
      </c>
      <c r="G7" s="891"/>
      <c r="H7" s="1154"/>
      <c r="J7" s="892" t="s">
        <v>51</v>
      </c>
      <c r="K7" s="891"/>
      <c r="L7" s="1154"/>
    </row>
    <row r="9" spans="2:13">
      <c r="B9" s="882" t="s">
        <v>212</v>
      </c>
      <c r="C9" s="1155" t="s">
        <v>1110</v>
      </c>
      <c r="D9" s="1156"/>
      <c r="J9" s="887" t="s">
        <v>227</v>
      </c>
      <c r="K9" s="1155" t="s">
        <v>1110</v>
      </c>
      <c r="L9" s="1157"/>
    </row>
    <row r="10" spans="2:13">
      <c r="B10" s="1158" t="s">
        <v>213</v>
      </c>
      <c r="C10" s="886">
        <f>'Berekening rekenvolumes'!K15</f>
        <v>9.0000196762020597</v>
      </c>
      <c r="D10" s="1159"/>
      <c r="J10" s="1158" t="s">
        <v>213</v>
      </c>
      <c r="K10" s="886">
        <f>'Berekening rekenvolumes'!K77</f>
        <v>6065.2114399802767</v>
      </c>
      <c r="L10" s="1159"/>
    </row>
    <row r="11" spans="2:13">
      <c r="B11" s="1160" t="s">
        <v>214</v>
      </c>
      <c r="C11" s="885">
        <f>'Berekening rekenvolumes'!K16</f>
        <v>471155.73990827746</v>
      </c>
      <c r="D11" s="1161"/>
      <c r="J11" s="1160" t="s">
        <v>223</v>
      </c>
      <c r="K11" s="885">
        <f>'Berekening rekenvolumes'!K78</f>
        <v>219824.81518819407</v>
      </c>
      <c r="L11" s="1161"/>
    </row>
    <row r="12" spans="2:13">
      <c r="B12" s="1162" t="s">
        <v>215</v>
      </c>
      <c r="C12" s="884">
        <f>'Berekening rekenvolumes'!K17</f>
        <v>4781828.363687682</v>
      </c>
      <c r="D12" s="1163"/>
      <c r="J12" s="1160" t="s">
        <v>228</v>
      </c>
      <c r="K12" s="885">
        <f>'Berekening rekenvolumes'!K79</f>
        <v>157458312.75707</v>
      </c>
      <c r="L12" s="1161"/>
    </row>
    <row r="13" spans="2:13">
      <c r="J13" s="1162" t="s">
        <v>224</v>
      </c>
      <c r="K13" s="884">
        <f>'Berekening rekenvolumes'!K80</f>
        <v>238544084.38004461</v>
      </c>
      <c r="L13" s="1163"/>
    </row>
    <row r="14" spans="2:13">
      <c r="B14" s="887" t="s">
        <v>932</v>
      </c>
      <c r="C14" s="1155" t="s">
        <v>1110</v>
      </c>
      <c r="D14" s="1157"/>
    </row>
    <row r="15" spans="2:13">
      <c r="B15" s="1158" t="s">
        <v>213</v>
      </c>
      <c r="C15" s="886">
        <f>'Berekening rekenvolumes'!K20</f>
        <v>0</v>
      </c>
      <c r="D15" s="1159"/>
      <c r="F15" s="887" t="s">
        <v>1109</v>
      </c>
      <c r="G15" s="1155" t="s">
        <v>1110</v>
      </c>
      <c r="H15" s="1157"/>
      <c r="J15" s="889" t="s">
        <v>229</v>
      </c>
      <c r="K15" s="1155" t="s">
        <v>1110</v>
      </c>
      <c r="L15" s="1156"/>
    </row>
    <row r="16" spans="2:13">
      <c r="B16" s="1160" t="s">
        <v>214</v>
      </c>
      <c r="C16" s="885">
        <f>'Berekening rekenvolumes'!K21</f>
        <v>0</v>
      </c>
      <c r="D16" s="1161"/>
      <c r="F16" s="1158" t="s">
        <v>213</v>
      </c>
      <c r="G16" s="886">
        <f>'Berekening rekenvolumes'!K58</f>
        <v>9236.5035049422386</v>
      </c>
      <c r="H16" s="1159"/>
      <c r="J16" s="1158" t="s">
        <v>230</v>
      </c>
      <c r="K16" s="886">
        <f>'Berekening rekenvolumes'!K83</f>
        <v>757955.40346656984</v>
      </c>
      <c r="L16" s="1159"/>
    </row>
    <row r="17" spans="2:14">
      <c r="B17" s="1162" t="s">
        <v>217</v>
      </c>
      <c r="C17" s="884">
        <f>'Berekening rekenvolumes'!K22</f>
        <v>0</v>
      </c>
      <c r="D17" s="1163"/>
      <c r="F17" s="1160" t="s">
        <v>223</v>
      </c>
      <c r="G17" s="885">
        <f>'Berekening rekenvolumes'!K59</f>
        <v>3170992.7259910661</v>
      </c>
      <c r="H17" s="1161"/>
      <c r="J17" s="1162" t="s">
        <v>231</v>
      </c>
      <c r="K17" s="884">
        <f>'Berekening rekenvolumes'!K84</f>
        <v>2880705.8158347351</v>
      </c>
      <c r="L17" s="1163"/>
    </row>
    <row r="18" spans="2:14">
      <c r="F18" s="1160" t="s">
        <v>215</v>
      </c>
      <c r="G18" s="885">
        <f>'Berekening rekenvolumes'!K60</f>
        <v>26834434.225580771</v>
      </c>
      <c r="H18" s="1161"/>
    </row>
    <row r="19" spans="2:14">
      <c r="B19" s="887" t="s">
        <v>218</v>
      </c>
      <c r="C19" s="1155" t="s">
        <v>1110</v>
      </c>
      <c r="D19" s="1157"/>
      <c r="F19" s="1162" t="s">
        <v>224</v>
      </c>
      <c r="G19" s="884">
        <f>'Berekening rekenvolumes'!K61</f>
        <v>8777478028.1547451</v>
      </c>
      <c r="H19" s="1163"/>
      <c r="J19" s="887" t="s">
        <v>232</v>
      </c>
      <c r="K19" s="1155" t="s">
        <v>1110</v>
      </c>
      <c r="L19" s="1157"/>
    </row>
    <row r="20" spans="2:14">
      <c r="B20" s="1158" t="s">
        <v>213</v>
      </c>
      <c r="C20" s="886">
        <f>'Berekening rekenvolumes'!K25</f>
        <v>18.477492044057254</v>
      </c>
      <c r="D20" s="1159"/>
      <c r="J20" s="1158" t="s">
        <v>233</v>
      </c>
      <c r="K20" s="886">
        <f>'Berekening rekenvolumes'!K87</f>
        <v>17754.665302920581</v>
      </c>
      <c r="L20" s="1159"/>
    </row>
    <row r="21" spans="2:14">
      <c r="B21" s="1160" t="s">
        <v>214</v>
      </c>
      <c r="C21" s="885">
        <f>'Berekening rekenvolumes'!K26</f>
        <v>123410.08821814531</v>
      </c>
      <c r="D21" s="1161"/>
      <c r="F21" s="887" t="s">
        <v>226</v>
      </c>
      <c r="G21" s="1155" t="s">
        <v>1110</v>
      </c>
      <c r="H21" s="1157"/>
      <c r="J21" s="1160" t="s">
        <v>234</v>
      </c>
      <c r="K21" s="885">
        <f>'Berekening rekenvolumes'!K88</f>
        <v>20691.588056278411</v>
      </c>
      <c r="L21" s="1161"/>
    </row>
    <row r="22" spans="2:14">
      <c r="B22" s="1162" t="s">
        <v>215</v>
      </c>
      <c r="C22" s="884">
        <f>'Berekening rekenvolumes'!K27</f>
        <v>1202933.8280905464</v>
      </c>
      <c r="D22" s="1163"/>
      <c r="F22" s="1158" t="s">
        <v>213</v>
      </c>
      <c r="G22" s="886">
        <f>'Berekening rekenvolumes'!K64</f>
        <v>13919.157078181866</v>
      </c>
      <c r="H22" s="1159"/>
      <c r="J22" s="1160" t="s">
        <v>235</v>
      </c>
      <c r="K22" s="885">
        <f>'Berekening rekenvolumes'!K89</f>
        <v>23719.774736970852</v>
      </c>
      <c r="L22" s="1161"/>
    </row>
    <row r="23" spans="2:14">
      <c r="F23" s="1160" t="s">
        <v>223</v>
      </c>
      <c r="G23" s="885">
        <f>'Berekening rekenvolumes'!K65</f>
        <v>1221001.8635716394</v>
      </c>
      <c r="H23" s="1161"/>
      <c r="J23" s="1160" t="s">
        <v>236</v>
      </c>
      <c r="K23" s="885">
        <f>'Berekening rekenvolumes'!K90</f>
        <v>52700.413454374502</v>
      </c>
      <c r="L23" s="1161"/>
    </row>
    <row r="24" spans="2:14" ht="14.25">
      <c r="B24" s="887" t="s">
        <v>933</v>
      </c>
      <c r="C24" s="1155" t="s">
        <v>1110</v>
      </c>
      <c r="D24" s="1157"/>
      <c r="F24" s="1160" t="s">
        <v>215</v>
      </c>
      <c r="G24" s="885">
        <f>'Berekening rekenvolumes'!K66</f>
        <v>9254668.3084617928</v>
      </c>
      <c r="H24" s="1161"/>
      <c r="J24" s="1160" t="s">
        <v>934</v>
      </c>
      <c r="K24" s="885">
        <f>'Berekening rekenvolumes'!K91</f>
        <v>2765387.0046706246</v>
      </c>
      <c r="L24" s="1161"/>
      <c r="N24" s="1174"/>
    </row>
    <row r="25" spans="2:14">
      <c r="B25" s="1158" t="s">
        <v>213</v>
      </c>
      <c r="C25" s="886">
        <f>'Berekening rekenvolumes'!K30</f>
        <v>12.002382852111745</v>
      </c>
      <c r="D25" s="1159"/>
      <c r="F25" s="1162" t="s">
        <v>224</v>
      </c>
      <c r="G25" s="884">
        <f>'Berekening rekenvolumes'!K67</f>
        <v>2560211290.5485816</v>
      </c>
      <c r="H25" s="1163"/>
      <c r="J25" s="1162" t="s">
        <v>238</v>
      </c>
      <c r="K25" s="884">
        <f>'Berekening rekenvolumes'!K92</f>
        <v>757951.85393285507</v>
      </c>
      <c r="L25" s="1163"/>
    </row>
    <row r="26" spans="2:14" ht="14.25">
      <c r="B26" s="1160" t="s">
        <v>214</v>
      </c>
      <c r="C26" s="885">
        <f>'Berekening rekenvolumes'!K31</f>
        <v>72674.708063734477</v>
      </c>
      <c r="D26" s="1161"/>
      <c r="J26" s="1153" t="s">
        <v>1508</v>
      </c>
    </row>
    <row r="27" spans="2:14">
      <c r="B27" s="1162" t="s">
        <v>217</v>
      </c>
      <c r="C27" s="884">
        <f>'Berekening rekenvolumes'!K32</f>
        <v>1121269.1414039603</v>
      </c>
      <c r="D27" s="1163"/>
      <c r="K27" s="893"/>
    </row>
    <row r="28" spans="2:14">
      <c r="J28" s="892" t="s">
        <v>53</v>
      </c>
      <c r="K28" s="891"/>
      <c r="L28" s="1154"/>
    </row>
    <row r="29" spans="2:14">
      <c r="B29" s="887" t="s">
        <v>220</v>
      </c>
      <c r="C29" s="1155" t="s">
        <v>1110</v>
      </c>
      <c r="D29" s="1157"/>
      <c r="J29" s="887"/>
      <c r="K29" s="1155" t="s">
        <v>1110</v>
      </c>
      <c r="L29" s="1157"/>
    </row>
    <row r="30" spans="2:14">
      <c r="B30" s="1158" t="s">
        <v>213</v>
      </c>
      <c r="C30" s="886">
        <f>'Berekening rekenvolumes'!K35</f>
        <v>321.79677258711655</v>
      </c>
      <c r="D30" s="1159"/>
      <c r="J30" s="1158" t="s">
        <v>239</v>
      </c>
      <c r="K30" s="886">
        <f>'Berekening rekenvolumes'!K103</f>
        <v>86472334.733333334</v>
      </c>
      <c r="L30" s="1159"/>
    </row>
    <row r="31" spans="2:14">
      <c r="B31" s="1160" t="s">
        <v>214</v>
      </c>
      <c r="C31" s="885">
        <f>'Berekening rekenvolumes'!K36</f>
        <v>1086166.1947839276</v>
      </c>
      <c r="D31" s="1161"/>
      <c r="J31" s="1162" t="s">
        <v>240</v>
      </c>
      <c r="K31" s="884">
        <f>'Berekening rekenvolumes'!K104</f>
        <v>5045241.8666666662</v>
      </c>
      <c r="L31" s="1163"/>
    </row>
    <row r="32" spans="2:14">
      <c r="B32" s="1162" t="s">
        <v>215</v>
      </c>
      <c r="C32" s="884">
        <f>'Berekening rekenvolumes'!K37</f>
        <v>9985956.5413381048</v>
      </c>
      <c r="D32" s="1163"/>
    </row>
    <row r="34" spans="2:12">
      <c r="B34" s="887" t="s">
        <v>935</v>
      </c>
      <c r="C34" s="1155" t="s">
        <v>1110</v>
      </c>
      <c r="D34" s="1157"/>
    </row>
    <row r="35" spans="2:12">
      <c r="B35" s="1158" t="s">
        <v>213</v>
      </c>
      <c r="C35" s="886">
        <f>'Berekening rekenvolumes'!K40</f>
        <v>15.391945252091025</v>
      </c>
      <c r="D35" s="1159"/>
    </row>
    <row r="36" spans="2:12">
      <c r="B36" s="1160" t="s">
        <v>214</v>
      </c>
      <c r="C36" s="885">
        <f>'Berekening rekenvolumes'!K41</f>
        <v>41462.746936917305</v>
      </c>
      <c r="D36" s="1161"/>
    </row>
    <row r="37" spans="2:12">
      <c r="B37" s="1162" t="s">
        <v>217</v>
      </c>
      <c r="C37" s="884">
        <f>'Berekening rekenvolumes'!K42</f>
        <v>626175.4901758628</v>
      </c>
      <c r="D37" s="1163"/>
    </row>
    <row r="39" spans="2:12" ht="15.75">
      <c r="B39" s="1009" t="s">
        <v>936</v>
      </c>
      <c r="C39" s="879"/>
      <c r="D39" s="880"/>
      <c r="E39" s="880"/>
      <c r="F39" s="880"/>
      <c r="G39" s="880"/>
      <c r="H39" s="880"/>
      <c r="I39" s="880"/>
      <c r="J39" s="880"/>
      <c r="K39" s="880"/>
      <c r="L39" s="881"/>
    </row>
    <row r="41" spans="2:12">
      <c r="B41" s="889" t="s">
        <v>658</v>
      </c>
      <c r="C41" s="1155" t="s">
        <v>1110</v>
      </c>
      <c r="D41" s="1156"/>
      <c r="F41" s="887" t="s">
        <v>942</v>
      </c>
      <c r="G41" s="1155" t="s">
        <v>1110</v>
      </c>
      <c r="H41" s="1157"/>
      <c r="J41" s="887" t="s">
        <v>943</v>
      </c>
      <c r="K41" s="1155" t="s">
        <v>1110</v>
      </c>
      <c r="L41" s="1157"/>
    </row>
    <row r="42" spans="2:12">
      <c r="B42" s="1158" t="str">
        <f>Liander!V15</f>
        <v>t/m 3*25A</v>
      </c>
      <c r="C42" s="886">
        <f>Liander!X15</f>
        <v>2765769.1496971273</v>
      </c>
      <c r="D42" s="1159"/>
      <c r="F42" s="1158" t="str">
        <f>Liander!V67</f>
        <v>t/m 3*25A</v>
      </c>
      <c r="G42" s="886">
        <f>Liander!X67</f>
        <v>28544.590342052314</v>
      </c>
      <c r="H42" s="1159"/>
      <c r="J42" s="1158" t="str">
        <f>Liander!V96</f>
        <v>t/m 3*25A</v>
      </c>
      <c r="K42" s="886">
        <f>Liander!X96</f>
        <v>33369.666666666664</v>
      </c>
      <c r="L42" s="1159"/>
    </row>
    <row r="43" spans="2:12">
      <c r="B43" s="1164" t="str">
        <f>Liander!V16</f>
        <v>&gt;3*25A en t/m 3*50A</v>
      </c>
      <c r="C43" s="894">
        <f>Liander!X16</f>
        <v>76431.292886516909</v>
      </c>
      <c r="D43" s="1165"/>
      <c r="F43" s="1164" t="str">
        <f>Liander!V68</f>
        <v>&gt;3*25A en t/m 3*50A</v>
      </c>
      <c r="G43" s="894">
        <f>Liander!X68</f>
        <v>2347.3254703037614</v>
      </c>
      <c r="H43" s="1165"/>
      <c r="J43" s="1164" t="str">
        <f>Liander!V97</f>
        <v>&gt;3*25A en t/m 3*50A</v>
      </c>
      <c r="K43" s="894">
        <f>Liander!X97</f>
        <v>14224.333333333334</v>
      </c>
      <c r="L43" s="1165"/>
    </row>
    <row r="44" spans="2:12">
      <c r="B44" s="1164" t="str">
        <f>Liander!V17</f>
        <v>&gt;3*50A en t/m 3*80A</v>
      </c>
      <c r="C44" s="894">
        <f>Liander!X17</f>
        <v>39881.4161402428</v>
      </c>
      <c r="D44" s="1165"/>
      <c r="F44" s="1164" t="str">
        <f>Liander!V69</f>
        <v>&gt;3*50A en t/m 3*80A</v>
      </c>
      <c r="G44" s="894">
        <f>Liander!X69</f>
        <v>1308.2887296014562</v>
      </c>
      <c r="H44" s="1165"/>
      <c r="J44" s="1164" t="str">
        <f>Liander!V98</f>
        <v>&gt;3*50A en t/m 3*80A</v>
      </c>
      <c r="K44" s="894">
        <f>Liander!X98</f>
        <v>15950</v>
      </c>
      <c r="L44" s="1165"/>
    </row>
    <row r="45" spans="2:12">
      <c r="B45" s="1164" t="str">
        <f>Liander!V18</f>
        <v>&gt;3*80A en t/m 100 kVA af sec zijde trafo</v>
      </c>
      <c r="C45" s="894">
        <f>Liander!X18</f>
        <v>8133.957039200126</v>
      </c>
      <c r="D45" s="1165"/>
      <c r="F45" s="1164" t="str">
        <f>Liander!V70</f>
        <v>&gt;3*80A en t/m 100 kVA af sec zijde trafo</v>
      </c>
      <c r="G45" s="894">
        <f>Liander!X70</f>
        <v>253.33333333333334</v>
      </c>
      <c r="H45" s="1165"/>
      <c r="J45" s="1164" t="str">
        <f>Liander!V99</f>
        <v>&gt;3*80A en t/m 100 kVA af sec zijde trafo</v>
      </c>
      <c r="K45" s="894">
        <f>Liander!X99</f>
        <v>32691.205181061392</v>
      </c>
      <c r="L45" s="1165"/>
    </row>
    <row r="46" spans="2:12">
      <c r="B46" s="1164" t="str">
        <f>Liander!V19</f>
        <v>&gt;100 kVA en t/m 160 kVA af sec zijde trafo</v>
      </c>
      <c r="C46" s="894">
        <f>Liander!X19</f>
        <v>6018.0205747112568</v>
      </c>
      <c r="D46" s="1165"/>
      <c r="F46" s="1164" t="str">
        <f>Liander!V71</f>
        <v>&gt;100 kVA en t/m 160 kVA af sec zijde trafo</v>
      </c>
      <c r="G46" s="894">
        <f>Liander!X71</f>
        <v>318.66666666666669</v>
      </c>
      <c r="H46" s="1165"/>
      <c r="J46" s="1164" t="str">
        <f>Liander!V100</f>
        <v>&gt;100 kVA en t/m 160 kVA af sec zijde trafo</v>
      </c>
      <c r="K46" s="894">
        <f>Liander!X100</f>
        <v>40836.143787963469</v>
      </c>
      <c r="L46" s="1165"/>
    </row>
    <row r="47" spans="2:12">
      <c r="B47" s="1164" t="str">
        <f>Liander!V20</f>
        <v>&gt;160 kVA en t/m 630 kVA met LS meting</v>
      </c>
      <c r="C47" s="894">
        <f>Liander!X20</f>
        <v>10156.640544426413</v>
      </c>
      <c r="D47" s="1165"/>
      <c r="F47" s="1164" t="str">
        <f>Liander!V72</f>
        <v>&gt;160 kVA en t/m 630 kVA met LS meting</v>
      </c>
      <c r="G47" s="894">
        <f>Liander!X72</f>
        <v>159.05800305308401</v>
      </c>
      <c r="H47" s="1165"/>
      <c r="J47" s="1164" t="str">
        <f>Liander!V101</f>
        <v>&gt;160 kVA en t/m 630 kVA met LS meting</v>
      </c>
      <c r="K47" s="894">
        <f>Liander!X101</f>
        <v>5945.6453743803868</v>
      </c>
      <c r="L47" s="1165"/>
    </row>
    <row r="48" spans="2:12">
      <c r="B48" s="1164" t="str">
        <f>Liander!V21</f>
        <v>&gt;630 kVA en t/m 1000 kVA met LS meting</v>
      </c>
      <c r="C48" s="894">
        <f>Liander!X21</f>
        <v>350.76241833317977</v>
      </c>
      <c r="D48" s="1165"/>
      <c r="F48" s="1164" t="str">
        <f>Liander!V73</f>
        <v>&gt;630 kVA en t/m 1000 kVA met LS meting</v>
      </c>
      <c r="G48" s="894">
        <f>Liander!X73</f>
        <v>29.843398775450169</v>
      </c>
      <c r="H48" s="1165"/>
      <c r="J48" s="1164" t="str">
        <f>Liander!V102</f>
        <v>&gt;630 kVA en t/m 1000 kVA met LS meting</v>
      </c>
      <c r="K48" s="894">
        <f>Liander!X102</f>
        <v>1451.9100207757472</v>
      </c>
      <c r="L48" s="1165"/>
    </row>
    <row r="49" spans="2:12">
      <c r="B49" s="1164" t="str">
        <f>Liander!V22</f>
        <v>&gt;1000 kVA en t/m 2,0 MVA</v>
      </c>
      <c r="C49" s="894">
        <f>Liander!X22</f>
        <v>2059.6131419064691</v>
      </c>
      <c r="D49" s="1165"/>
      <c r="F49" s="1164" t="str">
        <f>Liander!V74</f>
        <v xml:space="preserve">&gt;1000 kVA en t/m 2 MVA </v>
      </c>
      <c r="G49" s="894">
        <f>Liander!X74</f>
        <v>40.542477674350202</v>
      </c>
      <c r="H49" s="1165"/>
      <c r="J49" s="1164" t="str">
        <f>Liander!V103</f>
        <v xml:space="preserve">&gt;1000 kVA en t/m 2 MVA </v>
      </c>
      <c r="K49" s="894">
        <f>Liander!X103</f>
        <v>2228.9233520926814</v>
      </c>
      <c r="L49" s="1165"/>
    </row>
    <row r="50" spans="2:12">
      <c r="B50" s="1164" t="str">
        <f>Liander!V23</f>
        <v>&gt;2 MVA en t/m 5,0 MVA</v>
      </c>
      <c r="C50" s="894">
        <f>Liander!X23</f>
        <v>103.22401214889767</v>
      </c>
      <c r="D50" s="1165"/>
      <c r="F50" s="1164" t="str">
        <f>Liander!V75</f>
        <v>&gt;2 MVA en t/m 5,0 MVA</v>
      </c>
      <c r="G50" s="894">
        <f>Liander!X75</f>
        <v>8.6666666666666661</v>
      </c>
      <c r="H50" s="1165"/>
      <c r="J50" s="1164" t="str">
        <f>Liander!V104</f>
        <v>&gt;2 MVA en t/m 5,0 MVA</v>
      </c>
      <c r="K50" s="894">
        <f>Liander!X104</f>
        <v>14437.333333333334</v>
      </c>
      <c r="L50" s="1165"/>
    </row>
    <row r="51" spans="2:12">
      <c r="B51" s="1164" t="str">
        <f>Liander!V24</f>
        <v>&gt;5 MVA en t/m 10,0 MVA</v>
      </c>
      <c r="C51" s="894">
        <f>Liander!X24</f>
        <v>34.500585168336215</v>
      </c>
      <c r="D51" s="1165"/>
      <c r="F51" s="1164" t="str">
        <f>Liander!V76</f>
        <v>&gt;5 MVA en t/m 10,0 MVA</v>
      </c>
      <c r="G51" s="894">
        <f>Liander!X76</f>
        <v>5</v>
      </c>
      <c r="H51" s="1165"/>
      <c r="J51" s="1164" t="str">
        <f>Liander!V105</f>
        <v>&gt;5 MVA en t/m 10,0 MVA</v>
      </c>
      <c r="K51" s="894">
        <f>Liander!X105</f>
        <v>14074.666666666666</v>
      </c>
      <c r="L51" s="1165"/>
    </row>
    <row r="52" spans="2:12">
      <c r="B52" s="1164" t="str">
        <f>Liander!V25</f>
        <v>t/m 1 x 6A op geschakeld net</v>
      </c>
      <c r="C52" s="894">
        <f>Liander!X25</f>
        <v>757955.35573660675</v>
      </c>
      <c r="D52" s="1165"/>
      <c r="F52" s="1164" t="str">
        <f>Liander!V77</f>
        <v>t/m 1 x 6A op geschakeld net</v>
      </c>
      <c r="G52" s="894">
        <f>Liander!X77</f>
        <v>9302</v>
      </c>
      <c r="H52" s="1165"/>
      <c r="J52" s="1164" t="str">
        <f>Liander!V106</f>
        <v>t/m 1 x 6A op geschakeld net</v>
      </c>
      <c r="K52" s="894">
        <f>Liander!X106</f>
        <v>10918.5</v>
      </c>
      <c r="L52" s="1165"/>
    </row>
    <row r="53" spans="2:12">
      <c r="B53" s="1164"/>
      <c r="C53" s="894"/>
      <c r="D53" s="1165"/>
      <c r="F53" s="1164"/>
      <c r="G53" s="894"/>
      <c r="H53" s="1165"/>
      <c r="J53" s="1164"/>
      <c r="K53" s="894"/>
      <c r="L53" s="1165"/>
    </row>
    <row r="54" spans="2:12">
      <c r="B54" s="1164"/>
      <c r="C54" s="894"/>
      <c r="D54" s="1165"/>
      <c r="F54" s="1164"/>
      <c r="G54" s="894"/>
      <c r="H54" s="1165"/>
      <c r="J54" s="1164"/>
      <c r="K54" s="894"/>
      <c r="L54" s="1165"/>
    </row>
    <row r="55" spans="2:12">
      <c r="B55" s="1164"/>
      <c r="C55" s="894"/>
      <c r="D55" s="1165"/>
      <c r="F55" s="1164"/>
      <c r="G55" s="894"/>
      <c r="H55" s="1165"/>
      <c r="J55" s="1164"/>
      <c r="K55" s="894"/>
      <c r="L55" s="1165"/>
    </row>
    <row r="56" spans="2:12">
      <c r="B56" s="1160"/>
      <c r="C56" s="885"/>
      <c r="D56" s="1161"/>
      <c r="F56" s="1160"/>
      <c r="G56" s="885"/>
      <c r="H56" s="1161"/>
      <c r="J56" s="1160"/>
      <c r="K56" s="885"/>
      <c r="L56" s="1161"/>
    </row>
    <row r="57" spans="2:12">
      <c r="B57" s="1160"/>
      <c r="C57" s="885"/>
      <c r="D57" s="1161"/>
      <c r="F57" s="1160"/>
      <c r="G57" s="885"/>
      <c r="H57" s="1161"/>
      <c r="J57" s="1160"/>
      <c r="K57" s="885"/>
      <c r="L57" s="1161"/>
    </row>
    <row r="58" spans="2:12">
      <c r="B58" s="888"/>
      <c r="C58" s="884"/>
      <c r="D58" s="1163"/>
      <c r="F58" s="888"/>
      <c r="G58" s="884"/>
      <c r="H58" s="1163"/>
      <c r="J58" s="888"/>
      <c r="K58" s="884"/>
      <c r="L58" s="1163"/>
    </row>
    <row r="59" spans="2:12">
      <c r="B59" s="1166" t="s">
        <v>260</v>
      </c>
      <c r="C59" s="1166"/>
      <c r="F59" s="1167"/>
      <c r="G59" s="1167"/>
      <c r="H59" s="1167"/>
    </row>
    <row r="60" spans="2:12">
      <c r="B60" s="889" t="s">
        <v>944</v>
      </c>
      <c r="C60" s="1155" t="s">
        <v>1110</v>
      </c>
      <c r="D60" s="1156"/>
      <c r="F60" s="1167"/>
      <c r="G60" s="1167"/>
      <c r="H60" s="1167"/>
    </row>
    <row r="61" spans="2:12">
      <c r="B61" s="1158" t="str">
        <f>Liander!V31</f>
        <v>3-10 MVA</v>
      </c>
      <c r="C61" s="886">
        <f>Liander!X31</f>
        <v>799535.61331670452</v>
      </c>
      <c r="D61" s="1159"/>
    </row>
    <row r="62" spans="2:12">
      <c r="B62" s="1172"/>
      <c r="C62" s="895"/>
      <c r="D62" s="1173"/>
      <c r="F62" s="1153" t="s">
        <v>1516</v>
      </c>
    </row>
    <row r="63" spans="2:12">
      <c r="C63" s="1167"/>
    </row>
    <row r="64" spans="2:12">
      <c r="B64" s="1167"/>
      <c r="C64" s="1167"/>
    </row>
    <row r="65" spans="3:3">
      <c r="C65" s="896"/>
    </row>
    <row r="66" spans="3:3">
      <c r="C66" s="1167"/>
    </row>
    <row r="67" spans="3:3">
      <c r="C67" s="1167"/>
    </row>
    <row r="68" spans="3:3">
      <c r="C68" s="1167"/>
    </row>
    <row r="70" spans="3:3">
      <c r="C70" s="890"/>
    </row>
    <row r="71" spans="3:3">
      <c r="C71" s="897"/>
    </row>
    <row r="72" spans="3:3">
      <c r="C72" s="897"/>
    </row>
    <row r="73" spans="3:3">
      <c r="C73" s="897"/>
    </row>
    <row r="74" spans="3:3">
      <c r="C74" s="897"/>
    </row>
    <row r="75" spans="3:3">
      <c r="C75" s="897"/>
    </row>
  </sheetData>
  <pageMargins left="0.7" right="0.7" top="0.75" bottom="0.75" header="0.3" footer="0.3"/>
  <pageSetup paperSize="9" scale="58"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tabColor rgb="FFCCFFFF"/>
    <pageSetUpPr fitToPage="1"/>
  </sheetPr>
  <dimension ref="B2:M75"/>
  <sheetViews>
    <sheetView showGridLines="0" zoomScale="85" zoomScaleNormal="85" workbookViewId="0"/>
  </sheetViews>
  <sheetFormatPr defaultRowHeight="12.75"/>
  <cols>
    <col min="1" max="1" width="9.140625" style="1153"/>
    <col min="2" max="2" width="55.28515625" style="1153" customWidth="1"/>
    <col min="3" max="3" width="15.85546875" style="1153" customWidth="1"/>
    <col min="4" max="4" width="3" style="1153" customWidth="1"/>
    <col min="5" max="5" width="2.85546875" style="1153" customWidth="1"/>
    <col min="6" max="6" width="55.28515625" style="1153" customWidth="1"/>
    <col min="7" max="7" width="15.85546875" style="1153" customWidth="1"/>
    <col min="8" max="8" width="3.140625" style="1153" customWidth="1"/>
    <col min="9" max="9" width="2.85546875" style="1153" customWidth="1"/>
    <col min="10" max="10" width="55.28515625" style="1153" customWidth="1"/>
    <col min="11" max="11" width="15.85546875" style="1153" customWidth="1"/>
    <col min="12" max="12" width="3.28515625" style="1153" customWidth="1"/>
    <col min="13" max="16384" width="9.140625" style="1153"/>
  </cols>
  <sheetData>
    <row r="2" spans="2:13" s="1168" customFormat="1" ht="19.5" customHeight="1">
      <c r="B2" s="1144" t="s">
        <v>1513</v>
      </c>
      <c r="C2" s="1169"/>
      <c r="D2" s="1170"/>
      <c r="E2" s="1170"/>
      <c r="F2" s="1170"/>
      <c r="G2" s="1170"/>
      <c r="H2" s="1170"/>
      <c r="I2" s="1170"/>
      <c r="J2" s="1170"/>
      <c r="K2" s="1170"/>
      <c r="L2" s="1171"/>
    </row>
    <row r="3" spans="2:13" s="1146" customFormat="1" ht="4.5" customHeight="1">
      <c r="B3" s="1147"/>
      <c r="D3" s="1145"/>
      <c r="E3" s="1145"/>
      <c r="F3" s="1145"/>
      <c r="G3" s="1145"/>
      <c r="H3" s="1145"/>
      <c r="I3" s="1145"/>
      <c r="J3" s="1145"/>
      <c r="K3" s="1145"/>
      <c r="L3" s="1148"/>
      <c r="M3" s="1145"/>
    </row>
    <row r="4" spans="2:13" s="1145" customFormat="1">
      <c r="B4" s="1149" t="s">
        <v>1135</v>
      </c>
      <c r="C4" s="1150"/>
      <c r="D4" s="1150"/>
      <c r="E4" s="1150"/>
      <c r="F4" s="1151"/>
      <c r="G4" s="1150"/>
      <c r="H4" s="1150"/>
      <c r="I4" s="1150"/>
      <c r="J4" s="1150"/>
      <c r="K4" s="1150"/>
      <c r="L4" s="1152"/>
    </row>
    <row r="5" spans="2:13" ht="15.75">
      <c r="B5" s="1009" t="s">
        <v>70</v>
      </c>
      <c r="C5" s="879"/>
      <c r="D5" s="880"/>
      <c r="E5" s="880"/>
      <c r="F5" s="880"/>
      <c r="G5" s="880"/>
      <c r="H5" s="880"/>
      <c r="I5" s="880"/>
      <c r="J5" s="880"/>
      <c r="K5" s="880"/>
      <c r="L5" s="881"/>
    </row>
    <row r="7" spans="2:13">
      <c r="B7" s="892" t="s">
        <v>49</v>
      </c>
      <c r="C7" s="891"/>
      <c r="D7" s="1154"/>
      <c r="F7" s="892" t="s">
        <v>50</v>
      </c>
      <c r="G7" s="891"/>
      <c r="H7" s="1154"/>
      <c r="J7" s="892" t="s">
        <v>51</v>
      </c>
      <c r="K7" s="891"/>
      <c r="L7" s="1154"/>
    </row>
    <row r="9" spans="2:13">
      <c r="B9" s="882" t="s">
        <v>212</v>
      </c>
      <c r="C9" s="1155" t="s">
        <v>1110</v>
      </c>
      <c r="D9" s="1156"/>
      <c r="F9" s="887" t="s">
        <v>222</v>
      </c>
      <c r="G9" s="1155" t="s">
        <v>1110</v>
      </c>
      <c r="H9" s="1157"/>
      <c r="J9" s="887" t="s">
        <v>227</v>
      </c>
      <c r="K9" s="1155" t="s">
        <v>1110</v>
      </c>
      <c r="L9" s="1157"/>
    </row>
    <row r="10" spans="2:13">
      <c r="B10" s="1158" t="s">
        <v>213</v>
      </c>
      <c r="C10" s="886">
        <f>'Berekening rekenvolumes'!L15</f>
        <v>0</v>
      </c>
      <c r="D10" s="1159"/>
      <c r="F10" s="1158" t="s">
        <v>213</v>
      </c>
      <c r="G10" s="886">
        <f>'Berekening rekenvolumes'!L52</f>
        <v>1.9166666666666667</v>
      </c>
      <c r="H10" s="1159"/>
      <c r="J10" s="1158" t="s">
        <v>213</v>
      </c>
      <c r="K10" s="886">
        <f>'Berekening rekenvolumes'!L77</f>
        <v>134.41666666666666</v>
      </c>
      <c r="L10" s="1159"/>
    </row>
    <row r="11" spans="2:13">
      <c r="B11" s="1160" t="s">
        <v>214</v>
      </c>
      <c r="C11" s="885">
        <f>'Berekening rekenvolumes'!L16</f>
        <v>0</v>
      </c>
      <c r="D11" s="1161"/>
      <c r="F11" s="1160" t="s">
        <v>223</v>
      </c>
      <c r="G11" s="885">
        <f>'Berekening rekenvolumes'!L53</f>
        <v>11598.666666666666</v>
      </c>
      <c r="H11" s="1161"/>
      <c r="J11" s="1160" t="s">
        <v>223</v>
      </c>
      <c r="K11" s="885">
        <f>'Berekening rekenvolumes'!L78</f>
        <v>8441.4666666666672</v>
      </c>
      <c r="L11" s="1161"/>
    </row>
    <row r="12" spans="2:13">
      <c r="B12" s="1162" t="s">
        <v>215</v>
      </c>
      <c r="C12" s="884">
        <f>'Berekening rekenvolumes'!L17</f>
        <v>0</v>
      </c>
      <c r="D12" s="1163"/>
      <c r="F12" s="1160" t="s">
        <v>215</v>
      </c>
      <c r="G12" s="885">
        <f>'Berekening rekenvolumes'!L54</f>
        <v>108453.66666666667</v>
      </c>
      <c r="H12" s="1161"/>
      <c r="J12" s="1160" t="s">
        <v>228</v>
      </c>
      <c r="K12" s="885">
        <f>'Berekening rekenvolumes'!L79</f>
        <v>6385917.666666667</v>
      </c>
      <c r="L12" s="1161"/>
    </row>
    <row r="13" spans="2:13">
      <c r="F13" s="1162" t="s">
        <v>224</v>
      </c>
      <c r="G13" s="884">
        <f>'Berekening rekenvolumes'!L55</f>
        <v>22364833.666666668</v>
      </c>
      <c r="H13" s="1163"/>
      <c r="J13" s="1162" t="s">
        <v>224</v>
      </c>
      <c r="K13" s="884">
        <f>'Berekening rekenvolumes'!L80</f>
        <v>12163289.333333334</v>
      </c>
      <c r="L13" s="1163"/>
    </row>
    <row r="14" spans="2:13">
      <c r="B14" s="887" t="s">
        <v>932</v>
      </c>
      <c r="C14" s="1155" t="s">
        <v>1110</v>
      </c>
      <c r="D14" s="1157"/>
    </row>
    <row r="15" spans="2:13">
      <c r="B15" s="1158" t="s">
        <v>213</v>
      </c>
      <c r="C15" s="886">
        <f>'Berekening rekenvolumes'!L20</f>
        <v>0</v>
      </c>
      <c r="D15" s="1159"/>
      <c r="F15" s="887" t="s">
        <v>225</v>
      </c>
      <c r="G15" s="1155" t="s">
        <v>1110</v>
      </c>
      <c r="H15" s="1157"/>
      <c r="J15" s="889" t="s">
        <v>229</v>
      </c>
      <c r="K15" s="1155" t="s">
        <v>1110</v>
      </c>
      <c r="L15" s="1156"/>
    </row>
    <row r="16" spans="2:13">
      <c r="B16" s="1160" t="s">
        <v>214</v>
      </c>
      <c r="C16" s="885">
        <f>'Berekening rekenvolumes'!L21</f>
        <v>0</v>
      </c>
      <c r="D16" s="1161"/>
      <c r="F16" s="1158" t="s">
        <v>213</v>
      </c>
      <c r="G16" s="886">
        <f>'Berekening rekenvolumes'!L58</f>
        <v>16.056666666666668</v>
      </c>
      <c r="H16" s="1159"/>
      <c r="J16" s="1158" t="s">
        <v>230</v>
      </c>
      <c r="K16" s="886">
        <f>'Berekening rekenvolumes'!L83</f>
        <v>18684.833333333332</v>
      </c>
      <c r="L16" s="1159"/>
    </row>
    <row r="17" spans="2:12">
      <c r="B17" s="1162" t="s">
        <v>217</v>
      </c>
      <c r="C17" s="884">
        <f>'Berekening rekenvolumes'!L22</f>
        <v>0</v>
      </c>
      <c r="D17" s="1163"/>
      <c r="F17" s="1160" t="s">
        <v>223</v>
      </c>
      <c r="G17" s="885">
        <f>'Berekening rekenvolumes'!L59</f>
        <v>17691.666666666668</v>
      </c>
      <c r="H17" s="1161"/>
      <c r="J17" s="1162" t="s">
        <v>231</v>
      </c>
      <c r="K17" s="884">
        <f>'Berekening rekenvolumes'!L84</f>
        <v>31353.400000000005</v>
      </c>
      <c r="L17" s="1163"/>
    </row>
    <row r="18" spans="2:12">
      <c r="F18" s="1160" t="s">
        <v>215</v>
      </c>
      <c r="G18" s="885">
        <f>'Berekening rekenvolumes'!L60</f>
        <v>180289.92333333334</v>
      </c>
      <c r="H18" s="1161"/>
    </row>
    <row r="19" spans="2:12">
      <c r="B19" s="887" t="s">
        <v>218</v>
      </c>
      <c r="C19" s="1155" t="s">
        <v>1110</v>
      </c>
      <c r="D19" s="1157"/>
      <c r="F19" s="1162" t="s">
        <v>224</v>
      </c>
      <c r="G19" s="884">
        <f>'Berekening rekenvolumes'!L61</f>
        <v>62714232.333333336</v>
      </c>
      <c r="H19" s="1163"/>
      <c r="J19" s="887" t="s">
        <v>232</v>
      </c>
      <c r="K19" s="1155" t="s">
        <v>1110</v>
      </c>
      <c r="L19" s="1157"/>
    </row>
    <row r="20" spans="2:12">
      <c r="B20" s="1158" t="s">
        <v>213</v>
      </c>
      <c r="C20" s="886">
        <f>'Berekening rekenvolumes'!L25</f>
        <v>0</v>
      </c>
      <c r="D20" s="1159"/>
      <c r="J20" s="1158" t="s">
        <v>233</v>
      </c>
      <c r="K20" s="886">
        <f>'Berekening rekenvolumes'!L87</f>
        <v>175.66666666666666</v>
      </c>
      <c r="L20" s="1159"/>
    </row>
    <row r="21" spans="2:12">
      <c r="B21" s="1160" t="s">
        <v>214</v>
      </c>
      <c r="C21" s="885">
        <f>'Berekening rekenvolumes'!L26</f>
        <v>0</v>
      </c>
      <c r="D21" s="1161"/>
      <c r="F21" s="887" t="s">
        <v>226</v>
      </c>
      <c r="G21" s="1155" t="s">
        <v>1110</v>
      </c>
      <c r="H21" s="1157"/>
      <c r="J21" s="1160" t="s">
        <v>234</v>
      </c>
      <c r="K21" s="885">
        <f>'Berekening rekenvolumes'!L88</f>
        <v>224.73333333333335</v>
      </c>
      <c r="L21" s="1161"/>
    </row>
    <row r="22" spans="2:12">
      <c r="B22" s="1162" t="s">
        <v>215</v>
      </c>
      <c r="C22" s="884">
        <f>'Berekening rekenvolumes'!L27</f>
        <v>0</v>
      </c>
      <c r="D22" s="1163"/>
      <c r="F22" s="1158" t="s">
        <v>213</v>
      </c>
      <c r="G22" s="886">
        <f>'Berekening rekenvolumes'!L64</f>
        <v>132.4</v>
      </c>
      <c r="H22" s="1159"/>
      <c r="J22" s="1160" t="s">
        <v>235</v>
      </c>
      <c r="K22" s="885">
        <f>'Berekening rekenvolumes'!L89</f>
        <v>288.86666666666662</v>
      </c>
      <c r="L22" s="1161"/>
    </row>
    <row r="23" spans="2:12">
      <c r="F23" s="1160" t="s">
        <v>223</v>
      </c>
      <c r="G23" s="885">
        <f>'Berekening rekenvolumes'!L65</f>
        <v>23168.366666666669</v>
      </c>
      <c r="H23" s="1161"/>
      <c r="J23" s="1160" t="s">
        <v>236</v>
      </c>
      <c r="K23" s="885">
        <f>'Berekening rekenvolumes'!L90</f>
        <v>531.19999999999993</v>
      </c>
      <c r="L23" s="1161"/>
    </row>
    <row r="24" spans="2:12" ht="14.25">
      <c r="B24" s="887" t="s">
        <v>933</v>
      </c>
      <c r="C24" s="1155" t="s">
        <v>1110</v>
      </c>
      <c r="D24" s="1157"/>
      <c r="F24" s="1160" t="s">
        <v>215</v>
      </c>
      <c r="G24" s="885">
        <f>'Berekening rekenvolumes'!L66</f>
        <v>213062.02333333335</v>
      </c>
      <c r="H24" s="1161"/>
      <c r="J24" s="1160" t="s">
        <v>934</v>
      </c>
      <c r="K24" s="885">
        <f>'Berekening rekenvolumes'!L91</f>
        <v>30132.933333333331</v>
      </c>
      <c r="L24" s="1161"/>
    </row>
    <row r="25" spans="2:12">
      <c r="B25" s="1158" t="s">
        <v>213</v>
      </c>
      <c r="C25" s="886">
        <f>'Berekening rekenvolumes'!L30</f>
        <v>0</v>
      </c>
      <c r="D25" s="1159"/>
      <c r="F25" s="1162" t="s">
        <v>224</v>
      </c>
      <c r="G25" s="884">
        <f>'Berekening rekenvolumes'!L67</f>
        <v>56807758.666666664</v>
      </c>
      <c r="H25" s="1163"/>
      <c r="J25" s="1162" t="s">
        <v>238</v>
      </c>
      <c r="K25" s="884">
        <f>'Berekening rekenvolumes'!L92</f>
        <v>18684.833333333332</v>
      </c>
      <c r="L25" s="1163"/>
    </row>
    <row r="26" spans="2:12" ht="14.25">
      <c r="B26" s="1160" t="s">
        <v>214</v>
      </c>
      <c r="C26" s="885">
        <f>'Berekening rekenvolumes'!L31</f>
        <v>0</v>
      </c>
      <c r="D26" s="1161"/>
      <c r="J26" s="1153" t="s">
        <v>1508</v>
      </c>
    </row>
    <row r="27" spans="2:12">
      <c r="B27" s="1162" t="s">
        <v>217</v>
      </c>
      <c r="C27" s="884">
        <f>'Berekening rekenvolumes'!L32</f>
        <v>0</v>
      </c>
      <c r="D27" s="1163"/>
      <c r="K27" s="893"/>
    </row>
    <row r="28" spans="2:12">
      <c r="J28" s="892" t="s">
        <v>53</v>
      </c>
      <c r="K28" s="891"/>
      <c r="L28" s="1154"/>
    </row>
    <row r="29" spans="2:12">
      <c r="B29" s="887" t="s">
        <v>220</v>
      </c>
      <c r="C29" s="1155" t="s">
        <v>1110</v>
      </c>
      <c r="D29" s="1157"/>
      <c r="J29" s="887"/>
      <c r="K29" s="1155" t="s">
        <v>1110</v>
      </c>
      <c r="L29" s="1157"/>
    </row>
    <row r="30" spans="2:12">
      <c r="B30" s="1158" t="s">
        <v>213</v>
      </c>
      <c r="C30" s="886">
        <f>'Berekening rekenvolumes'!L35</f>
        <v>0</v>
      </c>
      <c r="D30" s="1159"/>
      <c r="J30" s="1158" t="s">
        <v>239</v>
      </c>
      <c r="K30" s="886">
        <f>'Berekening rekenvolumes'!L103</f>
        <v>1993891.3333333333</v>
      </c>
      <c r="L30" s="1159"/>
    </row>
    <row r="31" spans="2:12">
      <c r="B31" s="1160" t="s">
        <v>214</v>
      </c>
      <c r="C31" s="885">
        <f>'Berekening rekenvolumes'!L36</f>
        <v>0</v>
      </c>
      <c r="D31" s="1161"/>
      <c r="J31" s="1162" t="s">
        <v>240</v>
      </c>
      <c r="K31" s="884">
        <f>'Berekening rekenvolumes'!L104</f>
        <v>474107</v>
      </c>
      <c r="L31" s="1163"/>
    </row>
    <row r="32" spans="2:12">
      <c r="B32" s="1162" t="s">
        <v>215</v>
      </c>
      <c r="C32" s="884">
        <f>'Berekening rekenvolumes'!L37</f>
        <v>0</v>
      </c>
      <c r="D32" s="1163"/>
    </row>
    <row r="34" spans="2:12">
      <c r="B34" s="887" t="s">
        <v>935</v>
      </c>
      <c r="C34" s="1155" t="s">
        <v>1110</v>
      </c>
      <c r="D34" s="1157"/>
    </row>
    <row r="35" spans="2:12">
      <c r="B35" s="1158" t="s">
        <v>213</v>
      </c>
      <c r="C35" s="886">
        <f>'Berekening rekenvolumes'!L40</f>
        <v>0</v>
      </c>
      <c r="D35" s="1159"/>
    </row>
    <row r="36" spans="2:12">
      <c r="B36" s="1160" t="s">
        <v>214</v>
      </c>
      <c r="C36" s="885">
        <f>'Berekening rekenvolumes'!L41</f>
        <v>0</v>
      </c>
      <c r="D36" s="1161"/>
    </row>
    <row r="37" spans="2:12">
      <c r="B37" s="1162" t="s">
        <v>217</v>
      </c>
      <c r="C37" s="884">
        <f>'Berekening rekenvolumes'!L42</f>
        <v>0</v>
      </c>
      <c r="D37" s="1163"/>
    </row>
    <row r="39" spans="2:12" ht="15.75">
      <c r="B39" s="1009" t="s">
        <v>936</v>
      </c>
      <c r="C39" s="879"/>
      <c r="D39" s="880"/>
      <c r="E39" s="880"/>
      <c r="F39" s="880"/>
      <c r="G39" s="880"/>
      <c r="H39" s="880"/>
      <c r="I39" s="880"/>
      <c r="J39" s="880"/>
      <c r="K39" s="880"/>
      <c r="L39" s="881"/>
    </row>
    <row r="41" spans="2:12">
      <c r="B41" s="889" t="s">
        <v>658</v>
      </c>
      <c r="C41" s="1155" t="s">
        <v>1110</v>
      </c>
      <c r="D41" s="1156"/>
      <c r="F41" s="887" t="s">
        <v>942</v>
      </c>
      <c r="G41" s="1155" t="s">
        <v>1110</v>
      </c>
      <c r="H41" s="1157"/>
      <c r="J41" s="887" t="s">
        <v>943</v>
      </c>
      <c r="K41" s="1155" t="s">
        <v>1110</v>
      </c>
      <c r="L41" s="1157"/>
    </row>
    <row r="42" spans="2:12">
      <c r="B42" s="1158" t="str">
        <f>RENDO!V15</f>
        <v>Afnemers EHS/HS (&gt;=110 kV)</v>
      </c>
      <c r="C42" s="886">
        <f>RENDO!X15</f>
        <v>0</v>
      </c>
      <c r="D42" s="1159"/>
      <c r="F42" s="1158" t="str">
        <f>RENDO!V67</f>
        <v>0 t/m 1x6A LS geschakeld</v>
      </c>
      <c r="G42" s="886">
        <f>RENDO!X67</f>
        <v>441</v>
      </c>
      <c r="H42" s="1159"/>
      <c r="J42" s="1158" t="str">
        <f>RENDO!V96</f>
        <v>0 t/m 1x6A LS geschakeld</v>
      </c>
      <c r="K42" s="886">
        <f>RENDO!X96</f>
        <v>302</v>
      </c>
      <c r="L42" s="1159"/>
    </row>
    <row r="43" spans="2:12">
      <c r="B43" s="1164" t="str">
        <f>RENDO!V16</f>
        <v>Afnemers TS (25-50 kV)</v>
      </c>
      <c r="C43" s="894">
        <f>RENDO!X16</f>
        <v>0</v>
      </c>
      <c r="D43" s="1165"/>
      <c r="F43" s="1164" t="str">
        <f>RENDO!V68</f>
        <v>0 t/m 3x25A en 1x40A</v>
      </c>
      <c r="G43" s="894">
        <f>RENDO!X68</f>
        <v>234.66666666666666</v>
      </c>
      <c r="H43" s="1165"/>
      <c r="J43" s="1164" t="str">
        <f>RENDO!V97</f>
        <v>0 t/m 3x25A en 1x40A</v>
      </c>
      <c r="K43" s="894">
        <f>RENDO!X97</f>
        <v>451.33333333333331</v>
      </c>
      <c r="L43" s="1165"/>
    </row>
    <row r="44" spans="2:12">
      <c r="B44" s="1164" t="str">
        <f>RENDO!V17</f>
        <v>Afnemers Trafo HS + TS/MS</v>
      </c>
      <c r="C44" s="894">
        <f>RENDO!X17</f>
        <v>0</v>
      </c>
      <c r="D44" s="1165"/>
      <c r="F44" s="1164" t="str">
        <f>RENDO!V69</f>
        <v>&gt;3x25A en t/m 3x40A</v>
      </c>
      <c r="G44" s="894">
        <f>RENDO!X69</f>
        <v>11.666666666666666</v>
      </c>
      <c r="H44" s="1165"/>
      <c r="J44" s="1164" t="str">
        <f>RENDO!V98</f>
        <v>&gt;3x25A en t/m 3x40A</v>
      </c>
      <c r="K44" s="894">
        <f>RENDO!X98</f>
        <v>31.333333333333332</v>
      </c>
      <c r="L44" s="1165"/>
    </row>
    <row r="45" spans="2:12">
      <c r="B45" s="1164" t="str">
        <f>RENDO!V18</f>
        <v>Afnemers MS (1-20 kV) - Transport (&gt; 2.0 MVA tot 10 MVA)</v>
      </c>
      <c r="C45" s="894">
        <f>RENDO!X18</f>
        <v>1.9166666666666667</v>
      </c>
      <c r="D45" s="1165"/>
      <c r="F45" s="1164" t="str">
        <f>RENDO!V70</f>
        <v>&gt;3x40A en t/m 3x50A</v>
      </c>
      <c r="G45" s="894">
        <f>RENDO!X70</f>
        <v>4</v>
      </c>
      <c r="H45" s="1165"/>
      <c r="J45" s="1164" t="str">
        <f>RENDO!V99</f>
        <v>&gt;3x40A en t/m 3x50A</v>
      </c>
      <c r="K45" s="894">
        <f>RENDO!X99</f>
        <v>1.3333333333333333</v>
      </c>
      <c r="L45" s="1165"/>
    </row>
    <row r="46" spans="2:12">
      <c r="B46" s="1164" t="str">
        <f>RENDO!V19</f>
        <v>Afnemers MS (1-20 kV) - Distributie (&gt; 1,2 MVA t/m 2,0 MVA)</v>
      </c>
      <c r="C46" s="894">
        <f>RENDO!X19</f>
        <v>16.056666666666668</v>
      </c>
      <c r="D46" s="1165"/>
      <c r="F46" s="1164" t="str">
        <f>RENDO!V71</f>
        <v>&gt;3x50A en t/m 3x63A</v>
      </c>
      <c r="G46" s="894">
        <f>RENDO!X71</f>
        <v>3.3333333333333335</v>
      </c>
      <c r="H46" s="1165"/>
      <c r="J46" s="1164" t="str">
        <f>RENDO!V100</f>
        <v>&gt;3x50A en t/m 3x63A</v>
      </c>
      <c r="K46" s="894">
        <f>RENDO!X100</f>
        <v>18.333333333333332</v>
      </c>
      <c r="L46" s="1165"/>
    </row>
    <row r="47" spans="2:12">
      <c r="B47" s="1164" t="str">
        <f>RENDO!V20</f>
        <v>Afnemers Trafo MS/LS (0,15MVA t/m 1,2MVA)</v>
      </c>
      <c r="C47" s="894">
        <f>RENDO!X20</f>
        <v>132.4</v>
      </c>
      <c r="D47" s="1165"/>
      <c r="F47" s="1164" t="str">
        <f>RENDO!V72</f>
        <v>&gt;3x63A en t/m 3x80A</v>
      </c>
      <c r="G47" s="894">
        <f>RENDO!X72</f>
        <v>7.666666666666667</v>
      </c>
      <c r="H47" s="1165"/>
      <c r="J47" s="1164" t="str">
        <f>RENDO!V101</f>
        <v>&gt;3x63A en t/m 3x80A</v>
      </c>
      <c r="K47" s="894">
        <f>RENDO!X101</f>
        <v>163</v>
      </c>
      <c r="L47" s="1165"/>
    </row>
    <row r="48" spans="2:12">
      <c r="B48" s="1164" t="str">
        <f>RENDO!V21</f>
        <v>Afnemers LS (&gt;3x80A t/m 3x225A)</v>
      </c>
      <c r="C48" s="894">
        <f>RENDO!X21</f>
        <v>134.41666666666666</v>
      </c>
      <c r="D48" s="1165"/>
      <c r="F48" s="1164" t="str">
        <f>RENDO!V73</f>
        <v xml:space="preserve">&gt;3x80A en t/m 3x100A </v>
      </c>
      <c r="G48" s="894">
        <f>RENDO!X73</f>
        <v>0</v>
      </c>
      <c r="H48" s="1165"/>
      <c r="J48" s="1164" t="str">
        <f>RENDO!V102</f>
        <v xml:space="preserve">&gt;3x80A en t/m 3x100A </v>
      </c>
      <c r="K48" s="894">
        <f>RENDO!X102</f>
        <v>0</v>
      </c>
      <c r="L48" s="1165"/>
    </row>
    <row r="49" spans="2:12">
      <c r="B49" s="1164" t="str">
        <f>RENDO!V22</f>
        <v>Afnemers &gt; 3x25A t/m 3x80A</v>
      </c>
      <c r="C49" s="894">
        <f>RENDO!X22</f>
        <v>1220.4666666666669</v>
      </c>
      <c r="D49" s="1165"/>
      <c r="F49" s="1164" t="str">
        <f>RENDO!V74</f>
        <v xml:space="preserve">&gt;3x100A en t/m 3x125A </v>
      </c>
      <c r="G49" s="894">
        <f>RENDO!X74</f>
        <v>1.6666666666666667</v>
      </c>
      <c r="H49" s="1165"/>
      <c r="J49" s="1164" t="str">
        <f>RENDO!V103</f>
        <v xml:space="preserve">&gt;3x100A en t/m 3x125A </v>
      </c>
      <c r="K49" s="894">
        <f>RENDO!X103</f>
        <v>201</v>
      </c>
      <c r="L49" s="1165"/>
    </row>
    <row r="50" spans="2:12">
      <c r="B50" s="1164" t="str">
        <f>RENDO!V23</f>
        <v>Afnemers 0  t/m 3x25A en 1x40A</v>
      </c>
      <c r="C50" s="894">
        <f>RENDO!X23</f>
        <v>30132.933333333331</v>
      </c>
      <c r="D50" s="1165"/>
      <c r="F50" s="1164" t="str">
        <f>RENDO!V75</f>
        <v xml:space="preserve">&gt;3x125A en t/m 3x160A </v>
      </c>
      <c r="G50" s="894">
        <f>RENDO!X75</f>
        <v>1.3333333333333333</v>
      </c>
      <c r="H50" s="1165"/>
      <c r="J50" s="1164" t="str">
        <f>RENDO!V104</f>
        <v xml:space="preserve">&gt;3x125A en t/m 3x160A </v>
      </c>
      <c r="K50" s="894">
        <f>RENDO!X104</f>
        <v>173</v>
      </c>
      <c r="L50" s="1165"/>
    </row>
    <row r="51" spans="2:12">
      <c r="B51" s="1164" t="str">
        <f>RENDO!V24</f>
        <v>Afnemers 0 t/m 1x6A LS geschakeld</v>
      </c>
      <c r="C51" s="894">
        <f>RENDO!X24</f>
        <v>18684.833333333332</v>
      </c>
      <c r="D51" s="1165"/>
      <c r="F51" s="1164" t="str">
        <f>RENDO!V76</f>
        <v xml:space="preserve">&gt;3x160A en t/m 3x200A </v>
      </c>
      <c r="G51" s="894">
        <f>RENDO!X76</f>
        <v>1</v>
      </c>
      <c r="H51" s="1165"/>
      <c r="J51" s="1164" t="str">
        <f>RENDO!V105</f>
        <v xml:space="preserve">&gt;3x160A en t/m 3x200A </v>
      </c>
      <c r="K51" s="894">
        <f>RENDO!X105</f>
        <v>129.66666666666666</v>
      </c>
      <c r="L51" s="1165"/>
    </row>
    <row r="52" spans="2:12">
      <c r="B52" s="1164"/>
      <c r="C52" s="894"/>
      <c r="D52" s="1165"/>
      <c r="F52" s="1164" t="str">
        <f>RENDO!V77</f>
        <v xml:space="preserve">&gt;3x200A en t/m 3x225A </v>
      </c>
      <c r="G52" s="894">
        <f>RENDO!X77</f>
        <v>2.6666666666666665</v>
      </c>
      <c r="H52" s="1165"/>
      <c r="J52" s="1164" t="str">
        <f>RENDO!V106</f>
        <v xml:space="preserve">&gt;3x200A en t/m 3x225A </v>
      </c>
      <c r="K52" s="894">
        <f>RENDO!X106</f>
        <v>431.33333333333331</v>
      </c>
      <c r="L52" s="1165"/>
    </row>
    <row r="53" spans="2:12">
      <c r="B53" s="1164"/>
      <c r="C53" s="894"/>
      <c r="D53" s="1165"/>
      <c r="F53" s="1164" t="str">
        <f>RENDO!V78</f>
        <v>&gt;0,15 t/m 0.63 MVA met LS meting</v>
      </c>
      <c r="G53" s="894">
        <f>RENDO!X78</f>
        <v>0.66666666666666663</v>
      </c>
      <c r="H53" s="1165"/>
      <c r="J53" s="1164" t="str">
        <f>RENDO!V107</f>
        <v>&gt;0,15 t/m 0.63 MVA met LS meting</v>
      </c>
      <c r="K53" s="894">
        <f>RENDO!X107</f>
        <v>20</v>
      </c>
      <c r="L53" s="1165"/>
    </row>
    <row r="54" spans="2:12">
      <c r="B54" s="1164"/>
      <c r="C54" s="894"/>
      <c r="D54" s="1165"/>
      <c r="F54" s="1164" t="str">
        <f>RENDO!V79</f>
        <v xml:space="preserve">&gt; 0.63 MVA t/m 1.2 MVA met LS meting </v>
      </c>
      <c r="G54" s="894">
        <f>RENDO!X79</f>
        <v>0</v>
      </c>
      <c r="H54" s="1165"/>
      <c r="J54" s="1164" t="str">
        <f>RENDO!V108</f>
        <v xml:space="preserve">&gt; 0.63 MVA t/m 1.2 MVA met LS meting </v>
      </c>
      <c r="K54" s="894">
        <f>RENDO!X108</f>
        <v>0</v>
      </c>
      <c r="L54" s="1165"/>
    </row>
    <row r="55" spans="2:12">
      <c r="B55" s="1164"/>
      <c r="C55" s="894"/>
      <c r="D55" s="1165"/>
      <c r="F55" s="1164" t="str">
        <f>RENDO!V80</f>
        <v>&gt; 1.2 MVA t/m 2 MVA met MS meting</v>
      </c>
      <c r="G55" s="894">
        <f>RENDO!X80</f>
        <v>0.33333333333333331</v>
      </c>
      <c r="H55" s="1165"/>
      <c r="J55" s="1164" t="str">
        <f>RENDO!V109</f>
        <v>&gt; 1.2 MVA t/m 2 MVA met MS meting</v>
      </c>
      <c r="K55" s="894">
        <f>RENDO!X109</f>
        <v>466.66666666666669</v>
      </c>
      <c r="L55" s="1165"/>
    </row>
    <row r="56" spans="2:12">
      <c r="B56" s="1164"/>
      <c r="C56" s="894"/>
      <c r="D56" s="1165"/>
      <c r="F56" s="1164" t="str">
        <f>RENDO!V81</f>
        <v>&gt; 2 MVA t/m 5 MVA met MS meting</v>
      </c>
      <c r="G56" s="894">
        <f>RENDO!X81</f>
        <v>0</v>
      </c>
      <c r="H56" s="1165"/>
      <c r="J56" s="1164" t="str">
        <f>RENDO!V110</f>
        <v>&gt; 2 MVA t/m 5 MVA met MS meting</v>
      </c>
      <c r="K56" s="894">
        <f>RENDO!X110</f>
        <v>0</v>
      </c>
      <c r="L56" s="1165"/>
    </row>
    <row r="57" spans="2:12">
      <c r="B57" s="1164"/>
      <c r="C57" s="894"/>
      <c r="D57" s="1165"/>
      <c r="F57" s="1164" t="str">
        <f>RENDO!V82</f>
        <v>&gt; 5 MVA tot 10 MVA met MS meting</v>
      </c>
      <c r="G57" s="894">
        <f>RENDO!X82</f>
        <v>0</v>
      </c>
      <c r="H57" s="1165"/>
      <c r="J57" s="1164" t="str">
        <f>RENDO!V111</f>
        <v>&gt; 5 MVA tot 10 MVA met MS meting</v>
      </c>
      <c r="K57" s="894">
        <f>RENDO!X111</f>
        <v>0</v>
      </c>
      <c r="L57" s="1165"/>
    </row>
    <row r="58" spans="2:12">
      <c r="B58" s="888"/>
      <c r="C58" s="884"/>
      <c r="D58" s="1163"/>
      <c r="F58" s="888"/>
      <c r="G58" s="884"/>
      <c r="H58" s="1163"/>
      <c r="J58" s="888"/>
      <c r="K58" s="884"/>
      <c r="L58" s="1163"/>
    </row>
    <row r="59" spans="2:12">
      <c r="B59" s="1166" t="s">
        <v>260</v>
      </c>
      <c r="C59" s="1166"/>
      <c r="F59" s="1167"/>
      <c r="G59" s="1167"/>
      <c r="H59" s="1167"/>
    </row>
    <row r="60" spans="2:12">
      <c r="B60" s="889" t="s">
        <v>944</v>
      </c>
      <c r="C60" s="1155" t="s">
        <v>1110</v>
      </c>
      <c r="D60" s="1156"/>
      <c r="F60" s="1167"/>
      <c r="G60" s="1167"/>
      <c r="H60" s="1167"/>
    </row>
    <row r="61" spans="2:12">
      <c r="B61" s="1158" t="str">
        <f>RENDO!V31</f>
        <v>3-10 MVA</v>
      </c>
      <c r="C61" s="886">
        <f>RENDO!X31</f>
        <v>8823.3333333333339</v>
      </c>
      <c r="D61" s="1159"/>
    </row>
    <row r="62" spans="2:12">
      <c r="B62" s="1172"/>
      <c r="C62" s="895"/>
      <c r="D62" s="1173"/>
      <c r="F62" s="1153" t="s">
        <v>1516</v>
      </c>
    </row>
    <row r="63" spans="2:12">
      <c r="C63" s="1167"/>
    </row>
    <row r="64" spans="2:12">
      <c r="B64" s="1167"/>
      <c r="C64" s="1167"/>
    </row>
    <row r="65" spans="3:3">
      <c r="C65" s="896"/>
    </row>
    <row r="66" spans="3:3">
      <c r="C66" s="1167"/>
    </row>
    <row r="67" spans="3:3">
      <c r="C67" s="1167"/>
    </row>
    <row r="68" spans="3:3">
      <c r="C68" s="1167"/>
    </row>
    <row r="70" spans="3:3">
      <c r="C70" s="890"/>
    </row>
    <row r="71" spans="3:3">
      <c r="C71" s="897"/>
    </row>
    <row r="72" spans="3:3">
      <c r="C72" s="897"/>
    </row>
    <row r="73" spans="3:3">
      <c r="C73" s="897"/>
    </row>
    <row r="74" spans="3:3">
      <c r="C74" s="897"/>
    </row>
    <row r="75" spans="3:3">
      <c r="C75" s="897"/>
    </row>
  </sheetData>
  <pageMargins left="0.7" right="0.7" top="0.75" bottom="0.75" header="0.3" footer="0.3"/>
  <pageSetup paperSize="9" scale="58"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tabColor rgb="FFCCFFFF"/>
    <pageSetUpPr fitToPage="1"/>
  </sheetPr>
  <dimension ref="B2:M75"/>
  <sheetViews>
    <sheetView showGridLines="0" zoomScale="85" zoomScaleNormal="85" workbookViewId="0"/>
  </sheetViews>
  <sheetFormatPr defaultRowHeight="12.75"/>
  <cols>
    <col min="1" max="1" width="9.140625" style="1153"/>
    <col min="2" max="2" width="55.28515625" style="1153" customWidth="1"/>
    <col min="3" max="3" width="15.85546875" style="1153" customWidth="1"/>
    <col min="4" max="4" width="3" style="1153" customWidth="1"/>
    <col min="5" max="5" width="2.85546875" style="1153" customWidth="1"/>
    <col min="6" max="6" width="55.28515625" style="1153" customWidth="1"/>
    <col min="7" max="7" width="15.85546875" style="1153" customWidth="1"/>
    <col min="8" max="8" width="3.140625" style="1153" customWidth="1"/>
    <col min="9" max="9" width="2.85546875" style="1153" customWidth="1"/>
    <col min="10" max="10" width="55.28515625" style="1153" customWidth="1"/>
    <col min="11" max="11" width="15.85546875" style="1153" customWidth="1"/>
    <col min="12" max="12" width="3.28515625" style="1153" customWidth="1"/>
    <col min="13" max="16384" width="9.140625" style="1153"/>
  </cols>
  <sheetData>
    <row r="2" spans="2:13" s="1168" customFormat="1" ht="19.5" customHeight="1">
      <c r="B2" s="1144" t="s">
        <v>1514</v>
      </c>
      <c r="C2" s="1169"/>
      <c r="D2" s="1170"/>
      <c r="E2" s="1170"/>
      <c r="F2" s="1170"/>
      <c r="G2" s="1170"/>
      <c r="H2" s="1170"/>
      <c r="I2" s="1170"/>
      <c r="J2" s="1170"/>
      <c r="K2" s="1170"/>
      <c r="L2" s="1171"/>
    </row>
    <row r="3" spans="2:13" s="1146" customFormat="1" ht="4.5" customHeight="1">
      <c r="B3" s="1147"/>
      <c r="D3" s="1145"/>
      <c r="E3" s="1145"/>
      <c r="F3" s="1145"/>
      <c r="G3" s="1145"/>
      <c r="H3" s="1145"/>
      <c r="I3" s="1145"/>
      <c r="J3" s="1145"/>
      <c r="K3" s="1145"/>
      <c r="L3" s="1148"/>
      <c r="M3" s="1145"/>
    </row>
    <row r="4" spans="2:13" s="1145" customFormat="1">
      <c r="B4" s="1149" t="s">
        <v>1135</v>
      </c>
      <c r="C4" s="1150"/>
      <c r="D4" s="1150"/>
      <c r="E4" s="1150"/>
      <c r="F4" s="1151"/>
      <c r="G4" s="1150"/>
      <c r="H4" s="1150"/>
      <c r="I4" s="1150"/>
      <c r="J4" s="1150"/>
      <c r="K4" s="1150"/>
      <c r="L4" s="1152"/>
    </row>
    <row r="5" spans="2:13" ht="15.75">
      <c r="B5" s="1009" t="s">
        <v>70</v>
      </c>
      <c r="C5" s="879"/>
      <c r="D5" s="880"/>
      <c r="E5" s="880"/>
      <c r="F5" s="880"/>
      <c r="G5" s="880"/>
      <c r="H5" s="880"/>
      <c r="I5" s="880"/>
      <c r="J5" s="880"/>
      <c r="K5" s="880"/>
      <c r="L5" s="881"/>
    </row>
    <row r="7" spans="2:13">
      <c r="B7" s="892" t="s">
        <v>49</v>
      </c>
      <c r="C7" s="891"/>
      <c r="D7" s="1154"/>
      <c r="F7" s="892" t="s">
        <v>50</v>
      </c>
      <c r="G7" s="891"/>
      <c r="H7" s="1154"/>
      <c r="J7" s="892" t="s">
        <v>51</v>
      </c>
      <c r="K7" s="891"/>
      <c r="L7" s="1154"/>
    </row>
    <row r="9" spans="2:13">
      <c r="B9" s="882" t="s">
        <v>212</v>
      </c>
      <c r="C9" s="1155" t="s">
        <v>1110</v>
      </c>
      <c r="D9" s="1156"/>
      <c r="J9" s="887" t="s">
        <v>227</v>
      </c>
      <c r="K9" s="1155" t="s">
        <v>1110</v>
      </c>
      <c r="L9" s="1157"/>
    </row>
    <row r="10" spans="2:13">
      <c r="B10" s="1158" t="s">
        <v>213</v>
      </c>
      <c r="C10" s="886">
        <f>'Berekening rekenvolumes'!M15</f>
        <v>3.3636364734299513</v>
      </c>
      <c r="D10" s="1159"/>
      <c r="J10" s="1158" t="s">
        <v>213</v>
      </c>
      <c r="K10" s="886">
        <f>'Berekening rekenvolumes'!M77</f>
        <v>7106.6061111111112</v>
      </c>
      <c r="L10" s="1159"/>
    </row>
    <row r="11" spans="2:13">
      <c r="B11" s="1160" t="s">
        <v>214</v>
      </c>
      <c r="C11" s="885">
        <f>'Berekening rekenvolumes'!M16</f>
        <v>270488.51515151514</v>
      </c>
      <c r="D11" s="1161"/>
      <c r="J11" s="1160" t="s">
        <v>223</v>
      </c>
      <c r="K11" s="885">
        <f>'Berekening rekenvolumes'!M78</f>
        <v>563227.2115571365</v>
      </c>
      <c r="L11" s="1161"/>
    </row>
    <row r="12" spans="2:13">
      <c r="B12" s="1162" t="s">
        <v>215</v>
      </c>
      <c r="C12" s="884">
        <f>'Berekening rekenvolumes'!M17</f>
        <v>2772425.8168240604</v>
      </c>
      <c r="D12" s="1163"/>
      <c r="J12" s="1160" t="s">
        <v>228</v>
      </c>
      <c r="K12" s="885">
        <f>'Berekening rekenvolumes'!M79</f>
        <v>345177266.59740257</v>
      </c>
      <c r="L12" s="1161"/>
    </row>
    <row r="13" spans="2:13">
      <c r="J13" s="1162" t="s">
        <v>224</v>
      </c>
      <c r="K13" s="884">
        <f>'Berekening rekenvolumes'!M80</f>
        <v>553023218.51226556</v>
      </c>
      <c r="L13" s="1163"/>
    </row>
    <row r="14" spans="2:13">
      <c r="B14" s="887" t="s">
        <v>932</v>
      </c>
      <c r="C14" s="1155" t="s">
        <v>1110</v>
      </c>
      <c r="D14" s="1157"/>
    </row>
    <row r="15" spans="2:13">
      <c r="B15" s="1158" t="s">
        <v>213</v>
      </c>
      <c r="C15" s="886">
        <f>'Berekening rekenvolumes'!M20</f>
        <v>6</v>
      </c>
      <c r="D15" s="1159"/>
      <c r="F15" s="887" t="s">
        <v>1109</v>
      </c>
      <c r="G15" s="1155" t="s">
        <v>1110</v>
      </c>
      <c r="H15" s="1157"/>
      <c r="J15" s="889" t="s">
        <v>229</v>
      </c>
      <c r="K15" s="1155" t="s">
        <v>1110</v>
      </c>
      <c r="L15" s="1156"/>
    </row>
    <row r="16" spans="2:13">
      <c r="B16" s="1160" t="s">
        <v>214</v>
      </c>
      <c r="C16" s="885">
        <f>'Berekening rekenvolumes'!M21</f>
        <v>29204.60606060606</v>
      </c>
      <c r="D16" s="1161"/>
      <c r="F16" s="1158" t="s">
        <v>213</v>
      </c>
      <c r="G16" s="886">
        <f>'Berekening rekenvolumes'!M58</f>
        <v>3208.5874857417716</v>
      </c>
      <c r="H16" s="1159"/>
      <c r="J16" s="1158" t="s">
        <v>230</v>
      </c>
      <c r="K16" s="886">
        <f>'Berekening rekenvolumes'!M83</f>
        <v>585422.93225913309</v>
      </c>
      <c r="L16" s="1159"/>
    </row>
    <row r="17" spans="2:12">
      <c r="B17" s="1162" t="s">
        <v>217</v>
      </c>
      <c r="C17" s="884">
        <f>'Berekening rekenvolumes'!M22</f>
        <v>225368.36268939392</v>
      </c>
      <c r="D17" s="1163"/>
      <c r="F17" s="1160" t="s">
        <v>223</v>
      </c>
      <c r="G17" s="885">
        <f>'Berekening rekenvolumes'!M59</f>
        <v>1840447.7877570887</v>
      </c>
      <c r="H17" s="1161"/>
      <c r="J17" s="1162" t="s">
        <v>231</v>
      </c>
      <c r="K17" s="884">
        <f>'Berekening rekenvolumes'!M84</f>
        <v>1969170.910629293</v>
      </c>
      <c r="L17" s="1163"/>
    </row>
    <row r="18" spans="2:12">
      <c r="F18" s="1160" t="s">
        <v>215</v>
      </c>
      <c r="G18" s="885">
        <f>'Berekening rekenvolumes'!M60</f>
        <v>14051126.66406285</v>
      </c>
      <c r="H18" s="1161"/>
    </row>
    <row r="19" spans="2:12">
      <c r="B19" s="887" t="s">
        <v>218</v>
      </c>
      <c r="C19" s="1155" t="s">
        <v>1110</v>
      </c>
      <c r="D19" s="1157"/>
      <c r="F19" s="1162" t="s">
        <v>224</v>
      </c>
      <c r="G19" s="884">
        <f>'Berekening rekenvolumes'!M61</f>
        <v>4688119243.8037682</v>
      </c>
      <c r="H19" s="1163"/>
      <c r="J19" s="887" t="s">
        <v>232</v>
      </c>
      <c r="K19" s="1155" t="s">
        <v>1110</v>
      </c>
      <c r="L19" s="1157"/>
    </row>
    <row r="20" spans="2:12">
      <c r="B20" s="1158" t="s">
        <v>213</v>
      </c>
      <c r="C20" s="886">
        <f>'Berekening rekenvolumes'!M25</f>
        <v>64.636363965744394</v>
      </c>
      <c r="D20" s="1159"/>
      <c r="J20" s="1158" t="s">
        <v>233</v>
      </c>
      <c r="K20" s="886">
        <f>'Berekening rekenvolumes'!M87</f>
        <v>8467.342719431761</v>
      </c>
      <c r="L20" s="1159"/>
    </row>
    <row r="21" spans="2:12">
      <c r="B21" s="1160" t="s">
        <v>214</v>
      </c>
      <c r="C21" s="885">
        <f>'Berekening rekenvolumes'!M26</f>
        <v>651411.57588597841</v>
      </c>
      <c r="D21" s="1161"/>
      <c r="F21" s="887" t="s">
        <v>226</v>
      </c>
      <c r="G21" s="1155" t="s">
        <v>1110</v>
      </c>
      <c r="H21" s="1157"/>
      <c r="J21" s="1160" t="s">
        <v>234</v>
      </c>
      <c r="K21" s="885">
        <f>'Berekening rekenvolumes'!M88</f>
        <v>14853.388889836939</v>
      </c>
      <c r="L21" s="1161"/>
    </row>
    <row r="22" spans="2:12">
      <c r="B22" s="1162" t="s">
        <v>215</v>
      </c>
      <c r="C22" s="884">
        <f>'Berekening rekenvolumes'!M27</f>
        <v>5750101.9395857304</v>
      </c>
      <c r="D22" s="1163"/>
      <c r="F22" s="1158" t="s">
        <v>213</v>
      </c>
      <c r="G22" s="886">
        <f>'Berekening rekenvolumes'!M64</f>
        <v>9426.4848423005551</v>
      </c>
      <c r="H22" s="1159"/>
      <c r="J22" s="1160" t="s">
        <v>235</v>
      </c>
      <c r="K22" s="885">
        <f>'Berekening rekenvolumes'!M89</f>
        <v>13148.472222222221</v>
      </c>
      <c r="L22" s="1161"/>
    </row>
    <row r="23" spans="2:12">
      <c r="F23" s="1160" t="s">
        <v>223</v>
      </c>
      <c r="G23" s="885">
        <f>'Berekening rekenvolumes'!M65</f>
        <v>1149539.3636457163</v>
      </c>
      <c r="H23" s="1161"/>
      <c r="J23" s="1160" t="s">
        <v>236</v>
      </c>
      <c r="K23" s="885">
        <f>'Berekening rekenvolumes'!M90</f>
        <v>39763.502477850183</v>
      </c>
      <c r="L23" s="1161"/>
    </row>
    <row r="24" spans="2:12" ht="14.25">
      <c r="B24" s="887" t="s">
        <v>933</v>
      </c>
      <c r="C24" s="1155" t="s">
        <v>1110</v>
      </c>
      <c r="D24" s="1157"/>
      <c r="F24" s="1160" t="s">
        <v>215</v>
      </c>
      <c r="G24" s="885">
        <f>'Berekening rekenvolumes'!M66</f>
        <v>7954017.0934006721</v>
      </c>
      <c r="H24" s="1161"/>
      <c r="J24" s="1160" t="s">
        <v>934</v>
      </c>
      <c r="K24" s="885">
        <f>'Berekening rekenvolumes'!M91</f>
        <v>1894958.4962344917</v>
      </c>
      <c r="L24" s="1161"/>
    </row>
    <row r="25" spans="2:12">
      <c r="B25" s="1158" t="s">
        <v>213</v>
      </c>
      <c r="C25" s="886">
        <f>'Berekening rekenvolumes'!M30</f>
        <v>11.363636473429951</v>
      </c>
      <c r="D25" s="1159"/>
      <c r="F25" s="1162" t="s">
        <v>224</v>
      </c>
      <c r="G25" s="884">
        <f>'Berekening rekenvolumes'!M67</f>
        <v>2263013768.8886456</v>
      </c>
      <c r="H25" s="1163"/>
      <c r="J25" s="1162" t="s">
        <v>238</v>
      </c>
      <c r="K25" s="884">
        <f>'Berekening rekenvolumes'!M92</f>
        <v>585422.93225913309</v>
      </c>
      <c r="L25" s="1163"/>
    </row>
    <row r="26" spans="2:12" ht="14.25">
      <c r="B26" s="1160" t="s">
        <v>214</v>
      </c>
      <c r="C26" s="885">
        <f>'Berekening rekenvolumes'!M31</f>
        <v>269090.66653826396</v>
      </c>
      <c r="D26" s="1161"/>
      <c r="J26" s="1153" t="s">
        <v>1508</v>
      </c>
    </row>
    <row r="27" spans="2:12">
      <c r="B27" s="1162" t="s">
        <v>217</v>
      </c>
      <c r="C27" s="884">
        <f>'Berekening rekenvolumes'!M32</f>
        <v>3510446.9100844506</v>
      </c>
      <c r="D27" s="1163"/>
      <c r="K27" s="893"/>
    </row>
    <row r="28" spans="2:12">
      <c r="J28" s="892" t="s">
        <v>53</v>
      </c>
      <c r="K28" s="891"/>
      <c r="L28" s="1154"/>
    </row>
    <row r="29" spans="2:12">
      <c r="B29" s="887" t="s">
        <v>220</v>
      </c>
      <c r="C29" s="1155" t="s">
        <v>1110</v>
      </c>
      <c r="D29" s="1157"/>
      <c r="J29" s="887"/>
      <c r="K29" s="1155" t="s">
        <v>1110</v>
      </c>
      <c r="L29" s="1157"/>
    </row>
    <row r="30" spans="2:12">
      <c r="B30" s="1158" t="s">
        <v>213</v>
      </c>
      <c r="C30" s="886">
        <f>'Berekening rekenvolumes'!M35</f>
        <v>128.84848418972334</v>
      </c>
      <c r="D30" s="1159"/>
      <c r="J30" s="1158" t="s">
        <v>239</v>
      </c>
      <c r="K30" s="886">
        <f>'Berekening rekenvolumes'!M103</f>
        <v>210279944.83838382</v>
      </c>
      <c r="L30" s="1159"/>
    </row>
    <row r="31" spans="2:12">
      <c r="B31" s="1160" t="s">
        <v>214</v>
      </c>
      <c r="C31" s="885">
        <f>'Berekening rekenvolumes'!M36</f>
        <v>453573.45463878807</v>
      </c>
      <c r="D31" s="1161"/>
      <c r="J31" s="1162" t="s">
        <v>240</v>
      </c>
      <c r="K31" s="884">
        <f>'Berekening rekenvolumes'!M104</f>
        <v>16864858.242424242</v>
      </c>
      <c r="L31" s="1163"/>
    </row>
    <row r="32" spans="2:12">
      <c r="B32" s="1162" t="s">
        <v>215</v>
      </c>
      <c r="C32" s="884">
        <f>'Berekening rekenvolumes'!M37</f>
        <v>4098437.0925608738</v>
      </c>
      <c r="D32" s="1163"/>
    </row>
    <row r="34" spans="2:12">
      <c r="B34" s="887" t="s">
        <v>935</v>
      </c>
      <c r="C34" s="1155" t="s">
        <v>1110</v>
      </c>
      <c r="D34" s="1157"/>
    </row>
    <row r="35" spans="2:12">
      <c r="B35" s="1158" t="s">
        <v>213</v>
      </c>
      <c r="C35" s="886">
        <f>'Berekening rekenvolumes'!M40</f>
        <v>3.6363635265700487</v>
      </c>
      <c r="D35" s="1159"/>
    </row>
    <row r="36" spans="2:12">
      <c r="B36" s="1160" t="s">
        <v>214</v>
      </c>
      <c r="C36" s="885">
        <f>'Berekening rekenvolumes'!M41</f>
        <v>15335.030449421756</v>
      </c>
      <c r="D36" s="1161"/>
    </row>
    <row r="37" spans="2:12">
      <c r="B37" s="1162" t="s">
        <v>217</v>
      </c>
      <c r="C37" s="884">
        <f>'Berekening rekenvolumes'!M42</f>
        <v>190597.81818181821</v>
      </c>
      <c r="D37" s="1163"/>
    </row>
    <row r="39" spans="2:12" ht="15.75">
      <c r="B39" s="1009" t="s">
        <v>936</v>
      </c>
      <c r="C39" s="879"/>
      <c r="D39" s="880"/>
      <c r="E39" s="880"/>
      <c r="F39" s="880"/>
      <c r="G39" s="880"/>
      <c r="H39" s="880"/>
      <c r="I39" s="880"/>
      <c r="J39" s="880"/>
      <c r="K39" s="880"/>
      <c r="L39" s="881"/>
    </row>
    <row r="41" spans="2:12">
      <c r="B41" s="889" t="s">
        <v>658</v>
      </c>
      <c r="C41" s="1155" t="s">
        <v>1110</v>
      </c>
      <c r="D41" s="1156"/>
      <c r="F41" s="887" t="s">
        <v>942</v>
      </c>
      <c r="G41" s="1155" t="s">
        <v>1110</v>
      </c>
      <c r="H41" s="1157"/>
      <c r="J41" s="887" t="s">
        <v>943</v>
      </c>
      <c r="K41" s="1155" t="s">
        <v>1110</v>
      </c>
      <c r="L41" s="1157"/>
    </row>
    <row r="42" spans="2:12">
      <c r="B42" s="1158" t="str">
        <f>Stedin!V15</f>
        <v>t/m 1*6 A</v>
      </c>
      <c r="C42" s="886">
        <f>Stedin!X15</f>
        <v>585422.9322591332</v>
      </c>
      <c r="D42" s="1159"/>
      <c r="F42" s="1158" t="str">
        <f>Stedin!V67</f>
        <v>1*6 A op geschakeld net</v>
      </c>
      <c r="G42" s="886">
        <f>Stedin!X67</f>
        <v>7218.8101484563858</v>
      </c>
      <c r="H42" s="1159"/>
      <c r="J42" s="1158" t="str">
        <f>Stedin!V96</f>
        <v>1*6 A op geschakeld net</v>
      </c>
      <c r="K42" s="886">
        <f>Stedin!X96</f>
        <v>4231.3544438003282</v>
      </c>
      <c r="L42" s="1159"/>
    </row>
    <row r="43" spans="2:12">
      <c r="B43" s="1164" t="str">
        <f>Stedin!V16</f>
        <v>&gt; 1*6A t/m 3*25A</v>
      </c>
      <c r="C43" s="894">
        <f>Stedin!X16</f>
        <v>1895009.4118550618</v>
      </c>
      <c r="D43" s="1165"/>
      <c r="F43" s="1164" t="str">
        <f>Stedin!V68</f>
        <v>&gt;1*6A t/m 3*25A</v>
      </c>
      <c r="G43" s="894">
        <f>Stedin!X68</f>
        <v>16455.64836566196</v>
      </c>
      <c r="H43" s="1165"/>
      <c r="J43" s="1164" t="str">
        <f>Stedin!V97</f>
        <v>&gt;1*6A t/m 3*25A</v>
      </c>
      <c r="K43" s="894">
        <f>Stedin!X97</f>
        <v>13814.53699958082</v>
      </c>
      <c r="L43" s="1165"/>
    </row>
    <row r="44" spans="2:12">
      <c r="B44" s="1164" t="str">
        <f>Stedin!V17</f>
        <v>&gt; 3*25A t/m 3*80A</v>
      </c>
      <c r="C44" s="894">
        <f>Stedin!X17</f>
        <v>82451.631432669485</v>
      </c>
      <c r="D44" s="1165"/>
      <c r="F44" s="1164" t="str">
        <f>Stedin!V69</f>
        <v>&gt;3*25A en t/m 3*35A</v>
      </c>
      <c r="G44" s="894">
        <f>Stedin!X69</f>
        <v>863.54291893736593</v>
      </c>
      <c r="H44" s="1165"/>
      <c r="J44" s="1164" t="str">
        <f>Stedin!V98</f>
        <v>&gt;3*25A en t/m 3*35A</v>
      </c>
      <c r="K44" s="894">
        <f>Stedin!X98</f>
        <v>6458.9295998998678</v>
      </c>
      <c r="L44" s="1165"/>
    </row>
    <row r="45" spans="2:12">
      <c r="B45" s="1164" t="str">
        <f>Stedin!V18</f>
        <v>&gt; 3*80A t/m 175 kVA</v>
      </c>
      <c r="C45" s="894">
        <f>Stedin!X18</f>
        <v>10029.616161616163</v>
      </c>
      <c r="D45" s="1165"/>
      <c r="F45" s="1164" t="str">
        <f>Stedin!V70</f>
        <v>&gt;3*35A en t/m 3*63A</v>
      </c>
      <c r="G45" s="894">
        <f>Stedin!X70</f>
        <v>761.52470638651721</v>
      </c>
      <c r="H45" s="1165"/>
      <c r="J45" s="1164" t="str">
        <f>Stedin!V99</f>
        <v>&gt;3*35A en t/m 3*63A</v>
      </c>
      <c r="K45" s="894">
        <f>Stedin!X99</f>
        <v>7381.7168542731224</v>
      </c>
      <c r="L45" s="1165"/>
    </row>
    <row r="46" spans="2:12">
      <c r="B46" s="1164" t="str">
        <f>Stedin!V19</f>
        <v>&gt; 175kVA t/m 1750kVA</v>
      </c>
      <c r="C46" s="894">
        <f>Stedin!X19</f>
        <v>3729.2777777777769</v>
      </c>
      <c r="D46" s="1165"/>
      <c r="F46" s="1164" t="str">
        <f>Stedin!V71</f>
        <v>&gt; 3*63 A t/m 3*80A</v>
      </c>
      <c r="G46" s="894">
        <f>Stedin!X71</f>
        <v>469.36014607128692</v>
      </c>
      <c r="H46" s="1165"/>
      <c r="J46" s="1164" t="str">
        <f>Stedin!V100</f>
        <v>&gt; 3*63 A t/m 3*80A</v>
      </c>
      <c r="K46" s="894">
        <f>Stedin!X100</f>
        <v>8252.0194109525837</v>
      </c>
      <c r="L46" s="1165"/>
    </row>
    <row r="47" spans="2:12">
      <c r="B47" s="1164" t="str">
        <f>Stedin!V20</f>
        <v>&gt; 1.750kVA t/m 3.000kVA</v>
      </c>
      <c r="C47" s="894">
        <f>Stedin!X20</f>
        <v>33.369103370641135</v>
      </c>
      <c r="D47" s="1165"/>
      <c r="F47" s="1164" t="str">
        <f>Stedin!V72</f>
        <v>&gt;3*80A t/m 3*125 A</v>
      </c>
      <c r="G47" s="894">
        <f>Stedin!X72</f>
        <v>113.01917745689559</v>
      </c>
      <c r="H47" s="1165"/>
      <c r="J47" s="1164" t="str">
        <f>Stedin!V101</f>
        <v>&gt;3*80A t/m 3*125 A</v>
      </c>
      <c r="K47" s="894">
        <f>Stedin!X101</f>
        <v>11404.616472385116</v>
      </c>
      <c r="L47" s="1165"/>
    </row>
    <row r="48" spans="2:12">
      <c r="B48" s="1164" t="str">
        <f>Stedin!V21</f>
        <v>&gt; 3.000kVA t/m 10.000kVA</v>
      </c>
      <c r="C48" s="894">
        <f>Stedin!X21</f>
        <v>142.04749964821767</v>
      </c>
      <c r="D48" s="1165"/>
      <c r="F48" s="1164" t="str">
        <f>Stedin!V73</f>
        <v>&gt;3*125 Amp t/m 175 kVA</v>
      </c>
      <c r="G48" s="894">
        <f>Stedin!X73</f>
        <v>270.3085794674011</v>
      </c>
      <c r="H48" s="1165"/>
      <c r="J48" s="1164" t="str">
        <f>Stedin!V102</f>
        <v>&gt;3*125 Amp t/m 175 kVA</v>
      </c>
      <c r="K48" s="894">
        <f>Stedin!X102</f>
        <v>31661.321808967768</v>
      </c>
      <c r="L48" s="1165"/>
    </row>
    <row r="49" spans="2:12">
      <c r="B49" s="1164"/>
      <c r="C49" s="894"/>
      <c r="D49" s="1165"/>
      <c r="F49" s="1164" t="str">
        <f>Stedin!V74</f>
        <v>&gt; 175kVA t/m 630kVA</v>
      </c>
      <c r="G49" s="894">
        <f>Stedin!X74</f>
        <v>60.966794548108396</v>
      </c>
      <c r="H49" s="1165"/>
      <c r="J49" s="1164" t="str">
        <f>Stedin!V103</f>
        <v>&gt; 175kVA t/m 630kVA</v>
      </c>
      <c r="K49" s="894">
        <f>Stedin!X103</f>
        <v>4732.4849809970201</v>
      </c>
      <c r="L49" s="1165"/>
    </row>
    <row r="50" spans="2:12">
      <c r="B50" s="1164"/>
      <c r="C50" s="894"/>
      <c r="D50" s="1165"/>
      <c r="F50" s="1164" t="str">
        <f>Stedin!V75</f>
        <v>&gt; 630kVA t/m 1.000kVA</v>
      </c>
      <c r="G50" s="894">
        <f>Stedin!X75</f>
        <v>18.329890031034811</v>
      </c>
      <c r="H50" s="1165"/>
      <c r="J50" s="1164" t="str">
        <f>Stedin!V104</f>
        <v>&gt; 630kVA t/m 1.000kVA</v>
      </c>
      <c r="K50" s="894">
        <f>Stedin!X104</f>
        <v>1389.0358461982996</v>
      </c>
      <c r="L50" s="1165"/>
    </row>
    <row r="51" spans="2:12">
      <c r="B51" s="1164"/>
      <c r="C51" s="894"/>
      <c r="D51" s="1165"/>
      <c r="F51" s="1164" t="str">
        <f>Stedin!V76</f>
        <v>&gt; 1.000kVA t/m 1.750kVA</v>
      </c>
      <c r="G51" s="894">
        <f>Stedin!X76</f>
        <v>24.980204728716956</v>
      </c>
      <c r="H51" s="1165"/>
      <c r="J51" s="1164" t="str">
        <f>Stedin!V105</f>
        <v>&gt; 1.000kVA t/m 1.750kVA</v>
      </c>
      <c r="K51" s="894">
        <f>Stedin!X105</f>
        <v>960.22256958529033</v>
      </c>
      <c r="L51" s="1165"/>
    </row>
    <row r="52" spans="2:12">
      <c r="B52" s="1164"/>
      <c r="C52" s="894"/>
      <c r="D52" s="1165"/>
      <c r="F52" s="1164" t="str">
        <f>Stedin!V77</f>
        <v>&gt; 1.750kVA t/m 3.000kVA</v>
      </c>
      <c r="G52" s="894">
        <f>Stedin!X77</f>
        <v>3.1142543798621936</v>
      </c>
      <c r="H52" s="1165"/>
      <c r="J52" s="1164" t="str">
        <f>Stedin!V106</f>
        <v>&gt; 1.750kVA t/m 3.000kVA</v>
      </c>
      <c r="K52" s="894">
        <f>Stedin!X106</f>
        <v>1720.5758294658251</v>
      </c>
      <c r="L52" s="1165"/>
    </row>
    <row r="53" spans="2:12">
      <c r="B53" s="1164"/>
      <c r="C53" s="894"/>
      <c r="D53" s="1165"/>
      <c r="F53" s="1164" t="str">
        <f>Stedin!V78</f>
        <v>&gt; 3.000kVA t/m 10.000kVA</v>
      </c>
      <c r="G53" s="894">
        <f>Stedin!X78</f>
        <v>5.3110410861340869</v>
      </c>
      <c r="H53" s="1165"/>
      <c r="J53" s="1164" t="str">
        <f>Stedin!V107</f>
        <v>&gt; 3.000kVA t/m 10.000kVA</v>
      </c>
      <c r="K53" s="894">
        <f>Stedin!X107</f>
        <v>6713.6128892279376</v>
      </c>
      <c r="L53" s="1165"/>
    </row>
    <row r="54" spans="2:12">
      <c r="B54" s="1160"/>
      <c r="C54" s="885"/>
      <c r="D54" s="1161"/>
      <c r="F54" s="1160"/>
      <c r="G54" s="885"/>
      <c r="H54" s="1161"/>
      <c r="J54" s="1160"/>
      <c r="K54" s="885"/>
      <c r="L54" s="1161"/>
    </row>
    <row r="55" spans="2:12">
      <c r="B55" s="1160"/>
      <c r="C55" s="885"/>
      <c r="D55" s="1161"/>
      <c r="F55" s="1160"/>
      <c r="G55" s="885"/>
      <c r="H55" s="1161"/>
      <c r="J55" s="1160"/>
      <c r="K55" s="885"/>
      <c r="L55" s="1161"/>
    </row>
    <row r="56" spans="2:12">
      <c r="B56" s="1160"/>
      <c r="C56" s="885"/>
      <c r="D56" s="1161"/>
      <c r="F56" s="1160"/>
      <c r="G56" s="885"/>
      <c r="H56" s="1161"/>
      <c r="J56" s="1160"/>
      <c r="K56" s="885"/>
      <c r="L56" s="1161"/>
    </row>
    <row r="57" spans="2:12">
      <c r="B57" s="1160"/>
      <c r="C57" s="885"/>
      <c r="D57" s="1161"/>
      <c r="F57" s="1160"/>
      <c r="G57" s="885"/>
      <c r="H57" s="1161"/>
      <c r="J57" s="1160"/>
      <c r="K57" s="885"/>
      <c r="L57" s="1161"/>
    </row>
    <row r="58" spans="2:12">
      <c r="B58" s="888"/>
      <c r="C58" s="884"/>
      <c r="D58" s="1163"/>
      <c r="F58" s="888"/>
      <c r="G58" s="884"/>
      <c r="H58" s="1163"/>
      <c r="J58" s="888"/>
      <c r="K58" s="884"/>
      <c r="L58" s="1163"/>
    </row>
    <row r="59" spans="2:12">
      <c r="B59" s="1166" t="s">
        <v>260</v>
      </c>
      <c r="C59" s="1166"/>
      <c r="F59" s="1167"/>
      <c r="G59" s="1167"/>
      <c r="H59" s="1167"/>
    </row>
    <row r="60" spans="2:12">
      <c r="B60" s="889" t="s">
        <v>944</v>
      </c>
      <c r="C60" s="1155" t="s">
        <v>1110</v>
      </c>
      <c r="D60" s="1156"/>
      <c r="F60" s="1167"/>
      <c r="G60" s="1167"/>
      <c r="H60" s="1167"/>
    </row>
    <row r="61" spans="2:12">
      <c r="B61" s="1158" t="str">
        <f>Stedin!V31</f>
        <v>3-10 MVA</v>
      </c>
      <c r="C61" s="886">
        <f>Stedin!X31</f>
        <v>207047.77742335352</v>
      </c>
      <c r="D61" s="1159"/>
    </row>
    <row r="62" spans="2:12">
      <c r="B62" s="1172"/>
      <c r="C62" s="895"/>
      <c r="D62" s="1173"/>
      <c r="F62" s="1153" t="s">
        <v>1516</v>
      </c>
    </row>
    <row r="63" spans="2:12">
      <c r="C63" s="1167"/>
    </row>
    <row r="64" spans="2:12">
      <c r="B64" s="1167"/>
      <c r="C64" s="1167"/>
    </row>
    <row r="65" spans="3:3">
      <c r="C65" s="896"/>
    </row>
    <row r="66" spans="3:3">
      <c r="C66" s="1167"/>
    </row>
    <row r="67" spans="3:3">
      <c r="C67" s="1167"/>
    </row>
    <row r="68" spans="3:3">
      <c r="C68" s="1167"/>
    </row>
    <row r="70" spans="3:3">
      <c r="C70" s="890"/>
    </row>
    <row r="71" spans="3:3">
      <c r="C71" s="897"/>
    </row>
    <row r="72" spans="3:3">
      <c r="C72" s="897"/>
    </row>
    <row r="73" spans="3:3">
      <c r="C73" s="897"/>
    </row>
    <row r="74" spans="3:3">
      <c r="C74" s="897"/>
    </row>
    <row r="75" spans="3:3">
      <c r="C75" s="897"/>
    </row>
  </sheetData>
  <pageMargins left="0.7" right="0.7" top="0.75" bottom="0.75" header="0.3" footer="0.3"/>
  <pageSetup paperSize="9"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enableFormatConditionsCalculation="0">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honeticPr fontId="3" type="noConversion"/>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tabColor rgb="FFCCFFFF"/>
    <pageSetUpPr fitToPage="1"/>
  </sheetPr>
  <dimension ref="B2:M75"/>
  <sheetViews>
    <sheetView showGridLines="0" zoomScale="85" zoomScaleNormal="85" workbookViewId="0"/>
  </sheetViews>
  <sheetFormatPr defaultRowHeight="12.75"/>
  <cols>
    <col min="1" max="1" width="9.140625" style="1153"/>
    <col min="2" max="2" width="55.28515625" style="1153" customWidth="1"/>
    <col min="3" max="3" width="15.85546875" style="1153" customWidth="1"/>
    <col min="4" max="4" width="3" style="1153" customWidth="1"/>
    <col min="5" max="5" width="2.85546875" style="1153" customWidth="1"/>
    <col min="6" max="6" width="55.28515625" style="1153" customWidth="1"/>
    <col min="7" max="7" width="15.85546875" style="1153" customWidth="1"/>
    <col min="8" max="8" width="3.140625" style="1153" customWidth="1"/>
    <col min="9" max="9" width="2.85546875" style="1153" customWidth="1"/>
    <col min="10" max="10" width="55.28515625" style="1153" customWidth="1"/>
    <col min="11" max="11" width="15.85546875" style="1153" customWidth="1"/>
    <col min="12" max="12" width="3.28515625" style="1153" customWidth="1"/>
    <col min="13" max="16384" width="9.140625" style="1153"/>
  </cols>
  <sheetData>
    <row r="2" spans="2:13" s="1168" customFormat="1" ht="19.5" customHeight="1">
      <c r="B2" s="1144" t="s">
        <v>1515</v>
      </c>
      <c r="C2" s="1169"/>
      <c r="D2" s="1170"/>
      <c r="E2" s="1170"/>
      <c r="F2" s="1170"/>
      <c r="G2" s="1170"/>
      <c r="H2" s="1170"/>
      <c r="I2" s="1170"/>
      <c r="J2" s="1170"/>
      <c r="K2" s="1170"/>
      <c r="L2" s="1171"/>
    </row>
    <row r="3" spans="2:13" s="1146" customFormat="1" ht="4.5" customHeight="1">
      <c r="B3" s="1147"/>
      <c r="D3" s="1145"/>
      <c r="E3" s="1145"/>
      <c r="F3" s="1145"/>
      <c r="G3" s="1145"/>
      <c r="H3" s="1145"/>
      <c r="I3" s="1145"/>
      <c r="J3" s="1145"/>
      <c r="K3" s="1145"/>
      <c r="L3" s="1148"/>
      <c r="M3" s="1145"/>
    </row>
    <row r="4" spans="2:13" s="1145" customFormat="1">
      <c r="B4" s="1149" t="s">
        <v>1135</v>
      </c>
      <c r="C4" s="1150"/>
      <c r="D4" s="1150"/>
      <c r="E4" s="1150"/>
      <c r="F4" s="1151"/>
      <c r="G4" s="1150"/>
      <c r="H4" s="1150"/>
      <c r="I4" s="1150"/>
      <c r="J4" s="1150"/>
      <c r="K4" s="1150"/>
      <c r="L4" s="1152"/>
    </row>
    <row r="5" spans="2:13" ht="15.75">
      <c r="B5" s="1009" t="s">
        <v>70</v>
      </c>
      <c r="C5" s="879"/>
      <c r="D5" s="880"/>
      <c r="E5" s="880"/>
      <c r="F5" s="880"/>
      <c r="G5" s="880"/>
      <c r="H5" s="880"/>
      <c r="I5" s="880"/>
      <c r="J5" s="880"/>
      <c r="K5" s="880"/>
      <c r="L5" s="881"/>
    </row>
    <row r="7" spans="2:13">
      <c r="B7" s="892" t="s">
        <v>49</v>
      </c>
      <c r="C7" s="891"/>
      <c r="D7" s="1154"/>
      <c r="F7" s="892" t="s">
        <v>50</v>
      </c>
      <c r="G7" s="891"/>
      <c r="H7" s="1154"/>
      <c r="J7" s="892" t="s">
        <v>51</v>
      </c>
      <c r="K7" s="891"/>
      <c r="L7" s="1154"/>
    </row>
    <row r="9" spans="2:13">
      <c r="B9" s="882" t="s">
        <v>212</v>
      </c>
      <c r="C9" s="1155" t="s">
        <v>1110</v>
      </c>
      <c r="D9" s="1156"/>
      <c r="J9" s="887" t="s">
        <v>227</v>
      </c>
      <c r="K9" s="1155" t="s">
        <v>1110</v>
      </c>
      <c r="L9" s="1157"/>
    </row>
    <row r="10" spans="2:13">
      <c r="B10" s="1158" t="s">
        <v>213</v>
      </c>
      <c r="C10" s="886">
        <f>'Berekening rekenvolumes'!N15</f>
        <v>0</v>
      </c>
      <c r="D10" s="1159"/>
      <c r="J10" s="1158" t="s">
        <v>213</v>
      </c>
      <c r="K10" s="886">
        <f>'Berekening rekenvolumes'!N77</f>
        <v>215.24740740740739</v>
      </c>
      <c r="L10" s="1159"/>
    </row>
    <row r="11" spans="2:13">
      <c r="B11" s="1160" t="s">
        <v>214</v>
      </c>
      <c r="C11" s="885">
        <f>'Berekening rekenvolumes'!N16</f>
        <v>0</v>
      </c>
      <c r="D11" s="1161"/>
      <c r="J11" s="1160" t="s">
        <v>223</v>
      </c>
      <c r="K11" s="885">
        <f>'Berekening rekenvolumes'!N78</f>
        <v>6279.2947679552135</v>
      </c>
      <c r="L11" s="1161"/>
    </row>
    <row r="12" spans="2:13">
      <c r="B12" s="1162" t="s">
        <v>215</v>
      </c>
      <c r="C12" s="884">
        <f>'Berekening rekenvolumes'!N17</f>
        <v>0</v>
      </c>
      <c r="D12" s="1163"/>
      <c r="J12" s="1160" t="s">
        <v>228</v>
      </c>
      <c r="K12" s="885">
        <f>'Berekening rekenvolumes'!N79</f>
        <v>5474129.5615087533</v>
      </c>
      <c r="L12" s="1161"/>
    </row>
    <row r="13" spans="2:13">
      <c r="J13" s="1162" t="s">
        <v>224</v>
      </c>
      <c r="K13" s="884">
        <f>'Berekening rekenvolumes'!N80</f>
        <v>6802805.5503414124</v>
      </c>
      <c r="L13" s="1163"/>
    </row>
    <row r="14" spans="2:13">
      <c r="B14" s="887" t="s">
        <v>932</v>
      </c>
      <c r="C14" s="1155" t="s">
        <v>1110</v>
      </c>
      <c r="D14" s="1157"/>
    </row>
    <row r="15" spans="2:13">
      <c r="B15" s="1158" t="s">
        <v>213</v>
      </c>
      <c r="C15" s="886">
        <f>'Berekening rekenvolumes'!N20</f>
        <v>0</v>
      </c>
      <c r="D15" s="1159"/>
      <c r="F15" s="887" t="s">
        <v>1109</v>
      </c>
      <c r="G15" s="1155" t="s">
        <v>1110</v>
      </c>
      <c r="H15" s="1157"/>
      <c r="J15" s="889" t="s">
        <v>229</v>
      </c>
      <c r="K15" s="1155" t="s">
        <v>1110</v>
      </c>
      <c r="L15" s="1156"/>
    </row>
    <row r="16" spans="2:13">
      <c r="B16" s="1160" t="s">
        <v>214</v>
      </c>
      <c r="C16" s="885">
        <f>'Berekening rekenvolumes'!N21</f>
        <v>0</v>
      </c>
      <c r="D16" s="1161"/>
      <c r="F16" s="1158" t="s">
        <v>213</v>
      </c>
      <c r="G16" s="886">
        <f>'Berekening rekenvolumes'!N58</f>
        <v>548.22723356009067</v>
      </c>
      <c r="H16" s="1159"/>
      <c r="J16" s="1158" t="s">
        <v>230</v>
      </c>
      <c r="K16" s="886">
        <f>'Berekening rekenvolumes'!N83</f>
        <v>24495.565232977297</v>
      </c>
      <c r="L16" s="1159"/>
    </row>
    <row r="17" spans="2:12">
      <c r="B17" s="1162" t="s">
        <v>217</v>
      </c>
      <c r="C17" s="884">
        <f>'Berekening rekenvolumes'!N22</f>
        <v>0</v>
      </c>
      <c r="D17" s="1163"/>
      <c r="F17" s="1160" t="s">
        <v>223</v>
      </c>
      <c r="G17" s="885">
        <f>'Berekening rekenvolumes'!N59</f>
        <v>224658.86551743236</v>
      </c>
      <c r="H17" s="1161"/>
      <c r="J17" s="1162" t="s">
        <v>231</v>
      </c>
      <c r="K17" s="884">
        <f>'Berekening rekenvolumes'!N84</f>
        <v>53423.199983816383</v>
      </c>
      <c r="L17" s="1163"/>
    </row>
    <row r="18" spans="2:12">
      <c r="F18" s="1160" t="s">
        <v>215</v>
      </c>
      <c r="G18" s="885">
        <f>'Berekening rekenvolumes'!N60</f>
        <v>1787153.8777472128</v>
      </c>
      <c r="H18" s="1161"/>
    </row>
    <row r="19" spans="2:12">
      <c r="B19" s="887" t="s">
        <v>218</v>
      </c>
      <c r="C19" s="1155" t="s">
        <v>1110</v>
      </c>
      <c r="D19" s="1157"/>
      <c r="F19" s="1162" t="s">
        <v>224</v>
      </c>
      <c r="G19" s="884">
        <f>'Berekening rekenvolumes'!N61</f>
        <v>454675890.92116576</v>
      </c>
      <c r="H19" s="1163"/>
      <c r="J19" s="887" t="s">
        <v>232</v>
      </c>
      <c r="K19" s="1155" t="s">
        <v>1110</v>
      </c>
      <c r="L19" s="1157"/>
    </row>
    <row r="20" spans="2:12">
      <c r="B20" s="1158" t="s">
        <v>213</v>
      </c>
      <c r="C20" s="886">
        <f>'Berekening rekenvolumes'!N25</f>
        <v>0</v>
      </c>
      <c r="D20" s="1159"/>
      <c r="J20" s="1158" t="s">
        <v>233</v>
      </c>
      <c r="K20" s="886">
        <f>'Berekening rekenvolumes'!N87</f>
        <v>602.82399201211501</v>
      </c>
      <c r="L20" s="1159"/>
    </row>
    <row r="21" spans="2:12">
      <c r="B21" s="1160" t="s">
        <v>214</v>
      </c>
      <c r="C21" s="885">
        <f>'Berekening rekenvolumes'!N26</f>
        <v>0</v>
      </c>
      <c r="D21" s="1161"/>
      <c r="F21" s="887" t="s">
        <v>226</v>
      </c>
      <c r="G21" s="1155" t="s">
        <v>1110</v>
      </c>
      <c r="H21" s="1157"/>
      <c r="J21" s="1160" t="s">
        <v>234</v>
      </c>
      <c r="K21" s="885">
        <f>'Berekening rekenvolumes'!N88</f>
        <v>629.99488800538222</v>
      </c>
      <c r="L21" s="1161"/>
    </row>
    <row r="22" spans="2:12">
      <c r="B22" s="1162" t="s">
        <v>215</v>
      </c>
      <c r="C22" s="884">
        <f>'Berekening rekenvolumes'!N27</f>
        <v>0</v>
      </c>
      <c r="D22" s="1163"/>
      <c r="F22" s="1158" t="s">
        <v>213</v>
      </c>
      <c r="G22" s="886">
        <f>'Berekening rekenvolumes'!N64</f>
        <v>1003.6315343915343</v>
      </c>
      <c r="H22" s="1159"/>
      <c r="J22" s="1160" t="s">
        <v>235</v>
      </c>
      <c r="K22" s="885">
        <f>'Berekening rekenvolumes'!N89</f>
        <v>779.58300077259071</v>
      </c>
      <c r="L22" s="1161"/>
    </row>
    <row r="23" spans="2:12">
      <c r="F23" s="1160" t="s">
        <v>223</v>
      </c>
      <c r="G23" s="885">
        <f>'Berekening rekenvolumes'!N65</f>
        <v>197518.19765092045</v>
      </c>
      <c r="H23" s="1161"/>
      <c r="J23" s="1160" t="s">
        <v>236</v>
      </c>
      <c r="K23" s="885">
        <f>'Berekening rekenvolumes'!N90</f>
        <v>1392.9605423848632</v>
      </c>
      <c r="L23" s="1161"/>
    </row>
    <row r="24" spans="2:12" ht="14.25">
      <c r="B24" s="887" t="s">
        <v>933</v>
      </c>
      <c r="C24" s="1155" t="s">
        <v>1110</v>
      </c>
      <c r="D24" s="1157"/>
      <c r="F24" s="1160" t="s">
        <v>215</v>
      </c>
      <c r="G24" s="885">
        <f>'Berekening rekenvolumes'!N66</f>
        <v>1525136.9554050723</v>
      </c>
      <c r="H24" s="1161"/>
      <c r="J24" s="1160" t="s">
        <v>934</v>
      </c>
      <c r="K24" s="885">
        <f>'Berekening rekenvolumes'!N91</f>
        <v>50017.837560641434</v>
      </c>
      <c r="L24" s="1161"/>
    </row>
    <row r="25" spans="2:12">
      <c r="B25" s="1158" t="s">
        <v>213</v>
      </c>
      <c r="C25" s="886">
        <f>'Berekening rekenvolumes'!N30</f>
        <v>0</v>
      </c>
      <c r="D25" s="1159"/>
      <c r="F25" s="1162" t="s">
        <v>224</v>
      </c>
      <c r="G25" s="884">
        <f>'Berekening rekenvolumes'!N67</f>
        <v>415293569.46410704</v>
      </c>
      <c r="H25" s="1163"/>
      <c r="J25" s="1162" t="s">
        <v>238</v>
      </c>
      <c r="K25" s="884">
        <f>'Berekening rekenvolumes'!N92</f>
        <v>24495.565232977297</v>
      </c>
      <c r="L25" s="1163"/>
    </row>
    <row r="26" spans="2:12" ht="14.25">
      <c r="B26" s="1160" t="s">
        <v>214</v>
      </c>
      <c r="C26" s="885">
        <f>'Berekening rekenvolumes'!N31</f>
        <v>0</v>
      </c>
      <c r="D26" s="1161"/>
      <c r="J26" s="1153" t="s">
        <v>1508</v>
      </c>
    </row>
    <row r="27" spans="2:12">
      <c r="B27" s="1162" t="s">
        <v>217</v>
      </c>
      <c r="C27" s="884">
        <f>'Berekening rekenvolumes'!N32</f>
        <v>0</v>
      </c>
      <c r="D27" s="1163"/>
      <c r="K27" s="893"/>
    </row>
    <row r="28" spans="2:12">
      <c r="J28" s="892" t="s">
        <v>53</v>
      </c>
      <c r="K28" s="891"/>
      <c r="L28" s="1154"/>
    </row>
    <row r="29" spans="2:12">
      <c r="B29" s="887" t="s">
        <v>220</v>
      </c>
      <c r="C29" s="1155" t="s">
        <v>1110</v>
      </c>
      <c r="D29" s="1157"/>
      <c r="J29" s="887"/>
      <c r="K29" s="1155" t="s">
        <v>1110</v>
      </c>
      <c r="L29" s="1157"/>
    </row>
    <row r="30" spans="2:12">
      <c r="B30" s="1158" t="s">
        <v>213</v>
      </c>
      <c r="C30" s="886">
        <f>'Berekening rekenvolumes'!N35</f>
        <v>5.0277777777777777</v>
      </c>
      <c r="D30" s="1159"/>
      <c r="J30" s="1158" t="s">
        <v>239</v>
      </c>
      <c r="K30" s="886">
        <f>'Berekening rekenvolumes'!N103</f>
        <v>0</v>
      </c>
      <c r="L30" s="1159"/>
    </row>
    <row r="31" spans="2:12">
      <c r="B31" s="1160" t="s">
        <v>214</v>
      </c>
      <c r="C31" s="885">
        <f>'Berekening rekenvolumes'!N36</f>
        <v>31772.614179034095</v>
      </c>
      <c r="D31" s="1161"/>
      <c r="J31" s="1162" t="s">
        <v>240</v>
      </c>
      <c r="K31" s="884">
        <f>'Berekening rekenvolumes'!N104</f>
        <v>0</v>
      </c>
      <c r="L31" s="1163"/>
    </row>
    <row r="32" spans="2:12">
      <c r="B32" s="1162" t="s">
        <v>215</v>
      </c>
      <c r="C32" s="884">
        <f>'Berekening rekenvolumes'!N37</f>
        <v>292994.15651135007</v>
      </c>
      <c r="D32" s="1163"/>
    </row>
    <row r="34" spans="2:12">
      <c r="B34" s="887" t="s">
        <v>935</v>
      </c>
      <c r="C34" s="1155" t="s">
        <v>1110</v>
      </c>
      <c r="D34" s="1157"/>
    </row>
    <row r="35" spans="2:12">
      <c r="B35" s="1158" t="s">
        <v>213</v>
      </c>
      <c r="C35" s="886">
        <f>'Berekening rekenvolumes'!N40</f>
        <v>0</v>
      </c>
      <c r="D35" s="1159"/>
    </row>
    <row r="36" spans="2:12">
      <c r="B36" s="1160" t="s">
        <v>214</v>
      </c>
      <c r="C36" s="885">
        <f>'Berekening rekenvolumes'!N41</f>
        <v>0</v>
      </c>
      <c r="D36" s="1161"/>
    </row>
    <row r="37" spans="2:12">
      <c r="B37" s="1162" t="s">
        <v>217</v>
      </c>
      <c r="C37" s="884">
        <f>'Berekening rekenvolumes'!N42</f>
        <v>0</v>
      </c>
      <c r="D37" s="1163"/>
    </row>
    <row r="39" spans="2:12" ht="15.75">
      <c r="B39" s="1009" t="s">
        <v>936</v>
      </c>
      <c r="C39" s="879"/>
      <c r="D39" s="880"/>
      <c r="E39" s="880"/>
      <c r="F39" s="880"/>
      <c r="G39" s="880"/>
      <c r="H39" s="880"/>
      <c r="I39" s="880"/>
      <c r="J39" s="880"/>
      <c r="K39" s="880"/>
      <c r="L39" s="881"/>
    </row>
    <row r="41" spans="2:12">
      <c r="B41" s="889" t="s">
        <v>658</v>
      </c>
      <c r="C41" s="1155" t="s">
        <v>1110</v>
      </c>
      <c r="D41" s="1156"/>
      <c r="F41" s="887" t="s">
        <v>942</v>
      </c>
      <c r="G41" s="1155" t="s">
        <v>1110</v>
      </c>
      <c r="H41" s="1157"/>
      <c r="J41" s="887" t="s">
        <v>943</v>
      </c>
      <c r="K41" s="1155" t="s">
        <v>1110</v>
      </c>
      <c r="L41" s="1157"/>
    </row>
    <row r="42" spans="2:12">
      <c r="B42" s="1158" t="str">
        <f>Westland!V14</f>
        <v xml:space="preserve">&gt;2,4 MVA en t/m 10 MVA     </v>
      </c>
      <c r="C42" s="886">
        <f>Westland!X14</f>
        <v>31.008169020850954</v>
      </c>
      <c r="D42" s="1159"/>
      <c r="F42" s="1158" t="str">
        <f>Westland!V70</f>
        <v>&gt;2,4 MVA en t/m 10 MVA</v>
      </c>
      <c r="G42" s="886">
        <f>Westland!X70</f>
        <v>0.66666666666666663</v>
      </c>
      <c r="H42" s="1159"/>
      <c r="J42" s="1158" t="str">
        <f>Westland!V99</f>
        <v>&gt;2,4 MVA en t/m 10 MVA</v>
      </c>
      <c r="K42" s="886">
        <f>Westland!X99</f>
        <v>573.33333333333337</v>
      </c>
      <c r="L42" s="1159"/>
    </row>
    <row r="43" spans="2:12">
      <c r="B43" s="1164" t="str">
        <f>Westland!V15</f>
        <v xml:space="preserve">&gt;=1,0 MW en t/m 2,4 MVA   </v>
      </c>
      <c r="C43" s="894">
        <f>Westland!X15</f>
        <v>256.30081908297296</v>
      </c>
      <c r="D43" s="1165"/>
      <c r="F43" s="1164" t="str">
        <f>Westland!V71</f>
        <v>&gt;= 1MW en t/m 2,4 MVA</v>
      </c>
      <c r="G43" s="894">
        <f>Westland!X71</f>
        <v>4.333333333333333</v>
      </c>
      <c r="H43" s="1165"/>
      <c r="J43" s="1164" t="str">
        <f>Westland!V100</f>
        <v>&gt;= 1MW en t/m 2,4 MVA</v>
      </c>
      <c r="K43" s="894">
        <f>Westland!X100</f>
        <v>199.33333333333334</v>
      </c>
      <c r="L43" s="1165"/>
    </row>
    <row r="44" spans="2:12">
      <c r="B44" s="1164" t="str">
        <f>Westland!V16</f>
        <v>&gt;3*1500A en t/m 3*1600 A af sec zijde LS</v>
      </c>
      <c r="C44" s="894">
        <f>Westland!X16</f>
        <v>28.195319767911595</v>
      </c>
      <c r="D44" s="1165"/>
      <c r="F44" s="1164" t="str">
        <f>Westland!V72</f>
        <v>&gt;3*1500A en t/m 3*1600A af sec. zijde LS</v>
      </c>
      <c r="G44" s="894">
        <f>Westland!X72</f>
        <v>0.66666666666666663</v>
      </c>
      <c r="H44" s="1165"/>
      <c r="J44" s="1164" t="str">
        <f>Westland!V101</f>
        <v>&gt;3*1500A en t/m 3*1600A af sec. zijde LS</v>
      </c>
      <c r="K44" s="894">
        <f>Westland!X101</f>
        <v>13.333333333333334</v>
      </c>
      <c r="L44" s="1165"/>
    </row>
    <row r="45" spans="2:12">
      <c r="B45" s="1164" t="str">
        <f>Westland!V17</f>
        <v>&gt;3*1200A en t/m 3*1500 A af sec zijde LS</v>
      </c>
      <c r="C45" s="894">
        <f>Westland!X17</f>
        <v>117.59646137647213</v>
      </c>
      <c r="D45" s="1165"/>
      <c r="F45" s="1164" t="str">
        <f>Westland!V73</f>
        <v>&gt;3*1200A en t/m 3*1500A af sec. zijde LS</v>
      </c>
      <c r="G45" s="894">
        <f>Westland!X73</f>
        <v>0.33333333333333331</v>
      </c>
      <c r="H45" s="1165"/>
      <c r="J45" s="1164" t="str">
        <f>Westland!V102</f>
        <v>&gt;3*1200A en t/m 3*1500A af sec. zijde LS</v>
      </c>
      <c r="K45" s="894">
        <f>Westland!X102</f>
        <v>30</v>
      </c>
      <c r="L45" s="1165"/>
    </row>
    <row r="46" spans="2:12">
      <c r="B46" s="1164" t="str">
        <f>Westland!V18</f>
        <v>&gt;3*750A en t/m 3*1200 A af sec zijde LS</v>
      </c>
      <c r="C46" s="894">
        <f>Westland!X18</f>
        <v>146.50114833419087</v>
      </c>
      <c r="D46" s="1165"/>
      <c r="F46" s="1164" t="str">
        <f>Westland!V74</f>
        <v>&gt;3*750A en t/m 3*1200A af sec. zijde LS</v>
      </c>
      <c r="G46" s="894">
        <f>Westland!X74</f>
        <v>2</v>
      </c>
      <c r="H46" s="1165"/>
      <c r="J46" s="1164" t="str">
        <f>Westland!V103</f>
        <v>&gt;3*750A en t/m 3*1200A af sec. zijde LS</v>
      </c>
      <c r="K46" s="894">
        <f>Westland!X103</f>
        <v>261.66666666666669</v>
      </c>
      <c r="L46" s="1165"/>
    </row>
    <row r="47" spans="2:12">
      <c r="B47" s="1164" t="str">
        <f>Westland!V19</f>
        <v>&gt;3*500A en t/m 3*750 A af sec zijde LS</v>
      </c>
      <c r="C47" s="894">
        <f>Westland!X19</f>
        <v>75.743226613043376</v>
      </c>
      <c r="D47" s="1165"/>
      <c r="F47" s="1164" t="str">
        <f>Westland!V75</f>
        <v>&gt;3*500A en t/m 3*750A af sec. zijde LS</v>
      </c>
      <c r="G47" s="894">
        <f>Westland!X75</f>
        <v>0.66666666666666663</v>
      </c>
      <c r="H47" s="1165"/>
      <c r="J47" s="1164" t="str">
        <f>Westland!V104</f>
        <v>&gt;3*500A en t/m 3*750A af sec. zijde LS</v>
      </c>
      <c r="K47" s="894">
        <f>Westland!X104</f>
        <v>75</v>
      </c>
      <c r="L47" s="1165"/>
    </row>
    <row r="48" spans="2:12">
      <c r="B48" s="1164" t="str">
        <f>Westland!V20</f>
        <v>&gt;3*480A en t/m 3*500 A af sec zijde LS</v>
      </c>
      <c r="C48" s="894">
        <f>Westland!X20</f>
        <v>4.4436107673288054</v>
      </c>
      <c r="D48" s="1165"/>
      <c r="F48" s="1164" t="str">
        <f>Westland!V76</f>
        <v>&gt;3*480A en t/m 3*500A af sec. zijde LS</v>
      </c>
      <c r="G48" s="894">
        <f>Westland!X76</f>
        <v>0.33333333333333331</v>
      </c>
      <c r="H48" s="1165"/>
      <c r="J48" s="1164" t="str">
        <f>Westland!V105</f>
        <v>&gt;3*480A en t/m 3*500A af sec. zijde LS</v>
      </c>
      <c r="K48" s="894">
        <f>Westland!X105</f>
        <v>65</v>
      </c>
      <c r="L48" s="1165"/>
    </row>
    <row r="49" spans="2:12">
      <c r="B49" s="1164" t="str">
        <f>Westland!V21</f>
        <v>&gt;3*400A en t/m 3*480 A af sec zijde LS</v>
      </c>
      <c r="C49" s="894">
        <f>Westland!X21</f>
        <v>13.312639861456804</v>
      </c>
      <c r="D49" s="1165"/>
      <c r="F49" s="1164" t="str">
        <f>Westland!V77</f>
        <v>&gt;3*400A en t/m 3*480A af sec. zijde LS</v>
      </c>
      <c r="G49" s="894">
        <f>Westland!X77</f>
        <v>0.33333333333333331</v>
      </c>
      <c r="H49" s="1165"/>
      <c r="J49" s="1164" t="str">
        <f>Westland!V106</f>
        <v>&gt;3*400A en t/m 3*480A af sec. zijde LS</v>
      </c>
      <c r="K49" s="894">
        <f>Westland!X106</f>
        <v>25</v>
      </c>
      <c r="L49" s="1165"/>
    </row>
    <row r="50" spans="2:12">
      <c r="B50" s="1164" t="str">
        <f>Westland!V22</f>
        <v xml:space="preserve">&gt;3*250A en t/m 3*400 A af sec zijde LS  </v>
      </c>
      <c r="C50" s="894">
        <f>Westland!X22</f>
        <v>143.5033598167133</v>
      </c>
      <c r="D50" s="1165"/>
      <c r="F50" s="1164" t="str">
        <f>Westland!V78</f>
        <v>&gt;3*250A en t/m 3*400A af sec. zijde LS</v>
      </c>
      <c r="G50" s="894">
        <f>Westland!X78</f>
        <v>4</v>
      </c>
      <c r="H50" s="1165"/>
      <c r="J50" s="1164" t="str">
        <f>Westland!V107</f>
        <v>&gt;3*250A en t/m 3*400A af sec. zijde LS</v>
      </c>
      <c r="K50" s="894">
        <f>Westland!X107</f>
        <v>405</v>
      </c>
      <c r="L50" s="1165"/>
    </row>
    <row r="51" spans="2:12">
      <c r="B51" s="1164" t="str">
        <f>Westland!V23</f>
        <v xml:space="preserve">&gt;3*200A en t/m 3*250 A af sec zijde LS </v>
      </c>
      <c r="C51" s="894">
        <f>Westland!X23</f>
        <v>92.916933632517399</v>
      </c>
      <c r="D51" s="1165"/>
      <c r="F51" s="1164" t="str">
        <f>Westland!V79</f>
        <v>&gt;3*200A en t/m 3*250A af sec. zijde LS</v>
      </c>
      <c r="G51" s="894">
        <f>Westland!X79</f>
        <v>2.6666666666666665</v>
      </c>
      <c r="H51" s="1165"/>
      <c r="J51" s="1164" t="str">
        <f>Westland!V108</f>
        <v>&gt;3*200A en t/m 3*250A af sec. zijde LS</v>
      </c>
      <c r="K51" s="894">
        <f>Westland!X108</f>
        <v>263.33333333333331</v>
      </c>
      <c r="L51" s="1165"/>
    </row>
    <row r="52" spans="2:12">
      <c r="B52" s="1164" t="str">
        <f>Westland!V24</f>
        <v xml:space="preserve">&gt;3*80A en t/m 3*200 A af sec zijde LS       </v>
      </c>
      <c r="C52" s="894">
        <f>Westland!X24</f>
        <v>489.79619861266451</v>
      </c>
      <c r="D52" s="1165"/>
      <c r="F52" s="1164" t="str">
        <f>Westland!V80</f>
        <v>&gt;3*80A en t/m 3*200A af sec. zijde LS</v>
      </c>
      <c r="G52" s="894">
        <f>Westland!X80</f>
        <v>9.6666666666666661</v>
      </c>
      <c r="H52" s="1165"/>
      <c r="J52" s="1164" t="str">
        <f>Westland!V109</f>
        <v>&gt;3*80A en t/m 3*200A af sec. zijde LS</v>
      </c>
      <c r="K52" s="894">
        <f>Westland!X109</f>
        <v>1419.8333333333333</v>
      </c>
      <c r="L52" s="1165"/>
    </row>
    <row r="53" spans="2:12">
      <c r="B53" s="1164" t="str">
        <f>Westland!V25</f>
        <v xml:space="preserve">&gt;3*63A en t/m 3*80A           </v>
      </c>
      <c r="C53" s="894">
        <f>Westland!X25</f>
        <v>602.74694360035721</v>
      </c>
      <c r="D53" s="1165"/>
      <c r="F53" s="1164" t="str">
        <f>Westland!V81</f>
        <v>&gt;3*63A en t/m 3*80A</v>
      </c>
      <c r="G53" s="894">
        <f>Westland!X81</f>
        <v>13.666666666666666</v>
      </c>
      <c r="H53" s="1165"/>
      <c r="J53" s="1164" t="str">
        <f>Westland!V110</f>
        <v>&gt;3*63A en t/m 3*80A</v>
      </c>
      <c r="K53" s="894">
        <f>Westland!X110</f>
        <v>150</v>
      </c>
      <c r="L53" s="1165"/>
    </row>
    <row r="54" spans="2:12">
      <c r="B54" s="1164" t="str">
        <f>Westland!V26</f>
        <v xml:space="preserve">&gt;3*50A en t/m 3*63A         </v>
      </c>
      <c r="C54" s="894">
        <f>Westland!X26</f>
        <v>629.57343525626709</v>
      </c>
      <c r="D54" s="1165"/>
      <c r="F54" s="1164" t="str">
        <f>Westland!V82</f>
        <v>&gt;3*50A en t/m 3*63A</v>
      </c>
      <c r="G54" s="894">
        <f>Westland!X82</f>
        <v>14</v>
      </c>
      <c r="H54" s="1165"/>
      <c r="J54" s="1164" t="str">
        <f>Westland!V111</f>
        <v>&gt;3*50A en t/m 3*63A</v>
      </c>
      <c r="K54" s="894">
        <f>Westland!X111</f>
        <v>120.66666666666667</v>
      </c>
      <c r="L54" s="1165"/>
    </row>
    <row r="55" spans="2:12">
      <c r="B55" s="1164" t="str">
        <f>Westland!V27</f>
        <v>&gt;3*35A en t/m 3*50A</v>
      </c>
      <c r="C55" s="894">
        <f>Westland!X27</f>
        <v>778.9736714024715</v>
      </c>
      <c r="D55" s="1165"/>
      <c r="F55" s="1164" t="str">
        <f>Westland!V83</f>
        <v>&gt;3*35A en t/m 3*50A</v>
      </c>
      <c r="G55" s="894">
        <f>Westland!X83</f>
        <v>21.666666666666668</v>
      </c>
      <c r="H55" s="1165"/>
      <c r="J55" s="1164" t="str">
        <f>Westland!V112</f>
        <v>&gt;3*35A en t/m 3*50A</v>
      </c>
      <c r="K55" s="894">
        <f>Westland!X112</f>
        <v>1220</v>
      </c>
      <c r="L55" s="1165"/>
    </row>
    <row r="56" spans="2:12">
      <c r="B56" s="1164" t="str">
        <f>Westland!V28</f>
        <v>&gt;3*25A en t/m 3*35A</v>
      </c>
      <c r="C56" s="894">
        <f>Westland!X28</f>
        <v>1400.2848248444031</v>
      </c>
      <c r="D56" s="1165"/>
      <c r="F56" s="1164" t="str">
        <f>Westland!V84</f>
        <v>&gt;3*25A en t/m 3*35A</v>
      </c>
      <c r="G56" s="894">
        <f>Westland!X84</f>
        <v>26.666666666666668</v>
      </c>
      <c r="H56" s="1165"/>
      <c r="J56" s="1164" t="str">
        <f>Westland!V113</f>
        <v>&gt;3*25A en t/m 3*35A</v>
      </c>
      <c r="K56" s="894">
        <f>Westland!X113</f>
        <v>120</v>
      </c>
      <c r="L56" s="1165"/>
    </row>
    <row r="57" spans="2:12">
      <c r="B57" s="1164" t="str">
        <f>Westland!V29</f>
        <v xml:space="preserve">&gt; 1*6A en t/m 3*25A  </v>
      </c>
      <c r="C57" s="894">
        <f>Westland!X29</f>
        <v>50009.193594389937</v>
      </c>
      <c r="D57" s="1165"/>
      <c r="F57" s="1164" t="str">
        <f>Westland!V85</f>
        <v>t/m 3*25A</v>
      </c>
      <c r="G57" s="894">
        <f>Westland!X85</f>
        <v>997.66666666666663</v>
      </c>
      <c r="H57" s="1165"/>
      <c r="J57" s="1164" t="str">
        <f>Westland!V114</f>
        <v>t/m 3*25A</v>
      </c>
      <c r="K57" s="894">
        <f>Westland!X114</f>
        <v>1387</v>
      </c>
      <c r="L57" s="1165"/>
    </row>
    <row r="58" spans="2:12">
      <c r="B58" s="1162" t="str">
        <f>Westland!V30</f>
        <v>t/m 1*6A (geschakeld net)</v>
      </c>
      <c r="C58" s="884">
        <f>Westland!X30</f>
        <v>24495.565232977297</v>
      </c>
      <c r="D58" s="1163"/>
      <c r="F58" s="1162" t="str">
        <f>Westland!V86</f>
        <v>1*6A geschakeld net</v>
      </c>
      <c r="G58" s="884">
        <f>Westland!X86</f>
        <v>447.33333333333331</v>
      </c>
      <c r="H58" s="1163"/>
      <c r="J58" s="1162" t="str">
        <f>Westland!V115</f>
        <v>1*6A geschakeld net</v>
      </c>
      <c r="K58" s="884">
        <f>Westland!X115</f>
        <v>427.33333333333331</v>
      </c>
      <c r="L58" s="1163"/>
    </row>
    <row r="59" spans="2:12">
      <c r="B59" s="1166" t="s">
        <v>260</v>
      </c>
      <c r="C59" s="1166"/>
      <c r="F59" s="1167"/>
      <c r="G59" s="1167"/>
      <c r="H59" s="1167"/>
    </row>
    <row r="60" spans="2:12">
      <c r="B60" s="889" t="s">
        <v>944</v>
      </c>
      <c r="C60" s="1155" t="s">
        <v>1110</v>
      </c>
      <c r="D60" s="1156"/>
      <c r="F60" s="1167"/>
      <c r="G60" s="1167"/>
      <c r="H60" s="1167"/>
    </row>
    <row r="61" spans="2:12">
      <c r="B61" s="1158" t="str">
        <f>Westland!V34</f>
        <v>3-10 MVA</v>
      </c>
      <c r="C61" s="886">
        <f>Westland!X34</f>
        <v>5400.2239018639511</v>
      </c>
      <c r="D61" s="1159"/>
    </row>
    <row r="62" spans="2:12">
      <c r="B62" s="1172"/>
      <c r="C62" s="895"/>
      <c r="D62" s="1173"/>
      <c r="F62" s="1153" t="s">
        <v>1516</v>
      </c>
    </row>
    <row r="63" spans="2:12">
      <c r="C63" s="1167"/>
    </row>
    <row r="64" spans="2:12">
      <c r="B64" s="1167"/>
      <c r="C64" s="1167"/>
    </row>
    <row r="65" spans="3:3">
      <c r="C65" s="896"/>
    </row>
    <row r="66" spans="3:3">
      <c r="C66" s="1167"/>
    </row>
    <row r="67" spans="3:3">
      <c r="C67" s="1167"/>
    </row>
    <row r="68" spans="3:3">
      <c r="C68" s="1167"/>
    </row>
    <row r="70" spans="3:3">
      <c r="C70" s="890"/>
    </row>
    <row r="71" spans="3:3">
      <c r="C71" s="897"/>
    </row>
    <row r="72" spans="3:3">
      <c r="C72" s="897"/>
    </row>
    <row r="73" spans="3:3">
      <c r="C73" s="897"/>
    </row>
    <row r="74" spans="3:3">
      <c r="C74" s="897"/>
    </row>
    <row r="75" spans="3:3">
      <c r="C75" s="897"/>
    </row>
  </sheetData>
  <pageMargins left="0.7" right="0.7" top="0.75" bottom="0.75" header="0.3" footer="0.3"/>
  <pageSetup paperSize="9" scale="58"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85" zoomScaleNormal="85" workbookViewId="0"/>
  </sheetViews>
  <sheetFormatPr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enableFormatConditionsCalculation="0">
    <tabColor rgb="FFDBE91F"/>
  </sheetPr>
  <dimension ref="B1:Q123"/>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59.140625" customWidth="1"/>
    <col min="3" max="3" width="2.5703125" customWidth="1"/>
    <col min="4" max="4" width="14.5703125" customWidth="1"/>
    <col min="5" max="5" width="2.5703125" customWidth="1"/>
    <col min="6" max="6" width="21.42578125" style="46" customWidth="1"/>
    <col min="7" max="14" width="14.85546875" customWidth="1"/>
    <col min="15" max="15" width="9.28515625" customWidth="1"/>
    <col min="16" max="16" width="25.42578125" customWidth="1"/>
  </cols>
  <sheetData>
    <row r="1" spans="2:16" ht="12" customHeight="1"/>
    <row r="2" spans="2:16" s="1" customFormat="1" ht="18">
      <c r="B2" s="1" t="s">
        <v>12</v>
      </c>
      <c r="F2" s="47" t="s">
        <v>177</v>
      </c>
      <c r="G2" s="5" t="s">
        <v>168</v>
      </c>
      <c r="H2" s="5" t="s">
        <v>169</v>
      </c>
      <c r="I2" s="5" t="s">
        <v>170</v>
      </c>
      <c r="J2" s="5" t="s">
        <v>171</v>
      </c>
      <c r="K2" s="5" t="s">
        <v>172</v>
      </c>
      <c r="L2" s="5" t="s">
        <v>173</v>
      </c>
      <c r="M2" s="5" t="s">
        <v>174</v>
      </c>
      <c r="N2" s="5" t="s">
        <v>175</v>
      </c>
      <c r="P2" s="5" t="s">
        <v>438</v>
      </c>
    </row>
    <row r="4" spans="2:16">
      <c r="B4" s="80" t="s">
        <v>13</v>
      </c>
    </row>
    <row r="5" spans="2:16">
      <c r="B5" s="27" t="s">
        <v>14</v>
      </c>
    </row>
    <row r="6" spans="2:16">
      <c r="B6" s="27" t="s">
        <v>1138</v>
      </c>
    </row>
    <row r="9" spans="2:16" s="2" customFormat="1">
      <c r="B9" s="2" t="s">
        <v>206</v>
      </c>
      <c r="F9" s="48"/>
    </row>
    <row r="11" spans="2:16">
      <c r="B11" s="81" t="s">
        <v>194</v>
      </c>
    </row>
    <row r="12" spans="2:16">
      <c r="B12" s="25" t="s">
        <v>195</v>
      </c>
      <c r="D12" t="s">
        <v>180</v>
      </c>
      <c r="F12" s="82">
        <f>SUM(G12:N12)</f>
        <v>250886722.85999998</v>
      </c>
      <c r="G12" s="39">
        <v>0</v>
      </c>
      <c r="H12" s="898">
        <f>0+'Aanpassing gegevens (sep 2014)'!H105</f>
        <v>6923123.1100000003</v>
      </c>
      <c r="I12" s="39">
        <v>0</v>
      </c>
      <c r="J12" s="39">
        <v>103693222.23999999</v>
      </c>
      <c r="K12" s="898">
        <f>75713411+12926271-4318000+'Aanpassing gegevens (sep 2014)'!H53</f>
        <v>85123882</v>
      </c>
      <c r="L12" s="39">
        <v>0</v>
      </c>
      <c r="M12" s="898">
        <f>50879000-(477793+655993)</f>
        <v>49745214</v>
      </c>
      <c r="N12" s="39">
        <v>5401281.5099999998</v>
      </c>
      <c r="P12" t="s">
        <v>486</v>
      </c>
    </row>
    <row r="13" spans="2:16">
      <c r="B13" s="25" t="s">
        <v>196</v>
      </c>
      <c r="D13" t="s">
        <v>180</v>
      </c>
      <c r="F13" s="82">
        <f>SUM(G13:N13)</f>
        <v>19892436.579999998</v>
      </c>
      <c r="G13" s="39">
        <v>3138000</v>
      </c>
      <c r="H13" s="898">
        <f>6923123.11+'Aanpassing gegevens (sep 2014)'!H106</f>
        <v>0</v>
      </c>
      <c r="I13" s="39">
        <v>6938607.8400000008</v>
      </c>
      <c r="J13" s="39">
        <v>367793.62</v>
      </c>
      <c r="K13" s="39">
        <v>695851.63000000012</v>
      </c>
      <c r="L13" s="39">
        <v>2044465</v>
      </c>
      <c r="M13" s="39">
        <v>5781000</v>
      </c>
      <c r="N13" s="39">
        <v>926718.49</v>
      </c>
    </row>
    <row r="14" spans="2:16">
      <c r="B14" s="25" t="s">
        <v>197</v>
      </c>
      <c r="D14" t="s">
        <v>180</v>
      </c>
      <c r="F14" s="82">
        <f>SUM(G14:N14)</f>
        <v>348034977.72988653</v>
      </c>
      <c r="G14" s="39">
        <v>1248000</v>
      </c>
      <c r="H14" s="898">
        <f>0+'Aanpassing gegevens (sep 2014)'!H107</f>
        <v>9030346.6398865208</v>
      </c>
      <c r="I14" s="39">
        <v>3736015.4</v>
      </c>
      <c r="J14" s="39">
        <v>119329002.25</v>
      </c>
      <c r="K14" s="39">
        <v>113788474.55</v>
      </c>
      <c r="L14" s="39">
        <v>758871</v>
      </c>
      <c r="M14" s="39">
        <v>93964000</v>
      </c>
      <c r="N14" s="39">
        <v>6180267.8899999997</v>
      </c>
    </row>
    <row r="15" spans="2:16">
      <c r="B15" s="25" t="s">
        <v>330</v>
      </c>
      <c r="D15" t="s">
        <v>180</v>
      </c>
      <c r="F15" s="82">
        <f>SUM(G15:N15)</f>
        <v>7000</v>
      </c>
      <c r="G15" s="39">
        <v>7000</v>
      </c>
      <c r="H15" s="898">
        <f>8938279.63988652+'Aanpassing gegevens (sep 2014)'!H108</f>
        <v>0</v>
      </c>
      <c r="I15" s="39">
        <v>0</v>
      </c>
      <c r="J15" s="39">
        <v>0</v>
      </c>
      <c r="K15" s="39">
        <v>0</v>
      </c>
      <c r="L15" s="39">
        <v>0</v>
      </c>
      <c r="M15" s="39">
        <v>0</v>
      </c>
      <c r="N15" s="39">
        <v>0</v>
      </c>
    </row>
    <row r="16" spans="2:16">
      <c r="B16" s="25"/>
      <c r="F16" s="68"/>
      <c r="G16" s="40"/>
      <c r="H16" s="40"/>
      <c r="I16" s="40"/>
      <c r="J16" s="40"/>
      <c r="K16" s="40"/>
      <c r="L16" s="40"/>
      <c r="M16" s="40"/>
      <c r="N16" s="40"/>
    </row>
    <row r="17" spans="2:16">
      <c r="B17" s="81" t="s">
        <v>198</v>
      </c>
      <c r="F17" s="68"/>
      <c r="G17" s="40"/>
      <c r="H17" s="40"/>
      <c r="I17" s="40"/>
      <c r="J17" s="40"/>
      <c r="K17" s="40"/>
      <c r="L17" s="40"/>
      <c r="M17" s="40"/>
      <c r="N17" s="40"/>
    </row>
    <row r="18" spans="2:16">
      <c r="B18" s="25" t="s">
        <v>199</v>
      </c>
      <c r="D18" t="s">
        <v>180</v>
      </c>
      <c r="F18" s="82">
        <f>SUM(G18:N18)</f>
        <v>768526386.92580914</v>
      </c>
      <c r="G18" s="39">
        <v>4157000</v>
      </c>
      <c r="H18" s="898">
        <f>0+'Aanpassing gegevens (sep 2014)'!H111</f>
        <v>22670873.55496677</v>
      </c>
      <c r="I18" s="39">
        <v>5320308.2127202693</v>
      </c>
      <c r="J18" s="898">
        <f>268678422.569936+'Aanpassing gegevens (sep 2014)'!H151+'Aanpassing gegevens (sep 2014)'!H157</f>
        <v>263001331.80993599</v>
      </c>
      <c r="K18" s="898">
        <f>317209852.441237+'Aanpassing gegevens (sep 2014)'!H180</f>
        <v>315277163.26123697</v>
      </c>
      <c r="L18" s="39">
        <v>2406524.8940000003</v>
      </c>
      <c r="M18" s="39">
        <v>144986749.51332</v>
      </c>
      <c r="N18" s="39">
        <v>10706435.679629086</v>
      </c>
    </row>
    <row r="19" spans="2:16">
      <c r="B19" s="25" t="s">
        <v>200</v>
      </c>
      <c r="D19" t="s">
        <v>180</v>
      </c>
      <c r="F19" s="82">
        <f>SUM(G19:N19)</f>
        <v>62113541.467873335</v>
      </c>
      <c r="G19" s="39">
        <v>0</v>
      </c>
      <c r="H19" s="898">
        <f>22670873.5549668+'Aanpassing gegevens (sep 2014)'!H112</f>
        <v>2.9802322387695313E-8</v>
      </c>
      <c r="I19" s="39">
        <v>0</v>
      </c>
      <c r="J19" s="39">
        <v>0</v>
      </c>
      <c r="K19" s="39">
        <v>0</v>
      </c>
      <c r="L19" s="39">
        <v>454400.19999999995</v>
      </c>
      <c r="M19" s="898">
        <f>62271141.2678733+'Aanpassing gegevens (sep 2014)'!H138</f>
        <v>61659141.267873302</v>
      </c>
      <c r="N19" s="39">
        <v>0</v>
      </c>
    </row>
    <row r="20" spans="2:16">
      <c r="B20" s="25"/>
      <c r="F20" s="68"/>
      <c r="G20" s="40"/>
      <c r="H20" s="40"/>
      <c r="I20" s="40"/>
      <c r="J20" s="40"/>
      <c r="K20" s="40"/>
      <c r="L20" s="40"/>
      <c r="M20" s="40"/>
      <c r="N20" s="40"/>
    </row>
    <row r="21" spans="2:16">
      <c r="B21" s="81" t="s">
        <v>201</v>
      </c>
      <c r="F21" s="68"/>
      <c r="G21" s="40"/>
      <c r="H21" s="40"/>
      <c r="I21" s="40"/>
      <c r="J21" s="40"/>
      <c r="K21" s="40"/>
      <c r="L21" s="40"/>
      <c r="M21" s="40"/>
      <c r="N21" s="40"/>
    </row>
    <row r="22" spans="2:16">
      <c r="B22" s="25" t="s">
        <v>202</v>
      </c>
      <c r="D22" t="s">
        <v>180</v>
      </c>
      <c r="F22" s="82">
        <f>SUM(G22:N22)</f>
        <v>31603503.808885038</v>
      </c>
      <c r="G22" s="39">
        <v>0</v>
      </c>
      <c r="H22" s="898">
        <f>0+'Aanpassing gegevens (sep 2014)'!H115</f>
        <v>494009.98</v>
      </c>
      <c r="I22" s="39">
        <v>0</v>
      </c>
      <c r="J22" s="39">
        <v>1738000</v>
      </c>
      <c r="K22" s="39">
        <v>13888014.728885036</v>
      </c>
      <c r="L22" s="39">
        <v>139.1</v>
      </c>
      <c r="M22" s="39">
        <v>15459000</v>
      </c>
      <c r="N22" s="39">
        <v>24340</v>
      </c>
    </row>
    <row r="23" spans="2:16">
      <c r="B23" s="25" t="s">
        <v>203</v>
      </c>
      <c r="D23" t="s">
        <v>180</v>
      </c>
      <c r="F23" s="82">
        <f>SUM(G23:N23)</f>
        <v>8000</v>
      </c>
      <c r="G23" s="39">
        <v>8000</v>
      </c>
      <c r="H23" s="898">
        <f>494009.98+'Aanpassing gegevens (sep 2014)'!H116</f>
        <v>0</v>
      </c>
      <c r="I23" s="39">
        <v>0</v>
      </c>
      <c r="J23" s="39">
        <v>0</v>
      </c>
      <c r="K23" s="39">
        <v>0</v>
      </c>
      <c r="L23" s="39">
        <v>0</v>
      </c>
      <c r="M23" s="39">
        <v>0</v>
      </c>
      <c r="N23" s="39">
        <v>0</v>
      </c>
    </row>
    <row r="24" spans="2:16">
      <c r="B24" s="25"/>
      <c r="F24" s="68"/>
      <c r="G24" s="40"/>
      <c r="H24" s="40"/>
      <c r="I24" s="40"/>
      <c r="J24" s="40"/>
      <c r="K24" s="40"/>
      <c r="L24" s="40"/>
      <c r="M24" s="40"/>
      <c r="N24" s="40"/>
    </row>
    <row r="25" spans="2:16">
      <c r="B25" s="81" t="s">
        <v>204</v>
      </c>
      <c r="F25" s="68"/>
      <c r="G25" s="40"/>
      <c r="H25" s="40"/>
      <c r="I25" s="40"/>
      <c r="J25" s="40"/>
      <c r="K25" s="40"/>
      <c r="L25" s="40"/>
      <c r="M25" s="40"/>
      <c r="N25" s="40"/>
      <c r="P25" s="27"/>
    </row>
    <row r="26" spans="2:16">
      <c r="B26" s="25" t="s">
        <v>331</v>
      </c>
      <c r="D26" t="s">
        <v>180</v>
      </c>
      <c r="F26" s="82">
        <f>SUM(G26:N26)</f>
        <v>8379795.803893121</v>
      </c>
      <c r="G26" s="160">
        <v>90000</v>
      </c>
      <c r="H26" s="898">
        <f>0+'Aanpassing gegevens (sep 2014)'!H119</f>
        <v>191361.32392851418</v>
      </c>
      <c r="I26" s="39">
        <v>84250.717797312536</v>
      </c>
      <c r="J26" s="160">
        <v>2526321.4220432485</v>
      </c>
      <c r="K26" s="39">
        <v>2715480.0187216662</v>
      </c>
      <c r="L26" s="39">
        <v>34374.154621311347</v>
      </c>
      <c r="M26" s="160">
        <v>2660626.2183749992</v>
      </c>
      <c r="N26" s="898">
        <f>218271.185400197*('BeginInkomsten (obv RV&amp;Tar2013)'!N274/'BeginInkomsten (obv RV&amp;Tar2013)'!N276)</f>
        <v>77381.948406068914</v>
      </c>
    </row>
    <row r="27" spans="2:16">
      <c r="B27" s="25" t="s">
        <v>332</v>
      </c>
      <c r="D27" t="s">
        <v>180</v>
      </c>
      <c r="F27" s="82">
        <f>SUM(G27:N27)</f>
        <v>5346489.6441496024</v>
      </c>
      <c r="G27" s="160">
        <v>47000</v>
      </c>
      <c r="H27" s="898">
        <f>191361.323928514+'Aanpassing gegevens (sep 2014)'!H120</f>
        <v>84529.940320220223</v>
      </c>
      <c r="I27" s="39">
        <v>63944.294202687459</v>
      </c>
      <c r="J27" s="160">
        <v>1478806.3032363635</v>
      </c>
      <c r="K27" s="39">
        <v>1473735.0914951223</v>
      </c>
      <c r="L27" s="39">
        <v>20151.783828688654</v>
      </c>
      <c r="M27" s="160">
        <v>2037432.9940723924</v>
      </c>
      <c r="N27" s="898">
        <f>218271.185400197*('BeginInkomsten (obv RV&amp;Tar2013)'!N275/'BeginInkomsten (obv RV&amp;Tar2013)'!N276)</f>
        <v>140889.23699412809</v>
      </c>
    </row>
    <row r="28" spans="2:16">
      <c r="B28" s="83" t="s">
        <v>333</v>
      </c>
      <c r="D28" t="s">
        <v>180</v>
      </c>
      <c r="F28" s="82">
        <f>SUM(G28:N28)</f>
        <v>16552587.780266941</v>
      </c>
      <c r="G28" s="39">
        <v>0</v>
      </c>
      <c r="H28" s="898">
        <f>84529.9403202204+'Aanpassing gegevens (sep 2014)'!H121</f>
        <v>0</v>
      </c>
      <c r="I28" s="1064">
        <f>'Aanpassing gegevens (aug 2016)'!I23</f>
        <v>-10808.852717372007</v>
      </c>
      <c r="J28" s="39">
        <v>2301400</v>
      </c>
      <c r="K28" s="39">
        <v>13707095.946802381</v>
      </c>
      <c r="L28" s="39">
        <v>53111.252225284334</v>
      </c>
      <c r="M28" s="39">
        <v>218289.43395664787</v>
      </c>
      <c r="N28" s="39">
        <v>283500</v>
      </c>
    </row>
    <row r="29" spans="2:16">
      <c r="B29" s="25"/>
      <c r="C29" s="44"/>
      <c r="D29" s="27"/>
      <c r="E29" s="45">
        <v>17</v>
      </c>
      <c r="F29" s="68"/>
      <c r="G29" s="40"/>
      <c r="H29" s="40"/>
      <c r="I29" s="40"/>
      <c r="J29" s="40"/>
      <c r="K29" s="40"/>
      <c r="L29" s="40"/>
      <c r="M29" s="40"/>
      <c r="N29" s="40"/>
      <c r="P29" s="27"/>
    </row>
    <row r="30" spans="2:16">
      <c r="B30" s="25" t="s">
        <v>205</v>
      </c>
      <c r="D30" t="s">
        <v>180</v>
      </c>
      <c r="F30" s="73">
        <f t="shared" ref="F30:N30" si="0">SUM(F12:F15,F18:F19,F22:F23,F26:F28)</f>
        <v>1511351442.6007638</v>
      </c>
      <c r="G30" s="73">
        <f t="shared" si="0"/>
        <v>8695000</v>
      </c>
      <c r="H30" s="73">
        <f t="shared" si="0"/>
        <v>39394244.549102053</v>
      </c>
      <c r="I30" s="73">
        <f t="shared" si="0"/>
        <v>16132317.612002898</v>
      </c>
      <c r="J30" s="73">
        <f t="shared" si="0"/>
        <v>494435877.64521563</v>
      </c>
      <c r="K30" s="73">
        <f t="shared" si="0"/>
        <v>546669697.22714114</v>
      </c>
      <c r="L30" s="73">
        <f t="shared" si="0"/>
        <v>5772037.3846752848</v>
      </c>
      <c r="M30" s="73">
        <f t="shared" si="0"/>
        <v>376511453.42759728</v>
      </c>
      <c r="N30" s="73">
        <f t="shared" si="0"/>
        <v>23740814.755029287</v>
      </c>
    </row>
    <row r="31" spans="2:16">
      <c r="F31" s="68"/>
      <c r="G31" s="40"/>
      <c r="H31" s="40"/>
      <c r="I31" s="40"/>
      <c r="J31" s="40"/>
      <c r="K31" s="40"/>
      <c r="L31" s="40"/>
      <c r="M31" s="40"/>
      <c r="N31" s="40"/>
    </row>
    <row r="32" spans="2:16">
      <c r="F32" s="68"/>
      <c r="G32" s="40"/>
      <c r="H32" s="40"/>
      <c r="I32" s="40"/>
      <c r="J32" s="40"/>
      <c r="K32" s="40"/>
      <c r="L32" s="40"/>
      <c r="M32" s="40"/>
      <c r="N32" s="40"/>
    </row>
    <row r="33" spans="2:16" s="2" customFormat="1">
      <c r="B33" s="2" t="s">
        <v>207</v>
      </c>
      <c r="F33" s="70"/>
      <c r="G33" s="71"/>
      <c r="H33" s="71"/>
      <c r="I33" s="71"/>
      <c r="J33" s="71"/>
      <c r="K33" s="71"/>
      <c r="L33" s="71"/>
      <c r="M33" s="71"/>
      <c r="N33" s="71"/>
    </row>
    <row r="34" spans="2:16">
      <c r="F34" s="68"/>
      <c r="G34" s="40"/>
      <c r="H34" s="40"/>
      <c r="I34" s="40"/>
      <c r="J34" s="40"/>
      <c r="K34" s="40"/>
      <c r="L34" s="40"/>
      <c r="M34" s="40"/>
      <c r="N34" s="40"/>
    </row>
    <row r="35" spans="2:16">
      <c r="B35" s="81" t="s">
        <v>194</v>
      </c>
      <c r="F35" s="68"/>
      <c r="G35" s="40"/>
      <c r="H35" s="40"/>
      <c r="I35" s="40"/>
      <c r="J35" s="40"/>
      <c r="K35" s="40"/>
      <c r="L35" s="40"/>
      <c r="M35" s="40"/>
    </row>
    <row r="36" spans="2:16">
      <c r="B36" s="25" t="s">
        <v>195</v>
      </c>
      <c r="D36" t="s">
        <v>181</v>
      </c>
      <c r="F36" s="82">
        <f>SUM(G36:N36)</f>
        <v>328469196.11000001</v>
      </c>
      <c r="G36" s="39">
        <v>0</v>
      </c>
      <c r="H36" s="39">
        <v>9918649.5800000001</v>
      </c>
      <c r="I36" s="39">
        <v>0</v>
      </c>
      <c r="J36" s="39">
        <v>129166000</v>
      </c>
      <c r="K36" s="898">
        <f>122348259.47+940435-8641000</f>
        <v>114647694.47</v>
      </c>
      <c r="L36" s="39">
        <v>0</v>
      </c>
      <c r="M36" s="898">
        <f>69792172.06-158340-494980</f>
        <v>69138852.060000002</v>
      </c>
      <c r="N36" s="39">
        <v>5598000</v>
      </c>
      <c r="P36" t="s">
        <v>487</v>
      </c>
    </row>
    <row r="37" spans="2:16">
      <c r="B37" s="25" t="s">
        <v>196</v>
      </c>
      <c r="D37" t="s">
        <v>181</v>
      </c>
      <c r="F37" s="82">
        <f>SUM(G37:N37)</f>
        <v>18560783.280000001</v>
      </c>
      <c r="G37" s="39">
        <v>3045000</v>
      </c>
      <c r="H37" s="39">
        <v>41425</v>
      </c>
      <c r="I37" s="39">
        <v>6624716.3400000008</v>
      </c>
      <c r="J37" s="39">
        <v>1027000</v>
      </c>
      <c r="K37" s="39">
        <v>708815</v>
      </c>
      <c r="L37" s="39">
        <v>1836719</v>
      </c>
      <c r="M37" s="39">
        <v>4443042.55</v>
      </c>
      <c r="N37" s="39">
        <v>834065.39</v>
      </c>
    </row>
    <row r="38" spans="2:16">
      <c r="B38" s="25" t="s">
        <v>197</v>
      </c>
      <c r="D38" t="s">
        <v>181</v>
      </c>
      <c r="F38" s="82">
        <f>SUM(G38:N38)</f>
        <v>285922823.88999999</v>
      </c>
      <c r="G38" s="39">
        <v>895000</v>
      </c>
      <c r="H38" s="898">
        <f>9030346.63988652+'Aanpassing gegevens (sep 2014)'!H124</f>
        <v>6370006.5300000003</v>
      </c>
      <c r="I38" s="39">
        <v>2697362.59</v>
      </c>
      <c r="J38" s="39">
        <v>88472000</v>
      </c>
      <c r="K38" s="39">
        <v>101306913.70999999</v>
      </c>
      <c r="L38" s="39">
        <v>723421</v>
      </c>
      <c r="M38" s="39">
        <v>79006338</v>
      </c>
      <c r="N38" s="39">
        <v>6451782.0599999996</v>
      </c>
    </row>
    <row r="39" spans="2:16">
      <c r="B39" s="25" t="s">
        <v>330</v>
      </c>
      <c r="D39" t="s">
        <v>181</v>
      </c>
      <c r="F39" s="82">
        <f>SUM(G39:N39)</f>
        <v>6000</v>
      </c>
      <c r="G39" s="39">
        <v>6000</v>
      </c>
      <c r="H39" s="39">
        <v>0</v>
      </c>
      <c r="I39" s="39">
        <v>0</v>
      </c>
      <c r="J39" s="39">
        <v>0</v>
      </c>
      <c r="K39" s="39">
        <v>0</v>
      </c>
      <c r="L39" s="39">
        <v>0</v>
      </c>
      <c r="M39" s="39">
        <v>0</v>
      </c>
      <c r="N39" s="39">
        <v>0</v>
      </c>
    </row>
    <row r="40" spans="2:16">
      <c r="B40" s="25"/>
      <c r="F40" s="68"/>
      <c r="G40" s="40"/>
      <c r="H40" s="40"/>
      <c r="I40" s="40"/>
      <c r="J40" s="40"/>
      <c r="K40" s="40"/>
      <c r="L40" s="40"/>
      <c r="M40" s="40"/>
      <c r="N40" s="40"/>
    </row>
    <row r="41" spans="2:16">
      <c r="B41" s="81" t="s">
        <v>198</v>
      </c>
      <c r="F41" s="68"/>
      <c r="G41" s="40"/>
      <c r="H41" s="40"/>
      <c r="I41" s="40"/>
      <c r="J41" s="40"/>
      <c r="K41" s="40"/>
      <c r="L41" s="40"/>
      <c r="M41" s="40"/>
      <c r="N41" s="40"/>
    </row>
    <row r="42" spans="2:16">
      <c r="B42" s="25" t="s">
        <v>199</v>
      </c>
      <c r="D42" t="s">
        <v>181</v>
      </c>
      <c r="F42" s="82">
        <f>SUM(G42:N42)</f>
        <v>725335425.36825502</v>
      </c>
      <c r="G42" s="39">
        <v>3971000</v>
      </c>
      <c r="H42" s="39">
        <v>22613808.489562713</v>
      </c>
      <c r="I42" s="39">
        <v>6632066.2323511029</v>
      </c>
      <c r="J42" s="898">
        <f>232353449.83862+'Aanpassing gegevens (sep 2014)'!H163</f>
        <v>238353449.83862001</v>
      </c>
      <c r="K42" s="39">
        <v>302344726.10359061</v>
      </c>
      <c r="L42" s="39">
        <v>1874100.0455100001</v>
      </c>
      <c r="M42" s="160">
        <f>140465971.992578</f>
        <v>140465971.992578</v>
      </c>
      <c r="N42" s="39">
        <v>9080302.6660424992</v>
      </c>
    </row>
    <row r="43" spans="2:16">
      <c r="B43" s="25" t="s">
        <v>200</v>
      </c>
      <c r="D43" t="s">
        <v>181</v>
      </c>
      <c r="F43" s="82">
        <f>SUM(G43:N43)</f>
        <v>49443109.759045899</v>
      </c>
      <c r="G43" s="39">
        <v>0</v>
      </c>
      <c r="H43" s="39">
        <v>0</v>
      </c>
      <c r="I43" s="39">
        <v>0</v>
      </c>
      <c r="J43" s="39">
        <v>0</v>
      </c>
      <c r="K43" s="39">
        <v>0</v>
      </c>
      <c r="L43" s="39">
        <v>235709.86</v>
      </c>
      <c r="M43" s="898">
        <f>49660399.8990459+'Aanpassing gegevens (sep 2014)'!H132</f>
        <v>49207399.8990459</v>
      </c>
      <c r="N43" s="39">
        <v>0</v>
      </c>
    </row>
    <row r="44" spans="2:16">
      <c r="B44" s="25"/>
      <c r="F44" s="68"/>
      <c r="G44" s="40"/>
      <c r="H44" s="40"/>
      <c r="I44" s="40"/>
      <c r="J44" s="40"/>
      <c r="K44" s="40"/>
      <c r="L44" s="40"/>
      <c r="M44" s="40"/>
      <c r="N44" s="40"/>
    </row>
    <row r="45" spans="2:16">
      <c r="B45" s="81" t="s">
        <v>201</v>
      </c>
      <c r="F45" s="68"/>
      <c r="G45" s="40"/>
      <c r="H45" s="40"/>
      <c r="I45" s="40"/>
      <c r="J45" s="40"/>
      <c r="K45" s="40"/>
      <c r="L45" s="40"/>
      <c r="M45" s="40"/>
      <c r="N45" s="40"/>
    </row>
    <row r="46" spans="2:16">
      <c r="B46" s="25" t="s">
        <v>202</v>
      </c>
      <c r="D46" t="s">
        <v>181</v>
      </c>
      <c r="F46" s="82">
        <f>SUM(G46:N46)</f>
        <v>32965074.439999998</v>
      </c>
      <c r="G46" s="39">
        <v>0</v>
      </c>
      <c r="H46" s="39">
        <v>481846.5</v>
      </c>
      <c r="I46" s="39">
        <v>0</v>
      </c>
      <c r="J46" s="39">
        <v>1730000</v>
      </c>
      <c r="K46" s="160">
        <v>15024290.939999999</v>
      </c>
      <c r="L46" s="39">
        <v>0</v>
      </c>
      <c r="M46" s="39">
        <v>15702913</v>
      </c>
      <c r="N46" s="39">
        <v>26024</v>
      </c>
    </row>
    <row r="47" spans="2:16">
      <c r="B47" s="25" t="s">
        <v>203</v>
      </c>
      <c r="D47" t="s">
        <v>181</v>
      </c>
      <c r="F47" s="82">
        <f>SUM(G47:N47)</f>
        <v>2000</v>
      </c>
      <c r="G47" s="39">
        <v>2000</v>
      </c>
      <c r="H47" s="39">
        <v>0</v>
      </c>
      <c r="I47" s="39">
        <v>0</v>
      </c>
      <c r="J47" s="39">
        <v>0</v>
      </c>
      <c r="K47" s="39">
        <v>0</v>
      </c>
      <c r="L47" s="39">
        <v>0</v>
      </c>
      <c r="M47" s="39">
        <v>0</v>
      </c>
      <c r="N47" s="39">
        <v>0</v>
      </c>
    </row>
    <row r="48" spans="2:16">
      <c r="B48" s="25"/>
      <c r="F48" s="68"/>
      <c r="G48" s="40"/>
      <c r="H48" s="40"/>
      <c r="I48" s="40"/>
      <c r="J48" s="40"/>
      <c r="K48" s="40"/>
      <c r="L48" s="40"/>
      <c r="M48" s="40"/>
      <c r="N48" s="40"/>
    </row>
    <row r="49" spans="2:16">
      <c r="B49" s="81" t="s">
        <v>204</v>
      </c>
      <c r="F49" s="68"/>
      <c r="G49" s="40"/>
      <c r="H49" s="40"/>
      <c r="I49" s="40"/>
      <c r="J49" s="40"/>
      <c r="K49" s="40"/>
      <c r="L49" s="40"/>
      <c r="M49" s="40"/>
      <c r="N49" s="40"/>
    </row>
    <row r="50" spans="2:16">
      <c r="B50" s="25" t="s">
        <v>331</v>
      </c>
      <c r="D50" t="s">
        <v>181</v>
      </c>
      <c r="F50" s="82">
        <f>SUM(G50:N50)</f>
        <v>7133100.0584022803</v>
      </c>
      <c r="G50" s="39">
        <v>52000</v>
      </c>
      <c r="H50" s="39">
        <v>196070.65540000005</v>
      </c>
      <c r="I50" s="39">
        <v>85388.18399999995</v>
      </c>
      <c r="J50" s="160">
        <v>2430129.2954398002</v>
      </c>
      <c r="K50" s="39">
        <v>2580293.2308380585</v>
      </c>
      <c r="L50" s="39">
        <v>29469.583077709256</v>
      </c>
      <c r="M50" s="39">
        <v>1689715.1152390735</v>
      </c>
      <c r="N50" s="898">
        <f>197544.818818071*('BeginInkomsten (obv RV&amp;Tar2013)'!N274/'BeginInkomsten (obv RV&amp;Tar2013)'!N276)</f>
        <v>70033.994407639329</v>
      </c>
      <c r="P50" s="27"/>
    </row>
    <row r="51" spans="2:16">
      <c r="B51" s="25" t="s">
        <v>332</v>
      </c>
      <c r="D51" t="s">
        <v>181</v>
      </c>
      <c r="F51" s="82">
        <f>SUM(G51:N51)</f>
        <v>4363447.0208760453</v>
      </c>
      <c r="G51" s="39">
        <v>27000</v>
      </c>
      <c r="H51" s="39">
        <v>95878.095531827174</v>
      </c>
      <c r="I51" s="39">
        <v>61449.91565287541</v>
      </c>
      <c r="J51" s="160">
        <v>1399426.9184500005</v>
      </c>
      <c r="K51" s="39">
        <v>1405350.6184107608</v>
      </c>
      <c r="L51" s="39">
        <v>17030.555072790747</v>
      </c>
      <c r="M51" s="39">
        <v>1229800.0933473588</v>
      </c>
      <c r="N51" s="898">
        <f>197544.818818071*('BeginInkomsten (obv RV&amp;Tar2013)'!N275/'BeginInkomsten (obv RV&amp;Tar2013)'!N276)</f>
        <v>127510.8244104317</v>
      </c>
    </row>
    <row r="52" spans="2:16">
      <c r="B52" s="83" t="s">
        <v>333</v>
      </c>
      <c r="D52" t="s">
        <v>181</v>
      </c>
      <c r="F52" s="82">
        <f>SUM(G52:N52)</f>
        <v>14679103.794318927</v>
      </c>
      <c r="G52" s="39">
        <v>0</v>
      </c>
      <c r="H52" s="39">
        <v>0</v>
      </c>
      <c r="I52" s="1064">
        <f>'Aanpassing gegevens (aug 2016)'!I24</f>
        <v>94522.687281721999</v>
      </c>
      <c r="J52" s="39">
        <v>2642995.9728000001</v>
      </c>
      <c r="K52" s="39">
        <v>11536858.688653734</v>
      </c>
      <c r="L52" s="39">
        <v>49667.486081247655</v>
      </c>
      <c r="M52" s="39">
        <v>248858.95950222455</v>
      </c>
      <c r="N52" s="39">
        <v>106200</v>
      </c>
    </row>
    <row r="53" spans="2:16">
      <c r="B53" s="25"/>
      <c r="C53" s="13"/>
      <c r="D53" s="11"/>
      <c r="E53" s="13"/>
      <c r="F53" s="68"/>
      <c r="G53" s="40"/>
      <c r="H53" s="40"/>
      <c r="I53" s="40"/>
      <c r="J53" s="40"/>
      <c r="K53" s="40"/>
      <c r="L53" s="40"/>
      <c r="M53" s="40"/>
    </row>
    <row r="54" spans="2:16">
      <c r="B54" s="25" t="s">
        <v>205</v>
      </c>
      <c r="D54" t="s">
        <v>181</v>
      </c>
      <c r="F54" s="73">
        <f t="shared" ref="F54:N54" si="1">SUM(F36:F39,F42:F43,F46:F47,F50:F52)</f>
        <v>1466880063.7208979</v>
      </c>
      <c r="G54" s="73">
        <f t="shared" si="1"/>
        <v>7998000</v>
      </c>
      <c r="H54" s="73">
        <f t="shared" si="1"/>
        <v>39717684.850494541</v>
      </c>
      <c r="I54" s="73">
        <f t="shared" si="1"/>
        <v>16195505.949285699</v>
      </c>
      <c r="J54" s="73">
        <f>SUM(J36:J39,J42:J43,J46:J47,J50:J52)</f>
        <v>465221002.0253098</v>
      </c>
      <c r="K54" s="73">
        <f t="shared" si="1"/>
        <v>549554942.76149309</v>
      </c>
      <c r="L54" s="73">
        <f t="shared" si="1"/>
        <v>4766117.5297417473</v>
      </c>
      <c r="M54" s="73">
        <f t="shared" si="1"/>
        <v>361132891.6697126</v>
      </c>
      <c r="N54" s="73">
        <f t="shared" si="1"/>
        <v>22293918.934860568</v>
      </c>
    </row>
    <row r="55" spans="2:16">
      <c r="F55" s="68"/>
      <c r="G55" s="40"/>
      <c r="H55" s="40"/>
      <c r="I55" s="40"/>
      <c r="J55" s="40"/>
      <c r="K55" s="40"/>
      <c r="L55" s="40"/>
      <c r="M55" s="40"/>
      <c r="N55" s="40"/>
    </row>
    <row r="56" spans="2:16">
      <c r="F56" s="68"/>
      <c r="G56" s="40"/>
      <c r="H56" s="40"/>
      <c r="I56" s="40"/>
      <c r="J56" s="40"/>
      <c r="K56" s="40"/>
      <c r="L56" s="40"/>
      <c r="M56" s="40"/>
      <c r="N56" s="40"/>
    </row>
    <row r="57" spans="2:16" s="2" customFormat="1">
      <c r="B57" s="2" t="s">
        <v>208</v>
      </c>
      <c r="F57" s="70"/>
      <c r="G57" s="71"/>
      <c r="H57" s="71"/>
      <c r="I57" s="71"/>
      <c r="J57" s="71"/>
      <c r="K57" s="71"/>
      <c r="L57" s="71"/>
      <c r="M57" s="71"/>
      <c r="N57" s="71"/>
    </row>
    <row r="58" spans="2:16">
      <c r="F58" s="68"/>
      <c r="G58" s="40"/>
      <c r="H58" s="40"/>
      <c r="I58" s="40"/>
      <c r="J58" s="40"/>
      <c r="K58" s="40"/>
      <c r="L58" s="40"/>
      <c r="M58" s="40"/>
      <c r="N58" s="40"/>
    </row>
    <row r="59" spans="2:16">
      <c r="B59" s="81" t="s">
        <v>194</v>
      </c>
      <c r="F59" s="68"/>
      <c r="G59" s="40"/>
      <c r="H59" s="40"/>
      <c r="I59" s="40"/>
      <c r="J59" s="40"/>
      <c r="K59" s="40"/>
      <c r="L59" s="40"/>
      <c r="M59" s="40"/>
      <c r="N59" s="40"/>
      <c r="P59" s="27"/>
    </row>
    <row r="60" spans="2:16">
      <c r="B60" s="25" t="s">
        <v>195</v>
      </c>
      <c r="D60" t="s">
        <v>182</v>
      </c>
      <c r="F60" s="82">
        <f>SUM(G60:N60)</f>
        <v>352669240.13542116</v>
      </c>
      <c r="G60" s="39">
        <v>0</v>
      </c>
      <c r="H60" s="39">
        <v>8134496.3854211643</v>
      </c>
      <c r="I60" s="39">
        <v>0</v>
      </c>
      <c r="J60" s="39">
        <v>144636526.41999999</v>
      </c>
      <c r="K60" s="898">
        <f>118870820.33+940435</f>
        <v>119811255.33</v>
      </c>
      <c r="L60" s="39">
        <v>0</v>
      </c>
      <c r="M60" s="898">
        <f>62896167+8556335+477793+158340+655993+494980</f>
        <v>73239608</v>
      </c>
      <c r="N60" s="39">
        <v>6847354</v>
      </c>
      <c r="P60" t="s">
        <v>488</v>
      </c>
    </row>
    <row r="61" spans="2:16">
      <c r="B61" s="25" t="s">
        <v>196</v>
      </c>
      <c r="D61" t="s">
        <v>182</v>
      </c>
      <c r="F61" s="82">
        <f>SUM(G61:N61)</f>
        <v>19341881.041000001</v>
      </c>
      <c r="G61" s="39">
        <v>3205889</v>
      </c>
      <c r="H61" s="39">
        <v>0</v>
      </c>
      <c r="I61" s="39">
        <v>6785819.2400000002</v>
      </c>
      <c r="J61" s="39">
        <v>1725180.5109999999</v>
      </c>
      <c r="K61" s="39">
        <v>747734.48999999987</v>
      </c>
      <c r="L61" s="39">
        <v>1974084.8</v>
      </c>
      <c r="M61" s="39">
        <v>4752515</v>
      </c>
      <c r="N61" s="39">
        <v>150658</v>
      </c>
    </row>
    <row r="62" spans="2:16">
      <c r="B62" s="25" t="s">
        <v>197</v>
      </c>
      <c r="D62" t="s">
        <v>182</v>
      </c>
      <c r="F62" s="82">
        <f>SUM(G62:N62)</f>
        <v>277278795.69912004</v>
      </c>
      <c r="G62" s="39">
        <v>1110173</v>
      </c>
      <c r="H62" s="898">
        <f>6370006.53+'Aanpassing gegevens (sep 2014)'!H125</f>
        <v>6110820.1100000031</v>
      </c>
      <c r="I62" s="39">
        <v>4574406.3099999996</v>
      </c>
      <c r="J62" s="39">
        <v>92476459.629120022</v>
      </c>
      <c r="K62" s="39">
        <v>104839228.91000001</v>
      </c>
      <c r="L62" s="39">
        <v>520897</v>
      </c>
      <c r="M62" s="39">
        <v>62668551</v>
      </c>
      <c r="N62" s="39">
        <v>4978259.74</v>
      </c>
    </row>
    <row r="63" spans="2:16">
      <c r="B63" s="25" t="s">
        <v>330</v>
      </c>
      <c r="D63" t="s">
        <v>182</v>
      </c>
      <c r="F63" s="82">
        <f>SUM(G63:N63)</f>
        <v>6130</v>
      </c>
      <c r="G63" s="39">
        <v>6130</v>
      </c>
      <c r="H63" s="39">
        <v>0</v>
      </c>
      <c r="I63" s="39">
        <v>0</v>
      </c>
      <c r="J63" s="39">
        <v>0</v>
      </c>
      <c r="K63" s="39">
        <v>0</v>
      </c>
      <c r="L63" s="39">
        <v>0</v>
      </c>
      <c r="M63" s="39">
        <v>0</v>
      </c>
      <c r="N63" s="39">
        <v>0</v>
      </c>
    </row>
    <row r="64" spans="2:16">
      <c r="B64" s="25"/>
      <c r="F64" s="68"/>
      <c r="G64" s="40"/>
      <c r="H64" s="40"/>
      <c r="I64" s="40"/>
      <c r="J64" s="40"/>
      <c r="K64" s="40"/>
      <c r="L64" s="40"/>
      <c r="M64" s="40"/>
      <c r="N64" s="40"/>
    </row>
    <row r="65" spans="2:14">
      <c r="B65" s="81" t="s">
        <v>198</v>
      </c>
      <c r="F65" s="68"/>
      <c r="G65" s="40"/>
      <c r="H65" s="40"/>
      <c r="I65" s="40"/>
      <c r="J65" s="40"/>
      <c r="K65" s="40"/>
      <c r="L65" s="40"/>
      <c r="M65" s="40"/>
      <c r="N65" s="40"/>
    </row>
    <row r="66" spans="2:14">
      <c r="B66" s="25" t="s">
        <v>199</v>
      </c>
      <c r="D66" t="s">
        <v>182</v>
      </c>
      <c r="F66" s="82">
        <f>SUM(G66:N66)</f>
        <v>771169410.88172412</v>
      </c>
      <c r="G66" s="39">
        <v>3746304</v>
      </c>
      <c r="H66" s="39">
        <v>21606479.533203602</v>
      </c>
      <c r="I66" s="39">
        <v>7989752.3650398152</v>
      </c>
      <c r="J66" s="39">
        <v>228683352.06878099</v>
      </c>
      <c r="K66" s="39">
        <v>324130034.21117359</v>
      </c>
      <c r="L66" s="39">
        <v>2253078.06</v>
      </c>
      <c r="M66" s="39">
        <v>173162709.37926617</v>
      </c>
      <c r="N66" s="39">
        <v>9597701.2642599996</v>
      </c>
    </row>
    <row r="67" spans="2:14">
      <c r="B67" s="25" t="s">
        <v>200</v>
      </c>
      <c r="D67" t="s">
        <v>182</v>
      </c>
      <c r="F67" s="82">
        <f>SUM(G67:N67)</f>
        <v>23847868.598614596</v>
      </c>
      <c r="G67" s="39">
        <v>0</v>
      </c>
      <c r="H67" s="39">
        <v>0</v>
      </c>
      <c r="I67" s="39">
        <v>0</v>
      </c>
      <c r="J67" s="39">
        <v>0</v>
      </c>
      <c r="K67" s="39">
        <v>0</v>
      </c>
      <c r="L67" s="39">
        <v>262310.96999999997</v>
      </c>
      <c r="M67" s="39">
        <v>23585557.628614597</v>
      </c>
      <c r="N67" s="39">
        <v>0</v>
      </c>
    </row>
    <row r="68" spans="2:14">
      <c r="B68" s="25"/>
      <c r="F68" s="68"/>
      <c r="G68" s="40"/>
      <c r="H68" s="40"/>
      <c r="I68" s="40"/>
      <c r="J68" s="40"/>
      <c r="K68" s="40"/>
      <c r="L68" s="40"/>
      <c r="M68" s="40"/>
      <c r="N68" s="40"/>
    </row>
    <row r="69" spans="2:14">
      <c r="B69" s="81" t="s">
        <v>201</v>
      </c>
      <c r="F69" s="68"/>
      <c r="G69" s="40"/>
      <c r="H69" s="40"/>
      <c r="I69" s="40"/>
      <c r="J69" s="40"/>
      <c r="K69" s="40"/>
      <c r="L69" s="40"/>
      <c r="M69" s="40"/>
      <c r="N69" s="40"/>
    </row>
    <row r="70" spans="2:14">
      <c r="B70" s="25" t="s">
        <v>202</v>
      </c>
      <c r="D70" t="s">
        <v>182</v>
      </c>
      <c r="F70" s="82">
        <f>SUM(G70:N70)</f>
        <v>37381340.960763238</v>
      </c>
      <c r="G70" s="39">
        <v>0</v>
      </c>
      <c r="H70" s="39">
        <v>821971.5</v>
      </c>
      <c r="I70" s="39">
        <v>0</v>
      </c>
      <c r="J70" s="39">
        <v>1750320</v>
      </c>
      <c r="K70" s="39">
        <v>18867648.890763242</v>
      </c>
      <c r="L70" s="39">
        <v>0</v>
      </c>
      <c r="M70" s="39">
        <v>15909316</v>
      </c>
      <c r="N70" s="39">
        <v>32084.57</v>
      </c>
    </row>
    <row r="71" spans="2:14">
      <c r="B71" s="25" t="s">
        <v>203</v>
      </c>
      <c r="D71" t="s">
        <v>182</v>
      </c>
      <c r="F71" s="82">
        <f>SUM(G71:N71)</f>
        <v>4642</v>
      </c>
      <c r="G71" s="39">
        <v>4642</v>
      </c>
      <c r="H71" s="39">
        <v>0</v>
      </c>
      <c r="I71" s="39">
        <v>0</v>
      </c>
      <c r="J71" s="39">
        <v>0</v>
      </c>
      <c r="K71" s="39">
        <v>0</v>
      </c>
      <c r="L71" s="39">
        <v>0</v>
      </c>
      <c r="M71" s="39">
        <v>0</v>
      </c>
      <c r="N71" s="39">
        <v>0</v>
      </c>
    </row>
    <row r="72" spans="2:14">
      <c r="B72" s="25"/>
      <c r="F72" s="68"/>
      <c r="G72" s="40"/>
      <c r="H72" s="40"/>
      <c r="I72" s="40"/>
      <c r="J72" s="40"/>
      <c r="K72" s="40"/>
      <c r="L72" s="40"/>
      <c r="M72" s="40"/>
      <c r="N72" s="40"/>
    </row>
    <row r="73" spans="2:14">
      <c r="B73" s="81" t="s">
        <v>204</v>
      </c>
      <c r="F73" s="68"/>
      <c r="G73" s="40"/>
      <c r="H73" s="40"/>
      <c r="I73" s="40"/>
      <c r="J73" s="40"/>
      <c r="K73" s="40"/>
      <c r="L73" s="40"/>
      <c r="M73" s="40"/>
      <c r="N73" s="40"/>
    </row>
    <row r="74" spans="2:14">
      <c r="B74" s="25" t="s">
        <v>331</v>
      </c>
      <c r="D74" t="s">
        <v>182</v>
      </c>
      <c r="F74" s="82">
        <f>SUM(G74:N74)</f>
        <v>8022665.5678633489</v>
      </c>
      <c r="G74" s="39">
        <v>55891.670000000006</v>
      </c>
      <c r="H74" s="39">
        <v>193754.88647000003</v>
      </c>
      <c r="I74" s="39">
        <v>90141.403460864283</v>
      </c>
      <c r="J74" s="160">
        <v>2854779.6157059204</v>
      </c>
      <c r="K74" s="39">
        <v>2889310.0987137407</v>
      </c>
      <c r="L74" s="39">
        <v>32445.09</v>
      </c>
      <c r="M74" s="39">
        <v>1834913.7005999999</v>
      </c>
      <c r="N74" s="898">
        <f>201480*('BeginInkomsten (obv RV&amp;Tar2013)'!N274/'BeginInkomsten (obv RV&amp;Tar2013)'!N276)</f>
        <v>71429.102912824033</v>
      </c>
    </row>
    <row r="75" spans="2:14">
      <c r="B75" s="25" t="s">
        <v>332</v>
      </c>
      <c r="D75" t="s">
        <v>182</v>
      </c>
      <c r="F75" s="82">
        <f>SUM(G75:N75)</f>
        <v>4763595.5661339397</v>
      </c>
      <c r="G75" s="39">
        <v>29917.454300000001</v>
      </c>
      <c r="H75" s="39">
        <v>123963.71725638183</v>
      </c>
      <c r="I75" s="39">
        <v>67252.570896652731</v>
      </c>
      <c r="J75" s="160">
        <v>1517957.7268277665</v>
      </c>
      <c r="K75" s="39">
        <v>1541944.2044580879</v>
      </c>
      <c r="L75" s="39">
        <v>18793.830000000002</v>
      </c>
      <c r="M75" s="39">
        <v>1333715.1653078743</v>
      </c>
      <c r="N75" s="898">
        <f>201480*('BeginInkomsten (obv RV&amp;Tar2013)'!N275/'BeginInkomsten (obv RV&amp;Tar2013)'!N276)</f>
        <v>130050.89708717598</v>
      </c>
    </row>
    <row r="76" spans="2:14">
      <c r="B76" s="83" t="s">
        <v>333</v>
      </c>
      <c r="D76" t="s">
        <v>182</v>
      </c>
      <c r="F76" s="82">
        <f>SUM(G76:N76)</f>
        <v>16070378.105314899</v>
      </c>
      <c r="G76" s="39">
        <v>0</v>
      </c>
      <c r="H76" s="39">
        <v>35404.699999999997</v>
      </c>
      <c r="I76" s="1064">
        <f>'Aanpassing gegevens (aug 2016)'!I25</f>
        <v>28287.510798789008</v>
      </c>
      <c r="J76" s="39">
        <v>4166379.1362300781</v>
      </c>
      <c r="K76" s="39">
        <v>11545640.813241772</v>
      </c>
      <c r="L76" s="39">
        <v>37876.76</v>
      </c>
      <c r="M76" s="39">
        <v>212789.18504425997</v>
      </c>
      <c r="N76" s="39">
        <v>44000</v>
      </c>
    </row>
    <row r="77" spans="2:14">
      <c r="B77" s="25"/>
      <c r="F77" s="68"/>
      <c r="G77" s="40"/>
      <c r="H77" s="40"/>
      <c r="I77" s="40"/>
      <c r="J77" s="40"/>
      <c r="K77" s="40"/>
      <c r="L77" s="40"/>
      <c r="M77" s="40"/>
      <c r="N77" s="40"/>
    </row>
    <row r="78" spans="2:14">
      <c r="B78" s="25" t="s">
        <v>205</v>
      </c>
      <c r="D78" t="s">
        <v>182</v>
      </c>
      <c r="F78" s="73">
        <f t="shared" ref="F78:N78" si="2">SUM(F60:F63,F66:F67,F70:F71,F74:F76)</f>
        <v>1510555948.5559556</v>
      </c>
      <c r="G78" s="73">
        <f t="shared" si="2"/>
        <v>8158947.1243000003</v>
      </c>
      <c r="H78" s="73">
        <f t="shared" si="2"/>
        <v>37026890.832351156</v>
      </c>
      <c r="I78" s="73">
        <f t="shared" si="2"/>
        <v>19535659.40019612</v>
      </c>
      <c r="J78" s="73">
        <f t="shared" si="2"/>
        <v>477810955.1076647</v>
      </c>
      <c r="K78" s="73">
        <f t="shared" si="2"/>
        <v>584372796.94835043</v>
      </c>
      <c r="L78" s="73">
        <f t="shared" si="2"/>
        <v>5099486.5099999988</v>
      </c>
      <c r="M78" s="73">
        <f t="shared" si="2"/>
        <v>356699675.05883294</v>
      </c>
      <c r="N78" s="73">
        <f t="shared" si="2"/>
        <v>21851537.57426</v>
      </c>
    </row>
    <row r="79" spans="2:14">
      <c r="F79" s="68"/>
      <c r="G79" s="40"/>
      <c r="H79" s="40"/>
      <c r="I79" s="40"/>
      <c r="J79" s="40"/>
      <c r="K79" s="40"/>
      <c r="L79" s="40"/>
      <c r="M79" s="40"/>
      <c r="N79" s="40"/>
    </row>
    <row r="80" spans="2:14">
      <c r="F80" s="68"/>
      <c r="G80" s="40"/>
      <c r="H80" s="40"/>
      <c r="I80" s="40"/>
      <c r="J80" s="40"/>
      <c r="K80" s="40"/>
      <c r="L80" s="40"/>
      <c r="M80" s="40"/>
      <c r="N80" s="40"/>
    </row>
    <row r="81" spans="2:17" s="2" customFormat="1">
      <c r="B81" s="2" t="s">
        <v>209</v>
      </c>
      <c r="F81" s="70"/>
      <c r="G81" s="71"/>
      <c r="H81" s="71"/>
      <c r="I81" s="71"/>
      <c r="J81" s="71"/>
      <c r="K81" s="71"/>
      <c r="L81" s="71"/>
      <c r="M81" s="71"/>
      <c r="N81" s="71"/>
    </row>
    <row r="82" spans="2:17">
      <c r="F82" s="68"/>
      <c r="G82" s="40"/>
      <c r="H82" s="40"/>
      <c r="I82" s="40"/>
      <c r="J82" s="40"/>
      <c r="K82" s="40"/>
      <c r="L82" s="40"/>
      <c r="M82" s="40"/>
      <c r="N82" s="40"/>
    </row>
    <row r="83" spans="2:17">
      <c r="B83" s="81" t="s">
        <v>194</v>
      </c>
      <c r="F83" s="68"/>
      <c r="G83" s="40"/>
      <c r="H83" s="40"/>
      <c r="I83" s="40"/>
      <c r="J83" s="118"/>
      <c r="K83" s="118"/>
      <c r="L83" s="40"/>
      <c r="M83" s="118"/>
      <c r="N83" s="40"/>
      <c r="P83" s="27"/>
    </row>
    <row r="84" spans="2:17">
      <c r="B84" s="25" t="s">
        <v>195</v>
      </c>
      <c r="D84" t="s">
        <v>183</v>
      </c>
      <c r="F84" s="82">
        <f>SUM(G84:N84)</f>
        <v>355594186.6006127</v>
      </c>
      <c r="G84" s="39">
        <v>0</v>
      </c>
      <c r="H84" s="39">
        <v>8880192.4545788374</v>
      </c>
      <c r="I84" s="39">
        <v>0</v>
      </c>
      <c r="J84" s="39">
        <v>141855339.68000001</v>
      </c>
      <c r="K84" s="898">
        <f>117005254.5-940435*(7/12)-940435-940435</f>
        <v>114575797.41666667</v>
      </c>
      <c r="L84" s="39">
        <v>0</v>
      </c>
      <c r="M84" s="39">
        <v>82955235.159999996</v>
      </c>
      <c r="N84" s="39">
        <v>7327621.8893671352</v>
      </c>
      <c r="P84" s="27" t="s">
        <v>489</v>
      </c>
      <c r="Q84" s="27"/>
    </row>
    <row r="85" spans="2:17">
      <c r="B85" s="25" t="s">
        <v>196</v>
      </c>
      <c r="D85" t="s">
        <v>183</v>
      </c>
      <c r="F85" s="82">
        <f>SUM(G85:N85)</f>
        <v>19900655.606179394</v>
      </c>
      <c r="G85" s="39">
        <v>3258198</v>
      </c>
      <c r="H85" s="39">
        <v>0</v>
      </c>
      <c r="I85" s="39">
        <v>6890933.9199999999</v>
      </c>
      <c r="J85" s="39">
        <v>701040.53364000004</v>
      </c>
      <c r="K85" s="39">
        <v>757117.24166666681</v>
      </c>
      <c r="L85" s="39">
        <v>2116603.44</v>
      </c>
      <c r="M85" s="39">
        <v>6004607.2448727274</v>
      </c>
      <c r="N85" s="39">
        <v>172155.22599999933</v>
      </c>
      <c r="P85" s="27"/>
      <c r="Q85" s="27"/>
    </row>
    <row r="86" spans="2:17">
      <c r="B86" s="25" t="s">
        <v>197</v>
      </c>
      <c r="D86" t="s">
        <v>183</v>
      </c>
      <c r="F86" s="82">
        <f>SUM(G86:N86)</f>
        <v>268445231.60768992</v>
      </c>
      <c r="G86" s="39">
        <v>1043794</v>
      </c>
      <c r="H86" s="39">
        <v>5739842.75</v>
      </c>
      <c r="I86" s="39">
        <v>2603651.7199999997</v>
      </c>
      <c r="J86" s="39">
        <v>95272596.307689965</v>
      </c>
      <c r="K86" s="39">
        <v>110406026.91999999</v>
      </c>
      <c r="L86" s="39">
        <v>531075.98</v>
      </c>
      <c r="M86" s="39">
        <v>48739592</v>
      </c>
      <c r="N86" s="39">
        <v>4108651.93</v>
      </c>
    </row>
    <row r="87" spans="2:17">
      <c r="B87" s="25" t="s">
        <v>330</v>
      </c>
      <c r="D87" t="s">
        <v>183</v>
      </c>
      <c r="F87" s="82">
        <f>SUM(G87:N87)</f>
        <v>6288</v>
      </c>
      <c r="G87" s="39">
        <v>6288</v>
      </c>
      <c r="H87" s="39">
        <v>0</v>
      </c>
      <c r="I87" s="39">
        <v>0</v>
      </c>
      <c r="J87" s="39">
        <v>0</v>
      </c>
      <c r="K87" s="39">
        <v>0</v>
      </c>
      <c r="L87" s="39">
        <v>0</v>
      </c>
      <c r="M87" s="39">
        <v>0</v>
      </c>
      <c r="N87" s="39">
        <v>0</v>
      </c>
    </row>
    <row r="88" spans="2:17">
      <c r="B88" s="25"/>
      <c r="F88" s="68"/>
      <c r="G88" s="40"/>
      <c r="H88" s="40"/>
      <c r="I88" s="40"/>
      <c r="J88" s="40"/>
      <c r="K88" s="40"/>
      <c r="L88" s="40"/>
      <c r="M88" s="40"/>
      <c r="N88" s="40"/>
    </row>
    <row r="89" spans="2:17">
      <c r="B89" s="81" t="s">
        <v>198</v>
      </c>
      <c r="F89" s="68"/>
      <c r="G89" s="40"/>
      <c r="H89" s="40"/>
      <c r="I89" s="40"/>
      <c r="J89" s="40"/>
      <c r="K89" s="40"/>
      <c r="L89" s="40"/>
      <c r="M89" s="40"/>
      <c r="N89" s="40"/>
    </row>
    <row r="90" spans="2:17">
      <c r="B90" s="25" t="s">
        <v>199</v>
      </c>
      <c r="D90" t="s">
        <v>183</v>
      </c>
      <c r="F90" s="82">
        <f>SUM(G90:N90)</f>
        <v>840361579.75091136</v>
      </c>
      <c r="G90" s="39">
        <v>4517685</v>
      </c>
      <c r="H90" s="39">
        <v>25343493.373409849</v>
      </c>
      <c r="I90" s="39">
        <v>8712683.5812297929</v>
      </c>
      <c r="J90" s="39">
        <v>238347464.43642327</v>
      </c>
      <c r="K90" s="39">
        <v>361385953.88940197</v>
      </c>
      <c r="L90" s="39">
        <v>2145616.61</v>
      </c>
      <c r="M90" s="39">
        <v>189649902.17479649</v>
      </c>
      <c r="N90" s="39">
        <v>10258780.68565</v>
      </c>
    </row>
    <row r="91" spans="2:17">
      <c r="B91" s="25" t="s">
        <v>200</v>
      </c>
      <c r="D91" t="s">
        <v>183</v>
      </c>
      <c r="F91" s="82">
        <f>SUM(G91:N91)</f>
        <v>21599075.919442751</v>
      </c>
      <c r="G91" s="39">
        <v>0</v>
      </c>
      <c r="H91" s="39">
        <v>0</v>
      </c>
      <c r="I91" s="39">
        <v>0</v>
      </c>
      <c r="J91" s="39">
        <v>0</v>
      </c>
      <c r="K91" s="39">
        <v>0</v>
      </c>
      <c r="L91" s="39">
        <v>271762.44</v>
      </c>
      <c r="M91" s="39">
        <v>21327313.479442749</v>
      </c>
      <c r="N91" s="39">
        <v>0</v>
      </c>
    </row>
    <row r="92" spans="2:17">
      <c r="B92" s="25"/>
      <c r="F92" s="68"/>
      <c r="G92" s="40"/>
      <c r="H92" s="40"/>
      <c r="I92" s="40"/>
      <c r="J92" s="40"/>
      <c r="K92" s="40"/>
      <c r="L92" s="40"/>
      <c r="M92" s="40"/>
      <c r="N92" s="40"/>
    </row>
    <row r="93" spans="2:17">
      <c r="B93" s="81" t="s">
        <v>201</v>
      </c>
      <c r="F93" s="68"/>
      <c r="G93" s="40"/>
      <c r="H93" s="40"/>
      <c r="I93" s="40"/>
      <c r="J93" s="40"/>
      <c r="K93" s="40"/>
      <c r="L93" s="40"/>
      <c r="M93" s="40"/>
      <c r="N93" s="40"/>
    </row>
    <row r="94" spans="2:17">
      <c r="B94" s="25" t="s">
        <v>202</v>
      </c>
      <c r="D94" t="s">
        <v>183</v>
      </c>
      <c r="F94" s="82">
        <f>SUM(G94:N94)</f>
        <v>48807818.626913533</v>
      </c>
      <c r="G94" s="39">
        <v>0</v>
      </c>
      <c r="H94" s="39">
        <v>851761.6</v>
      </c>
      <c r="I94" s="39">
        <v>0</v>
      </c>
      <c r="J94" s="39">
        <v>1612169.4569135276</v>
      </c>
      <c r="K94" s="39">
        <v>29496804.710000001</v>
      </c>
      <c r="L94" s="39">
        <v>0</v>
      </c>
      <c r="M94" s="39">
        <v>16832392</v>
      </c>
      <c r="N94" s="39">
        <v>14690.86</v>
      </c>
    </row>
    <row r="95" spans="2:17">
      <c r="B95" s="25" t="s">
        <v>203</v>
      </c>
      <c r="D95" t="s">
        <v>183</v>
      </c>
      <c r="F95" s="82">
        <f>SUM(G95:N95)</f>
        <v>1484</v>
      </c>
      <c r="G95" s="39">
        <v>1484</v>
      </c>
      <c r="H95" s="39">
        <v>0</v>
      </c>
      <c r="I95" s="39">
        <v>0</v>
      </c>
      <c r="J95" s="39">
        <v>0</v>
      </c>
      <c r="K95" s="39">
        <v>0</v>
      </c>
      <c r="L95" s="39">
        <v>0</v>
      </c>
      <c r="M95" s="39">
        <v>0</v>
      </c>
      <c r="N95" s="39">
        <v>0</v>
      </c>
    </row>
    <row r="96" spans="2:17">
      <c r="B96" s="25"/>
      <c r="F96" s="68"/>
      <c r="G96" s="40"/>
      <c r="H96" s="40"/>
      <c r="I96" s="40"/>
      <c r="J96" s="40"/>
      <c r="K96" s="40"/>
      <c r="L96" s="40"/>
      <c r="M96" s="40"/>
      <c r="N96" s="40"/>
    </row>
    <row r="97" spans="2:14">
      <c r="B97" s="81" t="s">
        <v>204</v>
      </c>
      <c r="F97" s="68"/>
      <c r="G97" s="40"/>
      <c r="H97" s="40"/>
      <c r="I97" s="40"/>
      <c r="J97" s="40"/>
      <c r="K97" s="40"/>
      <c r="L97" s="40"/>
      <c r="M97" s="40"/>
      <c r="N97" s="40"/>
    </row>
    <row r="98" spans="2:14">
      <c r="B98" s="25" t="s">
        <v>331</v>
      </c>
      <c r="D98" t="s">
        <v>183</v>
      </c>
      <c r="F98" s="82">
        <f>SUM(G98:N98)</f>
        <v>8182035.3200101843</v>
      </c>
      <c r="G98" s="39">
        <v>62769</v>
      </c>
      <c r="H98" s="39">
        <v>235302.03012499999</v>
      </c>
      <c r="I98" s="39">
        <v>102030.37893782025</v>
      </c>
      <c r="J98" s="39">
        <v>2620948.3491235389</v>
      </c>
      <c r="K98" s="39">
        <v>3025828.3042752063</v>
      </c>
      <c r="L98" s="39">
        <v>22011.55</v>
      </c>
      <c r="M98" s="39">
        <v>2071522.4875324718</v>
      </c>
      <c r="N98" s="39">
        <v>41623.220016147228</v>
      </c>
    </row>
    <row r="99" spans="2:14">
      <c r="B99" s="25" t="s">
        <v>332</v>
      </c>
      <c r="D99" t="s">
        <v>183</v>
      </c>
      <c r="F99" s="82">
        <f>SUM(G99:N99)</f>
        <v>5263289.2005261993</v>
      </c>
      <c r="G99" s="39">
        <v>30894</v>
      </c>
      <c r="H99" s="39">
        <v>113082.90043756668</v>
      </c>
      <c r="I99" s="39">
        <v>69216.523913263387</v>
      </c>
      <c r="J99" s="39">
        <v>1592417.5369157223</v>
      </c>
      <c r="K99" s="39">
        <v>1747367.0458747949</v>
      </c>
      <c r="L99" s="39">
        <v>37126.31</v>
      </c>
      <c r="M99" s="39">
        <v>1467903.3519429786</v>
      </c>
      <c r="N99" s="39">
        <v>205281.53144187349</v>
      </c>
    </row>
    <row r="100" spans="2:14">
      <c r="B100" s="83" t="s">
        <v>333</v>
      </c>
      <c r="D100" t="s">
        <v>183</v>
      </c>
      <c r="F100" s="82">
        <f>SUM(G100:N100)</f>
        <v>18647386.207195293</v>
      </c>
      <c r="G100" s="39">
        <v>0</v>
      </c>
      <c r="H100" s="39">
        <v>95907.53</v>
      </c>
      <c r="I100" s="1064">
        <f>'Aanpassing gegevens (aug 2016)'!I26</f>
        <v>146798.95740935003</v>
      </c>
      <c r="J100" s="39">
        <v>6084709.2708396483</v>
      </c>
      <c r="K100" s="39">
        <v>11890028.667398341</v>
      </c>
      <c r="L100" s="39">
        <v>38704.22</v>
      </c>
      <c r="M100" s="39">
        <v>285737.56154795532</v>
      </c>
      <c r="N100" s="39">
        <v>105500</v>
      </c>
    </row>
    <row r="101" spans="2:14">
      <c r="B101" s="25"/>
      <c r="F101" s="68"/>
      <c r="G101" s="40"/>
      <c r="H101" s="40"/>
      <c r="I101" s="40"/>
      <c r="J101" s="40"/>
      <c r="K101" s="40"/>
      <c r="L101" s="40"/>
      <c r="M101" s="40"/>
      <c r="N101" s="40"/>
    </row>
    <row r="102" spans="2:14">
      <c r="B102" s="25" t="s">
        <v>205</v>
      </c>
      <c r="D102" t="s">
        <v>183</v>
      </c>
      <c r="F102" s="73">
        <f t="shared" ref="F102:N102" si="3">SUM(F84:F87,F90:F91,F94:F95,F98:F100)</f>
        <v>1586809030.8394814</v>
      </c>
      <c r="G102" s="73">
        <f t="shared" si="3"/>
        <v>8921112</v>
      </c>
      <c r="H102" s="73">
        <f t="shared" si="3"/>
        <v>41259582.63855125</v>
      </c>
      <c r="I102" s="73">
        <f t="shared" si="3"/>
        <v>18525315.081490226</v>
      </c>
      <c r="J102" s="73">
        <f t="shared" si="3"/>
        <v>488086685.57154566</v>
      </c>
      <c r="K102" s="73">
        <f t="shared" si="3"/>
        <v>633284924.19528365</v>
      </c>
      <c r="L102" s="73">
        <f t="shared" si="3"/>
        <v>5162900.5499999989</v>
      </c>
      <c r="M102" s="73">
        <f t="shared" si="3"/>
        <v>369334205.4601354</v>
      </c>
      <c r="N102" s="73">
        <f t="shared" si="3"/>
        <v>22234305.342475157</v>
      </c>
    </row>
    <row r="105" spans="2:14">
      <c r="K105" s="117"/>
    </row>
    <row r="106" spans="2:14">
      <c r="K106" s="117"/>
    </row>
    <row r="107" spans="2:14">
      <c r="J107" s="117"/>
      <c r="K107" s="117"/>
      <c r="M107" s="117"/>
    </row>
    <row r="108" spans="2:14">
      <c r="J108" s="117"/>
      <c r="M108" s="117"/>
    </row>
    <row r="109" spans="2:14">
      <c r="J109" s="117"/>
      <c r="M109" s="117"/>
    </row>
    <row r="111" spans="2:14">
      <c r="K111" s="117"/>
    </row>
    <row r="113" spans="10:13">
      <c r="J113" s="117"/>
      <c r="M113" s="117"/>
    </row>
    <row r="114" spans="10:13">
      <c r="M114" s="117"/>
    </row>
    <row r="115" spans="10:13">
      <c r="K115" s="117"/>
    </row>
    <row r="117" spans="10:13">
      <c r="J117" s="117"/>
      <c r="M117" s="117"/>
    </row>
    <row r="119" spans="10:13">
      <c r="K119" s="117"/>
    </row>
    <row r="120" spans="10:13">
      <c r="K120" s="117"/>
    </row>
    <row r="121" spans="10:13">
      <c r="J121" s="117"/>
      <c r="K121" s="117"/>
      <c r="M121" s="117"/>
    </row>
    <row r="122" spans="10:13">
      <c r="J122" s="117"/>
      <c r="M122" s="117"/>
    </row>
    <row r="123" spans="10:13">
      <c r="J123" s="117"/>
      <c r="M123" s="117"/>
    </row>
  </sheetData>
  <phoneticPr fontId="3"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enableFormatConditionsCalculation="0">
    <tabColor rgb="FFDBE91F"/>
    <pageSetUpPr fitToPage="1"/>
  </sheetPr>
  <dimension ref="B1:P240"/>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9.7109375" customWidth="1"/>
    <col min="16" max="16" width="24.28515625" customWidth="1"/>
  </cols>
  <sheetData>
    <row r="1" spans="2:16" ht="12" customHeight="1"/>
    <row r="2" spans="2:16" s="1" customFormat="1" ht="18">
      <c r="B2" s="1" t="s">
        <v>15</v>
      </c>
      <c r="F2" s="47" t="s">
        <v>177</v>
      </c>
      <c r="G2" s="5" t="s">
        <v>168</v>
      </c>
      <c r="H2" s="5" t="s">
        <v>169</v>
      </c>
      <c r="I2" s="5" t="s">
        <v>170</v>
      </c>
      <c r="J2" s="5" t="s">
        <v>171</v>
      </c>
      <c r="K2" s="5" t="s">
        <v>172</v>
      </c>
      <c r="L2" s="5" t="s">
        <v>173</v>
      </c>
      <c r="M2" s="5" t="s">
        <v>174</v>
      </c>
      <c r="N2" s="5" t="s">
        <v>175</v>
      </c>
      <c r="P2" s="5" t="s">
        <v>438</v>
      </c>
    </row>
    <row r="4" spans="2:16">
      <c r="B4" s="80" t="s">
        <v>16</v>
      </c>
    </row>
    <row r="5" spans="2:16">
      <c r="B5" s="27" t="s">
        <v>14</v>
      </c>
    </row>
    <row r="6" spans="2:16">
      <c r="B6" s="27" t="s">
        <v>1138</v>
      </c>
    </row>
    <row r="9" spans="2:16" s="2" customFormat="1">
      <c r="B9" s="2" t="s">
        <v>17</v>
      </c>
      <c r="F9" s="48"/>
    </row>
    <row r="11" spans="2:16">
      <c r="B11" s="3"/>
    </row>
    <row r="12" spans="2:16">
      <c r="B12" s="3" t="s">
        <v>18</v>
      </c>
    </row>
    <row r="13" spans="2:16">
      <c r="B13" t="s">
        <v>19</v>
      </c>
      <c r="D13" t="s">
        <v>180</v>
      </c>
      <c r="F13" s="82">
        <f t="shared" ref="F13:F23" si="0">SUM(G13:N13)</f>
        <v>13103044.96236206</v>
      </c>
      <c r="G13" s="39">
        <v>0</v>
      </c>
      <c r="H13" s="39">
        <v>0</v>
      </c>
      <c r="I13" s="39">
        <v>0</v>
      </c>
      <c r="J13" s="39">
        <v>3751300</v>
      </c>
      <c r="K13" s="39">
        <v>8749912.3899999987</v>
      </c>
      <c r="L13" s="39">
        <v>0</v>
      </c>
      <c r="M13" s="39">
        <v>601832.57236206089</v>
      </c>
      <c r="N13" s="39">
        <v>0</v>
      </c>
      <c r="P13" t="s">
        <v>486</v>
      </c>
    </row>
    <row r="14" spans="2:16">
      <c r="B14" t="s">
        <v>20</v>
      </c>
      <c r="D14" t="s">
        <v>180</v>
      </c>
      <c r="F14" s="82">
        <f t="shared" si="0"/>
        <v>23691952.451690245</v>
      </c>
      <c r="G14" s="39">
        <v>0</v>
      </c>
      <c r="H14" s="39">
        <v>0</v>
      </c>
      <c r="I14" s="39">
        <v>0</v>
      </c>
      <c r="J14" s="39">
        <v>10682100</v>
      </c>
      <c r="K14" s="39">
        <v>3321922.5</v>
      </c>
      <c r="L14" s="39">
        <v>16160</v>
      </c>
      <c r="M14" s="39">
        <v>7314073.5616902439</v>
      </c>
      <c r="N14" s="39">
        <v>2357696.39</v>
      </c>
    </row>
    <row r="15" spans="2:16">
      <c r="B15" t="s">
        <v>21</v>
      </c>
      <c r="D15" t="s">
        <v>180</v>
      </c>
      <c r="F15" s="82">
        <f t="shared" si="0"/>
        <v>8688032.6424999982</v>
      </c>
      <c r="G15" s="39">
        <v>0</v>
      </c>
      <c r="H15" s="39">
        <v>968121.28969999985</v>
      </c>
      <c r="I15" s="39">
        <v>0</v>
      </c>
      <c r="J15" s="39">
        <v>2002871.36</v>
      </c>
      <c r="K15" s="39">
        <v>2462071.8227999993</v>
      </c>
      <c r="L15" s="39">
        <v>0</v>
      </c>
      <c r="M15" s="39">
        <v>3254968.17</v>
      </c>
      <c r="N15" s="39">
        <v>0</v>
      </c>
    </row>
    <row r="16" spans="2:16">
      <c r="B16" t="s">
        <v>22</v>
      </c>
      <c r="D16" t="s">
        <v>180</v>
      </c>
      <c r="F16" s="82">
        <f t="shared" si="0"/>
        <v>1110000</v>
      </c>
      <c r="G16" s="39">
        <v>0</v>
      </c>
      <c r="H16" s="39">
        <v>0</v>
      </c>
      <c r="I16" s="39">
        <v>0</v>
      </c>
      <c r="J16" s="39">
        <v>1110000</v>
      </c>
      <c r="K16" s="39">
        <v>0</v>
      </c>
      <c r="L16" s="39">
        <v>0</v>
      </c>
      <c r="M16" s="39">
        <v>0</v>
      </c>
      <c r="N16" s="39">
        <v>0</v>
      </c>
    </row>
    <row r="17" spans="2:14">
      <c r="B17" t="s">
        <v>23</v>
      </c>
      <c r="D17" t="s">
        <v>180</v>
      </c>
      <c r="F17" s="82">
        <f t="shared" si="0"/>
        <v>1286006.3099999998</v>
      </c>
      <c r="G17" s="39">
        <v>68751.609999999797</v>
      </c>
      <c r="H17" s="39">
        <v>0</v>
      </c>
      <c r="I17" s="39">
        <v>0</v>
      </c>
      <c r="J17" s="39">
        <v>510900.00000000006</v>
      </c>
      <c r="K17" s="39">
        <v>0</v>
      </c>
      <c r="L17" s="39">
        <v>12945</v>
      </c>
      <c r="M17" s="39">
        <v>671000</v>
      </c>
      <c r="N17" s="39">
        <v>22409.7</v>
      </c>
    </row>
    <row r="18" spans="2:14">
      <c r="B18" t="s">
        <v>24</v>
      </c>
      <c r="D18" t="s">
        <v>180</v>
      </c>
      <c r="F18" s="82">
        <f t="shared" si="0"/>
        <v>616842</v>
      </c>
      <c r="G18" s="39">
        <v>0</v>
      </c>
      <c r="H18" s="39">
        <v>0</v>
      </c>
      <c r="I18" s="39">
        <v>0</v>
      </c>
      <c r="J18" s="39">
        <v>604300</v>
      </c>
      <c r="K18" s="39">
        <v>0</v>
      </c>
      <c r="L18" s="39">
        <v>12542</v>
      </c>
      <c r="M18" s="39">
        <v>0</v>
      </c>
      <c r="N18" s="39">
        <v>0</v>
      </c>
    </row>
    <row r="19" spans="2:14">
      <c r="B19" t="s">
        <v>25</v>
      </c>
      <c r="D19" t="s">
        <v>180</v>
      </c>
      <c r="F19" s="82">
        <f t="shared" si="0"/>
        <v>7750878.7736363634</v>
      </c>
      <c r="G19" s="39">
        <v>0</v>
      </c>
      <c r="H19" s="39">
        <v>0</v>
      </c>
      <c r="I19" s="39">
        <v>296527.31</v>
      </c>
      <c r="J19" s="39">
        <v>6704169.123636364</v>
      </c>
      <c r="K19" s="39">
        <v>0</v>
      </c>
      <c r="L19" s="39">
        <v>0</v>
      </c>
      <c r="M19" s="39">
        <v>750182.34</v>
      </c>
      <c r="N19" s="39">
        <v>0</v>
      </c>
    </row>
    <row r="20" spans="2:14">
      <c r="B20" t="s">
        <v>26</v>
      </c>
      <c r="D20" t="s">
        <v>180</v>
      </c>
      <c r="F20" s="82">
        <f t="shared" si="0"/>
        <v>1652343.6300000001</v>
      </c>
      <c r="G20" s="39">
        <v>0</v>
      </c>
      <c r="H20" s="39">
        <v>0</v>
      </c>
      <c r="I20" s="39">
        <v>0</v>
      </c>
      <c r="J20" s="39">
        <v>0</v>
      </c>
      <c r="K20" s="39">
        <v>1652343.6300000001</v>
      </c>
      <c r="L20" s="39">
        <v>0</v>
      </c>
      <c r="M20" s="39">
        <v>0</v>
      </c>
      <c r="N20" s="39">
        <v>0</v>
      </c>
    </row>
    <row r="21" spans="2:14">
      <c r="B21" t="s">
        <v>27</v>
      </c>
      <c r="D21" t="s">
        <v>180</v>
      </c>
      <c r="F21" s="82">
        <f t="shared" si="0"/>
        <v>22322614.4099361</v>
      </c>
      <c r="G21" s="39">
        <v>0</v>
      </c>
      <c r="H21" s="39">
        <v>0</v>
      </c>
      <c r="I21" s="39">
        <v>0</v>
      </c>
      <c r="J21" s="898">
        <f>22627316.5699361+'Aanpassing gegevens (sep 2014)'!H164</f>
        <v>23227316.5699361</v>
      </c>
      <c r="K21" s="39">
        <v>-904702.16</v>
      </c>
      <c r="L21" s="39">
        <v>0</v>
      </c>
      <c r="M21" s="39">
        <v>0</v>
      </c>
      <c r="N21" s="39">
        <v>0</v>
      </c>
    </row>
    <row r="22" spans="2:14">
      <c r="B22" t="s">
        <v>28</v>
      </c>
      <c r="D22" t="s">
        <v>180</v>
      </c>
      <c r="F22" s="82">
        <f t="shared" si="0"/>
        <v>0</v>
      </c>
      <c r="G22" s="39">
        <v>0</v>
      </c>
      <c r="H22" s="39">
        <v>0</v>
      </c>
      <c r="I22" s="39">
        <v>0</v>
      </c>
      <c r="J22" s="39">
        <v>0</v>
      </c>
      <c r="K22" s="39">
        <v>0</v>
      </c>
      <c r="L22" s="39">
        <v>0</v>
      </c>
      <c r="M22" s="39">
        <v>0</v>
      </c>
      <c r="N22" s="39">
        <v>0</v>
      </c>
    </row>
    <row r="23" spans="2:14">
      <c r="B23" t="s">
        <v>29</v>
      </c>
      <c r="D23" t="s">
        <v>180</v>
      </c>
      <c r="F23" s="82">
        <f t="shared" si="0"/>
        <v>-940.48363636434078</v>
      </c>
      <c r="G23" s="39">
        <v>0</v>
      </c>
      <c r="H23" s="39">
        <v>0</v>
      </c>
      <c r="I23" s="39">
        <v>0</v>
      </c>
      <c r="J23" s="39">
        <v>-940.48363636434078</v>
      </c>
      <c r="K23" s="39">
        <v>0</v>
      </c>
      <c r="L23" s="39">
        <v>0</v>
      </c>
      <c r="M23" s="39">
        <v>0</v>
      </c>
      <c r="N23" s="39">
        <v>0</v>
      </c>
    </row>
    <row r="24" spans="2:14">
      <c r="F24" s="72"/>
      <c r="G24" s="36"/>
      <c r="H24" s="36"/>
      <c r="I24" s="36"/>
      <c r="J24" s="36"/>
      <c r="K24" s="36"/>
      <c r="L24" s="36"/>
      <c r="M24" s="36"/>
      <c r="N24" s="36"/>
    </row>
    <row r="25" spans="2:14">
      <c r="B25" t="s">
        <v>176</v>
      </c>
      <c r="D25" t="s">
        <v>180</v>
      </c>
      <c r="F25" s="84">
        <f t="shared" ref="F25:N25" si="1">SUM(F13:F23)</f>
        <v>80220774.69648841</v>
      </c>
      <c r="G25" s="84">
        <f t="shared" si="1"/>
        <v>68751.609999999797</v>
      </c>
      <c r="H25" s="84">
        <f t="shared" si="1"/>
        <v>968121.28969999985</v>
      </c>
      <c r="I25" s="84">
        <f t="shared" si="1"/>
        <v>296527.31</v>
      </c>
      <c r="J25" s="84">
        <f t="shared" si="1"/>
        <v>48592016.569936097</v>
      </c>
      <c r="K25" s="84">
        <f t="shared" si="1"/>
        <v>15281548.182799999</v>
      </c>
      <c r="L25" s="84">
        <f t="shared" si="1"/>
        <v>41647</v>
      </c>
      <c r="M25" s="84">
        <f t="shared" si="1"/>
        <v>12592056.644052304</v>
      </c>
      <c r="N25" s="84">
        <f t="shared" si="1"/>
        <v>2380106.0900000003</v>
      </c>
    </row>
    <row r="27" spans="2:14">
      <c r="B27" s="3"/>
    </row>
    <row r="28" spans="2:14">
      <c r="B28" s="3" t="s">
        <v>30</v>
      </c>
    </row>
    <row r="29" spans="2:14">
      <c r="B29" t="s">
        <v>19</v>
      </c>
      <c r="D29" t="s">
        <v>180</v>
      </c>
      <c r="F29" s="82">
        <f t="shared" ref="F29:F39" si="2">SUM(G29:N29)</f>
        <v>14420722.629999999</v>
      </c>
      <c r="G29" s="39">
        <v>0</v>
      </c>
      <c r="H29" s="39">
        <v>0</v>
      </c>
      <c r="I29" s="39">
        <v>0</v>
      </c>
      <c r="J29" s="39">
        <v>3751300</v>
      </c>
      <c r="K29" s="39">
        <v>8749912.3899999987</v>
      </c>
      <c r="L29" s="39">
        <v>0</v>
      </c>
      <c r="M29" s="39">
        <v>1919510.2399999998</v>
      </c>
      <c r="N29" s="39">
        <v>0</v>
      </c>
    </row>
    <row r="30" spans="2:14">
      <c r="B30" t="s">
        <v>20</v>
      </c>
      <c r="D30" t="s">
        <v>180</v>
      </c>
      <c r="F30" s="82">
        <f t="shared" si="2"/>
        <v>24382978.104415968</v>
      </c>
      <c r="G30" s="39">
        <v>0</v>
      </c>
      <c r="H30" s="39">
        <v>0</v>
      </c>
      <c r="I30" s="39">
        <v>0</v>
      </c>
      <c r="J30" s="39">
        <v>10682100</v>
      </c>
      <c r="K30" s="39">
        <v>3321922.5</v>
      </c>
      <c r="L30" s="39">
        <v>16160</v>
      </c>
      <c r="M30" s="39">
        <v>8193796.6400000006</v>
      </c>
      <c r="N30" s="39">
        <v>2168998.9644159656</v>
      </c>
    </row>
    <row r="31" spans="2:14">
      <c r="B31" t="s">
        <v>21</v>
      </c>
      <c r="D31" t="s">
        <v>180</v>
      </c>
      <c r="F31" s="82">
        <f t="shared" si="2"/>
        <v>2288869.0055417242</v>
      </c>
      <c r="G31" s="39">
        <v>0</v>
      </c>
      <c r="H31" s="39">
        <v>175000</v>
      </c>
      <c r="I31" s="39">
        <v>0</v>
      </c>
      <c r="J31" s="898">
        <f>400574.272+'Aanpassing gegevens (sep 2014)'!H170</f>
        <v>350502.522</v>
      </c>
      <c r="K31" s="39">
        <v>764091.25535172387</v>
      </c>
      <c r="L31" s="39">
        <v>0</v>
      </c>
      <c r="M31" s="39">
        <v>999275.22818999994</v>
      </c>
      <c r="N31" s="39">
        <v>0</v>
      </c>
    </row>
    <row r="32" spans="2:14">
      <c r="B32" t="s">
        <v>22</v>
      </c>
      <c r="D32" t="s">
        <v>180</v>
      </c>
      <c r="F32" s="82">
        <f t="shared" si="2"/>
        <v>1110000</v>
      </c>
      <c r="G32" s="39">
        <v>0</v>
      </c>
      <c r="H32" s="39">
        <v>0</v>
      </c>
      <c r="I32" s="39">
        <v>0</v>
      </c>
      <c r="J32" s="39">
        <v>1110000</v>
      </c>
      <c r="K32" s="39">
        <v>0</v>
      </c>
      <c r="L32" s="39">
        <v>0</v>
      </c>
      <c r="M32" s="39">
        <v>0</v>
      </c>
      <c r="N32" s="39">
        <v>0</v>
      </c>
    </row>
    <row r="33" spans="2:14">
      <c r="B33" t="s">
        <v>23</v>
      </c>
      <c r="D33" t="s">
        <v>180</v>
      </c>
      <c r="F33" s="82">
        <f t="shared" si="2"/>
        <v>1319431.1879999998</v>
      </c>
      <c r="G33" s="39">
        <v>102176.48799999992</v>
      </c>
      <c r="H33" s="39">
        <v>0</v>
      </c>
      <c r="I33" s="39">
        <v>0</v>
      </c>
      <c r="J33" s="39">
        <v>510900.00000000006</v>
      </c>
      <c r="K33" s="39">
        <v>0</v>
      </c>
      <c r="L33" s="39">
        <v>12945</v>
      </c>
      <c r="M33" s="39">
        <v>671000</v>
      </c>
      <c r="N33" s="39">
        <v>22409.7</v>
      </c>
    </row>
    <row r="34" spans="2:14">
      <c r="B34" t="s">
        <v>24</v>
      </c>
      <c r="D34" t="s">
        <v>180</v>
      </c>
      <c r="F34" s="82">
        <f t="shared" si="2"/>
        <v>604300</v>
      </c>
      <c r="G34" s="39">
        <v>0</v>
      </c>
      <c r="H34" s="39">
        <v>0</v>
      </c>
      <c r="I34" s="39">
        <v>0</v>
      </c>
      <c r="J34" s="39">
        <v>604300</v>
      </c>
      <c r="K34" s="39">
        <v>0</v>
      </c>
      <c r="L34" s="39">
        <v>0</v>
      </c>
      <c r="M34" s="39">
        <v>0</v>
      </c>
      <c r="N34" s="39">
        <v>0</v>
      </c>
    </row>
    <row r="35" spans="2:14">
      <c r="B35" t="s">
        <v>25</v>
      </c>
      <c r="D35" t="s">
        <v>180</v>
      </c>
      <c r="F35" s="82">
        <f t="shared" si="2"/>
        <v>526833.28838000004</v>
      </c>
      <c r="G35" s="39">
        <v>0</v>
      </c>
      <c r="H35" s="39">
        <v>0</v>
      </c>
      <c r="I35" s="39">
        <v>296527.31</v>
      </c>
      <c r="J35" s="39">
        <v>0</v>
      </c>
      <c r="K35" s="39">
        <v>0</v>
      </c>
      <c r="L35" s="39">
        <v>0</v>
      </c>
      <c r="M35" s="39">
        <v>230305.97837999999</v>
      </c>
      <c r="N35" s="39">
        <v>0</v>
      </c>
    </row>
    <row r="36" spans="2:14">
      <c r="B36" t="s">
        <v>26</v>
      </c>
      <c r="D36" t="s">
        <v>180</v>
      </c>
      <c r="F36" s="82">
        <f t="shared" si="2"/>
        <v>1652343.6300000001</v>
      </c>
      <c r="G36" s="39">
        <v>0</v>
      </c>
      <c r="H36" s="39">
        <v>0</v>
      </c>
      <c r="I36" s="39">
        <v>0</v>
      </c>
      <c r="J36" s="39">
        <v>0</v>
      </c>
      <c r="K36" s="39">
        <v>1652343.6300000001</v>
      </c>
      <c r="L36" s="39">
        <v>0</v>
      </c>
      <c r="M36" s="39">
        <v>0</v>
      </c>
      <c r="N36" s="39">
        <v>0</v>
      </c>
    </row>
    <row r="37" spans="2:14">
      <c r="B37" t="s">
        <v>27</v>
      </c>
      <c r="D37" t="s">
        <v>180</v>
      </c>
      <c r="F37" s="82">
        <f t="shared" si="2"/>
        <v>22322614.4099361</v>
      </c>
      <c r="G37" s="39">
        <v>0</v>
      </c>
      <c r="H37" s="39">
        <v>0</v>
      </c>
      <c r="I37" s="39">
        <v>0</v>
      </c>
      <c r="J37" s="898">
        <f>22627316.5699361+'Aanpassing gegevens (sep 2014)'!H165</f>
        <v>23227316.5699361</v>
      </c>
      <c r="K37" s="39">
        <v>-904702.16</v>
      </c>
      <c r="L37" s="39">
        <v>0</v>
      </c>
      <c r="M37" s="39">
        <v>0</v>
      </c>
      <c r="N37" s="39">
        <v>0</v>
      </c>
    </row>
    <row r="38" spans="2:14">
      <c r="B38" t="s">
        <v>28</v>
      </c>
      <c r="D38" t="s">
        <v>180</v>
      </c>
      <c r="F38" s="82">
        <f t="shared" si="2"/>
        <v>0</v>
      </c>
      <c r="G38" s="39">
        <v>0</v>
      </c>
      <c r="H38" s="39">
        <v>0</v>
      </c>
      <c r="I38" s="39">
        <v>0</v>
      </c>
      <c r="J38" s="39">
        <v>0</v>
      </c>
      <c r="K38" s="39">
        <v>0</v>
      </c>
      <c r="L38" s="39">
        <v>0</v>
      </c>
      <c r="M38" s="39">
        <v>0</v>
      </c>
      <c r="N38" s="39">
        <v>0</v>
      </c>
    </row>
    <row r="39" spans="2:14">
      <c r="B39" t="s">
        <v>29</v>
      </c>
      <c r="D39" t="s">
        <v>180</v>
      </c>
      <c r="F39" s="82">
        <f t="shared" si="2"/>
        <v>-940.48363636434078</v>
      </c>
      <c r="G39" s="39">
        <v>0</v>
      </c>
      <c r="H39" s="39">
        <v>0</v>
      </c>
      <c r="I39" s="39">
        <v>0</v>
      </c>
      <c r="J39" s="39">
        <v>-940.48363636434078</v>
      </c>
      <c r="K39" s="39">
        <v>0</v>
      </c>
      <c r="L39" s="39">
        <v>0</v>
      </c>
      <c r="M39" s="39">
        <v>0</v>
      </c>
      <c r="N39" s="39">
        <v>0</v>
      </c>
    </row>
    <row r="40" spans="2:14">
      <c r="F40" s="72"/>
      <c r="G40" s="36"/>
      <c r="H40" s="36"/>
      <c r="I40" s="36"/>
      <c r="J40" s="36"/>
      <c r="K40" s="36"/>
      <c r="L40" s="36"/>
      <c r="M40" s="36"/>
      <c r="N40" s="36"/>
    </row>
    <row r="41" spans="2:14">
      <c r="B41" t="s">
        <v>176</v>
      </c>
      <c r="D41" t="s">
        <v>180</v>
      </c>
      <c r="F41" s="84">
        <f t="shared" ref="F41:N41" si="3">SUM(F29:F39)</f>
        <v>68627151.772637427</v>
      </c>
      <c r="G41" s="84">
        <f t="shared" si="3"/>
        <v>102176.48799999992</v>
      </c>
      <c r="H41" s="84">
        <f t="shared" si="3"/>
        <v>175000</v>
      </c>
      <c r="I41" s="84">
        <f t="shared" si="3"/>
        <v>296527.31</v>
      </c>
      <c r="J41" s="84">
        <f t="shared" si="3"/>
        <v>40235478.608299732</v>
      </c>
      <c r="K41" s="84">
        <f t="shared" si="3"/>
        <v>13583567.615351724</v>
      </c>
      <c r="L41" s="84">
        <f t="shared" si="3"/>
        <v>29105</v>
      </c>
      <c r="M41" s="84">
        <f t="shared" si="3"/>
        <v>12013888.08657</v>
      </c>
      <c r="N41" s="84">
        <f t="shared" si="3"/>
        <v>2191408.6644159658</v>
      </c>
    </row>
    <row r="44" spans="2:14">
      <c r="B44" s="3" t="s">
        <v>31</v>
      </c>
    </row>
    <row r="45" spans="2:14">
      <c r="B45" t="s">
        <v>32</v>
      </c>
      <c r="D45" t="s">
        <v>180</v>
      </c>
      <c r="F45" s="82">
        <f t="shared" ref="F45:F54" si="4">SUM(G45:N45)</f>
        <v>12774032.305513801</v>
      </c>
      <c r="G45" s="39">
        <v>159591.47999999998</v>
      </c>
      <c r="H45" s="39">
        <v>69420.328499999989</v>
      </c>
      <c r="I45" s="39">
        <v>309458.58833500004</v>
      </c>
      <c r="J45" s="39">
        <v>6150363.96</v>
      </c>
      <c r="K45" s="39">
        <v>996045.48999999987</v>
      </c>
      <c r="L45" s="39">
        <v>11552</v>
      </c>
      <c r="M45" s="39">
        <v>5067576.7305214321</v>
      </c>
      <c r="N45" s="39">
        <v>10023.728157369862</v>
      </c>
    </row>
    <row r="46" spans="2:14">
      <c r="B46" t="s">
        <v>33</v>
      </c>
      <c r="D46" t="s">
        <v>180</v>
      </c>
      <c r="F46" s="82">
        <f t="shared" si="4"/>
        <v>1686789.7577899999</v>
      </c>
      <c r="G46" s="39">
        <v>5240.579999999999</v>
      </c>
      <c r="H46" s="39">
        <v>3653.7015000000001</v>
      </c>
      <c r="I46" s="39">
        <v>34497.146289999997</v>
      </c>
      <c r="J46" s="39">
        <v>418576</v>
      </c>
      <c r="K46" s="39">
        <v>221822.33</v>
      </c>
      <c r="L46" s="39">
        <v>0</v>
      </c>
      <c r="M46" s="39">
        <v>1003000</v>
      </c>
      <c r="N46" s="39">
        <v>0</v>
      </c>
    </row>
    <row r="47" spans="2:14">
      <c r="B47" t="s">
        <v>34</v>
      </c>
      <c r="D47" t="s">
        <v>180</v>
      </c>
      <c r="F47" s="82">
        <f t="shared" si="4"/>
        <v>2520491.9837173605</v>
      </c>
      <c r="G47" s="39">
        <v>110105.41999999994</v>
      </c>
      <c r="H47" s="39">
        <v>0</v>
      </c>
      <c r="I47" s="39">
        <v>45420.700000000012</v>
      </c>
      <c r="J47" s="39">
        <v>819200</v>
      </c>
      <c r="K47" s="39">
        <v>26583.284238792454</v>
      </c>
      <c r="L47" s="39">
        <v>0</v>
      </c>
      <c r="M47" s="39">
        <v>1515397.5794785679</v>
      </c>
      <c r="N47" s="39">
        <v>3785</v>
      </c>
    </row>
    <row r="48" spans="2:14">
      <c r="B48" t="s">
        <v>35</v>
      </c>
      <c r="D48" t="s">
        <v>180</v>
      </c>
      <c r="F48" s="82">
        <f t="shared" si="4"/>
        <v>10024059.356802665</v>
      </c>
      <c r="G48" s="39">
        <v>42677.979999999996</v>
      </c>
      <c r="H48" s="39">
        <v>0</v>
      </c>
      <c r="I48" s="39">
        <v>0</v>
      </c>
      <c r="J48" s="39">
        <v>4329700</v>
      </c>
      <c r="K48" s="39">
        <v>2966764.9699999997</v>
      </c>
      <c r="L48" s="39">
        <v>27308</v>
      </c>
      <c r="M48" s="39">
        <v>2577772.0768026649</v>
      </c>
      <c r="N48" s="39">
        <v>79836.33</v>
      </c>
    </row>
    <row r="49" spans="2:14">
      <c r="B49" t="s">
        <v>36</v>
      </c>
      <c r="D49" t="s">
        <v>180</v>
      </c>
      <c r="F49" s="82">
        <f t="shared" si="4"/>
        <v>10003299.732089054</v>
      </c>
      <c r="G49" s="39">
        <v>0</v>
      </c>
      <c r="H49" s="39">
        <v>8625.5</v>
      </c>
      <c r="I49" s="39">
        <v>0</v>
      </c>
      <c r="J49" s="39">
        <v>0</v>
      </c>
      <c r="K49" s="39">
        <v>8930951.718769053</v>
      </c>
      <c r="L49" s="39">
        <v>9973</v>
      </c>
      <c r="M49" s="39">
        <v>1053749.5133200001</v>
      </c>
      <c r="N49" s="39">
        <v>0</v>
      </c>
    </row>
    <row r="50" spans="2:14">
      <c r="B50" t="s">
        <v>25</v>
      </c>
      <c r="D50" t="s">
        <v>180</v>
      </c>
      <c r="F50" s="82">
        <f t="shared" si="4"/>
        <v>493925.38621606678</v>
      </c>
      <c r="G50" s="39">
        <v>0</v>
      </c>
      <c r="H50" s="39">
        <v>0</v>
      </c>
      <c r="I50" s="39">
        <v>0</v>
      </c>
      <c r="J50" s="39">
        <v>0</v>
      </c>
      <c r="K50" s="39">
        <v>392141.19621606678</v>
      </c>
      <c r="L50" s="39">
        <v>14046</v>
      </c>
      <c r="M50" s="39">
        <v>0</v>
      </c>
      <c r="N50" s="39">
        <v>87738.19</v>
      </c>
    </row>
    <row r="51" spans="2:14">
      <c r="B51" t="s">
        <v>26</v>
      </c>
      <c r="D51" t="s">
        <v>180</v>
      </c>
      <c r="F51" s="82">
        <f t="shared" si="4"/>
        <v>-17732.11</v>
      </c>
      <c r="G51" s="39">
        <v>0</v>
      </c>
      <c r="H51" s="39">
        <v>0</v>
      </c>
      <c r="I51" s="39">
        <v>0</v>
      </c>
      <c r="J51" s="39">
        <v>0</v>
      </c>
      <c r="K51" s="39">
        <v>0</v>
      </c>
      <c r="L51" s="39">
        <v>0</v>
      </c>
      <c r="M51" s="39">
        <v>0</v>
      </c>
      <c r="N51" s="39">
        <v>-17732.11</v>
      </c>
    </row>
    <row r="52" spans="2:14">
      <c r="B52" t="s">
        <v>27</v>
      </c>
      <c r="D52" t="s">
        <v>180</v>
      </c>
      <c r="F52" s="82">
        <f t="shared" si="4"/>
        <v>0</v>
      </c>
      <c r="G52" s="39">
        <v>0</v>
      </c>
      <c r="H52" s="39">
        <v>0</v>
      </c>
      <c r="I52" s="39">
        <v>0</v>
      </c>
      <c r="J52" s="39">
        <v>0</v>
      </c>
      <c r="K52" s="39">
        <v>0</v>
      </c>
      <c r="L52" s="39">
        <v>0</v>
      </c>
      <c r="M52" s="39">
        <v>0</v>
      </c>
      <c r="N52" s="39">
        <v>0</v>
      </c>
    </row>
    <row r="53" spans="2:14">
      <c r="B53" t="s">
        <v>28</v>
      </c>
      <c r="D53" t="s">
        <v>180</v>
      </c>
      <c r="F53" s="82">
        <f t="shared" si="4"/>
        <v>0</v>
      </c>
      <c r="G53" s="39">
        <v>0</v>
      </c>
      <c r="H53" s="39">
        <v>0</v>
      </c>
      <c r="I53" s="39">
        <v>0</v>
      </c>
      <c r="J53" s="39">
        <v>0</v>
      </c>
      <c r="K53" s="39">
        <v>0</v>
      </c>
      <c r="L53" s="39">
        <v>0</v>
      </c>
      <c r="M53" s="39">
        <v>0</v>
      </c>
      <c r="N53" s="39">
        <v>0</v>
      </c>
    </row>
    <row r="54" spans="2:14">
      <c r="B54" t="s">
        <v>29</v>
      </c>
      <c r="D54" t="s">
        <v>180</v>
      </c>
      <c r="F54" s="82">
        <f t="shared" si="4"/>
        <v>0</v>
      </c>
      <c r="G54" s="39">
        <v>0</v>
      </c>
      <c r="H54" s="39">
        <v>0</v>
      </c>
      <c r="I54" s="39">
        <v>0</v>
      </c>
      <c r="J54" s="39">
        <v>0</v>
      </c>
      <c r="K54" s="39">
        <v>0</v>
      </c>
      <c r="L54" s="39">
        <v>0</v>
      </c>
      <c r="M54" s="39">
        <v>0</v>
      </c>
      <c r="N54" s="39">
        <v>0</v>
      </c>
    </row>
    <row r="55" spans="2:14">
      <c r="F55" s="72"/>
      <c r="G55" s="36"/>
      <c r="H55" s="36"/>
      <c r="I55" s="36"/>
      <c r="J55" s="36"/>
      <c r="K55" s="36"/>
      <c r="L55" s="36"/>
      <c r="M55" s="36"/>
      <c r="N55" s="36"/>
    </row>
    <row r="56" spans="2:14">
      <c r="B56" t="s">
        <v>176</v>
      </c>
      <c r="D56" t="s">
        <v>180</v>
      </c>
      <c r="F56" s="84">
        <f t="shared" ref="F56:N56" si="5">SUM(F45:F54)</f>
        <v>37484866.412128948</v>
      </c>
      <c r="G56" s="84">
        <f t="shared" si="5"/>
        <v>317615.4599999999</v>
      </c>
      <c r="H56" s="84">
        <f t="shared" si="5"/>
        <v>81699.529999999984</v>
      </c>
      <c r="I56" s="84">
        <f t="shared" si="5"/>
        <v>389376.43462500005</v>
      </c>
      <c r="J56" s="84">
        <f t="shared" si="5"/>
        <v>11717839.960000001</v>
      </c>
      <c r="K56" s="84">
        <f t="shared" si="5"/>
        <v>13534308.989223912</v>
      </c>
      <c r="L56" s="84">
        <f t="shared" si="5"/>
        <v>62879</v>
      </c>
      <c r="M56" s="84">
        <f t="shared" si="5"/>
        <v>11217495.900122667</v>
      </c>
      <c r="N56" s="84">
        <f t="shared" si="5"/>
        <v>163651.13815736986</v>
      </c>
    </row>
    <row r="58" spans="2:14">
      <c r="C58" s="27"/>
    </row>
    <row r="59" spans="2:14">
      <c r="B59" s="3" t="s">
        <v>460</v>
      </c>
      <c r="C59" s="27"/>
    </row>
    <row r="60" spans="2:14">
      <c r="B60" s="50" t="s">
        <v>461</v>
      </c>
      <c r="C60" s="27"/>
      <c r="D60" t="s">
        <v>180</v>
      </c>
      <c r="F60" s="82">
        <f>SUM(G60:N60)</f>
        <v>11695431</v>
      </c>
      <c r="G60" s="39">
        <v>108</v>
      </c>
      <c r="H60" s="39">
        <v>0</v>
      </c>
      <c r="I60" s="39">
        <v>162000</v>
      </c>
      <c r="J60" s="39">
        <v>8600000</v>
      </c>
      <c r="K60" s="39">
        <v>318735</v>
      </c>
      <c r="L60" s="39">
        <v>0</v>
      </c>
      <c r="M60" s="39">
        <v>2600000</v>
      </c>
      <c r="N60" s="39">
        <v>14588</v>
      </c>
    </row>
    <row r="63" spans="2:14">
      <c r="B63" s="3" t="s">
        <v>76</v>
      </c>
    </row>
    <row r="64" spans="2:14">
      <c r="B64" t="s">
        <v>77</v>
      </c>
      <c r="D64" t="s">
        <v>180</v>
      </c>
      <c r="F64" s="82">
        <f>SUM(G64:N64)</f>
        <v>0</v>
      </c>
      <c r="G64" s="39"/>
      <c r="H64" s="39"/>
      <c r="I64" s="39"/>
      <c r="J64" s="39"/>
      <c r="K64" s="39"/>
      <c r="L64" s="39"/>
      <c r="M64" s="39"/>
      <c r="N64" s="39"/>
    </row>
    <row r="66" spans="2:16">
      <c r="B66" s="81"/>
    </row>
    <row r="67" spans="2:16" s="2" customFormat="1">
      <c r="B67" s="2" t="s">
        <v>37</v>
      </c>
      <c r="F67" s="48"/>
    </row>
    <row r="69" spans="2:16">
      <c r="B69" s="3"/>
    </row>
    <row r="70" spans="2:16">
      <c r="B70" s="3" t="s">
        <v>18</v>
      </c>
    </row>
    <row r="71" spans="2:16">
      <c r="B71" t="s">
        <v>19</v>
      </c>
      <c r="D71" t="s">
        <v>181</v>
      </c>
      <c r="F71" s="82">
        <f t="shared" ref="F71:F81" si="6">SUM(G71:N71)</f>
        <v>16711627.749934521</v>
      </c>
      <c r="G71" s="39">
        <v>0</v>
      </c>
      <c r="H71" s="39">
        <v>0</v>
      </c>
      <c r="I71" s="39">
        <v>11976.320000000007</v>
      </c>
      <c r="J71" s="39">
        <v>4499400</v>
      </c>
      <c r="K71" s="39">
        <v>11283587.790000072</v>
      </c>
      <c r="L71" s="39">
        <v>0</v>
      </c>
      <c r="M71" s="39">
        <v>916663.63993444841</v>
      </c>
      <c r="N71" s="39">
        <v>0</v>
      </c>
      <c r="P71" t="s">
        <v>487</v>
      </c>
    </row>
    <row r="72" spans="2:16">
      <c r="B72" t="s">
        <v>20</v>
      </c>
      <c r="D72" t="s">
        <v>181</v>
      </c>
      <c r="F72" s="82">
        <f t="shared" si="6"/>
        <v>18831074.673051264</v>
      </c>
      <c r="G72" s="39">
        <v>25286.240000000005</v>
      </c>
      <c r="H72" s="39">
        <v>0</v>
      </c>
      <c r="I72" s="39">
        <v>0</v>
      </c>
      <c r="J72" s="39">
        <v>9172300</v>
      </c>
      <c r="K72" s="39">
        <v>2826072.7199999997</v>
      </c>
      <c r="L72" s="39">
        <v>14380</v>
      </c>
      <c r="M72" s="39">
        <v>6159785.6530512627</v>
      </c>
      <c r="N72" s="39">
        <v>633250.06000000006</v>
      </c>
    </row>
    <row r="73" spans="2:16">
      <c r="B73" t="s">
        <v>21</v>
      </c>
      <c r="D73" t="s">
        <v>181</v>
      </c>
      <c r="F73" s="82">
        <f t="shared" si="6"/>
        <v>8427609.4571874887</v>
      </c>
      <c r="G73" s="39">
        <v>0</v>
      </c>
      <c r="H73" s="39">
        <v>990060.77446021501</v>
      </c>
      <c r="I73" s="39">
        <v>0</v>
      </c>
      <c r="J73" s="39">
        <v>2072552.1927272736</v>
      </c>
      <c r="K73" s="39">
        <v>2161986</v>
      </c>
      <c r="L73" s="39">
        <v>0</v>
      </c>
      <c r="M73" s="39">
        <v>3203010.49</v>
      </c>
      <c r="N73" s="39">
        <v>0</v>
      </c>
    </row>
    <row r="74" spans="2:16">
      <c r="B74" t="s">
        <v>22</v>
      </c>
      <c r="D74" t="s">
        <v>181</v>
      </c>
      <c r="F74" s="82">
        <f t="shared" si="6"/>
        <v>1335781.385</v>
      </c>
      <c r="G74" s="39">
        <v>0</v>
      </c>
      <c r="H74" s="39">
        <v>0</v>
      </c>
      <c r="I74" s="39">
        <v>38481.385000000009</v>
      </c>
      <c r="J74" s="39">
        <v>1297300</v>
      </c>
      <c r="K74" s="39">
        <v>0</v>
      </c>
      <c r="L74" s="39">
        <v>0</v>
      </c>
      <c r="M74" s="39">
        <v>0</v>
      </c>
      <c r="N74" s="39">
        <v>0</v>
      </c>
    </row>
    <row r="75" spans="2:16">
      <c r="B75" t="s">
        <v>23</v>
      </c>
      <c r="D75" t="s">
        <v>181</v>
      </c>
      <c r="F75" s="82">
        <f t="shared" si="6"/>
        <v>1412277.02</v>
      </c>
      <c r="G75" s="39">
        <v>51940.68</v>
      </c>
      <c r="H75" s="39">
        <v>0</v>
      </c>
      <c r="I75" s="39">
        <v>192993.61000000004</v>
      </c>
      <c r="J75" s="39">
        <v>457300</v>
      </c>
      <c r="K75" s="39">
        <v>47491.35</v>
      </c>
      <c r="L75" s="39">
        <v>12266</v>
      </c>
      <c r="M75" s="39">
        <v>636546.09</v>
      </c>
      <c r="N75" s="39">
        <v>13739.29</v>
      </c>
    </row>
    <row r="76" spans="2:16">
      <c r="B76" t="s">
        <v>24</v>
      </c>
      <c r="D76" t="s">
        <v>181</v>
      </c>
      <c r="F76" s="82">
        <f t="shared" si="6"/>
        <v>619693.53</v>
      </c>
      <c r="G76" s="39">
        <v>0</v>
      </c>
      <c r="H76" s="39">
        <v>0</v>
      </c>
      <c r="I76" s="39">
        <v>12895.53</v>
      </c>
      <c r="J76" s="39">
        <v>598300</v>
      </c>
      <c r="K76" s="39">
        <v>0</v>
      </c>
      <c r="L76" s="39">
        <v>8498</v>
      </c>
      <c r="M76" s="39">
        <v>0</v>
      </c>
      <c r="N76" s="39">
        <v>0</v>
      </c>
    </row>
    <row r="77" spans="2:16">
      <c r="B77" t="s">
        <v>25</v>
      </c>
      <c r="D77" t="s">
        <v>181</v>
      </c>
      <c r="F77" s="82">
        <f t="shared" si="6"/>
        <v>7001684.0850939676</v>
      </c>
      <c r="G77" s="39">
        <v>0</v>
      </c>
      <c r="H77" s="39">
        <v>0</v>
      </c>
      <c r="I77" s="39">
        <v>0</v>
      </c>
      <c r="J77" s="39">
        <v>6561000</v>
      </c>
      <c r="K77" s="39">
        <v>0</v>
      </c>
      <c r="L77" s="39">
        <v>0</v>
      </c>
      <c r="M77" s="39">
        <v>440684.08509396721</v>
      </c>
      <c r="N77" s="39">
        <v>0</v>
      </c>
    </row>
    <row r="78" spans="2:16">
      <c r="B78" t="s">
        <v>26</v>
      </c>
      <c r="D78" t="s">
        <v>181</v>
      </c>
      <c r="F78" s="82">
        <f t="shared" si="6"/>
        <v>734557.8899999999</v>
      </c>
      <c r="G78" s="39">
        <v>0</v>
      </c>
      <c r="H78" s="39">
        <v>0</v>
      </c>
      <c r="I78" s="39">
        <v>0</v>
      </c>
      <c r="J78" s="39">
        <v>0</v>
      </c>
      <c r="K78" s="39">
        <v>734557.8899999999</v>
      </c>
      <c r="L78" s="39">
        <v>0</v>
      </c>
      <c r="M78" s="39">
        <v>0</v>
      </c>
      <c r="N78" s="39">
        <v>0</v>
      </c>
    </row>
    <row r="79" spans="2:16">
      <c r="B79" t="s">
        <v>27</v>
      </c>
      <c r="D79" t="s">
        <v>181</v>
      </c>
      <c r="F79" s="82">
        <f t="shared" si="6"/>
        <v>18223567.010000002</v>
      </c>
      <c r="G79" s="39">
        <v>0</v>
      </c>
      <c r="H79" s="39">
        <v>0</v>
      </c>
      <c r="I79" s="39">
        <v>0</v>
      </c>
      <c r="J79" s="39">
        <v>19157600</v>
      </c>
      <c r="K79" s="39">
        <v>-934032.99</v>
      </c>
      <c r="L79" s="39">
        <v>0</v>
      </c>
      <c r="M79" s="39">
        <v>0</v>
      </c>
      <c r="N79" s="39">
        <v>0</v>
      </c>
    </row>
    <row r="80" spans="2:16">
      <c r="B80" t="s">
        <v>28</v>
      </c>
      <c r="D80" t="s">
        <v>181</v>
      </c>
      <c r="F80" s="82">
        <f t="shared" si="6"/>
        <v>0</v>
      </c>
      <c r="G80" s="39">
        <v>0</v>
      </c>
      <c r="H80" s="39">
        <v>0</v>
      </c>
      <c r="I80" s="39">
        <v>0</v>
      </c>
      <c r="J80" s="39">
        <v>0</v>
      </c>
      <c r="K80" s="39">
        <v>0</v>
      </c>
      <c r="L80" s="39">
        <v>0</v>
      </c>
      <c r="M80" s="39">
        <v>0</v>
      </c>
      <c r="N80" s="39">
        <v>0</v>
      </c>
    </row>
    <row r="81" spans="2:14">
      <c r="B81" t="s">
        <v>29</v>
      </c>
      <c r="D81" t="s">
        <v>181</v>
      </c>
      <c r="F81" s="82">
        <f t="shared" si="6"/>
        <v>0</v>
      </c>
      <c r="G81" s="39">
        <v>0</v>
      </c>
      <c r="H81" s="39">
        <v>0</v>
      </c>
      <c r="I81" s="39">
        <v>0</v>
      </c>
      <c r="J81" s="39">
        <v>0</v>
      </c>
      <c r="K81" s="39">
        <v>0</v>
      </c>
      <c r="L81" s="39">
        <v>0</v>
      </c>
      <c r="M81" s="39">
        <v>0</v>
      </c>
      <c r="N81" s="39">
        <v>0</v>
      </c>
    </row>
    <row r="82" spans="2:14">
      <c r="F82" s="72"/>
      <c r="G82" s="36"/>
      <c r="H82" s="36"/>
      <c r="I82" s="36"/>
      <c r="J82" s="36"/>
      <c r="K82" s="36"/>
      <c r="L82" s="36"/>
      <c r="M82" s="36"/>
      <c r="N82" s="36"/>
    </row>
    <row r="83" spans="2:14">
      <c r="B83" t="s">
        <v>176</v>
      </c>
      <c r="D83" t="s">
        <v>181</v>
      </c>
      <c r="F83" s="84">
        <f t="shared" ref="F83:N83" si="7">SUM(F71:F81)</f>
        <v>73297872.800267249</v>
      </c>
      <c r="G83" s="84">
        <f t="shared" si="7"/>
        <v>77226.920000000013</v>
      </c>
      <c r="H83" s="84">
        <f t="shared" si="7"/>
        <v>990060.77446021501</v>
      </c>
      <c r="I83" s="84">
        <f t="shared" si="7"/>
        <v>256346.84500000006</v>
      </c>
      <c r="J83" s="84">
        <f t="shared" si="7"/>
        <v>43815752.192727275</v>
      </c>
      <c r="K83" s="84">
        <f t="shared" si="7"/>
        <v>16119662.760000071</v>
      </c>
      <c r="L83" s="84">
        <f t="shared" si="7"/>
        <v>35144</v>
      </c>
      <c r="M83" s="84">
        <f t="shared" si="7"/>
        <v>11356689.958079679</v>
      </c>
      <c r="N83" s="84">
        <f t="shared" si="7"/>
        <v>646989.35000000009</v>
      </c>
    </row>
    <row r="85" spans="2:14">
      <c r="B85" s="3"/>
    </row>
    <row r="86" spans="2:14">
      <c r="B86" s="3" t="s">
        <v>30</v>
      </c>
    </row>
    <row r="87" spans="2:14">
      <c r="B87" t="s">
        <v>19</v>
      </c>
      <c r="D87" t="s">
        <v>181</v>
      </c>
      <c r="F87" s="82">
        <f t="shared" ref="F87:F97" si="8">SUM(G87:N87)</f>
        <v>17230815.630000073</v>
      </c>
      <c r="G87" s="39">
        <v>0</v>
      </c>
      <c r="H87" s="39">
        <v>0</v>
      </c>
      <c r="I87" s="39">
        <v>11976.320000000007</v>
      </c>
      <c r="J87" s="39">
        <v>4499400</v>
      </c>
      <c r="K87" s="39">
        <v>11283587.790000072</v>
      </c>
      <c r="L87" s="39">
        <v>0</v>
      </c>
      <c r="M87" s="39">
        <v>1435851.52</v>
      </c>
      <c r="N87" s="39">
        <v>0</v>
      </c>
    </row>
    <row r="88" spans="2:14">
      <c r="B88" t="s">
        <v>20</v>
      </c>
      <c r="D88" t="s">
        <v>181</v>
      </c>
      <c r="F88" s="82">
        <f t="shared" si="8"/>
        <v>19999361.207658827</v>
      </c>
      <c r="G88" s="39">
        <v>74173</v>
      </c>
      <c r="H88" s="39">
        <v>0</v>
      </c>
      <c r="I88" s="39">
        <v>0</v>
      </c>
      <c r="J88" s="39">
        <v>9172300</v>
      </c>
      <c r="K88" s="39">
        <v>2826072.7199999997</v>
      </c>
      <c r="L88" s="39">
        <v>14380</v>
      </c>
      <c r="M88" s="39">
        <v>7329867.3800000008</v>
      </c>
      <c r="N88" s="39">
        <v>582568.10765882733</v>
      </c>
    </row>
    <row r="89" spans="2:14">
      <c r="B89" t="s">
        <v>21</v>
      </c>
      <c r="D89" t="s">
        <v>181</v>
      </c>
      <c r="F89" s="82">
        <f t="shared" si="8"/>
        <v>2201982.0265710661</v>
      </c>
      <c r="G89" s="39">
        <v>0</v>
      </c>
      <c r="H89" s="39">
        <v>185000</v>
      </c>
      <c r="I89" s="39">
        <v>0</v>
      </c>
      <c r="J89" s="898">
        <f>414510.438545455+'Aanpassing gegevens (sep 2014)'!H171</f>
        <v>362696.63372727309</v>
      </c>
      <c r="K89" s="39">
        <v>670961.17241379293</v>
      </c>
      <c r="L89" s="39">
        <v>0</v>
      </c>
      <c r="M89" s="39">
        <v>983324.2204300001</v>
      </c>
      <c r="N89" s="39">
        <v>0</v>
      </c>
    </row>
    <row r="90" spans="2:14">
      <c r="B90" t="s">
        <v>22</v>
      </c>
      <c r="D90" t="s">
        <v>181</v>
      </c>
      <c r="F90" s="82">
        <f t="shared" si="8"/>
        <v>1335781.385</v>
      </c>
      <c r="G90" s="39">
        <v>0</v>
      </c>
      <c r="H90" s="39">
        <v>0</v>
      </c>
      <c r="I90" s="39">
        <v>38481.385000000009</v>
      </c>
      <c r="J90" s="39">
        <v>1297300</v>
      </c>
      <c r="K90" s="39">
        <v>0</v>
      </c>
      <c r="L90" s="39">
        <v>0</v>
      </c>
      <c r="M90" s="39">
        <v>0</v>
      </c>
      <c r="N90" s="39">
        <v>0</v>
      </c>
    </row>
    <row r="91" spans="2:14">
      <c r="B91" t="s">
        <v>23</v>
      </c>
      <c r="D91" t="s">
        <v>181</v>
      </c>
      <c r="F91" s="82">
        <f t="shared" si="8"/>
        <v>1457579.34</v>
      </c>
      <c r="G91" s="39">
        <v>97243</v>
      </c>
      <c r="H91" s="39">
        <v>0</v>
      </c>
      <c r="I91" s="39">
        <v>192993.61000000004</v>
      </c>
      <c r="J91" s="39">
        <v>457300</v>
      </c>
      <c r="K91" s="39">
        <v>47491.35</v>
      </c>
      <c r="L91" s="39">
        <v>12266</v>
      </c>
      <c r="M91" s="39">
        <v>636546.09</v>
      </c>
      <c r="N91" s="39">
        <v>13739.29</v>
      </c>
    </row>
    <row r="92" spans="2:14">
      <c r="B92" t="s">
        <v>24</v>
      </c>
      <c r="D92" t="s">
        <v>181</v>
      </c>
      <c r="F92" s="82">
        <f t="shared" si="8"/>
        <v>611195.53</v>
      </c>
      <c r="G92" s="39">
        <v>0</v>
      </c>
      <c r="H92" s="39">
        <v>0</v>
      </c>
      <c r="I92" s="39">
        <v>12895.53</v>
      </c>
      <c r="J92" s="39">
        <v>598300</v>
      </c>
      <c r="K92" s="39">
        <v>0</v>
      </c>
      <c r="L92" s="39">
        <v>0</v>
      </c>
      <c r="M92" s="39">
        <v>0</v>
      </c>
      <c r="N92" s="39">
        <v>0</v>
      </c>
    </row>
    <row r="93" spans="2:14">
      <c r="B93" t="s">
        <v>25</v>
      </c>
      <c r="D93" t="s">
        <v>181</v>
      </c>
      <c r="F93" s="82">
        <f t="shared" si="8"/>
        <v>135290.01412384794</v>
      </c>
      <c r="G93" s="39">
        <v>0</v>
      </c>
      <c r="H93" s="39">
        <v>0</v>
      </c>
      <c r="I93" s="39">
        <v>0</v>
      </c>
      <c r="J93" s="39">
        <v>0</v>
      </c>
      <c r="K93" s="39">
        <v>0</v>
      </c>
      <c r="L93" s="39">
        <v>0</v>
      </c>
      <c r="M93" s="39">
        <v>135290.01412384794</v>
      </c>
      <c r="N93" s="39">
        <v>0</v>
      </c>
    </row>
    <row r="94" spans="2:14">
      <c r="B94" t="s">
        <v>26</v>
      </c>
      <c r="D94" t="s">
        <v>181</v>
      </c>
      <c r="F94" s="82">
        <f t="shared" si="8"/>
        <v>734557.8899999999</v>
      </c>
      <c r="G94" s="39">
        <v>0</v>
      </c>
      <c r="H94" s="39">
        <v>0</v>
      </c>
      <c r="I94" s="39">
        <v>0</v>
      </c>
      <c r="J94" s="39">
        <v>0</v>
      </c>
      <c r="K94" s="39">
        <v>734557.8899999999</v>
      </c>
      <c r="L94" s="39">
        <v>0</v>
      </c>
      <c r="M94" s="39">
        <v>0</v>
      </c>
      <c r="N94" s="39">
        <v>0</v>
      </c>
    </row>
    <row r="95" spans="2:14">
      <c r="B95" t="s">
        <v>27</v>
      </c>
      <c r="D95" t="s">
        <v>181</v>
      </c>
      <c r="F95" s="82">
        <f t="shared" si="8"/>
        <v>18223567.010000002</v>
      </c>
      <c r="G95" s="39">
        <v>0</v>
      </c>
      <c r="H95" s="39">
        <v>0</v>
      </c>
      <c r="I95" s="39">
        <v>0</v>
      </c>
      <c r="J95" s="39">
        <v>19157600</v>
      </c>
      <c r="K95" s="39">
        <v>-934032.99</v>
      </c>
      <c r="L95" s="39">
        <v>0</v>
      </c>
      <c r="M95" s="39">
        <v>0</v>
      </c>
      <c r="N95" s="39">
        <v>0</v>
      </c>
    </row>
    <row r="96" spans="2:14">
      <c r="B96" t="s">
        <v>28</v>
      </c>
      <c r="D96" t="s">
        <v>181</v>
      </c>
      <c r="F96" s="82">
        <f t="shared" si="8"/>
        <v>0</v>
      </c>
      <c r="G96" s="39">
        <v>0</v>
      </c>
      <c r="H96" s="39">
        <v>0</v>
      </c>
      <c r="I96" s="39">
        <v>0</v>
      </c>
      <c r="J96" s="39">
        <v>0</v>
      </c>
      <c r="K96" s="39">
        <v>0</v>
      </c>
      <c r="L96" s="39">
        <v>0</v>
      </c>
      <c r="M96" s="39">
        <v>0</v>
      </c>
      <c r="N96" s="39">
        <v>0</v>
      </c>
    </row>
    <row r="97" spans="2:14">
      <c r="B97" t="s">
        <v>29</v>
      </c>
      <c r="D97" t="s">
        <v>181</v>
      </c>
      <c r="F97" s="82">
        <f t="shared" si="8"/>
        <v>0</v>
      </c>
      <c r="G97" s="39">
        <v>0</v>
      </c>
      <c r="H97" s="39">
        <v>0</v>
      </c>
      <c r="I97" s="39">
        <v>0</v>
      </c>
      <c r="J97" s="39">
        <v>0</v>
      </c>
      <c r="K97" s="39">
        <v>0</v>
      </c>
      <c r="L97" s="39">
        <v>0</v>
      </c>
      <c r="M97" s="39">
        <v>0</v>
      </c>
      <c r="N97" s="39">
        <v>0</v>
      </c>
    </row>
    <row r="98" spans="2:14">
      <c r="F98" s="72"/>
      <c r="G98" s="36"/>
      <c r="H98" s="36"/>
      <c r="I98" s="36"/>
      <c r="J98" s="36"/>
      <c r="K98" s="36"/>
      <c r="L98" s="36"/>
      <c r="M98" s="36"/>
      <c r="N98" s="36"/>
    </row>
    <row r="99" spans="2:14">
      <c r="B99" t="s">
        <v>176</v>
      </c>
      <c r="D99" t="s">
        <v>181</v>
      </c>
      <c r="F99" s="84">
        <f t="shared" ref="F99:N99" si="9">SUM(F87:F97)</f>
        <v>61930130.03335382</v>
      </c>
      <c r="G99" s="84">
        <f t="shared" si="9"/>
        <v>171416</v>
      </c>
      <c r="H99" s="84">
        <f t="shared" si="9"/>
        <v>185000</v>
      </c>
      <c r="I99" s="84">
        <f t="shared" si="9"/>
        <v>256346.84500000006</v>
      </c>
      <c r="J99" s="84">
        <f t="shared" si="9"/>
        <v>35544896.633727275</v>
      </c>
      <c r="K99" s="84">
        <f t="shared" si="9"/>
        <v>14628637.932413865</v>
      </c>
      <c r="L99" s="84">
        <f t="shared" si="9"/>
        <v>26646</v>
      </c>
      <c r="M99" s="84">
        <f t="shared" si="9"/>
        <v>10520879.224553848</v>
      </c>
      <c r="N99" s="84">
        <f t="shared" si="9"/>
        <v>596307.39765882737</v>
      </c>
    </row>
    <row r="102" spans="2:14">
      <c r="B102" s="3" t="s">
        <v>31</v>
      </c>
    </row>
    <row r="103" spans="2:14">
      <c r="B103" t="s">
        <v>32</v>
      </c>
      <c r="D103" t="s">
        <v>181</v>
      </c>
      <c r="F103" s="82">
        <f t="shared" ref="F103:F112" si="10">SUM(G103:N103)</f>
        <v>16208299.198516862</v>
      </c>
      <c r="G103" s="39">
        <v>182546.03000000003</v>
      </c>
      <c r="H103" s="39">
        <v>130341.71949999999</v>
      </c>
      <c r="I103" s="39">
        <v>333599.51833500003</v>
      </c>
      <c r="J103" s="39">
        <v>7635965.8700000001</v>
      </c>
      <c r="K103" s="39">
        <v>1417348.22</v>
      </c>
      <c r="L103" s="39">
        <v>-186</v>
      </c>
      <c r="M103" s="39">
        <v>6498680.535160766</v>
      </c>
      <c r="N103" s="39">
        <v>10003.305521095892</v>
      </c>
    </row>
    <row r="104" spans="2:14">
      <c r="B104" t="s">
        <v>33</v>
      </c>
      <c r="D104" t="s">
        <v>181</v>
      </c>
      <c r="F104" s="82">
        <f t="shared" si="10"/>
        <v>1896423.1867899999</v>
      </c>
      <c r="G104" s="39">
        <v>10242.800000000001</v>
      </c>
      <c r="H104" s="39">
        <v>6860.0905000000002</v>
      </c>
      <c r="I104" s="39">
        <v>8492.9062899999954</v>
      </c>
      <c r="J104" s="39">
        <v>670578.56999999995</v>
      </c>
      <c r="K104" s="39">
        <v>186679.82</v>
      </c>
      <c r="L104" s="39">
        <v>0</v>
      </c>
      <c r="M104" s="39">
        <v>1013569</v>
      </c>
      <c r="N104" s="39">
        <v>0</v>
      </c>
    </row>
    <row r="105" spans="2:14">
      <c r="B105" t="s">
        <v>34</v>
      </c>
      <c r="D105" t="s">
        <v>181</v>
      </c>
      <c r="F105" s="82">
        <f t="shared" si="10"/>
        <v>2358948.040726251</v>
      </c>
      <c r="G105" s="39">
        <v>45190.519999999982</v>
      </c>
      <c r="H105" s="39">
        <v>0</v>
      </c>
      <c r="I105" s="39">
        <v>163605.05000000002</v>
      </c>
      <c r="J105" s="39">
        <v>525900</v>
      </c>
      <c r="K105" s="39">
        <v>47601.185887017498</v>
      </c>
      <c r="L105" s="39">
        <v>0</v>
      </c>
      <c r="M105" s="39">
        <v>1572091.2848392332</v>
      </c>
      <c r="N105" s="39">
        <v>4560</v>
      </c>
    </row>
    <row r="106" spans="2:14">
      <c r="B106" t="s">
        <v>35</v>
      </c>
      <c r="D106" t="s">
        <v>181</v>
      </c>
      <c r="F106" s="82">
        <f t="shared" si="10"/>
        <v>8976925.8623750806</v>
      </c>
      <c r="G106" s="39">
        <v>40279.240000000027</v>
      </c>
      <c r="H106" s="39">
        <v>0</v>
      </c>
      <c r="I106" s="39">
        <v>156865.29999999999</v>
      </c>
      <c r="J106" s="39">
        <v>3900000</v>
      </c>
      <c r="K106" s="39">
        <v>3044954.45</v>
      </c>
      <c r="L106" s="39">
        <v>26583</v>
      </c>
      <c r="M106" s="39">
        <v>1753290.3723750794</v>
      </c>
      <c r="N106" s="39">
        <v>54953.5</v>
      </c>
    </row>
    <row r="107" spans="2:14">
      <c r="B107" t="s">
        <v>36</v>
      </c>
      <c r="D107" t="s">
        <v>181</v>
      </c>
      <c r="F107" s="82">
        <f t="shared" si="10"/>
        <v>9137878.1766609065</v>
      </c>
      <c r="G107" s="39">
        <v>0</v>
      </c>
      <c r="H107" s="39">
        <v>-784.55000000000007</v>
      </c>
      <c r="I107" s="39">
        <v>27052.545575069093</v>
      </c>
      <c r="J107" s="39">
        <v>0</v>
      </c>
      <c r="K107" s="39">
        <v>6942717.8586428463</v>
      </c>
      <c r="L107" s="39">
        <v>38072</v>
      </c>
      <c r="M107" s="39">
        <v>2130820.3224429907</v>
      </c>
      <c r="N107" s="39">
        <v>0</v>
      </c>
    </row>
    <row r="108" spans="2:14">
      <c r="B108" t="s">
        <v>25</v>
      </c>
      <c r="D108" t="s">
        <v>181</v>
      </c>
      <c r="F108" s="82">
        <f t="shared" si="10"/>
        <v>96626.445370517948</v>
      </c>
      <c r="G108" s="39">
        <v>0</v>
      </c>
      <c r="H108" s="39">
        <v>0</v>
      </c>
      <c r="I108" s="39">
        <v>0</v>
      </c>
      <c r="J108" s="39">
        <v>0</v>
      </c>
      <c r="K108" s="39">
        <v>93177.79684173502</v>
      </c>
      <c r="L108" s="39">
        <v>1093</v>
      </c>
      <c r="M108" s="39">
        <v>0</v>
      </c>
      <c r="N108" s="39">
        <v>2355.64852878293</v>
      </c>
    </row>
    <row r="109" spans="2:14">
      <c r="B109" t="s">
        <v>26</v>
      </c>
      <c r="D109" t="s">
        <v>181</v>
      </c>
      <c r="F109" s="82">
        <f t="shared" si="10"/>
        <v>168782.06</v>
      </c>
      <c r="G109" s="39">
        <v>0</v>
      </c>
      <c r="H109" s="39">
        <v>0</v>
      </c>
      <c r="I109" s="39">
        <v>0</v>
      </c>
      <c r="J109" s="39">
        <v>0</v>
      </c>
      <c r="K109" s="39">
        <v>0</v>
      </c>
      <c r="L109" s="39">
        <v>0</v>
      </c>
      <c r="M109" s="39">
        <v>0</v>
      </c>
      <c r="N109" s="39">
        <v>168782.06</v>
      </c>
    </row>
    <row r="110" spans="2:14">
      <c r="B110" t="s">
        <v>27</v>
      </c>
      <c r="D110" t="s">
        <v>181</v>
      </c>
      <c r="F110" s="82">
        <f t="shared" si="10"/>
        <v>0</v>
      </c>
      <c r="G110" s="39">
        <v>0</v>
      </c>
      <c r="H110" s="39">
        <v>0</v>
      </c>
      <c r="I110" s="39">
        <v>0</v>
      </c>
      <c r="J110" s="39">
        <v>0</v>
      </c>
      <c r="K110" s="39">
        <v>0</v>
      </c>
      <c r="L110" s="39">
        <v>0</v>
      </c>
      <c r="M110" s="39">
        <v>0</v>
      </c>
      <c r="N110" s="39">
        <v>0</v>
      </c>
    </row>
    <row r="111" spans="2:14">
      <c r="B111" t="s">
        <v>28</v>
      </c>
      <c r="D111" t="s">
        <v>181</v>
      </c>
      <c r="F111" s="82">
        <f t="shared" si="10"/>
        <v>0</v>
      </c>
      <c r="G111" s="39">
        <v>0</v>
      </c>
      <c r="H111" s="39">
        <v>0</v>
      </c>
      <c r="I111" s="39">
        <v>0</v>
      </c>
      <c r="J111" s="39">
        <v>0</v>
      </c>
      <c r="K111" s="39">
        <v>0</v>
      </c>
      <c r="L111" s="39">
        <v>0</v>
      </c>
      <c r="M111" s="39">
        <v>0</v>
      </c>
      <c r="N111" s="39">
        <v>0</v>
      </c>
    </row>
    <row r="112" spans="2:14">
      <c r="B112" t="s">
        <v>29</v>
      </c>
      <c r="D112" t="s">
        <v>181</v>
      </c>
      <c r="F112" s="82">
        <f t="shared" si="10"/>
        <v>0</v>
      </c>
      <c r="G112" s="39">
        <v>0</v>
      </c>
      <c r="H112" s="39">
        <v>0</v>
      </c>
      <c r="I112" s="39">
        <v>0</v>
      </c>
      <c r="J112" s="39">
        <v>0</v>
      </c>
      <c r="K112" s="39">
        <v>0</v>
      </c>
      <c r="L112" s="39">
        <v>0</v>
      </c>
      <c r="M112" s="39">
        <v>0</v>
      </c>
      <c r="N112" s="39">
        <v>0</v>
      </c>
    </row>
    <row r="113" spans="2:14">
      <c r="F113" s="72"/>
      <c r="G113" s="36"/>
      <c r="H113" s="36"/>
      <c r="I113" s="36"/>
      <c r="J113" s="36"/>
      <c r="K113" s="36"/>
      <c r="L113" s="36"/>
      <c r="M113" s="36"/>
      <c r="N113" s="36"/>
    </row>
    <row r="114" spans="2:14">
      <c r="B114" t="s">
        <v>176</v>
      </c>
      <c r="D114" t="s">
        <v>181</v>
      </c>
      <c r="F114" s="84">
        <f t="shared" ref="F114:N114" si="11">SUM(F103:F112)</f>
        <v>38843882.97043962</v>
      </c>
      <c r="G114" s="84">
        <f t="shared" si="11"/>
        <v>278258.59000000003</v>
      </c>
      <c r="H114" s="84">
        <f t="shared" si="11"/>
        <v>136417.26</v>
      </c>
      <c r="I114" s="84">
        <f t="shared" si="11"/>
        <v>689615.32020006923</v>
      </c>
      <c r="J114" s="84">
        <f t="shared" si="11"/>
        <v>12732444.440000001</v>
      </c>
      <c r="K114" s="84">
        <f t="shared" si="11"/>
        <v>11732479.3313716</v>
      </c>
      <c r="L114" s="84">
        <f t="shared" si="11"/>
        <v>65562</v>
      </c>
      <c r="M114" s="84">
        <f t="shared" si="11"/>
        <v>12968451.514818069</v>
      </c>
      <c r="N114" s="84">
        <f t="shared" si="11"/>
        <v>240654.51404987881</v>
      </c>
    </row>
    <row r="116" spans="2:14">
      <c r="C116" s="27"/>
    </row>
    <row r="117" spans="2:14">
      <c r="B117" s="3" t="s">
        <v>460</v>
      </c>
      <c r="C117" s="27"/>
    </row>
    <row r="118" spans="2:14">
      <c r="B118" s="50" t="s">
        <v>461</v>
      </c>
      <c r="C118" s="27"/>
      <c r="D118" t="s">
        <v>181</v>
      </c>
      <c r="F118" s="82">
        <f>SUM(G118:N118)</f>
        <v>7646690</v>
      </c>
      <c r="G118" s="39">
        <v>23718</v>
      </c>
      <c r="H118" s="39">
        <v>0</v>
      </c>
      <c r="I118" s="39">
        <v>162000</v>
      </c>
      <c r="J118" s="39">
        <v>2700000</v>
      </c>
      <c r="K118" s="39">
        <v>453551</v>
      </c>
      <c r="L118" s="39">
        <v>0</v>
      </c>
      <c r="M118" s="39">
        <v>4300000</v>
      </c>
      <c r="N118" s="39">
        <v>7421</v>
      </c>
    </row>
    <row r="121" spans="2:14">
      <c r="B121" s="3" t="s">
        <v>76</v>
      </c>
    </row>
    <row r="122" spans="2:14">
      <c r="B122" t="s">
        <v>77</v>
      </c>
      <c r="D122" t="s">
        <v>181</v>
      </c>
      <c r="F122" s="82">
        <f>SUM(G122:N122)</f>
        <v>962000</v>
      </c>
      <c r="G122" s="39"/>
      <c r="H122" s="39"/>
      <c r="I122" s="39"/>
      <c r="J122" s="39"/>
      <c r="K122" s="39"/>
      <c r="L122" s="39"/>
      <c r="M122" s="39"/>
      <c r="N122" s="160">
        <v>962000</v>
      </c>
    </row>
    <row r="124" spans="2:14">
      <c r="B124" s="81"/>
    </row>
    <row r="125" spans="2:14" s="2" customFormat="1">
      <c r="B125" s="2" t="s">
        <v>38</v>
      </c>
      <c r="F125" s="48"/>
    </row>
    <row r="127" spans="2:14">
      <c r="B127" s="3"/>
    </row>
    <row r="128" spans="2:14">
      <c r="B128" s="3" t="s">
        <v>18</v>
      </c>
    </row>
    <row r="129" spans="2:16">
      <c r="B129" t="s">
        <v>19</v>
      </c>
      <c r="D129" t="s">
        <v>182</v>
      </c>
      <c r="F129" s="82">
        <f t="shared" ref="F129:F139" si="12">SUM(G129:N129)</f>
        <v>16105033.990376905</v>
      </c>
      <c r="G129" s="39">
        <v>0</v>
      </c>
      <c r="H129" s="39">
        <v>0</v>
      </c>
      <c r="I129" s="39">
        <v>386224.53</v>
      </c>
      <c r="J129" s="39">
        <v>5370700</v>
      </c>
      <c r="K129" s="39">
        <v>9800075.680000253</v>
      </c>
      <c r="L129" s="39">
        <v>0</v>
      </c>
      <c r="M129" s="39">
        <v>548033.78037664969</v>
      </c>
      <c r="N129" s="39">
        <v>0</v>
      </c>
      <c r="P129" t="s">
        <v>488</v>
      </c>
    </row>
    <row r="130" spans="2:16">
      <c r="B130" t="s">
        <v>20</v>
      </c>
      <c r="D130" t="s">
        <v>182</v>
      </c>
      <c r="F130" s="82">
        <f t="shared" si="12"/>
        <v>23136059.430430487</v>
      </c>
      <c r="G130" s="39">
        <v>103349.15</v>
      </c>
      <c r="H130" s="39">
        <v>0</v>
      </c>
      <c r="I130" s="39">
        <v>0</v>
      </c>
      <c r="J130" s="39">
        <v>13347573.539999999</v>
      </c>
      <c r="K130" s="39">
        <v>4574980.9999999972</v>
      </c>
      <c r="L130" s="39">
        <v>9972</v>
      </c>
      <c r="M130" s="39">
        <v>4582257.7404304873</v>
      </c>
      <c r="N130" s="39">
        <v>517926</v>
      </c>
    </row>
    <row r="131" spans="2:16">
      <c r="B131" t="s">
        <v>21</v>
      </c>
      <c r="D131" t="s">
        <v>182</v>
      </c>
      <c r="F131" s="82">
        <f t="shared" si="12"/>
        <v>12426018.054695355</v>
      </c>
      <c r="G131" s="39">
        <v>0</v>
      </c>
      <c r="H131" s="39">
        <v>1034779.4314411255</v>
      </c>
      <c r="I131" s="39">
        <v>0</v>
      </c>
      <c r="J131" s="39">
        <v>2611247.5754545499</v>
      </c>
      <c r="K131" s="39">
        <v>3815240.7096178606</v>
      </c>
      <c r="L131" s="39">
        <v>0</v>
      </c>
      <c r="M131" s="39">
        <v>4964750.3381818188</v>
      </c>
      <c r="N131" s="39">
        <v>0</v>
      </c>
    </row>
    <row r="132" spans="2:16">
      <c r="B132" t="s">
        <v>22</v>
      </c>
      <c r="D132" t="s">
        <v>182</v>
      </c>
      <c r="F132" s="82">
        <f t="shared" si="12"/>
        <v>2765033.99</v>
      </c>
      <c r="G132" s="39">
        <v>0</v>
      </c>
      <c r="H132" s="39">
        <v>0</v>
      </c>
      <c r="I132" s="39">
        <v>28033.99</v>
      </c>
      <c r="J132" s="39">
        <v>2737000</v>
      </c>
      <c r="K132" s="39">
        <v>0</v>
      </c>
      <c r="L132" s="39">
        <v>0</v>
      </c>
      <c r="M132" s="39">
        <v>0</v>
      </c>
      <c r="N132" s="39">
        <v>0</v>
      </c>
    </row>
    <row r="133" spans="2:16">
      <c r="B133" t="s">
        <v>23</v>
      </c>
      <c r="D133" t="s">
        <v>182</v>
      </c>
      <c r="F133" s="82">
        <f t="shared" si="12"/>
        <v>1304603.58</v>
      </c>
      <c r="G133" s="39">
        <v>36401</v>
      </c>
      <c r="H133" s="39">
        <v>0</v>
      </c>
      <c r="I133" s="39">
        <v>153092.74</v>
      </c>
      <c r="J133" s="39">
        <v>415000</v>
      </c>
      <c r="K133" s="39">
        <v>71275</v>
      </c>
      <c r="L133" s="39">
        <v>18533</v>
      </c>
      <c r="M133" s="39">
        <v>593712.88</v>
      </c>
      <c r="N133" s="39">
        <v>16588.96</v>
      </c>
    </row>
    <row r="134" spans="2:16">
      <c r="B134" t="s">
        <v>24</v>
      </c>
      <c r="D134" t="s">
        <v>182</v>
      </c>
      <c r="F134" s="82">
        <f t="shared" si="12"/>
        <v>874641.91</v>
      </c>
      <c r="G134" s="39">
        <v>0</v>
      </c>
      <c r="H134" s="39">
        <v>0</v>
      </c>
      <c r="I134" s="39">
        <v>23677.91</v>
      </c>
      <c r="J134" s="39">
        <v>848000</v>
      </c>
      <c r="K134" s="39">
        <v>0</v>
      </c>
      <c r="L134" s="39">
        <v>2964</v>
      </c>
      <c r="M134" s="39">
        <v>0</v>
      </c>
      <c r="N134" s="39">
        <v>0</v>
      </c>
    </row>
    <row r="135" spans="2:16">
      <c r="B135" t="s">
        <v>25</v>
      </c>
      <c r="D135" t="s">
        <v>182</v>
      </c>
      <c r="F135" s="82">
        <f t="shared" si="12"/>
        <v>-852394.66281062621</v>
      </c>
      <c r="G135" s="39">
        <v>0</v>
      </c>
      <c r="H135" s="39">
        <v>0</v>
      </c>
      <c r="I135" s="39">
        <v>0</v>
      </c>
      <c r="J135" s="39">
        <v>0</v>
      </c>
      <c r="K135" s="39">
        <v>-1112198.8928106262</v>
      </c>
      <c r="L135" s="39">
        <v>0</v>
      </c>
      <c r="M135" s="39">
        <v>259804.22999999998</v>
      </c>
      <c r="N135" s="39">
        <v>0</v>
      </c>
    </row>
    <row r="136" spans="2:16">
      <c r="B136" t="s">
        <v>26</v>
      </c>
      <c r="D136" t="s">
        <v>182</v>
      </c>
      <c r="F136" s="82">
        <f t="shared" si="12"/>
        <v>-163417.23999999976</v>
      </c>
      <c r="G136" s="39">
        <v>0</v>
      </c>
      <c r="H136" s="39">
        <v>0</v>
      </c>
      <c r="I136" s="39">
        <v>0</v>
      </c>
      <c r="J136" s="39">
        <v>-965455.74</v>
      </c>
      <c r="K136" s="39">
        <v>725848.32000000007</v>
      </c>
      <c r="L136" s="39">
        <v>0</v>
      </c>
      <c r="M136" s="39">
        <v>76190.180000000168</v>
      </c>
      <c r="N136" s="39">
        <v>0</v>
      </c>
    </row>
    <row r="137" spans="2:16">
      <c r="B137" t="s">
        <v>27</v>
      </c>
      <c r="D137" t="s">
        <v>182</v>
      </c>
      <c r="F137" s="82">
        <f t="shared" si="12"/>
        <v>11580758.473840151</v>
      </c>
      <c r="G137" s="39">
        <v>0</v>
      </c>
      <c r="H137" s="39">
        <v>0</v>
      </c>
      <c r="I137" s="39">
        <v>0</v>
      </c>
      <c r="J137" s="39">
        <v>12575331.273840152</v>
      </c>
      <c r="K137" s="39">
        <v>-994572.80000000005</v>
      </c>
      <c r="L137" s="39">
        <v>0</v>
      </c>
      <c r="M137" s="39">
        <v>0</v>
      </c>
      <c r="N137" s="39">
        <v>0</v>
      </c>
    </row>
    <row r="138" spans="2:16">
      <c r="B138" t="s">
        <v>28</v>
      </c>
      <c r="D138" t="s">
        <v>182</v>
      </c>
      <c r="F138" s="82">
        <f t="shared" si="12"/>
        <v>0</v>
      </c>
      <c r="G138" s="39">
        <v>0</v>
      </c>
      <c r="H138" s="39">
        <v>0</v>
      </c>
      <c r="I138" s="39">
        <v>0</v>
      </c>
      <c r="J138" s="39">
        <v>0</v>
      </c>
      <c r="K138" s="39">
        <v>0</v>
      </c>
      <c r="L138" s="39">
        <v>0</v>
      </c>
      <c r="M138" s="39">
        <v>0</v>
      </c>
      <c r="N138" s="39">
        <v>0</v>
      </c>
    </row>
    <row r="139" spans="2:16">
      <c r="B139" t="s">
        <v>29</v>
      </c>
      <c r="D139" t="s">
        <v>182</v>
      </c>
      <c r="F139" s="82">
        <f t="shared" si="12"/>
        <v>0</v>
      </c>
      <c r="G139" s="39">
        <v>0</v>
      </c>
      <c r="H139" s="39">
        <v>0</v>
      </c>
      <c r="I139" s="39">
        <v>0</v>
      </c>
      <c r="J139" s="39">
        <v>0</v>
      </c>
      <c r="K139" s="39">
        <v>0</v>
      </c>
      <c r="L139" s="39">
        <v>0</v>
      </c>
      <c r="M139" s="39">
        <v>0</v>
      </c>
      <c r="N139" s="39">
        <v>0</v>
      </c>
    </row>
    <row r="140" spans="2:16">
      <c r="F140" s="72"/>
      <c r="G140" s="36"/>
      <c r="H140" s="36"/>
      <c r="I140" s="36"/>
      <c r="J140" s="36"/>
      <c r="K140" s="36"/>
      <c r="L140" s="36"/>
      <c r="M140" s="36"/>
      <c r="N140" s="36"/>
    </row>
    <row r="141" spans="2:16">
      <c r="B141" t="s">
        <v>176</v>
      </c>
      <c r="D141" t="s">
        <v>182</v>
      </c>
      <c r="F141" s="84">
        <f t="shared" ref="F141:N141" si="13">SUM(F129:F139)</f>
        <v>67176337.526532263</v>
      </c>
      <c r="G141" s="84">
        <f t="shared" si="13"/>
        <v>139750.15</v>
      </c>
      <c r="H141" s="84">
        <f t="shared" si="13"/>
        <v>1034779.4314411255</v>
      </c>
      <c r="I141" s="84">
        <f t="shared" si="13"/>
        <v>591029.17000000004</v>
      </c>
      <c r="J141" s="84">
        <f t="shared" si="13"/>
        <v>36939396.649294704</v>
      </c>
      <c r="K141" s="84">
        <f t="shared" si="13"/>
        <v>16880649.016807482</v>
      </c>
      <c r="L141" s="84">
        <f t="shared" si="13"/>
        <v>31469</v>
      </c>
      <c r="M141" s="84">
        <f t="shared" si="13"/>
        <v>11024749.148988957</v>
      </c>
      <c r="N141" s="84">
        <f t="shared" si="13"/>
        <v>534514.96</v>
      </c>
    </row>
    <row r="143" spans="2:16">
      <c r="B143" s="3"/>
    </row>
    <row r="144" spans="2:16">
      <c r="B144" s="3" t="s">
        <v>30</v>
      </c>
    </row>
    <row r="145" spans="2:14">
      <c r="B145" t="s">
        <v>19</v>
      </c>
      <c r="D145" t="s">
        <v>182</v>
      </c>
      <c r="F145" s="82">
        <f t="shared" ref="F145:F155" si="14">SUM(G145:N145)</f>
        <v>17446800.440000255</v>
      </c>
      <c r="G145" s="39">
        <v>0</v>
      </c>
      <c r="H145" s="39">
        <v>0</v>
      </c>
      <c r="I145" s="39">
        <v>386224.53</v>
      </c>
      <c r="J145" s="39">
        <v>5370700</v>
      </c>
      <c r="K145" s="39">
        <v>9800075.680000253</v>
      </c>
      <c r="L145" s="39">
        <v>0</v>
      </c>
      <c r="M145" s="39">
        <v>1889800.2299999997</v>
      </c>
      <c r="N145" s="39">
        <v>0</v>
      </c>
    </row>
    <row r="146" spans="2:14">
      <c r="B146" t="s">
        <v>20</v>
      </c>
      <c r="D146" t="s">
        <v>182</v>
      </c>
      <c r="F146" s="82">
        <f t="shared" si="14"/>
        <v>23667958.299999997</v>
      </c>
      <c r="G146" s="39">
        <v>47474</v>
      </c>
      <c r="H146" s="39">
        <v>0</v>
      </c>
      <c r="I146" s="39">
        <v>0</v>
      </c>
      <c r="J146" s="39">
        <v>13347573.539999999</v>
      </c>
      <c r="K146" s="39">
        <v>4574980.9999999972</v>
      </c>
      <c r="L146" s="39">
        <v>9972</v>
      </c>
      <c r="M146" s="39">
        <v>5211483.76</v>
      </c>
      <c r="N146" s="39">
        <v>476474</v>
      </c>
    </row>
    <row r="147" spans="2:14">
      <c r="B147" t="s">
        <v>21</v>
      </c>
      <c r="D147" t="s">
        <v>182</v>
      </c>
      <c r="F147" s="82">
        <f t="shared" si="14"/>
        <v>3176111.0839453242</v>
      </c>
      <c r="G147" s="39">
        <v>0</v>
      </c>
      <c r="H147" s="39">
        <v>190000</v>
      </c>
      <c r="I147" s="39">
        <v>0</v>
      </c>
      <c r="J147" s="898">
        <f>522249.51509091+'Aanpassing gegevens (sep 2014)'!H172</f>
        <v>456968.32570454618</v>
      </c>
      <c r="K147" s="39">
        <v>1184040.2202262324</v>
      </c>
      <c r="L147" s="39">
        <v>0</v>
      </c>
      <c r="M147" s="39">
        <v>1345102.5380145456</v>
      </c>
      <c r="N147" s="39">
        <v>0</v>
      </c>
    </row>
    <row r="148" spans="2:14">
      <c r="B148" t="s">
        <v>22</v>
      </c>
      <c r="D148" t="s">
        <v>182</v>
      </c>
      <c r="F148" s="82">
        <f t="shared" si="14"/>
        <v>2765033.99</v>
      </c>
      <c r="G148" s="39">
        <v>0</v>
      </c>
      <c r="H148" s="39">
        <v>0</v>
      </c>
      <c r="I148" s="39">
        <v>28033.99</v>
      </c>
      <c r="J148" s="39">
        <v>2737000</v>
      </c>
      <c r="K148" s="39">
        <v>0</v>
      </c>
      <c r="L148" s="39">
        <v>0</v>
      </c>
      <c r="M148" s="39">
        <v>0</v>
      </c>
      <c r="N148" s="39">
        <v>0</v>
      </c>
    </row>
    <row r="149" spans="2:14">
      <c r="B149" t="s">
        <v>23</v>
      </c>
      <c r="D149" t="s">
        <v>182</v>
      </c>
      <c r="F149" s="82">
        <f t="shared" si="14"/>
        <v>1368985.58</v>
      </c>
      <c r="G149" s="39">
        <v>100783</v>
      </c>
      <c r="H149" s="39">
        <v>0</v>
      </c>
      <c r="I149" s="39">
        <v>153092.74</v>
      </c>
      <c r="J149" s="39">
        <v>415000</v>
      </c>
      <c r="K149" s="39">
        <v>71275</v>
      </c>
      <c r="L149" s="39">
        <v>18533</v>
      </c>
      <c r="M149" s="39">
        <v>593712.88</v>
      </c>
      <c r="N149" s="39">
        <v>16588.96</v>
      </c>
    </row>
    <row r="150" spans="2:14">
      <c r="B150" t="s">
        <v>24</v>
      </c>
      <c r="D150" t="s">
        <v>182</v>
      </c>
      <c r="F150" s="82">
        <f t="shared" si="14"/>
        <v>871677.91</v>
      </c>
      <c r="G150" s="39">
        <v>0</v>
      </c>
      <c r="H150" s="39">
        <v>0</v>
      </c>
      <c r="I150" s="39">
        <v>23677.91</v>
      </c>
      <c r="J150" s="39">
        <v>848000</v>
      </c>
      <c r="K150" s="39">
        <v>0</v>
      </c>
      <c r="L150" s="39">
        <v>0</v>
      </c>
      <c r="M150" s="39">
        <v>0</v>
      </c>
      <c r="N150" s="39">
        <v>0</v>
      </c>
    </row>
    <row r="151" spans="2:14">
      <c r="B151" t="s">
        <v>25</v>
      </c>
      <c r="D151" t="s">
        <v>182</v>
      </c>
      <c r="F151" s="82">
        <f t="shared" si="14"/>
        <v>72225.575939999995</v>
      </c>
      <c r="G151" s="39">
        <v>0</v>
      </c>
      <c r="H151" s="39">
        <v>0</v>
      </c>
      <c r="I151" s="39">
        <v>0</v>
      </c>
      <c r="J151" s="39">
        <v>0</v>
      </c>
      <c r="K151" s="39">
        <v>0</v>
      </c>
      <c r="L151" s="39">
        <v>0</v>
      </c>
      <c r="M151" s="39">
        <v>72225.575939999995</v>
      </c>
      <c r="N151" s="39">
        <v>0</v>
      </c>
    </row>
    <row r="152" spans="2:14">
      <c r="B152" t="s">
        <v>26</v>
      </c>
      <c r="D152" t="s">
        <v>182</v>
      </c>
      <c r="F152" s="82">
        <f t="shared" si="14"/>
        <v>-239607.41999999993</v>
      </c>
      <c r="G152" s="39">
        <v>0</v>
      </c>
      <c r="H152" s="39">
        <v>0</v>
      </c>
      <c r="I152" s="39">
        <v>0</v>
      </c>
      <c r="J152" s="39">
        <v>-965455.74</v>
      </c>
      <c r="K152" s="39">
        <v>725848.32000000007</v>
      </c>
      <c r="L152" s="39">
        <v>0</v>
      </c>
      <c r="M152" s="39">
        <v>0</v>
      </c>
      <c r="N152" s="39">
        <v>0</v>
      </c>
    </row>
    <row r="153" spans="2:14">
      <c r="B153" t="s">
        <v>27</v>
      </c>
      <c r="D153" t="s">
        <v>182</v>
      </c>
      <c r="F153" s="82">
        <f t="shared" si="14"/>
        <v>11580758.473840151</v>
      </c>
      <c r="G153" s="39">
        <v>0</v>
      </c>
      <c r="H153" s="39">
        <v>0</v>
      </c>
      <c r="I153" s="39">
        <v>0</v>
      </c>
      <c r="J153" s="39">
        <v>12575331.273840152</v>
      </c>
      <c r="K153" s="39">
        <v>-994572.80000000005</v>
      </c>
      <c r="L153" s="39">
        <v>0</v>
      </c>
      <c r="M153" s="39">
        <v>0</v>
      </c>
      <c r="N153" s="39">
        <v>0</v>
      </c>
    </row>
    <row r="154" spans="2:14">
      <c r="B154" t="s">
        <v>28</v>
      </c>
      <c r="D154" t="s">
        <v>182</v>
      </c>
      <c r="F154" s="82">
        <f t="shared" si="14"/>
        <v>0</v>
      </c>
      <c r="G154" s="39">
        <v>0</v>
      </c>
      <c r="H154" s="39">
        <v>0</v>
      </c>
      <c r="I154" s="39">
        <v>0</v>
      </c>
      <c r="J154" s="39">
        <v>0</v>
      </c>
      <c r="K154" s="39">
        <v>0</v>
      </c>
      <c r="L154" s="39">
        <v>0</v>
      </c>
      <c r="M154" s="39">
        <v>0</v>
      </c>
      <c r="N154" s="39">
        <v>0</v>
      </c>
    </row>
    <row r="155" spans="2:14">
      <c r="B155" t="s">
        <v>29</v>
      </c>
      <c r="D155" t="s">
        <v>182</v>
      </c>
      <c r="F155" s="82">
        <f t="shared" si="14"/>
        <v>0</v>
      </c>
      <c r="G155" s="39">
        <v>0</v>
      </c>
      <c r="H155" s="39">
        <v>0</v>
      </c>
      <c r="I155" s="39">
        <v>0</v>
      </c>
      <c r="J155" s="39">
        <v>0</v>
      </c>
      <c r="K155" s="39">
        <v>0</v>
      </c>
      <c r="L155" s="39">
        <v>0</v>
      </c>
      <c r="M155" s="39">
        <v>0</v>
      </c>
      <c r="N155" s="39">
        <v>0</v>
      </c>
    </row>
    <row r="156" spans="2:14">
      <c r="F156" s="72"/>
      <c r="G156" s="36"/>
      <c r="H156" s="36"/>
      <c r="I156" s="36"/>
      <c r="J156" s="36"/>
      <c r="K156" s="36"/>
      <c r="L156" s="36"/>
      <c r="M156" s="36"/>
      <c r="N156" s="36"/>
    </row>
    <row r="157" spans="2:14">
      <c r="B157" t="s">
        <v>176</v>
      </c>
      <c r="D157" t="s">
        <v>182</v>
      </c>
      <c r="F157" s="84">
        <f t="shared" ref="F157:N157" si="15">SUM(F145:F155)</f>
        <v>60709943.933725715</v>
      </c>
      <c r="G157" s="84">
        <f t="shared" si="15"/>
        <v>148257</v>
      </c>
      <c r="H157" s="84">
        <f t="shared" si="15"/>
        <v>190000</v>
      </c>
      <c r="I157" s="84">
        <f t="shared" si="15"/>
        <v>591029.17000000004</v>
      </c>
      <c r="J157" s="84">
        <f t="shared" si="15"/>
        <v>34785117.399544701</v>
      </c>
      <c r="K157" s="84">
        <f t="shared" si="15"/>
        <v>15361647.420226481</v>
      </c>
      <c r="L157" s="84">
        <f t="shared" si="15"/>
        <v>28505</v>
      </c>
      <c r="M157" s="84">
        <f t="shared" si="15"/>
        <v>9112324.9839545451</v>
      </c>
      <c r="N157" s="84">
        <f t="shared" si="15"/>
        <v>493062.96</v>
      </c>
    </row>
    <row r="160" spans="2:14">
      <c r="B160" s="3" t="s">
        <v>31</v>
      </c>
    </row>
    <row r="161" spans="2:14">
      <c r="B161" t="s">
        <v>32</v>
      </c>
      <c r="D161" t="s">
        <v>182</v>
      </c>
      <c r="F161" s="82">
        <f t="shared" ref="F161:F170" si="16">SUM(G161:N161)</f>
        <v>16029208.199393757</v>
      </c>
      <c r="G161" s="39">
        <v>152764.48999999996</v>
      </c>
      <c r="H161" s="39">
        <v>118664.85149999999</v>
      </c>
      <c r="I161" s="39">
        <v>471524.28539999999</v>
      </c>
      <c r="J161" s="39">
        <v>7338882.1399999997</v>
      </c>
      <c r="K161" s="39">
        <v>1859994.6400000001</v>
      </c>
      <c r="L161" s="39">
        <v>9925</v>
      </c>
      <c r="M161" s="39">
        <v>6062561.7924937559</v>
      </c>
      <c r="N161" s="39">
        <v>14891</v>
      </c>
    </row>
    <row r="162" spans="2:14">
      <c r="B162" t="s">
        <v>33</v>
      </c>
      <c r="D162" t="s">
        <v>182</v>
      </c>
      <c r="F162" s="82">
        <f t="shared" si="16"/>
        <v>1179210.48798</v>
      </c>
      <c r="G162" s="39">
        <v>10090.529999999997</v>
      </c>
      <c r="H162" s="39">
        <v>6245.5185000000001</v>
      </c>
      <c r="I162" s="39">
        <v>2912.3294799999931</v>
      </c>
      <c r="J162" s="39">
        <v>312978.93</v>
      </c>
      <c r="K162" s="39">
        <v>38738.17</v>
      </c>
      <c r="L162" s="39">
        <v>0</v>
      </c>
      <c r="M162" s="39">
        <v>808245.01</v>
      </c>
      <c r="N162" s="39">
        <v>0</v>
      </c>
    </row>
    <row r="163" spans="2:14">
      <c r="B163" t="s">
        <v>34</v>
      </c>
      <c r="D163" t="s">
        <v>182</v>
      </c>
      <c r="F163" s="82">
        <f t="shared" si="16"/>
        <v>3798290.7333906838</v>
      </c>
      <c r="G163" s="39">
        <v>52186.280000000086</v>
      </c>
      <c r="H163" s="39">
        <v>0</v>
      </c>
      <c r="I163" s="39">
        <v>173410.28000000003</v>
      </c>
      <c r="J163" s="39">
        <v>1853700</v>
      </c>
      <c r="K163" s="39">
        <v>49420.165884438058</v>
      </c>
      <c r="L163" s="39">
        <v>0</v>
      </c>
      <c r="M163" s="39">
        <v>1663837.3575062458</v>
      </c>
      <c r="N163" s="39">
        <v>5736.65</v>
      </c>
    </row>
    <row r="164" spans="2:14">
      <c r="B164" t="s">
        <v>35</v>
      </c>
      <c r="D164" t="s">
        <v>182</v>
      </c>
      <c r="F164" s="82">
        <f t="shared" si="16"/>
        <v>11209687.587771393</v>
      </c>
      <c r="G164" s="39">
        <v>53863.410000000025</v>
      </c>
      <c r="H164" s="39">
        <v>0</v>
      </c>
      <c r="I164" s="39">
        <v>119076.72000000002</v>
      </c>
      <c r="J164" s="39">
        <v>5306000</v>
      </c>
      <c r="K164" s="39">
        <v>3640508.8200000003</v>
      </c>
      <c r="L164" s="39">
        <v>95363</v>
      </c>
      <c r="M164" s="39">
        <v>1980604.607771395</v>
      </c>
      <c r="N164" s="39">
        <v>14271.03</v>
      </c>
    </row>
    <row r="165" spans="2:14">
      <c r="B165" t="s">
        <v>36</v>
      </c>
      <c r="D165" t="s">
        <v>182</v>
      </c>
      <c r="F165" s="82">
        <f t="shared" si="16"/>
        <v>11817035.583670467</v>
      </c>
      <c r="G165" s="39">
        <v>0</v>
      </c>
      <c r="H165" s="39">
        <v>33322.4905</v>
      </c>
      <c r="I165" s="39">
        <v>51135.44150339855</v>
      </c>
      <c r="J165" s="39">
        <v>3839800</v>
      </c>
      <c r="K165" s="39">
        <v>6112174.4434811268</v>
      </c>
      <c r="L165" s="39">
        <v>29669</v>
      </c>
      <c r="M165" s="39">
        <v>1750934.2081859407</v>
      </c>
      <c r="N165" s="39">
        <v>0</v>
      </c>
    </row>
    <row r="166" spans="2:14">
      <c r="B166" t="s">
        <v>25</v>
      </c>
      <c r="D166" t="s">
        <v>182</v>
      </c>
      <c r="F166" s="82">
        <f t="shared" si="16"/>
        <v>4737.5300000000279</v>
      </c>
      <c r="G166" s="39">
        <v>0</v>
      </c>
      <c r="H166" s="39">
        <v>0</v>
      </c>
      <c r="I166" s="39">
        <v>0</v>
      </c>
      <c r="J166" s="39">
        <v>0</v>
      </c>
      <c r="K166" s="39">
        <v>3776.5300000000279</v>
      </c>
      <c r="L166" s="39">
        <v>129</v>
      </c>
      <c r="M166" s="39">
        <v>0</v>
      </c>
      <c r="N166" s="39">
        <v>832</v>
      </c>
    </row>
    <row r="167" spans="2:14">
      <c r="B167" t="s">
        <v>26</v>
      </c>
      <c r="D167" t="s">
        <v>182</v>
      </c>
      <c r="F167" s="82">
        <f t="shared" si="16"/>
        <v>37135.39</v>
      </c>
      <c r="G167" s="39">
        <v>0</v>
      </c>
      <c r="H167" s="39">
        <v>0</v>
      </c>
      <c r="I167" s="39">
        <v>0</v>
      </c>
      <c r="J167" s="39">
        <v>0</v>
      </c>
      <c r="K167" s="39">
        <v>0</v>
      </c>
      <c r="L167" s="39">
        <v>0</v>
      </c>
      <c r="M167" s="39">
        <v>0</v>
      </c>
      <c r="N167" s="39">
        <v>37135.39</v>
      </c>
    </row>
    <row r="168" spans="2:14">
      <c r="B168" t="s">
        <v>27</v>
      </c>
      <c r="D168" t="s">
        <v>182</v>
      </c>
      <c r="F168" s="82">
        <f t="shared" si="16"/>
        <v>0</v>
      </c>
      <c r="G168" s="39">
        <v>0</v>
      </c>
      <c r="H168" s="39">
        <v>0</v>
      </c>
      <c r="I168" s="39">
        <v>0</v>
      </c>
      <c r="J168" s="39">
        <v>0</v>
      </c>
      <c r="K168" s="39">
        <v>0</v>
      </c>
      <c r="L168" s="39">
        <v>0</v>
      </c>
      <c r="M168" s="39">
        <v>0</v>
      </c>
      <c r="N168" s="39">
        <v>0</v>
      </c>
    </row>
    <row r="169" spans="2:14">
      <c r="B169" t="s">
        <v>28</v>
      </c>
      <c r="D169" t="s">
        <v>182</v>
      </c>
      <c r="F169" s="82">
        <f t="shared" si="16"/>
        <v>0</v>
      </c>
      <c r="G169" s="39">
        <v>0</v>
      </c>
      <c r="H169" s="39">
        <v>0</v>
      </c>
      <c r="I169" s="39">
        <v>0</v>
      </c>
      <c r="J169" s="39">
        <v>0</v>
      </c>
      <c r="K169" s="39">
        <v>0</v>
      </c>
      <c r="L169" s="39">
        <v>0</v>
      </c>
      <c r="M169" s="39">
        <v>0</v>
      </c>
      <c r="N169" s="39">
        <v>0</v>
      </c>
    </row>
    <row r="170" spans="2:14">
      <c r="B170" t="s">
        <v>29</v>
      </c>
      <c r="D170" t="s">
        <v>182</v>
      </c>
      <c r="F170" s="82">
        <f t="shared" si="16"/>
        <v>0</v>
      </c>
      <c r="G170" s="39">
        <v>0</v>
      </c>
      <c r="H170" s="39">
        <v>0</v>
      </c>
      <c r="I170" s="39">
        <v>0</v>
      </c>
      <c r="J170" s="39">
        <v>0</v>
      </c>
      <c r="K170" s="39">
        <v>0</v>
      </c>
      <c r="L170" s="39">
        <v>0</v>
      </c>
      <c r="M170" s="39">
        <v>0</v>
      </c>
      <c r="N170" s="39">
        <v>0</v>
      </c>
    </row>
    <row r="171" spans="2:14">
      <c r="F171" s="72"/>
      <c r="G171" s="36"/>
      <c r="H171" s="36"/>
      <c r="I171" s="36"/>
      <c r="J171" s="36"/>
      <c r="K171" s="36"/>
      <c r="L171" s="36"/>
      <c r="M171" s="36"/>
      <c r="N171" s="36"/>
    </row>
    <row r="172" spans="2:14">
      <c r="B172" t="s">
        <v>176</v>
      </c>
      <c r="D172" t="s">
        <v>182</v>
      </c>
      <c r="F172" s="84">
        <f t="shared" ref="F172:N172" si="17">SUM(F161:F170)</f>
        <v>44075305.512206301</v>
      </c>
      <c r="G172" s="84">
        <f t="shared" si="17"/>
        <v>268904.71000000008</v>
      </c>
      <c r="H172" s="84">
        <f t="shared" si="17"/>
        <v>158232.86050000001</v>
      </c>
      <c r="I172" s="84">
        <f t="shared" si="17"/>
        <v>818059.05638339859</v>
      </c>
      <c r="J172" s="84">
        <f t="shared" si="17"/>
        <v>18651361.07</v>
      </c>
      <c r="K172" s="84">
        <f t="shared" si="17"/>
        <v>11704612.769365564</v>
      </c>
      <c r="L172" s="84">
        <f t="shared" si="17"/>
        <v>135086</v>
      </c>
      <c r="M172" s="84">
        <f t="shared" si="17"/>
        <v>12266182.975957338</v>
      </c>
      <c r="N172" s="84">
        <f t="shared" si="17"/>
        <v>72866.070000000007</v>
      </c>
    </row>
    <row r="174" spans="2:14">
      <c r="C174" s="27"/>
    </row>
    <row r="175" spans="2:14">
      <c r="B175" s="3" t="s">
        <v>460</v>
      </c>
      <c r="C175" s="27"/>
    </row>
    <row r="176" spans="2:14">
      <c r="B176" s="50" t="s">
        <v>461</v>
      </c>
      <c r="C176" s="27"/>
      <c r="D176" t="s">
        <v>182</v>
      </c>
      <c r="F176" s="82">
        <f>SUM(G176:N176)</f>
        <v>6205982</v>
      </c>
      <c r="G176" s="39">
        <v>3102</v>
      </c>
      <c r="H176" s="39">
        <v>0</v>
      </c>
      <c r="I176" s="39">
        <v>172000</v>
      </c>
      <c r="J176" s="39">
        <v>1100000</v>
      </c>
      <c r="K176" s="39">
        <v>595198</v>
      </c>
      <c r="L176" s="39">
        <v>0</v>
      </c>
      <c r="M176" s="39">
        <v>4300000</v>
      </c>
      <c r="N176" s="39">
        <v>35682</v>
      </c>
    </row>
    <row r="179" spans="2:16">
      <c r="B179" s="3" t="s">
        <v>76</v>
      </c>
    </row>
    <row r="180" spans="2:16">
      <c r="B180" t="s">
        <v>77</v>
      </c>
      <c r="D180" t="s">
        <v>182</v>
      </c>
      <c r="F180" s="82">
        <f>SUM(G180:N180)</f>
        <v>210715.75399999999</v>
      </c>
      <c r="G180" s="39"/>
      <c r="H180" s="39"/>
      <c r="I180" s="39">
        <v>194928</v>
      </c>
      <c r="J180" s="39">
        <v>14905.763999999999</v>
      </c>
      <c r="K180" s="39"/>
      <c r="L180" s="39">
        <v>881.99</v>
      </c>
      <c r="M180" s="898">
        <v>0</v>
      </c>
      <c r="N180" s="39"/>
    </row>
    <row r="182" spans="2:16">
      <c r="B182" s="81"/>
    </row>
    <row r="183" spans="2:16" s="2" customFormat="1">
      <c r="B183" s="2" t="s">
        <v>39</v>
      </c>
      <c r="F183" s="48"/>
    </row>
    <row r="185" spans="2:16">
      <c r="B185" s="3"/>
      <c r="O185" s="27"/>
    </row>
    <row r="186" spans="2:16">
      <c r="B186" s="3" t="s">
        <v>18</v>
      </c>
      <c r="O186" s="27"/>
    </row>
    <row r="187" spans="2:16">
      <c r="B187" t="s">
        <v>19</v>
      </c>
      <c r="D187" t="s">
        <v>183</v>
      </c>
      <c r="F187" s="82">
        <f t="shared" ref="F187:F197" si="18">SUM(G187:N187)</f>
        <v>9445460.0891648028</v>
      </c>
      <c r="G187" s="39">
        <v>0</v>
      </c>
      <c r="H187" s="39">
        <v>0</v>
      </c>
      <c r="I187" s="39">
        <v>62890.869999999995</v>
      </c>
      <c r="J187" s="39">
        <v>4279295</v>
      </c>
      <c r="K187" s="39">
        <v>4260829.5991648044</v>
      </c>
      <c r="L187" s="39">
        <v>0</v>
      </c>
      <c r="M187" s="39">
        <v>842444.62</v>
      </c>
      <c r="N187" s="39">
        <v>0</v>
      </c>
      <c r="O187" s="27"/>
      <c r="P187" t="s">
        <v>489</v>
      </c>
    </row>
    <row r="188" spans="2:16">
      <c r="B188" t="s">
        <v>20</v>
      </c>
      <c r="D188" t="s">
        <v>183</v>
      </c>
      <c r="F188" s="82">
        <f t="shared" si="18"/>
        <v>29710363.790835194</v>
      </c>
      <c r="G188" s="39">
        <v>0</v>
      </c>
      <c r="H188" s="39">
        <v>0</v>
      </c>
      <c r="I188" s="39">
        <v>0</v>
      </c>
      <c r="J188" s="39">
        <v>18503525</v>
      </c>
      <c r="K188" s="39">
        <v>6245147.8608351946</v>
      </c>
      <c r="L188" s="39">
        <v>34755.050000000003</v>
      </c>
      <c r="M188" s="39">
        <v>4501962.88</v>
      </c>
      <c r="N188" s="39">
        <v>424973</v>
      </c>
      <c r="O188" s="27"/>
    </row>
    <row r="189" spans="2:16">
      <c r="B189" t="s">
        <v>21</v>
      </c>
      <c r="D189" t="s">
        <v>183</v>
      </c>
      <c r="F189" s="82">
        <f t="shared" si="18"/>
        <v>13816292.151657522</v>
      </c>
      <c r="G189" s="39">
        <v>0</v>
      </c>
      <c r="H189" s="39">
        <v>1112704.3580969032</v>
      </c>
      <c r="I189" s="39">
        <v>0</v>
      </c>
      <c r="J189" s="39">
        <v>2788000.2436363632</v>
      </c>
      <c r="K189" s="39">
        <v>4302444.6599999974</v>
      </c>
      <c r="L189" s="39">
        <v>0</v>
      </c>
      <c r="M189" s="39">
        <v>5613142.889924258</v>
      </c>
      <c r="N189" s="39">
        <v>0</v>
      </c>
      <c r="O189" s="27"/>
    </row>
    <row r="190" spans="2:16">
      <c r="B190" t="s">
        <v>22</v>
      </c>
      <c r="D190" t="s">
        <v>183</v>
      </c>
      <c r="F190" s="82">
        <f t="shared" si="18"/>
        <v>2390139.7799999998</v>
      </c>
      <c r="G190" s="39">
        <v>0</v>
      </c>
      <c r="H190" s="39">
        <v>0</v>
      </c>
      <c r="I190" s="39">
        <v>48928.780000000013</v>
      </c>
      <c r="J190" s="39">
        <v>2341211</v>
      </c>
      <c r="K190" s="39">
        <v>0</v>
      </c>
      <c r="L190" s="39">
        <v>0</v>
      </c>
      <c r="M190" s="39">
        <v>0</v>
      </c>
      <c r="N190" s="39">
        <v>0</v>
      </c>
      <c r="O190" s="27"/>
    </row>
    <row r="191" spans="2:16">
      <c r="B191" t="s">
        <v>23</v>
      </c>
      <c r="D191" t="s">
        <v>183</v>
      </c>
      <c r="F191" s="82">
        <f t="shared" si="18"/>
        <v>1342013.2184512443</v>
      </c>
      <c r="G191" s="39">
        <v>49511.608451244327</v>
      </c>
      <c r="H191" s="39">
        <v>0</v>
      </c>
      <c r="I191" s="39">
        <v>127401.53</v>
      </c>
      <c r="J191" s="39">
        <v>536000</v>
      </c>
      <c r="K191" s="39">
        <v>0</v>
      </c>
      <c r="L191" s="39">
        <v>18476.099999999999</v>
      </c>
      <c r="M191" s="39">
        <v>597977.98</v>
      </c>
      <c r="N191" s="39">
        <v>12646</v>
      </c>
      <c r="O191" s="27"/>
    </row>
    <row r="192" spans="2:16">
      <c r="B192" t="s">
        <v>24</v>
      </c>
      <c r="D192" t="s">
        <v>183</v>
      </c>
      <c r="F192" s="82">
        <f t="shared" si="18"/>
        <v>926812.21184532298</v>
      </c>
      <c r="G192" s="39">
        <v>0</v>
      </c>
      <c r="H192" s="39">
        <v>0</v>
      </c>
      <c r="I192" s="39">
        <v>7626.03</v>
      </c>
      <c r="J192" s="39">
        <v>917110.22184532299</v>
      </c>
      <c r="K192" s="39">
        <v>0</v>
      </c>
      <c r="L192" s="39">
        <v>2075.96</v>
      </c>
      <c r="M192" s="39">
        <v>0</v>
      </c>
      <c r="N192" s="39">
        <v>0</v>
      </c>
      <c r="O192" s="27"/>
    </row>
    <row r="193" spans="2:15">
      <c r="B193" t="s">
        <v>25</v>
      </c>
      <c r="D193" t="s">
        <v>183</v>
      </c>
      <c r="F193" s="82">
        <f t="shared" si="18"/>
        <v>12745606.17</v>
      </c>
      <c r="G193" s="39">
        <v>0</v>
      </c>
      <c r="H193" s="39">
        <v>0</v>
      </c>
      <c r="I193" s="39">
        <v>0</v>
      </c>
      <c r="J193" s="39">
        <v>11817279</v>
      </c>
      <c r="K193" s="39">
        <v>712998.57</v>
      </c>
      <c r="L193" s="39">
        <v>0</v>
      </c>
      <c r="M193" s="39">
        <v>215328.60000000015</v>
      </c>
      <c r="N193" s="39">
        <v>0</v>
      </c>
      <c r="O193" s="27"/>
    </row>
    <row r="194" spans="2:15">
      <c r="B194" t="s">
        <v>26</v>
      </c>
      <c r="D194" t="s">
        <v>183</v>
      </c>
      <c r="F194" s="82">
        <f t="shared" si="18"/>
        <v>-16.270000103060738</v>
      </c>
      <c r="G194" s="39">
        <v>0</v>
      </c>
      <c r="H194" s="39">
        <v>0</v>
      </c>
      <c r="I194" s="39">
        <v>0</v>
      </c>
      <c r="J194" s="39">
        <v>0</v>
      </c>
      <c r="K194" s="39">
        <v>-16.270000103060738</v>
      </c>
      <c r="L194" s="39">
        <v>0</v>
      </c>
      <c r="M194" s="39">
        <v>0</v>
      </c>
      <c r="N194" s="39">
        <v>0</v>
      </c>
      <c r="O194" s="27"/>
    </row>
    <row r="195" spans="2:15">
      <c r="B195" t="s">
        <v>27</v>
      </c>
      <c r="D195" t="s">
        <v>183</v>
      </c>
      <c r="F195" s="82">
        <f t="shared" si="18"/>
        <v>0</v>
      </c>
      <c r="G195" s="39">
        <v>0</v>
      </c>
      <c r="H195" s="39">
        <v>0</v>
      </c>
      <c r="I195" s="39">
        <v>0</v>
      </c>
      <c r="J195" s="39">
        <v>0</v>
      </c>
      <c r="K195" s="39">
        <v>0</v>
      </c>
      <c r="L195" s="39">
        <v>0</v>
      </c>
      <c r="M195" s="39">
        <v>0</v>
      </c>
      <c r="N195" s="39">
        <v>0</v>
      </c>
      <c r="O195" s="27"/>
    </row>
    <row r="196" spans="2:15">
      <c r="B196" t="s">
        <v>28</v>
      </c>
      <c r="D196" t="s">
        <v>183</v>
      </c>
      <c r="F196" s="82">
        <f t="shared" si="18"/>
        <v>0</v>
      </c>
      <c r="G196" s="39">
        <v>0</v>
      </c>
      <c r="H196" s="39">
        <v>0</v>
      </c>
      <c r="I196" s="39">
        <v>0</v>
      </c>
      <c r="J196" s="39">
        <v>0</v>
      </c>
      <c r="K196" s="39">
        <v>0</v>
      </c>
      <c r="L196" s="39">
        <v>0</v>
      </c>
      <c r="M196" s="39">
        <v>0</v>
      </c>
      <c r="N196" s="39">
        <v>0</v>
      </c>
      <c r="O196" s="27"/>
    </row>
    <row r="197" spans="2:15">
      <c r="B197" t="s">
        <v>29</v>
      </c>
      <c r="D197" t="s">
        <v>183</v>
      </c>
      <c r="F197" s="82">
        <f t="shared" si="18"/>
        <v>0</v>
      </c>
      <c r="G197" s="39">
        <v>0</v>
      </c>
      <c r="H197" s="39">
        <v>0</v>
      </c>
      <c r="I197" s="39">
        <v>0</v>
      </c>
      <c r="J197" s="39">
        <v>0</v>
      </c>
      <c r="K197" s="39">
        <v>0</v>
      </c>
      <c r="L197" s="39">
        <v>0</v>
      </c>
      <c r="M197" s="39">
        <v>0</v>
      </c>
      <c r="N197" s="39">
        <v>0</v>
      </c>
      <c r="O197" s="27"/>
    </row>
    <row r="198" spans="2:15">
      <c r="F198" s="72"/>
      <c r="G198" s="36"/>
      <c r="H198" s="36"/>
      <c r="I198" s="36"/>
      <c r="J198" s="36"/>
      <c r="K198" s="36"/>
      <c r="L198" s="36"/>
      <c r="M198" s="36"/>
      <c r="N198" s="36"/>
      <c r="O198" s="27"/>
    </row>
    <row r="199" spans="2:15">
      <c r="B199" t="s">
        <v>176</v>
      </c>
      <c r="D199" t="s">
        <v>183</v>
      </c>
      <c r="F199" s="84">
        <f t="shared" ref="F199:N199" si="19">SUM(F187:F197)</f>
        <v>70376671.14195399</v>
      </c>
      <c r="G199" s="84">
        <f t="shared" si="19"/>
        <v>49511.608451244327</v>
      </c>
      <c r="H199" s="84">
        <f t="shared" si="19"/>
        <v>1112704.3580969032</v>
      </c>
      <c r="I199" s="84">
        <f t="shared" si="19"/>
        <v>246847.21</v>
      </c>
      <c r="J199" s="84">
        <f t="shared" si="19"/>
        <v>41182420.465481684</v>
      </c>
      <c r="K199" s="84">
        <f t="shared" si="19"/>
        <v>15521404.419999894</v>
      </c>
      <c r="L199" s="84">
        <f t="shared" si="19"/>
        <v>55307.11</v>
      </c>
      <c r="M199" s="84">
        <f t="shared" si="19"/>
        <v>11770856.969924258</v>
      </c>
      <c r="N199" s="84">
        <f t="shared" si="19"/>
        <v>437619</v>
      </c>
      <c r="O199" s="27"/>
    </row>
    <row r="200" spans="2:15">
      <c r="O200" s="27"/>
    </row>
    <row r="201" spans="2:15">
      <c r="B201" s="3"/>
      <c r="O201" s="27"/>
    </row>
    <row r="202" spans="2:15">
      <c r="B202" s="3" t="s">
        <v>30</v>
      </c>
      <c r="O202" s="27"/>
    </row>
    <row r="203" spans="2:15">
      <c r="B203" t="s">
        <v>19</v>
      </c>
      <c r="D203" t="s">
        <v>183</v>
      </c>
      <c r="F203" s="82">
        <f t="shared" ref="F203:F213" si="20">SUM(G203:N203)</f>
        <v>9701616.079164803</v>
      </c>
      <c r="G203" s="39">
        <v>0</v>
      </c>
      <c r="H203" s="39">
        <v>0</v>
      </c>
      <c r="I203" s="39">
        <v>62890.869999999995</v>
      </c>
      <c r="J203" s="39">
        <v>4279295</v>
      </c>
      <c r="K203" s="39">
        <v>4260829.5991648044</v>
      </c>
      <c r="L203" s="39">
        <v>0</v>
      </c>
      <c r="M203" s="39">
        <v>1098600.6100000003</v>
      </c>
      <c r="N203" s="39">
        <v>0</v>
      </c>
      <c r="O203" s="27"/>
    </row>
    <row r="204" spans="2:15">
      <c r="B204" t="s">
        <v>20</v>
      </c>
      <c r="D204" t="s">
        <v>183</v>
      </c>
      <c r="F204" s="82">
        <f t="shared" si="20"/>
        <v>31184464.387065273</v>
      </c>
      <c r="G204" s="39">
        <v>0</v>
      </c>
      <c r="H204" s="39">
        <v>0</v>
      </c>
      <c r="I204" s="39">
        <v>0</v>
      </c>
      <c r="J204" s="39">
        <v>18503525</v>
      </c>
      <c r="K204" s="39">
        <v>6245147.8608351946</v>
      </c>
      <c r="L204" s="39">
        <v>34755</v>
      </c>
      <c r="M204" s="39">
        <v>6040914.3599999975</v>
      </c>
      <c r="N204" s="39">
        <v>360122.16623007937</v>
      </c>
      <c r="O204" s="27"/>
    </row>
    <row r="205" spans="2:15">
      <c r="B205" t="s">
        <v>21</v>
      </c>
      <c r="D205" t="s">
        <v>183</v>
      </c>
      <c r="F205" s="82">
        <f t="shared" si="20"/>
        <v>3763215.7885128837</v>
      </c>
      <c r="G205" s="39">
        <v>0</v>
      </c>
      <c r="H205" s="39">
        <v>200000</v>
      </c>
      <c r="I205" s="39">
        <v>0</v>
      </c>
      <c r="J205" s="898">
        <f>557600.048727273+'Aanpassing gegevens (sep 2014)'!H173</f>
        <v>487900.04263636383</v>
      </c>
      <c r="K205" s="39">
        <v>1335241.45</v>
      </c>
      <c r="L205" s="39">
        <v>0</v>
      </c>
      <c r="M205" s="39">
        <v>1740074.29587652</v>
      </c>
      <c r="N205" s="39">
        <v>0</v>
      </c>
      <c r="O205" s="27"/>
    </row>
    <row r="206" spans="2:15">
      <c r="B206" t="s">
        <v>22</v>
      </c>
      <c r="D206" t="s">
        <v>183</v>
      </c>
      <c r="F206" s="82">
        <f t="shared" si="20"/>
        <v>2390139.7799999998</v>
      </c>
      <c r="G206" s="39">
        <v>0</v>
      </c>
      <c r="H206" s="39">
        <v>0</v>
      </c>
      <c r="I206" s="39">
        <v>48928.780000000013</v>
      </c>
      <c r="J206" s="39">
        <v>2341211</v>
      </c>
      <c r="K206" s="39">
        <v>0</v>
      </c>
      <c r="L206" s="39">
        <v>0</v>
      </c>
      <c r="M206" s="39">
        <v>0</v>
      </c>
      <c r="N206" s="39">
        <v>0</v>
      </c>
      <c r="O206" s="27"/>
    </row>
    <row r="207" spans="2:15">
      <c r="B207" t="s">
        <v>23</v>
      </c>
      <c r="D207" t="s">
        <v>183</v>
      </c>
      <c r="F207" s="82">
        <f t="shared" si="20"/>
        <v>1412575.37</v>
      </c>
      <c r="G207" s="39">
        <v>120073.75999999998</v>
      </c>
      <c r="H207" s="39">
        <v>0</v>
      </c>
      <c r="I207" s="39">
        <v>127401.53</v>
      </c>
      <c r="J207" s="39">
        <v>536000</v>
      </c>
      <c r="K207" s="39">
        <v>0</v>
      </c>
      <c r="L207" s="39">
        <v>18476.099999999999</v>
      </c>
      <c r="M207" s="39">
        <v>597977.98</v>
      </c>
      <c r="N207" s="39">
        <v>12646</v>
      </c>
      <c r="O207" s="27"/>
    </row>
    <row r="208" spans="2:15">
      <c r="B208" t="s">
        <v>24</v>
      </c>
      <c r="D208" t="s">
        <v>183</v>
      </c>
      <c r="F208" s="82">
        <f t="shared" si="20"/>
        <v>924736.25184532302</v>
      </c>
      <c r="G208" s="39">
        <v>0</v>
      </c>
      <c r="H208" s="39">
        <v>0</v>
      </c>
      <c r="I208" s="39">
        <v>7626.03</v>
      </c>
      <c r="J208" s="39">
        <v>917110.22184532299</v>
      </c>
      <c r="K208" s="39">
        <v>0</v>
      </c>
      <c r="L208" s="39">
        <v>0</v>
      </c>
      <c r="M208" s="39">
        <v>0</v>
      </c>
      <c r="N208" s="39">
        <v>0</v>
      </c>
      <c r="O208" s="27"/>
    </row>
    <row r="209" spans="2:15">
      <c r="B209" t="s">
        <v>25</v>
      </c>
      <c r="D209" t="s">
        <v>183</v>
      </c>
      <c r="F209" s="82">
        <f t="shared" si="20"/>
        <v>12530277.57</v>
      </c>
      <c r="G209" s="39">
        <v>0</v>
      </c>
      <c r="H209" s="39">
        <v>0</v>
      </c>
      <c r="I209" s="39">
        <v>0</v>
      </c>
      <c r="J209" s="39">
        <v>11817279</v>
      </c>
      <c r="K209" s="39">
        <v>712998.57</v>
      </c>
      <c r="L209" s="39">
        <v>0</v>
      </c>
      <c r="M209" s="39">
        <v>0</v>
      </c>
      <c r="N209" s="39">
        <v>0</v>
      </c>
      <c r="O209" s="27"/>
    </row>
    <row r="210" spans="2:15">
      <c r="B210" t="s">
        <v>26</v>
      </c>
      <c r="D210" t="s">
        <v>183</v>
      </c>
      <c r="F210" s="82">
        <f t="shared" si="20"/>
        <v>0</v>
      </c>
      <c r="G210" s="39">
        <v>0</v>
      </c>
      <c r="H210" s="39">
        <v>0</v>
      </c>
      <c r="I210" s="39">
        <v>0</v>
      </c>
      <c r="J210" s="39">
        <v>0</v>
      </c>
      <c r="K210" s="39">
        <v>0</v>
      </c>
      <c r="L210" s="39">
        <v>0</v>
      </c>
      <c r="M210" s="39">
        <v>0</v>
      </c>
      <c r="N210" s="39">
        <v>0</v>
      </c>
      <c r="O210" s="27"/>
    </row>
    <row r="211" spans="2:15">
      <c r="B211" t="s">
        <v>27</v>
      </c>
      <c r="D211" t="s">
        <v>183</v>
      </c>
      <c r="F211" s="82">
        <f t="shared" si="20"/>
        <v>0</v>
      </c>
      <c r="G211" s="39">
        <v>0</v>
      </c>
      <c r="H211" s="39">
        <v>0</v>
      </c>
      <c r="I211" s="39">
        <v>0</v>
      </c>
      <c r="J211" s="39">
        <v>0</v>
      </c>
      <c r="K211" s="39">
        <v>0</v>
      </c>
      <c r="L211" s="39">
        <v>0</v>
      </c>
      <c r="M211" s="39">
        <v>0</v>
      </c>
      <c r="N211" s="39">
        <v>0</v>
      </c>
      <c r="O211" s="27"/>
    </row>
    <row r="212" spans="2:15">
      <c r="B212" t="s">
        <v>28</v>
      </c>
      <c r="D212" t="s">
        <v>183</v>
      </c>
      <c r="F212" s="82">
        <f t="shared" si="20"/>
        <v>0</v>
      </c>
      <c r="G212" s="39">
        <v>0</v>
      </c>
      <c r="H212" s="39">
        <v>0</v>
      </c>
      <c r="I212" s="39">
        <v>0</v>
      </c>
      <c r="J212" s="39">
        <v>0</v>
      </c>
      <c r="K212" s="39">
        <v>0</v>
      </c>
      <c r="L212" s="39">
        <v>0</v>
      </c>
      <c r="M212" s="39">
        <v>0</v>
      </c>
      <c r="N212" s="39">
        <v>0</v>
      </c>
      <c r="O212" s="27"/>
    </row>
    <row r="213" spans="2:15">
      <c r="B213" t="s">
        <v>29</v>
      </c>
      <c r="D213" t="s">
        <v>183</v>
      </c>
      <c r="F213" s="82">
        <f t="shared" si="20"/>
        <v>0</v>
      </c>
      <c r="G213" s="39">
        <v>0</v>
      </c>
      <c r="H213" s="39">
        <v>0</v>
      </c>
      <c r="I213" s="39">
        <v>0</v>
      </c>
      <c r="J213" s="39">
        <v>0</v>
      </c>
      <c r="K213" s="39">
        <v>0</v>
      </c>
      <c r="L213" s="39">
        <v>0</v>
      </c>
      <c r="M213" s="39">
        <v>0</v>
      </c>
      <c r="N213" s="39">
        <v>0</v>
      </c>
      <c r="O213" s="27"/>
    </row>
    <row r="214" spans="2:15">
      <c r="F214" s="72"/>
      <c r="G214" s="36"/>
      <c r="H214" s="36"/>
      <c r="I214" s="36"/>
      <c r="J214" s="36"/>
      <c r="K214" s="36"/>
      <c r="L214" s="36"/>
      <c r="M214" s="36"/>
      <c r="N214" s="36"/>
      <c r="O214" s="27"/>
    </row>
    <row r="215" spans="2:15">
      <c r="B215" t="s">
        <v>176</v>
      </c>
      <c r="D215" t="s">
        <v>183</v>
      </c>
      <c r="F215" s="84">
        <f t="shared" ref="F215:N215" si="21">SUM(F203:F213)</f>
        <v>61907025.226588286</v>
      </c>
      <c r="G215" s="84">
        <f t="shared" si="21"/>
        <v>120073.75999999998</v>
      </c>
      <c r="H215" s="84">
        <f t="shared" si="21"/>
        <v>200000</v>
      </c>
      <c r="I215" s="84">
        <f t="shared" si="21"/>
        <v>246847.21</v>
      </c>
      <c r="J215" s="84">
        <f t="shared" si="21"/>
        <v>38882320.264481686</v>
      </c>
      <c r="K215" s="84">
        <f t="shared" si="21"/>
        <v>12554217.479999999</v>
      </c>
      <c r="L215" s="84">
        <f t="shared" si="21"/>
        <v>53231.1</v>
      </c>
      <c r="M215" s="84">
        <f t="shared" si="21"/>
        <v>9477567.245876519</v>
      </c>
      <c r="N215" s="84">
        <f t="shared" si="21"/>
        <v>372768.16623007937</v>
      </c>
      <c r="O215" s="27"/>
    </row>
    <row r="216" spans="2:15">
      <c r="O216" s="27"/>
    </row>
    <row r="217" spans="2:15">
      <c r="O217" s="27"/>
    </row>
    <row r="218" spans="2:15">
      <c r="B218" s="3" t="s">
        <v>31</v>
      </c>
      <c r="O218" s="27"/>
    </row>
    <row r="219" spans="2:15">
      <c r="B219" t="s">
        <v>32</v>
      </c>
      <c r="D219" t="s">
        <v>183</v>
      </c>
      <c r="F219" s="82">
        <f t="shared" ref="F219:F228" si="22">SUM(G219:N219)</f>
        <v>13137909.678434636</v>
      </c>
      <c r="G219" s="39">
        <v>103245.25000000003</v>
      </c>
      <c r="H219" s="39">
        <v>275246.9865</v>
      </c>
      <c r="I219" s="39">
        <v>253107.27127</v>
      </c>
      <c r="J219" s="39">
        <v>5398788.3100000005</v>
      </c>
      <c r="K219" s="39">
        <v>2205448.9699999997</v>
      </c>
      <c r="L219" s="39">
        <v>29666.37</v>
      </c>
      <c r="M219" s="39">
        <v>4857005.8400000008</v>
      </c>
      <c r="N219" s="39">
        <v>15400.680664635616</v>
      </c>
      <c r="O219" s="27"/>
    </row>
    <row r="220" spans="2:15">
      <c r="B220" t="s">
        <v>33</v>
      </c>
      <c r="D220" t="s">
        <v>183</v>
      </c>
      <c r="F220" s="82">
        <f t="shared" si="22"/>
        <v>278934.6234999994</v>
      </c>
      <c r="G220" s="39">
        <v>7564.8799999999992</v>
      </c>
      <c r="H220" s="39">
        <v>14486.683499999999</v>
      </c>
      <c r="I220" s="39">
        <v>0</v>
      </c>
      <c r="J220" s="39">
        <v>256883.05999999939</v>
      </c>
      <c r="K220" s="39">
        <v>0</v>
      </c>
      <c r="L220" s="39" t="s">
        <v>477</v>
      </c>
      <c r="M220" s="39">
        <v>0</v>
      </c>
      <c r="N220" s="39">
        <v>0</v>
      </c>
      <c r="O220" s="27"/>
    </row>
    <row r="221" spans="2:15">
      <c r="B221" t="s">
        <v>34</v>
      </c>
      <c r="D221" t="s">
        <v>183</v>
      </c>
      <c r="F221" s="82">
        <f t="shared" si="22"/>
        <v>3770547.2696688818</v>
      </c>
      <c r="G221" s="39">
        <v>34363.619999999981</v>
      </c>
      <c r="H221" s="39">
        <v>0</v>
      </c>
      <c r="I221" s="39">
        <v>137837.11000000002</v>
      </c>
      <c r="J221" s="39">
        <v>1684090.6500000001</v>
      </c>
      <c r="K221" s="39">
        <v>318156.73966888333</v>
      </c>
      <c r="L221" s="39">
        <v>0</v>
      </c>
      <c r="M221" s="39">
        <v>1584457.1499999985</v>
      </c>
      <c r="N221" s="39">
        <v>11642</v>
      </c>
      <c r="O221" s="27"/>
    </row>
    <row r="222" spans="2:15">
      <c r="B222" t="s">
        <v>35</v>
      </c>
      <c r="D222" t="s">
        <v>183</v>
      </c>
      <c r="F222" s="82">
        <f t="shared" si="22"/>
        <v>11683003.735156793</v>
      </c>
      <c r="G222" s="39">
        <v>29257.589999999993</v>
      </c>
      <c r="H222" s="39">
        <v>197357.73515679245</v>
      </c>
      <c r="I222" s="39">
        <v>89323.200000000012</v>
      </c>
      <c r="J222" s="39">
        <v>5525991</v>
      </c>
      <c r="K222" s="39">
        <v>3837597.5700000003</v>
      </c>
      <c r="L222" s="39">
        <v>55698.07</v>
      </c>
      <c r="M222" s="39">
        <v>1905336.75</v>
      </c>
      <c r="N222" s="39">
        <v>42441.82</v>
      </c>
      <c r="O222" s="27"/>
    </row>
    <row r="223" spans="2:15">
      <c r="B223" t="s">
        <v>36</v>
      </c>
      <c r="D223" t="s">
        <v>183</v>
      </c>
      <c r="F223" s="82">
        <f t="shared" si="22"/>
        <v>10295658.670845434</v>
      </c>
      <c r="G223" s="39">
        <v>0</v>
      </c>
      <c r="H223" s="39">
        <v>27190.513999999999</v>
      </c>
      <c r="I223" s="39">
        <v>29257.598946730981</v>
      </c>
      <c r="J223" s="39">
        <v>1773888</v>
      </c>
      <c r="K223" s="39">
        <v>6424812.4699999997</v>
      </c>
      <c r="L223" s="39">
        <v>22816.335000000003</v>
      </c>
      <c r="M223" s="39">
        <v>2017693.7528987038</v>
      </c>
      <c r="N223" s="39">
        <v>0</v>
      </c>
      <c r="O223" s="27"/>
    </row>
    <row r="224" spans="2:15">
      <c r="B224" t="s">
        <v>25</v>
      </c>
      <c r="D224" t="s">
        <v>183</v>
      </c>
      <c r="F224" s="82">
        <f t="shared" si="22"/>
        <v>165999.03135625771</v>
      </c>
      <c r="G224" s="39">
        <v>0</v>
      </c>
      <c r="H224" s="39">
        <v>0</v>
      </c>
      <c r="I224" s="39">
        <v>0</v>
      </c>
      <c r="J224" s="39">
        <v>0</v>
      </c>
      <c r="K224" s="39">
        <v>153745.77135625773</v>
      </c>
      <c r="L224" s="39">
        <v>422.3</v>
      </c>
      <c r="M224" s="39">
        <v>0</v>
      </c>
      <c r="N224" s="39">
        <v>11830.96</v>
      </c>
      <c r="O224" s="27"/>
    </row>
    <row r="225" spans="2:15">
      <c r="B225" t="s">
        <v>26</v>
      </c>
      <c r="D225" t="s">
        <v>183</v>
      </c>
      <c r="F225" s="82">
        <f t="shared" si="22"/>
        <v>1425010.318974968</v>
      </c>
      <c r="G225" s="39">
        <v>0</v>
      </c>
      <c r="H225" s="39">
        <v>0</v>
      </c>
      <c r="I225" s="39">
        <v>0</v>
      </c>
      <c r="J225" s="39">
        <v>0</v>
      </c>
      <c r="K225" s="39">
        <v>1463222.068974968</v>
      </c>
      <c r="L225" s="39">
        <v>0</v>
      </c>
      <c r="M225" s="39">
        <v>0</v>
      </c>
      <c r="N225" s="39">
        <v>-38211.75</v>
      </c>
      <c r="O225" s="27"/>
    </row>
    <row r="226" spans="2:15">
      <c r="B226" t="s">
        <v>27</v>
      </c>
      <c r="D226" t="s">
        <v>183</v>
      </c>
      <c r="F226" s="82">
        <f t="shared" si="22"/>
        <v>0</v>
      </c>
      <c r="G226" s="39">
        <v>0</v>
      </c>
      <c r="H226" s="39">
        <v>0</v>
      </c>
      <c r="I226" s="39">
        <v>0</v>
      </c>
      <c r="J226" s="39">
        <v>0</v>
      </c>
      <c r="K226" s="39">
        <v>0</v>
      </c>
      <c r="L226" s="39">
        <v>0</v>
      </c>
      <c r="M226" s="39">
        <v>0</v>
      </c>
      <c r="N226" s="39">
        <v>0</v>
      </c>
      <c r="O226" s="27"/>
    </row>
    <row r="227" spans="2:15">
      <c r="B227" t="s">
        <v>28</v>
      </c>
      <c r="D227" t="s">
        <v>183</v>
      </c>
      <c r="F227" s="82">
        <f t="shared" si="22"/>
        <v>0</v>
      </c>
      <c r="G227" s="39">
        <v>0</v>
      </c>
      <c r="H227" s="39">
        <v>0</v>
      </c>
      <c r="I227" s="39">
        <v>0</v>
      </c>
      <c r="J227" s="39">
        <v>0</v>
      </c>
      <c r="K227" s="39">
        <v>0</v>
      </c>
      <c r="L227" s="39">
        <v>0</v>
      </c>
      <c r="M227" s="39">
        <v>0</v>
      </c>
      <c r="N227" s="39">
        <v>0</v>
      </c>
      <c r="O227" s="27"/>
    </row>
    <row r="228" spans="2:15">
      <c r="B228" t="s">
        <v>29</v>
      </c>
      <c r="D228" t="s">
        <v>183</v>
      </c>
      <c r="F228" s="82">
        <f t="shared" si="22"/>
        <v>0</v>
      </c>
      <c r="G228" s="39">
        <v>0</v>
      </c>
      <c r="H228" s="39">
        <v>0</v>
      </c>
      <c r="I228" s="39">
        <v>0</v>
      </c>
      <c r="J228" s="39">
        <v>0</v>
      </c>
      <c r="K228" s="39">
        <v>0</v>
      </c>
      <c r="L228" s="39">
        <v>0</v>
      </c>
      <c r="M228" s="39">
        <v>0</v>
      </c>
      <c r="N228" s="39">
        <v>0</v>
      </c>
      <c r="O228" s="27"/>
    </row>
    <row r="229" spans="2:15">
      <c r="F229" s="72"/>
      <c r="G229" s="36"/>
      <c r="H229" s="36"/>
      <c r="I229" s="36"/>
      <c r="J229" s="36"/>
      <c r="K229" s="36"/>
      <c r="L229" s="36"/>
      <c r="M229" s="36"/>
      <c r="N229" s="36"/>
      <c r="O229" s="27"/>
    </row>
    <row r="230" spans="2:15">
      <c r="B230" t="s">
        <v>176</v>
      </c>
      <c r="D230" t="s">
        <v>183</v>
      </c>
      <c r="F230" s="84">
        <f t="shared" ref="F230:N230" si="23">SUM(F219:F228)</f>
        <v>40757063.327936977</v>
      </c>
      <c r="G230" s="84">
        <f t="shared" si="23"/>
        <v>174431.34</v>
      </c>
      <c r="H230" s="84">
        <f t="shared" si="23"/>
        <v>514281.91915679246</v>
      </c>
      <c r="I230" s="84">
        <f t="shared" si="23"/>
        <v>509525.18021673098</v>
      </c>
      <c r="J230" s="84">
        <f t="shared" si="23"/>
        <v>14639641.02</v>
      </c>
      <c r="K230" s="84">
        <f t="shared" si="23"/>
        <v>14402983.59000011</v>
      </c>
      <c r="L230" s="84">
        <f t="shared" si="23"/>
        <v>108603.07500000001</v>
      </c>
      <c r="M230" s="84">
        <f t="shared" si="23"/>
        <v>10364493.492898703</v>
      </c>
      <c r="N230" s="84">
        <f t="shared" si="23"/>
        <v>43103.710664635611</v>
      </c>
      <c r="O230" s="27"/>
    </row>
    <row r="231" spans="2:15">
      <c r="O231" s="27"/>
    </row>
    <row r="232" spans="2:15">
      <c r="C232" s="27"/>
      <c r="O232" s="27"/>
    </row>
    <row r="233" spans="2:15">
      <c r="B233" s="3" t="s">
        <v>460</v>
      </c>
      <c r="C233" s="27"/>
      <c r="O233" s="27"/>
    </row>
    <row r="234" spans="2:15">
      <c r="B234" s="50" t="s">
        <v>461</v>
      </c>
      <c r="C234" s="27"/>
      <c r="D234" t="s">
        <v>183</v>
      </c>
      <c r="F234" s="82">
        <f>SUM(G234:N234)</f>
        <v>5801467.5088608405</v>
      </c>
      <c r="G234" s="39">
        <v>28737.208160840109</v>
      </c>
      <c r="H234" s="39">
        <v>0</v>
      </c>
      <c r="I234" s="39">
        <v>151000</v>
      </c>
      <c r="J234" s="39">
        <v>897000</v>
      </c>
      <c r="K234" s="39">
        <v>705744</v>
      </c>
      <c r="L234" s="39">
        <v>3263.3006999999998</v>
      </c>
      <c r="M234" s="39">
        <v>4000000</v>
      </c>
      <c r="N234" s="1064">
        <f>'Aanpassing gegevens (aug 2016)'!I35</f>
        <v>15723</v>
      </c>
      <c r="O234" s="27"/>
    </row>
    <row r="235" spans="2:15">
      <c r="O235" s="27"/>
    </row>
    <row r="236" spans="2:15">
      <c r="O236" s="27"/>
    </row>
    <row r="237" spans="2:15">
      <c r="B237" s="3" t="s">
        <v>76</v>
      </c>
      <c r="O237" s="27"/>
    </row>
    <row r="238" spans="2:15">
      <c r="B238" t="s">
        <v>77</v>
      </c>
      <c r="D238" t="s">
        <v>183</v>
      </c>
      <c r="F238" s="82">
        <f>SUM(G238:N238)</f>
        <v>20520.099999999999</v>
      </c>
      <c r="G238" s="39"/>
      <c r="H238" s="39"/>
      <c r="I238" s="39"/>
      <c r="J238" s="39">
        <v>18200</v>
      </c>
      <c r="K238" s="39"/>
      <c r="L238" s="39">
        <v>2320.1</v>
      </c>
      <c r="M238" s="39"/>
      <c r="N238" s="39"/>
      <c r="O238" s="27"/>
    </row>
    <row r="240" spans="2:15">
      <c r="B240" s="81"/>
    </row>
  </sheetData>
  <phoneticPr fontId="3" type="noConversion"/>
  <pageMargins left="0.74803149606299213" right="0.74803149606299213" top="0.98425196850393704" bottom="0.98425196850393704" header="0.51181102362204722" footer="0.51181102362204722"/>
  <pageSetup paperSize="9" scale="15"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enableFormatConditionsCalculation="0">
    <tabColor indexed="42"/>
  </sheetPr>
  <dimension ref="B1:P414"/>
  <sheetViews>
    <sheetView showGridLines="0" zoomScale="85" zoomScaleNormal="85" workbookViewId="0">
      <pane xSplit="4" ySplit="2" topLeftCell="E3" activePane="bottomRight" state="frozen"/>
      <selection pane="topRight"/>
      <selection pane="bottomLeft"/>
      <selection pane="bottomRight" activeCell="E3" sqref="E3"/>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8.28515625" customWidth="1"/>
    <col min="16" max="16" width="21.28515625" customWidth="1"/>
  </cols>
  <sheetData>
    <row r="1" spans="2:16" ht="12" customHeight="1"/>
    <row r="2" spans="2:16" s="1" customFormat="1" ht="18">
      <c r="B2" s="1" t="s">
        <v>40</v>
      </c>
      <c r="F2" s="47" t="s">
        <v>177</v>
      </c>
      <c r="G2" s="5" t="s">
        <v>168</v>
      </c>
      <c r="H2" s="5" t="s">
        <v>169</v>
      </c>
      <c r="I2" s="5" t="s">
        <v>170</v>
      </c>
      <c r="J2" s="5" t="s">
        <v>171</v>
      </c>
      <c r="K2" s="5" t="s">
        <v>172</v>
      </c>
      <c r="L2" s="5" t="s">
        <v>173</v>
      </c>
      <c r="M2" s="5" t="s">
        <v>174</v>
      </c>
      <c r="N2" s="5" t="s">
        <v>175</v>
      </c>
      <c r="P2" s="5" t="s">
        <v>438</v>
      </c>
    </row>
    <row r="4" spans="2:16">
      <c r="B4" s="80" t="s">
        <v>41</v>
      </c>
    </row>
    <row r="5" spans="2:16">
      <c r="B5" s="27" t="s">
        <v>14</v>
      </c>
    </row>
    <row r="6" spans="2:16">
      <c r="B6" s="27" t="s">
        <v>1138</v>
      </c>
    </row>
    <row r="8" spans="2:16">
      <c r="F8" s="4"/>
    </row>
    <row r="10" spans="2:16" s="2" customFormat="1">
      <c r="B10" s="2" t="s">
        <v>42</v>
      </c>
      <c r="F10" s="48"/>
    </row>
    <row r="12" spans="2:16">
      <c r="B12" s="3"/>
    </row>
    <row r="13" spans="2:16">
      <c r="B13" s="85" t="s">
        <v>212</v>
      </c>
    </row>
    <row r="14" spans="2:16">
      <c r="B14" s="86" t="s">
        <v>213</v>
      </c>
      <c r="D14" t="s">
        <v>164</v>
      </c>
      <c r="F14" s="82">
        <f>SUM(G14:N14)</f>
        <v>10</v>
      </c>
      <c r="G14" s="39">
        <v>0</v>
      </c>
      <c r="H14" s="39">
        <v>0</v>
      </c>
      <c r="I14" s="39">
        <v>0</v>
      </c>
      <c r="J14" s="39">
        <v>0</v>
      </c>
      <c r="K14" s="39">
        <v>8</v>
      </c>
      <c r="L14" s="39">
        <v>0</v>
      </c>
      <c r="M14" s="39">
        <v>2</v>
      </c>
      <c r="N14" s="39">
        <v>0</v>
      </c>
      <c r="P14" t="s">
        <v>490</v>
      </c>
    </row>
    <row r="15" spans="2:16">
      <c r="B15" s="86" t="s">
        <v>43</v>
      </c>
      <c r="F15" s="7"/>
      <c r="G15" s="7"/>
      <c r="H15" s="7"/>
      <c r="I15" s="7"/>
      <c r="J15" s="7"/>
      <c r="K15" s="7"/>
      <c r="L15" s="7"/>
      <c r="M15" s="7"/>
      <c r="N15" s="7"/>
    </row>
    <row r="16" spans="2:16">
      <c r="B16" s="86" t="s">
        <v>214</v>
      </c>
      <c r="D16" t="s">
        <v>164</v>
      </c>
      <c r="F16" s="82">
        <f>SUM(G16:N16)</f>
        <v>269665</v>
      </c>
      <c r="G16" s="39">
        <v>0</v>
      </c>
      <c r="H16" s="39">
        <v>0</v>
      </c>
      <c r="I16" s="39">
        <v>0</v>
      </c>
      <c r="J16" s="39">
        <v>0</v>
      </c>
      <c r="K16" s="39">
        <v>8025</v>
      </c>
      <c r="L16" s="39">
        <v>0</v>
      </c>
      <c r="M16" s="39">
        <v>261640</v>
      </c>
      <c r="N16" s="39">
        <v>0</v>
      </c>
    </row>
    <row r="17" spans="2:14">
      <c r="B17" s="86" t="s">
        <v>215</v>
      </c>
      <c r="D17" t="s">
        <v>164</v>
      </c>
      <c r="F17" s="82">
        <f>SUM(G17:N17)</f>
        <v>2819612.5714285714</v>
      </c>
      <c r="G17" s="39">
        <v>0</v>
      </c>
      <c r="H17" s="39">
        <v>0</v>
      </c>
      <c r="I17" s="39">
        <v>0</v>
      </c>
      <c r="J17" s="39">
        <v>0</v>
      </c>
      <c r="K17" s="39">
        <v>53876.571428571428</v>
      </c>
      <c r="L17" s="39">
        <v>0</v>
      </c>
      <c r="M17" s="39">
        <v>2765736</v>
      </c>
      <c r="N17" s="39">
        <v>0</v>
      </c>
    </row>
    <row r="18" spans="2:14">
      <c r="B18" s="86" t="s">
        <v>224</v>
      </c>
      <c r="F18" s="7"/>
      <c r="G18" s="7"/>
      <c r="H18" s="7"/>
      <c r="I18" s="7"/>
      <c r="J18" s="7"/>
      <c r="K18" s="7"/>
      <c r="L18" s="7"/>
      <c r="M18" s="7"/>
      <c r="N18" s="7"/>
    </row>
    <row r="19" spans="2:14">
      <c r="B19" s="86" t="s">
        <v>44</v>
      </c>
      <c r="D19" t="s">
        <v>164</v>
      </c>
      <c r="F19" s="82">
        <f>SUM(G19:N19)</f>
        <v>0</v>
      </c>
      <c r="G19" s="39">
        <v>0</v>
      </c>
      <c r="H19" s="39">
        <v>0</v>
      </c>
      <c r="I19" s="39">
        <v>0</v>
      </c>
      <c r="J19" s="39">
        <v>0</v>
      </c>
      <c r="K19" s="39">
        <v>0</v>
      </c>
      <c r="L19" s="39">
        <v>0</v>
      </c>
      <c r="M19" s="39">
        <v>0</v>
      </c>
      <c r="N19" s="39">
        <v>0</v>
      </c>
    </row>
    <row r="20" spans="2:14">
      <c r="B20" s="87"/>
    </row>
    <row r="21" spans="2:14">
      <c r="B21" s="86"/>
    </row>
    <row r="22" spans="2:14">
      <c r="B22" s="85" t="s">
        <v>216</v>
      </c>
    </row>
    <row r="23" spans="2:14">
      <c r="B23" s="86" t="s">
        <v>213</v>
      </c>
      <c r="D23" t="s">
        <v>164</v>
      </c>
      <c r="F23" s="82">
        <f>SUM(G23:N23)</f>
        <v>6</v>
      </c>
      <c r="G23" s="39">
        <v>0</v>
      </c>
      <c r="H23" s="39">
        <v>0</v>
      </c>
      <c r="I23" s="39">
        <v>0</v>
      </c>
      <c r="J23" s="39">
        <v>0</v>
      </c>
      <c r="K23" s="39">
        <v>0</v>
      </c>
      <c r="L23" s="39">
        <v>0</v>
      </c>
      <c r="M23" s="39">
        <v>6</v>
      </c>
      <c r="N23" s="39">
        <v>0</v>
      </c>
    </row>
    <row r="24" spans="2:14">
      <c r="B24" s="86" t="s">
        <v>43</v>
      </c>
      <c r="F24" s="7"/>
      <c r="G24" s="7"/>
      <c r="H24" s="7"/>
      <c r="I24" s="7"/>
      <c r="J24" s="7"/>
      <c r="K24" s="7"/>
      <c r="L24" s="7"/>
      <c r="M24" s="7"/>
      <c r="N24" s="7"/>
    </row>
    <row r="25" spans="2:14">
      <c r="B25" s="86" t="s">
        <v>214</v>
      </c>
      <c r="D25" t="s">
        <v>164</v>
      </c>
      <c r="F25" s="82">
        <f>SUM(G25:N25)</f>
        <v>24282.000000000004</v>
      </c>
      <c r="G25" s="39">
        <v>0</v>
      </c>
      <c r="H25" s="39">
        <v>0</v>
      </c>
      <c r="I25" s="39">
        <v>0</v>
      </c>
      <c r="J25" s="39">
        <v>0</v>
      </c>
      <c r="K25" s="39">
        <v>0</v>
      </c>
      <c r="L25" s="39">
        <v>0</v>
      </c>
      <c r="M25" s="39">
        <v>24282.000000000004</v>
      </c>
      <c r="N25" s="39">
        <v>0</v>
      </c>
    </row>
    <row r="26" spans="2:14">
      <c r="B26" s="86" t="s">
        <v>217</v>
      </c>
      <c r="D26" t="s">
        <v>164</v>
      </c>
      <c r="F26" s="82">
        <f>SUM(G26:N26)</f>
        <v>129184.625</v>
      </c>
      <c r="G26" s="39">
        <v>0</v>
      </c>
      <c r="H26" s="39">
        <v>0</v>
      </c>
      <c r="I26" s="39">
        <v>0</v>
      </c>
      <c r="J26" s="39">
        <v>0</v>
      </c>
      <c r="K26" s="39">
        <v>0</v>
      </c>
      <c r="L26" s="39">
        <v>0</v>
      </c>
      <c r="M26" s="39">
        <v>129184.625</v>
      </c>
      <c r="N26" s="39">
        <v>0</v>
      </c>
    </row>
    <row r="27" spans="2:14">
      <c r="B27" s="86" t="s">
        <v>224</v>
      </c>
      <c r="F27" s="7"/>
      <c r="G27" s="7"/>
      <c r="H27" s="7"/>
      <c r="I27" s="7"/>
      <c r="J27" s="7"/>
      <c r="K27" s="7"/>
      <c r="L27" s="7"/>
      <c r="M27" s="7"/>
      <c r="N27" s="7"/>
    </row>
    <row r="28" spans="2:14">
      <c r="B28" s="86" t="s">
        <v>44</v>
      </c>
      <c r="D28" t="s">
        <v>164</v>
      </c>
      <c r="F28" s="82">
        <f>SUM(G28:N28)</f>
        <v>3966653.3333333335</v>
      </c>
      <c r="G28" s="39">
        <v>0</v>
      </c>
      <c r="H28" s="39">
        <v>0</v>
      </c>
      <c r="I28" s="39">
        <v>0</v>
      </c>
      <c r="J28" s="39">
        <v>0</v>
      </c>
      <c r="K28" s="39">
        <v>0</v>
      </c>
      <c r="L28" s="39">
        <v>0</v>
      </c>
      <c r="M28" s="39">
        <v>3966653.3333333335</v>
      </c>
      <c r="N28" s="39">
        <v>0</v>
      </c>
    </row>
    <row r="29" spans="2:14">
      <c r="B29" s="87"/>
    </row>
    <row r="30" spans="2:14">
      <c r="B30" s="86"/>
    </row>
    <row r="31" spans="2:14">
      <c r="B31" s="85" t="s">
        <v>218</v>
      </c>
    </row>
    <row r="32" spans="2:14">
      <c r="B32" s="86" t="s">
        <v>213</v>
      </c>
      <c r="D32" t="s">
        <v>164</v>
      </c>
      <c r="F32" s="82">
        <f>SUM(G32:N32)</f>
        <v>79.011486667761602</v>
      </c>
      <c r="G32" s="39">
        <v>0</v>
      </c>
      <c r="H32" s="39">
        <v>1.0833333333333333</v>
      </c>
      <c r="I32" s="39">
        <v>0</v>
      </c>
      <c r="J32" s="39">
        <v>3</v>
      </c>
      <c r="K32" s="39">
        <v>12.473606232978989</v>
      </c>
      <c r="L32" s="39">
        <v>0</v>
      </c>
      <c r="M32" s="39">
        <v>62.454547101449272</v>
      </c>
      <c r="N32" s="39">
        <v>0</v>
      </c>
    </row>
    <row r="33" spans="2:14">
      <c r="B33" s="86" t="s">
        <v>43</v>
      </c>
      <c r="F33" s="7"/>
      <c r="G33" s="7"/>
      <c r="H33" s="7"/>
      <c r="I33" s="7"/>
      <c r="J33" s="7"/>
      <c r="K33" s="7"/>
      <c r="L33" s="7"/>
      <c r="M33" s="7"/>
      <c r="N33" s="7"/>
    </row>
    <row r="34" spans="2:14">
      <c r="B34" s="86" t="s">
        <v>214</v>
      </c>
      <c r="D34" t="s">
        <v>164</v>
      </c>
      <c r="F34" s="82">
        <f>SUM(G34:N34)</f>
        <v>748631.94217238179</v>
      </c>
      <c r="G34" s="39">
        <v>0</v>
      </c>
      <c r="H34" s="39">
        <v>22018.999999999996</v>
      </c>
      <c r="I34" s="39">
        <v>0</v>
      </c>
      <c r="J34" s="39">
        <v>54378.225187656382</v>
      </c>
      <c r="K34" s="39">
        <v>115955.89874325563</v>
      </c>
      <c r="L34" s="39">
        <v>0</v>
      </c>
      <c r="M34" s="39">
        <v>556278.81824146979</v>
      </c>
      <c r="N34" s="39">
        <v>0</v>
      </c>
    </row>
    <row r="35" spans="2:14">
      <c r="B35" s="86" t="s">
        <v>215</v>
      </c>
      <c r="D35" t="s">
        <v>164</v>
      </c>
      <c r="F35" s="82">
        <f>SUM(G35:N35)</f>
        <v>6935559.412514017</v>
      </c>
      <c r="G35" s="39">
        <v>0</v>
      </c>
      <c r="H35" s="39">
        <v>196972</v>
      </c>
      <c r="I35" s="39">
        <v>0</v>
      </c>
      <c r="J35" s="39">
        <v>347301.98347107437</v>
      </c>
      <c r="K35" s="39">
        <v>1142836.7055135295</v>
      </c>
      <c r="L35" s="39">
        <v>0</v>
      </c>
      <c r="M35" s="39">
        <v>5248448.7235294133</v>
      </c>
      <c r="N35" s="39">
        <v>0</v>
      </c>
    </row>
    <row r="36" spans="2:14">
      <c r="B36" s="86" t="s">
        <v>224</v>
      </c>
      <c r="F36" s="7"/>
      <c r="G36" s="7"/>
      <c r="H36" s="7"/>
      <c r="I36" s="7"/>
      <c r="J36" s="7"/>
      <c r="K36" s="7"/>
      <c r="L36" s="7"/>
      <c r="M36" s="7"/>
      <c r="N36" s="7"/>
    </row>
    <row r="37" spans="2:14">
      <c r="B37" s="86" t="s">
        <v>44</v>
      </c>
      <c r="D37" t="s">
        <v>164</v>
      </c>
      <c r="F37" s="82">
        <f>SUM(G37:N37)</f>
        <v>26320350.606060605</v>
      </c>
      <c r="G37" s="39">
        <v>0</v>
      </c>
      <c r="H37" s="39">
        <v>0</v>
      </c>
      <c r="I37" s="39">
        <v>0</v>
      </c>
      <c r="J37" s="39">
        <v>6272967.2727272725</v>
      </c>
      <c r="K37" s="39">
        <v>0</v>
      </c>
      <c r="L37" s="39">
        <v>0</v>
      </c>
      <c r="M37" s="39">
        <v>20047383.333333332</v>
      </c>
      <c r="N37" s="39">
        <v>0</v>
      </c>
    </row>
    <row r="38" spans="2:14">
      <c r="B38" s="87"/>
    </row>
    <row r="39" spans="2:14">
      <c r="B39" s="86"/>
    </row>
    <row r="40" spans="2:14">
      <c r="B40" s="85" t="s">
        <v>219</v>
      </c>
    </row>
    <row r="41" spans="2:14">
      <c r="B41" s="86" t="s">
        <v>213</v>
      </c>
      <c r="D41" t="s">
        <v>164</v>
      </c>
      <c r="F41" s="82">
        <f>SUM(G41:N41)</f>
        <v>24</v>
      </c>
      <c r="G41" s="39">
        <v>0</v>
      </c>
      <c r="H41" s="39">
        <v>0</v>
      </c>
      <c r="I41" s="39">
        <v>0</v>
      </c>
      <c r="J41" s="39">
        <v>1</v>
      </c>
      <c r="K41" s="39">
        <v>12</v>
      </c>
      <c r="L41" s="39">
        <v>0</v>
      </c>
      <c r="M41" s="39">
        <v>11</v>
      </c>
      <c r="N41" s="39">
        <v>0</v>
      </c>
    </row>
    <row r="42" spans="2:14">
      <c r="B42" s="86" t="s">
        <v>43</v>
      </c>
      <c r="F42" s="7"/>
      <c r="G42" s="7"/>
      <c r="H42" s="7"/>
      <c r="I42" s="7"/>
      <c r="J42" s="7"/>
      <c r="K42" s="7"/>
      <c r="L42" s="7"/>
      <c r="M42" s="7"/>
      <c r="N42" s="7"/>
    </row>
    <row r="43" spans="2:14">
      <c r="B43" s="86" t="s">
        <v>214</v>
      </c>
      <c r="D43" t="s">
        <v>164</v>
      </c>
      <c r="F43" s="82">
        <f>SUM(G43:N43)</f>
        <v>371117.31758530188</v>
      </c>
      <c r="G43" s="39">
        <v>0</v>
      </c>
      <c r="H43" s="39">
        <v>0</v>
      </c>
      <c r="I43" s="39">
        <v>0</v>
      </c>
      <c r="J43" s="39">
        <v>5072</v>
      </c>
      <c r="K43" s="39">
        <v>69147.5</v>
      </c>
      <c r="L43" s="39">
        <v>0</v>
      </c>
      <c r="M43" s="39">
        <v>296897.81758530188</v>
      </c>
      <c r="N43" s="39">
        <v>0</v>
      </c>
    </row>
    <row r="44" spans="2:14">
      <c r="B44" s="86" t="s">
        <v>217</v>
      </c>
      <c r="D44" t="s">
        <v>164</v>
      </c>
      <c r="F44" s="82">
        <f>SUM(G44:N44)</f>
        <v>3164824.822804315</v>
      </c>
      <c r="G44" s="39">
        <v>0</v>
      </c>
      <c r="H44" s="39">
        <v>0</v>
      </c>
      <c r="I44" s="39">
        <v>0</v>
      </c>
      <c r="J44" s="39">
        <v>35083.63636363636</v>
      </c>
      <c r="K44" s="39">
        <v>1017475</v>
      </c>
      <c r="L44" s="39">
        <v>0</v>
      </c>
      <c r="M44" s="39">
        <v>2112266.1864406783</v>
      </c>
      <c r="N44" s="39">
        <v>0</v>
      </c>
    </row>
    <row r="45" spans="2:14">
      <c r="B45" s="86" t="s">
        <v>224</v>
      </c>
      <c r="F45" s="7"/>
      <c r="G45" s="7"/>
      <c r="H45" s="7"/>
      <c r="I45" s="7"/>
      <c r="J45" s="7"/>
      <c r="K45" s="7"/>
      <c r="L45" s="7"/>
      <c r="M45" s="7"/>
      <c r="N45" s="7"/>
    </row>
    <row r="46" spans="2:14">
      <c r="B46" s="86" t="s">
        <v>44</v>
      </c>
      <c r="D46" t="s">
        <v>164</v>
      </c>
      <c r="F46" s="82">
        <f>SUM(G46:N46)</f>
        <v>1610272.7272727273</v>
      </c>
      <c r="G46" s="39">
        <v>0</v>
      </c>
      <c r="H46" s="39">
        <v>0</v>
      </c>
      <c r="I46" s="39">
        <v>0</v>
      </c>
      <c r="J46" s="39">
        <v>1381912.7272727273</v>
      </c>
      <c r="K46" s="39">
        <v>0</v>
      </c>
      <c r="L46" s="39">
        <v>0</v>
      </c>
      <c r="M46" s="39">
        <v>228359.99999999997</v>
      </c>
      <c r="N46" s="39">
        <v>0</v>
      </c>
    </row>
    <row r="47" spans="2:14">
      <c r="B47" s="87"/>
    </row>
    <row r="48" spans="2:14">
      <c r="B48" s="86"/>
    </row>
    <row r="49" spans="2:14">
      <c r="B49" s="85" t="s">
        <v>220</v>
      </c>
    </row>
    <row r="50" spans="2:14">
      <c r="B50" s="86" t="s">
        <v>213</v>
      </c>
      <c r="D50" t="s">
        <v>164</v>
      </c>
      <c r="F50" s="82">
        <f>SUM(G50:N50)</f>
        <v>624.71060468476855</v>
      </c>
      <c r="G50" s="39">
        <v>0</v>
      </c>
      <c r="H50" s="39">
        <v>42</v>
      </c>
      <c r="I50" s="39">
        <v>0.99665730090209637</v>
      </c>
      <c r="J50" s="39">
        <v>177.25550197628456</v>
      </c>
      <c r="K50" s="39">
        <v>296.34178236410361</v>
      </c>
      <c r="L50" s="39">
        <v>0</v>
      </c>
      <c r="M50" s="39">
        <v>106.99999637681159</v>
      </c>
      <c r="N50" s="39">
        <v>1.1166666666666667</v>
      </c>
    </row>
    <row r="51" spans="2:14">
      <c r="B51" s="86" t="s">
        <v>43</v>
      </c>
      <c r="F51" s="7"/>
      <c r="G51" s="7"/>
      <c r="H51" s="7"/>
      <c r="I51" s="7"/>
      <c r="J51" s="7"/>
      <c r="K51" s="7"/>
      <c r="L51" s="7"/>
      <c r="M51" s="7"/>
      <c r="N51" s="7"/>
    </row>
    <row r="52" spans="2:14">
      <c r="B52" s="86" t="s">
        <v>214</v>
      </c>
      <c r="D52" t="s">
        <v>164</v>
      </c>
      <c r="F52" s="82">
        <f>SUM(G52:N52)</f>
        <v>2840287.1833041203</v>
      </c>
      <c r="G52" s="39">
        <v>0</v>
      </c>
      <c r="H52" s="39">
        <v>74330.166666666657</v>
      </c>
      <c r="I52" s="39">
        <v>14935.6968584645</v>
      </c>
      <c r="J52" s="39">
        <v>1316544.5550110263</v>
      </c>
      <c r="K52" s="39">
        <v>1023162.8864346296</v>
      </c>
      <c r="L52" s="39">
        <v>0</v>
      </c>
      <c r="M52" s="39">
        <v>392978.54500000004</v>
      </c>
      <c r="N52" s="39">
        <v>18335.333333333332</v>
      </c>
    </row>
    <row r="53" spans="2:14">
      <c r="B53" s="86" t="s">
        <v>215</v>
      </c>
      <c r="D53" t="s">
        <v>164</v>
      </c>
      <c r="F53" s="82">
        <f>SUM(G53:N53)</f>
        <v>27081888.754755691</v>
      </c>
      <c r="G53" s="39">
        <v>0</v>
      </c>
      <c r="H53" s="39">
        <v>435330.8571428571</v>
      </c>
      <c r="I53" s="39">
        <v>161377.4927345636</v>
      </c>
      <c r="J53" s="39">
        <v>13085783.290161889</v>
      </c>
      <c r="K53" s="39">
        <v>9580235.3677114453</v>
      </c>
      <c r="L53" s="39">
        <v>0</v>
      </c>
      <c r="M53" s="39">
        <v>3640770.5454545454</v>
      </c>
      <c r="N53" s="39">
        <v>178391.2015503876</v>
      </c>
    </row>
    <row r="54" spans="2:14">
      <c r="B54" s="86" t="s">
        <v>224</v>
      </c>
      <c r="F54" s="7"/>
      <c r="G54" s="7"/>
      <c r="H54" s="7"/>
      <c r="I54" s="7"/>
      <c r="J54" s="7"/>
      <c r="K54" s="7"/>
      <c r="L54" s="7"/>
      <c r="M54" s="7"/>
      <c r="N54" s="7"/>
    </row>
    <row r="55" spans="2:14">
      <c r="B55" s="86" t="s">
        <v>44</v>
      </c>
      <c r="D55" t="s">
        <v>164</v>
      </c>
      <c r="F55" s="82">
        <f>SUM(G55:N55)</f>
        <v>58755437.121212125</v>
      </c>
      <c r="G55" s="39">
        <v>0</v>
      </c>
      <c r="H55" s="39">
        <v>0</v>
      </c>
      <c r="I55" s="39">
        <v>0</v>
      </c>
      <c r="J55" s="39">
        <v>46422245.454545453</v>
      </c>
      <c r="K55" s="39">
        <v>0</v>
      </c>
      <c r="L55" s="39">
        <v>0</v>
      </c>
      <c r="M55" s="39">
        <v>12333191.666666668</v>
      </c>
      <c r="N55" s="39">
        <v>0</v>
      </c>
    </row>
    <row r="56" spans="2:14">
      <c r="B56" s="87"/>
    </row>
    <row r="57" spans="2:14">
      <c r="B57" s="86"/>
    </row>
    <row r="58" spans="2:14">
      <c r="B58" s="85" t="s">
        <v>221</v>
      </c>
    </row>
    <row r="59" spans="2:14">
      <c r="B59" s="86" t="s">
        <v>213</v>
      </c>
      <c r="D59" t="s">
        <v>164</v>
      </c>
      <c r="F59" s="82">
        <f>SUM(G59:N59)</f>
        <v>29.31818181818182</v>
      </c>
      <c r="G59" s="39">
        <v>0</v>
      </c>
      <c r="H59" s="39">
        <v>1</v>
      </c>
      <c r="I59" s="39">
        <v>0</v>
      </c>
      <c r="J59" s="39">
        <v>12.818181818181818</v>
      </c>
      <c r="K59" s="39">
        <v>13.5</v>
      </c>
      <c r="L59" s="39">
        <v>0</v>
      </c>
      <c r="M59" s="39">
        <v>2</v>
      </c>
      <c r="N59" s="39">
        <v>0</v>
      </c>
    </row>
    <row r="60" spans="2:14">
      <c r="B60" s="86" t="s">
        <v>43</v>
      </c>
      <c r="F60" s="7"/>
      <c r="G60" s="7"/>
      <c r="H60" s="7"/>
      <c r="I60" s="7"/>
      <c r="J60" s="7"/>
      <c r="K60" s="7"/>
      <c r="L60" s="7"/>
      <c r="M60" s="7"/>
      <c r="N60" s="7"/>
    </row>
    <row r="61" spans="2:14">
      <c r="B61" s="86" t="s">
        <v>214</v>
      </c>
      <c r="D61" t="s">
        <v>164</v>
      </c>
      <c r="F61" s="82">
        <f>SUM(G61:N61)</f>
        <v>144484.97524898581</v>
      </c>
      <c r="G61" s="39">
        <v>0</v>
      </c>
      <c r="H61" s="39">
        <v>9116.0000000000036</v>
      </c>
      <c r="I61" s="39">
        <v>0</v>
      </c>
      <c r="J61" s="39">
        <v>93636.71747120803</v>
      </c>
      <c r="K61" s="39">
        <v>31667.166666666664</v>
      </c>
      <c r="L61" s="39">
        <v>0</v>
      </c>
      <c r="M61" s="39">
        <v>10065.091111111113</v>
      </c>
      <c r="N61" s="39">
        <v>0</v>
      </c>
    </row>
    <row r="62" spans="2:14">
      <c r="B62" s="86" t="s">
        <v>217</v>
      </c>
      <c r="D62" t="s">
        <v>164</v>
      </c>
      <c r="F62" s="82">
        <f>SUM(G62:N62)</f>
        <v>2051166.204477875</v>
      </c>
      <c r="G62" s="39">
        <v>0</v>
      </c>
      <c r="H62" s="39">
        <v>137621.14285714287</v>
      </c>
      <c r="I62" s="39">
        <v>0</v>
      </c>
      <c r="J62" s="39">
        <v>1254540.8770053475</v>
      </c>
      <c r="K62" s="39">
        <v>429466</v>
      </c>
      <c r="L62" s="39">
        <v>0</v>
      </c>
      <c r="M62" s="39">
        <v>229538.18461538461</v>
      </c>
      <c r="N62" s="39">
        <v>0</v>
      </c>
    </row>
    <row r="63" spans="2:14">
      <c r="B63" s="86" t="s">
        <v>224</v>
      </c>
      <c r="F63" s="7"/>
      <c r="G63" s="7"/>
      <c r="H63" s="7"/>
      <c r="I63" s="7"/>
      <c r="J63" s="7"/>
      <c r="K63" s="7"/>
      <c r="L63" s="7"/>
      <c r="M63" s="7"/>
      <c r="N63" s="7"/>
    </row>
    <row r="64" spans="2:14">
      <c r="B64" s="86" t="s">
        <v>44</v>
      </c>
      <c r="D64" t="s">
        <v>164</v>
      </c>
      <c r="F64" s="82">
        <f>SUM(G64:N64)</f>
        <v>3453165.4545454541</v>
      </c>
      <c r="G64" s="39">
        <v>0</v>
      </c>
      <c r="H64" s="39">
        <v>0</v>
      </c>
      <c r="I64" s="39">
        <v>0</v>
      </c>
      <c r="J64" s="39">
        <v>3453165.4545454541</v>
      </c>
      <c r="K64" s="39">
        <v>0</v>
      </c>
      <c r="L64" s="39">
        <v>0</v>
      </c>
      <c r="M64" s="39">
        <v>0</v>
      </c>
      <c r="N64" s="39">
        <v>0</v>
      </c>
    </row>
    <row r="65" spans="2:14">
      <c r="B65" s="87"/>
    </row>
    <row r="66" spans="2:14">
      <c r="B66" s="86"/>
    </row>
    <row r="67" spans="2:14">
      <c r="B67" s="85" t="s">
        <v>210</v>
      </c>
    </row>
    <row r="68" spans="2:14">
      <c r="B68" s="86" t="s">
        <v>213</v>
      </c>
      <c r="D68" t="s">
        <v>164</v>
      </c>
      <c r="F68" s="82">
        <f>SUM(G68:N68)</f>
        <v>250.1648343039125</v>
      </c>
      <c r="G68" s="39">
        <v>0</v>
      </c>
      <c r="H68" s="39">
        <v>0</v>
      </c>
      <c r="I68" s="39">
        <v>3.986448404098025</v>
      </c>
      <c r="J68" s="39">
        <v>245.17838589981449</v>
      </c>
      <c r="K68" s="39">
        <v>0</v>
      </c>
      <c r="L68" s="39">
        <v>1</v>
      </c>
      <c r="M68" s="39">
        <v>0</v>
      </c>
      <c r="N68" s="39">
        <v>0</v>
      </c>
    </row>
    <row r="69" spans="2:14">
      <c r="B69" s="86" t="s">
        <v>223</v>
      </c>
      <c r="D69" t="s">
        <v>164</v>
      </c>
      <c r="F69" s="82">
        <f>SUM(G69:N69)</f>
        <v>719364.74483901332</v>
      </c>
      <c r="G69" s="39">
        <v>0</v>
      </c>
      <c r="H69" s="39">
        <v>0</v>
      </c>
      <c r="I69" s="39">
        <v>22689.79752683203</v>
      </c>
      <c r="J69" s="39">
        <v>689684.94731218135</v>
      </c>
      <c r="K69" s="39">
        <v>0</v>
      </c>
      <c r="L69" s="39">
        <v>6990</v>
      </c>
      <c r="M69" s="39">
        <v>0</v>
      </c>
      <c r="N69" s="39">
        <v>0</v>
      </c>
    </row>
    <row r="70" spans="2:14">
      <c r="B70" s="86" t="s">
        <v>215</v>
      </c>
      <c r="D70" t="s">
        <v>164</v>
      </c>
      <c r="F70" s="82">
        <f>SUM(G70:N70)</f>
        <v>6882412.804132631</v>
      </c>
      <c r="G70" s="39">
        <v>0</v>
      </c>
      <c r="H70" s="39">
        <v>0</v>
      </c>
      <c r="I70" s="39">
        <v>250071.45833823923</v>
      </c>
      <c r="J70" s="39">
        <v>6559230.3457943918</v>
      </c>
      <c r="K70" s="39">
        <v>0</v>
      </c>
      <c r="L70" s="39">
        <v>73111</v>
      </c>
      <c r="M70" s="39">
        <v>0</v>
      </c>
      <c r="N70" s="39">
        <v>0</v>
      </c>
    </row>
    <row r="71" spans="2:14">
      <c r="B71" s="86" t="s">
        <v>224</v>
      </c>
      <c r="D71" t="s">
        <v>164</v>
      </c>
      <c r="F71" s="82">
        <f>SUM(G71:N71)</f>
        <v>2666411255.9762263</v>
      </c>
      <c r="G71" s="39">
        <v>0</v>
      </c>
      <c r="H71" s="39">
        <v>0</v>
      </c>
      <c r="I71" s="39">
        <v>92566296.634234741</v>
      </c>
      <c r="J71" s="39">
        <v>2569025691.3419914</v>
      </c>
      <c r="K71" s="39">
        <v>0</v>
      </c>
      <c r="L71" s="39">
        <v>4819268</v>
      </c>
      <c r="M71" s="39">
        <v>0</v>
      </c>
      <c r="N71" s="39">
        <v>0</v>
      </c>
    </row>
    <row r="72" spans="2:14">
      <c r="B72" s="86" t="s">
        <v>44</v>
      </c>
      <c r="D72" t="s">
        <v>164</v>
      </c>
      <c r="F72" s="82">
        <f>SUM(G72:N72)</f>
        <v>56064187.272727273</v>
      </c>
      <c r="G72" s="39">
        <v>0</v>
      </c>
      <c r="H72" s="39">
        <v>0</v>
      </c>
      <c r="I72" s="39">
        <v>0</v>
      </c>
      <c r="J72" s="39">
        <v>56064187.272727273</v>
      </c>
      <c r="K72" s="39">
        <v>0</v>
      </c>
      <c r="L72" s="39">
        <v>0</v>
      </c>
      <c r="M72" s="39">
        <v>0</v>
      </c>
      <c r="N72" s="39">
        <v>0</v>
      </c>
    </row>
    <row r="73" spans="2:14">
      <c r="B73" s="87"/>
    </row>
    <row r="74" spans="2:14">
      <c r="B74" s="87"/>
    </row>
    <row r="75" spans="2:14">
      <c r="B75" s="85" t="s">
        <v>211</v>
      </c>
    </row>
    <row r="76" spans="2:14">
      <c r="B76" s="86" t="s">
        <v>213</v>
      </c>
      <c r="D76" t="s">
        <v>164</v>
      </c>
      <c r="F76" s="82">
        <f>SUM(G76:N76)</f>
        <v>22512.427957897951</v>
      </c>
      <c r="G76" s="39">
        <v>30</v>
      </c>
      <c r="H76" s="39">
        <v>400.75000000000006</v>
      </c>
      <c r="I76" s="39">
        <v>583.29208075729707</v>
      </c>
      <c r="J76" s="39">
        <v>9154.1289053803339</v>
      </c>
      <c r="K76" s="39">
        <v>9008.6810987444478</v>
      </c>
      <c r="L76" s="39">
        <v>17.73</v>
      </c>
      <c r="M76" s="39">
        <v>3047.8181859410429</v>
      </c>
      <c r="N76" s="39">
        <v>270.02768707482994</v>
      </c>
    </row>
    <row r="77" spans="2:14">
      <c r="B77" s="86" t="s">
        <v>223</v>
      </c>
      <c r="D77" t="s">
        <v>164</v>
      </c>
      <c r="F77" s="82">
        <f>SUM(G77:N77)</f>
        <v>8648319.3151410948</v>
      </c>
      <c r="G77" s="39">
        <v>31457</v>
      </c>
      <c r="H77" s="39">
        <v>177244.41666666669</v>
      </c>
      <c r="I77" s="39">
        <v>152716.89854458001</v>
      </c>
      <c r="J77" s="39">
        <v>2946866.3987718411</v>
      </c>
      <c r="K77" s="39">
        <v>3194870.5431922991</v>
      </c>
      <c r="L77" s="39">
        <v>21018</v>
      </c>
      <c r="M77" s="39">
        <v>1864125.5468164799</v>
      </c>
      <c r="N77" s="39">
        <v>260020.51114922811</v>
      </c>
    </row>
    <row r="78" spans="2:14">
      <c r="B78" s="86" t="s">
        <v>215</v>
      </c>
      <c r="D78" t="s">
        <v>164</v>
      </c>
      <c r="F78" s="82">
        <f>SUM(G78:N78)</f>
        <v>72278906.415101692</v>
      </c>
      <c r="G78" s="39">
        <v>322886</v>
      </c>
      <c r="H78" s="39">
        <v>1458129</v>
      </c>
      <c r="I78" s="39">
        <v>1184984.3576887576</v>
      </c>
      <c r="J78" s="39">
        <v>26120456.888257578</v>
      </c>
      <c r="K78" s="39">
        <v>26904835.058671664</v>
      </c>
      <c r="L78" s="39">
        <v>201386</v>
      </c>
      <c r="M78" s="39">
        <v>14200155.36551724</v>
      </c>
      <c r="N78" s="39">
        <v>1886073.7449664432</v>
      </c>
    </row>
    <row r="79" spans="2:14">
      <c r="B79" s="86" t="s">
        <v>224</v>
      </c>
      <c r="D79" t="s">
        <v>164</v>
      </c>
      <c r="F79" s="82">
        <f>SUM(G79:N79)</f>
        <v>22913553358.652435</v>
      </c>
      <c r="G79" s="39">
        <v>109111499</v>
      </c>
      <c r="H79" s="39">
        <v>460008638.55921054</v>
      </c>
      <c r="I79" s="39">
        <v>397691192.8137176</v>
      </c>
      <c r="J79" s="39">
        <v>7946310326.2869663</v>
      </c>
      <c r="K79" s="39">
        <v>8720106593.8239975</v>
      </c>
      <c r="L79" s="39">
        <v>73450339</v>
      </c>
      <c r="M79" s="39">
        <v>4722846865.168539</v>
      </c>
      <c r="N79" s="39">
        <v>484027904</v>
      </c>
    </row>
    <row r="80" spans="2:14">
      <c r="B80" s="86" t="s">
        <v>44</v>
      </c>
      <c r="D80" t="s">
        <v>164</v>
      </c>
      <c r="F80" s="82">
        <f>SUM(G80:N80)</f>
        <v>313941381.54062188</v>
      </c>
      <c r="G80" s="39">
        <v>1508631</v>
      </c>
      <c r="H80" s="39">
        <v>0</v>
      </c>
      <c r="I80" s="39">
        <v>5345962.7224401124</v>
      </c>
      <c r="J80" s="39">
        <v>248060746.81818178</v>
      </c>
      <c r="K80" s="39">
        <v>0</v>
      </c>
      <c r="L80" s="39">
        <v>1070076</v>
      </c>
      <c r="M80" s="39">
        <v>57955964.999999993</v>
      </c>
      <c r="N80" s="39">
        <v>0</v>
      </c>
    </row>
    <row r="81" spans="2:14">
      <c r="B81" s="87"/>
    </row>
    <row r="82" spans="2:14">
      <c r="B82" s="86"/>
    </row>
    <row r="83" spans="2:14">
      <c r="B83" s="85" t="s">
        <v>226</v>
      </c>
    </row>
    <row r="84" spans="2:14">
      <c r="B84" s="86" t="s">
        <v>213</v>
      </c>
      <c r="D84" t="s">
        <v>164</v>
      </c>
      <c r="F84" s="82">
        <f>SUM(G84:N84)</f>
        <v>40156.941918832847</v>
      </c>
      <c r="G84" s="39">
        <v>209</v>
      </c>
      <c r="H84" s="39">
        <v>1444.9166666666665</v>
      </c>
      <c r="I84" s="39">
        <v>656.87492768387926</v>
      </c>
      <c r="J84" s="39">
        <v>14388.939066171924</v>
      </c>
      <c r="K84" s="39">
        <v>13388.265022482712</v>
      </c>
      <c r="L84" s="39">
        <v>134.06</v>
      </c>
      <c r="M84" s="39">
        <v>8874.727278911565</v>
      </c>
      <c r="N84" s="39">
        <v>1060.1589569160999</v>
      </c>
    </row>
    <row r="85" spans="2:14">
      <c r="B85" s="86" t="s">
        <v>223</v>
      </c>
      <c r="D85" t="s">
        <v>164</v>
      </c>
      <c r="F85" s="82">
        <f>SUM(G85:N85)</f>
        <v>3849979.4014646895</v>
      </c>
      <c r="G85" s="39">
        <v>41068</v>
      </c>
      <c r="H85" s="39">
        <v>138825.66666666666</v>
      </c>
      <c r="I85" s="39">
        <v>39237.062418822061</v>
      </c>
      <c r="J85" s="39">
        <v>1053288.6662373275</v>
      </c>
      <c r="K85" s="39">
        <v>1189134.1860904596</v>
      </c>
      <c r="L85" s="39">
        <v>22547</v>
      </c>
      <c r="M85" s="39">
        <v>1152164</v>
      </c>
      <c r="N85" s="39">
        <v>213714.8200514139</v>
      </c>
    </row>
    <row r="86" spans="2:14">
      <c r="B86" s="86" t="s">
        <v>215</v>
      </c>
      <c r="D86" t="s">
        <v>164</v>
      </c>
      <c r="F86" s="82">
        <f>SUM(G86:N86)</f>
        <v>28921861.577609312</v>
      </c>
      <c r="G86" s="39">
        <v>362639</v>
      </c>
      <c r="H86" s="39">
        <v>1059003.92</v>
      </c>
      <c r="I86" s="39">
        <v>260076.28065434218</v>
      </c>
      <c r="J86" s="39">
        <v>8343391.2500000009</v>
      </c>
      <c r="K86" s="39">
        <v>9152817.0006416142</v>
      </c>
      <c r="L86" s="39">
        <v>216002</v>
      </c>
      <c r="M86" s="39">
        <v>7944104.4551724149</v>
      </c>
      <c r="N86" s="39">
        <v>1583827.6711409392</v>
      </c>
    </row>
    <row r="87" spans="2:14">
      <c r="B87" s="86" t="s">
        <v>224</v>
      </c>
      <c r="D87" t="s">
        <v>164</v>
      </c>
      <c r="F87" s="82">
        <f>SUM(G87:N87)</f>
        <v>7933557544.5842438</v>
      </c>
      <c r="G87" s="39">
        <v>96969671</v>
      </c>
      <c r="H87" s="39">
        <v>276822280.38947374</v>
      </c>
      <c r="I87" s="39">
        <v>70318119.05381988</v>
      </c>
      <c r="J87" s="39">
        <v>2187557610.0766702</v>
      </c>
      <c r="K87" s="39">
        <v>2533771483.7609086</v>
      </c>
      <c r="L87" s="39">
        <v>55742080</v>
      </c>
      <c r="M87" s="39">
        <v>2292733357.303371</v>
      </c>
      <c r="N87" s="39">
        <v>419642943</v>
      </c>
    </row>
    <row r="88" spans="2:14">
      <c r="B88" s="86" t="s">
        <v>44</v>
      </c>
      <c r="D88" t="s">
        <v>164</v>
      </c>
      <c r="F88" s="82">
        <f>SUM(G88:N88)</f>
        <v>29319231.540963151</v>
      </c>
      <c r="G88" s="39">
        <v>1087461</v>
      </c>
      <c r="H88" s="39">
        <v>0</v>
      </c>
      <c r="I88" s="39">
        <v>165552.66217527151</v>
      </c>
      <c r="J88" s="39">
        <v>12380964.545454549</v>
      </c>
      <c r="K88" s="39">
        <v>0</v>
      </c>
      <c r="L88" s="39">
        <v>860895</v>
      </c>
      <c r="M88" s="39">
        <v>14824358.333333332</v>
      </c>
      <c r="N88" s="39">
        <v>0</v>
      </c>
    </row>
    <row r="89" spans="2:14">
      <c r="B89" s="87"/>
    </row>
    <row r="90" spans="2:14">
      <c r="B90" s="86"/>
    </row>
    <row r="91" spans="2:14">
      <c r="B91" s="85" t="s">
        <v>227</v>
      </c>
    </row>
    <row r="92" spans="2:14">
      <c r="B92" s="86" t="s">
        <v>213</v>
      </c>
      <c r="D92" t="s">
        <v>164</v>
      </c>
      <c r="F92" s="82">
        <f>SUM(G92:N92)</f>
        <v>16936.664586462699</v>
      </c>
      <c r="G92" s="39">
        <v>305</v>
      </c>
      <c r="H92" s="39">
        <v>352.41666666666669</v>
      </c>
      <c r="I92" s="39">
        <v>0</v>
      </c>
      <c r="J92" s="39">
        <v>3129.8296969696976</v>
      </c>
      <c r="K92" s="39">
        <v>5828.2165561596657</v>
      </c>
      <c r="L92" s="39">
        <v>122.1</v>
      </c>
      <c r="M92" s="39">
        <v>7132.4544444444437</v>
      </c>
      <c r="N92" s="39">
        <v>66.647222222222226</v>
      </c>
    </row>
    <row r="93" spans="2:14">
      <c r="B93" s="86" t="s">
        <v>223</v>
      </c>
      <c r="D93" t="s">
        <v>164</v>
      </c>
      <c r="F93" s="82">
        <f>SUM(G93:N93)</f>
        <v>963106.01171775942</v>
      </c>
      <c r="G93" s="39">
        <v>23504</v>
      </c>
      <c r="H93" s="39">
        <v>17433</v>
      </c>
      <c r="I93" s="39">
        <v>0</v>
      </c>
      <c r="J93" s="39">
        <v>101691.90927873777</v>
      </c>
      <c r="K93" s="39">
        <v>211016.96094178432</v>
      </c>
      <c r="L93" s="39">
        <v>7633</v>
      </c>
      <c r="M93" s="39">
        <v>597518.45720720722</v>
      </c>
      <c r="N93" s="39">
        <v>4308.6842900302127</v>
      </c>
    </row>
    <row r="94" spans="2:14">
      <c r="B94" s="86" t="s">
        <v>228</v>
      </c>
      <c r="D94" t="s">
        <v>164</v>
      </c>
      <c r="F94" s="82">
        <f>SUM(G94:N94)</f>
        <v>621881936.41200149</v>
      </c>
      <c r="G94" s="39">
        <v>14822263</v>
      </c>
      <c r="H94" s="39">
        <v>8303103.0138157895</v>
      </c>
      <c r="I94" s="39">
        <v>0</v>
      </c>
      <c r="J94" s="39">
        <v>66532794.177064769</v>
      </c>
      <c r="K94" s="39">
        <v>158785264.15167654</v>
      </c>
      <c r="L94" s="39">
        <v>5947722</v>
      </c>
      <c r="M94" s="39">
        <v>363883700.625</v>
      </c>
      <c r="N94" s="39">
        <v>3607089.444444445</v>
      </c>
    </row>
    <row r="95" spans="2:14">
      <c r="B95" s="86" t="s">
        <v>224</v>
      </c>
      <c r="D95" t="s">
        <v>164</v>
      </c>
      <c r="F95" s="82">
        <f>SUM(G95:N95)</f>
        <v>987281577.52621591</v>
      </c>
      <c r="G95" s="39">
        <v>29058707</v>
      </c>
      <c r="H95" s="39">
        <v>11040413.394078949</v>
      </c>
      <c r="I95" s="39">
        <v>0</v>
      </c>
      <c r="J95" s="39">
        <v>101213575.45764814</v>
      </c>
      <c r="K95" s="39">
        <v>242915658.71953067</v>
      </c>
      <c r="L95" s="39">
        <v>11855582</v>
      </c>
      <c r="M95" s="39">
        <v>586466125.3125</v>
      </c>
      <c r="N95" s="39">
        <v>4731515.6424580999</v>
      </c>
    </row>
    <row r="96" spans="2:14">
      <c r="B96" s="86" t="s">
        <v>44</v>
      </c>
      <c r="D96" t="s">
        <v>164</v>
      </c>
      <c r="F96" s="82">
        <f>SUM(G96:N96)</f>
        <v>10168502.666666666</v>
      </c>
      <c r="G96" s="39">
        <v>632422</v>
      </c>
      <c r="H96" s="39">
        <v>0</v>
      </c>
      <c r="I96" s="39">
        <v>0</v>
      </c>
      <c r="J96" s="39">
        <v>1481.6666666666667</v>
      </c>
      <c r="K96" s="39">
        <v>0</v>
      </c>
      <c r="L96" s="39">
        <v>370744</v>
      </c>
      <c r="M96" s="39">
        <v>9163855</v>
      </c>
      <c r="N96" s="39">
        <v>0</v>
      </c>
    </row>
    <row r="97" spans="2:14">
      <c r="B97" s="87"/>
    </row>
    <row r="98" spans="2:14">
      <c r="B98" s="86"/>
    </row>
    <row r="99" spans="2:14">
      <c r="B99" s="85" t="s">
        <v>229</v>
      </c>
    </row>
    <row r="100" spans="2:14">
      <c r="B100" s="86" t="s">
        <v>230</v>
      </c>
      <c r="D100" t="s">
        <v>164</v>
      </c>
      <c r="F100" s="82">
        <f>SUM(G100:N100)</f>
        <v>2598297.5850294596</v>
      </c>
      <c r="G100" s="39">
        <v>22611</v>
      </c>
      <c r="H100" s="39">
        <v>84946</v>
      </c>
      <c r="I100" s="39">
        <v>43451.231434195404</v>
      </c>
      <c r="J100" s="39">
        <v>1062646.7104377104</v>
      </c>
      <c r="K100" s="39">
        <v>772155.86702324392</v>
      </c>
      <c r="L100" s="39">
        <v>18103</v>
      </c>
      <c r="M100" s="39">
        <v>569974.49999999988</v>
      </c>
      <c r="N100" s="39">
        <v>24409.276134309901</v>
      </c>
    </row>
    <row r="101" spans="2:14">
      <c r="B101" s="86" t="s">
        <v>231</v>
      </c>
      <c r="D101" t="s">
        <v>164</v>
      </c>
      <c r="F101" s="82">
        <f>SUM(G101:N101)</f>
        <v>7721143.8795174826</v>
      </c>
      <c r="G101" s="39">
        <v>51953</v>
      </c>
      <c r="H101" s="39">
        <v>202530.66666666666</v>
      </c>
      <c r="I101" s="39">
        <v>102534.11035590449</v>
      </c>
      <c r="J101" s="39">
        <v>2529420.9846499716</v>
      </c>
      <c r="K101" s="39">
        <v>2821905.2306559691</v>
      </c>
      <c r="L101" s="39">
        <v>30881.599999999999</v>
      </c>
      <c r="M101" s="39">
        <v>1930165.1816666664</v>
      </c>
      <c r="N101" s="39">
        <v>51753.105522305159</v>
      </c>
    </row>
    <row r="102" spans="2:14">
      <c r="B102" s="87"/>
    </row>
    <row r="103" spans="2:14">
      <c r="B103" s="86"/>
    </row>
    <row r="104" spans="2:14">
      <c r="B104" s="85" t="s">
        <v>45</v>
      </c>
    </row>
    <row r="105" spans="2:14">
      <c r="B105" s="86" t="s">
        <v>233</v>
      </c>
      <c r="D105" t="s">
        <v>164</v>
      </c>
      <c r="F105" s="82">
        <f t="shared" ref="F105:F110" si="0">SUM(G105:N105)</f>
        <v>43179.747164681146</v>
      </c>
      <c r="G105" s="39">
        <v>246</v>
      </c>
      <c r="H105" s="39">
        <v>1128.9999999999998</v>
      </c>
      <c r="I105" s="39">
        <v>108.83069295116243</v>
      </c>
      <c r="J105" s="39">
        <v>16901.304398226257</v>
      </c>
      <c r="K105" s="39">
        <v>16536.84176890368</v>
      </c>
      <c r="L105" s="39">
        <v>173.8</v>
      </c>
      <c r="M105" s="39">
        <v>7452.5278250993751</v>
      </c>
      <c r="N105" s="39">
        <v>631.44247950067324</v>
      </c>
    </row>
    <row r="106" spans="2:14">
      <c r="B106" s="86" t="s">
        <v>234</v>
      </c>
      <c r="D106" t="s">
        <v>164</v>
      </c>
      <c r="F106" s="82">
        <f t="shared" si="0"/>
        <v>58850.061128907313</v>
      </c>
      <c r="G106" s="39">
        <v>258</v>
      </c>
      <c r="H106" s="39">
        <v>1257.6666666666665</v>
      </c>
      <c r="I106" s="39">
        <v>1286.2485496013931</v>
      </c>
      <c r="J106" s="39">
        <v>22093.589436005735</v>
      </c>
      <c r="K106" s="39">
        <v>20109.56740247667</v>
      </c>
      <c r="L106" s="39">
        <v>216.2</v>
      </c>
      <c r="M106" s="39">
        <v>12952.737649063032</v>
      </c>
      <c r="N106" s="39">
        <v>676.0514250938229</v>
      </c>
    </row>
    <row r="107" spans="2:14">
      <c r="B107" s="86" t="s">
        <v>235</v>
      </c>
      <c r="D107" t="s">
        <v>164</v>
      </c>
      <c r="F107" s="82">
        <f t="shared" si="0"/>
        <v>61635.347479707285</v>
      </c>
      <c r="G107" s="39">
        <v>281</v>
      </c>
      <c r="H107" s="39">
        <v>1840.9166666666667</v>
      </c>
      <c r="I107" s="39">
        <v>688.40660765698749</v>
      </c>
      <c r="J107" s="39">
        <v>23665.998056456989</v>
      </c>
      <c r="K107" s="39">
        <v>22788.700382743133</v>
      </c>
      <c r="L107" s="39">
        <v>281</v>
      </c>
      <c r="M107" s="39">
        <v>11234.94747302669</v>
      </c>
      <c r="N107" s="39">
        <v>854.37829315682006</v>
      </c>
    </row>
    <row r="108" spans="2:14">
      <c r="B108" s="86" t="s">
        <v>236</v>
      </c>
      <c r="D108" t="s">
        <v>164</v>
      </c>
      <c r="F108" s="82">
        <f t="shared" si="0"/>
        <v>153566.41817389405</v>
      </c>
      <c r="G108" s="39">
        <v>866</v>
      </c>
      <c r="H108" s="39">
        <v>3853.0833333333335</v>
      </c>
      <c r="I108" s="39">
        <v>1300.9004197552304</v>
      </c>
      <c r="J108" s="39">
        <v>60155.910118161803</v>
      </c>
      <c r="K108" s="39">
        <v>52149.792704230269</v>
      </c>
      <c r="L108" s="39">
        <v>541.79999999999995</v>
      </c>
      <c r="M108" s="39">
        <v>33259.423977853497</v>
      </c>
      <c r="N108" s="39">
        <v>1439.5076205598832</v>
      </c>
    </row>
    <row r="109" spans="2:14">
      <c r="B109" s="86" t="s">
        <v>46</v>
      </c>
      <c r="D109" t="s">
        <v>164</v>
      </c>
      <c r="F109" s="82">
        <f t="shared" si="0"/>
        <v>7394960.3985486198</v>
      </c>
      <c r="G109" s="39">
        <v>50302</v>
      </c>
      <c r="H109" s="39">
        <v>194439.58333333334</v>
      </c>
      <c r="I109" s="39">
        <v>99149.724085939713</v>
      </c>
      <c r="J109" s="39">
        <v>2407033.4954415876</v>
      </c>
      <c r="K109" s="39">
        <v>2710319.8882688307</v>
      </c>
      <c r="L109" s="39">
        <v>29668.799999999999</v>
      </c>
      <c r="M109" s="39">
        <v>1855895.1817149343</v>
      </c>
      <c r="N109" s="39">
        <v>48151.725703993958</v>
      </c>
    </row>
    <row r="110" spans="2:14">
      <c r="B110" s="86" t="s">
        <v>238</v>
      </c>
      <c r="D110" t="s">
        <v>164</v>
      </c>
      <c r="F110" s="82">
        <f t="shared" si="0"/>
        <v>2598296.7511811792</v>
      </c>
      <c r="G110" s="39">
        <v>22611</v>
      </c>
      <c r="H110" s="39">
        <v>84946</v>
      </c>
      <c r="I110" s="39">
        <v>43451.231434195404</v>
      </c>
      <c r="J110" s="39">
        <v>1062646.0497157113</v>
      </c>
      <c r="K110" s="39">
        <v>772155.68367549754</v>
      </c>
      <c r="L110" s="39">
        <v>18103</v>
      </c>
      <c r="M110" s="39">
        <v>569974.51022146514</v>
      </c>
      <c r="N110" s="39">
        <v>24409.276134309901</v>
      </c>
    </row>
    <row r="111" spans="2:14">
      <c r="B111" s="87"/>
    </row>
    <row r="114" spans="2:16" s="2" customFormat="1">
      <c r="B114" s="2" t="s">
        <v>47</v>
      </c>
      <c r="F114" s="48"/>
    </row>
    <row r="116" spans="2:16">
      <c r="B116" s="3"/>
    </row>
    <row r="117" spans="2:16">
      <c r="B117" s="85" t="s">
        <v>212</v>
      </c>
    </row>
    <row r="118" spans="2:16">
      <c r="B118" s="86" t="s">
        <v>213</v>
      </c>
      <c r="D118" t="s">
        <v>164</v>
      </c>
      <c r="F118" s="82">
        <f>SUM(G118:N118)</f>
        <v>11.000059028606181</v>
      </c>
      <c r="G118" s="39">
        <v>0</v>
      </c>
      <c r="H118" s="39">
        <v>0</v>
      </c>
      <c r="I118" s="39">
        <v>0</v>
      </c>
      <c r="J118" s="39">
        <v>0</v>
      </c>
      <c r="K118" s="39">
        <v>8.0000590286061808</v>
      </c>
      <c r="L118" s="39">
        <v>0</v>
      </c>
      <c r="M118" s="39">
        <v>3</v>
      </c>
      <c r="N118" s="39">
        <v>0</v>
      </c>
      <c r="P118" t="s">
        <v>491</v>
      </c>
    </row>
    <row r="119" spans="2:16">
      <c r="B119" s="86" t="s">
        <v>43</v>
      </c>
      <c r="F119" s="7"/>
      <c r="G119" s="7"/>
      <c r="H119" s="7"/>
      <c r="I119" s="7"/>
      <c r="J119" s="7"/>
      <c r="K119" s="7"/>
      <c r="L119" s="7"/>
      <c r="M119" s="7"/>
      <c r="N119" s="7"/>
    </row>
    <row r="120" spans="2:16">
      <c r="B120" s="86" t="s">
        <v>214</v>
      </c>
      <c r="D120" t="s">
        <v>164</v>
      </c>
      <c r="F120" s="82">
        <f>SUM(G120:N120)</f>
        <v>283914.96613987093</v>
      </c>
      <c r="G120" s="39">
        <v>0</v>
      </c>
      <c r="H120" s="39">
        <v>0</v>
      </c>
      <c r="I120" s="39">
        <v>0</v>
      </c>
      <c r="J120" s="39">
        <v>0</v>
      </c>
      <c r="K120" s="39">
        <v>13019.966139870912</v>
      </c>
      <c r="L120" s="39">
        <v>0</v>
      </c>
      <c r="M120" s="39">
        <v>270895</v>
      </c>
      <c r="N120" s="39">
        <v>0</v>
      </c>
    </row>
    <row r="121" spans="2:16">
      <c r="B121" s="86" t="s">
        <v>215</v>
      </c>
      <c r="D121" t="s">
        <v>164</v>
      </c>
      <c r="F121" s="82">
        <f>SUM(G121:N121)</f>
        <v>2617388.7976798792</v>
      </c>
      <c r="G121" s="39">
        <v>0</v>
      </c>
      <c r="H121" s="39">
        <v>0</v>
      </c>
      <c r="I121" s="39">
        <v>0</v>
      </c>
      <c r="J121" s="39">
        <v>0</v>
      </c>
      <c r="K121" s="39">
        <v>80813.527091643744</v>
      </c>
      <c r="L121" s="39">
        <v>0</v>
      </c>
      <c r="M121" s="39">
        <v>2536575.2705882355</v>
      </c>
      <c r="N121" s="39">
        <v>0</v>
      </c>
    </row>
    <row r="122" spans="2:16">
      <c r="B122" s="86" t="s">
        <v>224</v>
      </c>
      <c r="F122" s="7"/>
      <c r="G122" s="7"/>
      <c r="H122" s="7"/>
      <c r="I122" s="7"/>
      <c r="J122" s="7"/>
      <c r="K122" s="7"/>
      <c r="L122" s="7"/>
      <c r="M122" s="7"/>
      <c r="N122" s="7"/>
    </row>
    <row r="123" spans="2:16">
      <c r="B123" s="86" t="s">
        <v>44</v>
      </c>
      <c r="D123" t="s">
        <v>164</v>
      </c>
      <c r="F123" s="82">
        <f>SUM(G123:N123)</f>
        <v>0</v>
      </c>
      <c r="G123" s="39">
        <v>0</v>
      </c>
      <c r="H123" s="39">
        <v>0</v>
      </c>
      <c r="I123" s="39">
        <v>0</v>
      </c>
      <c r="J123" s="39">
        <v>0</v>
      </c>
      <c r="K123" s="39">
        <v>0</v>
      </c>
      <c r="L123" s="39">
        <v>0</v>
      </c>
      <c r="M123" s="39">
        <v>0</v>
      </c>
      <c r="N123" s="39">
        <v>0</v>
      </c>
    </row>
    <row r="124" spans="2:16">
      <c r="B124" s="87"/>
    </row>
    <row r="125" spans="2:16">
      <c r="B125" s="86"/>
    </row>
    <row r="126" spans="2:16">
      <c r="B126" s="85" t="s">
        <v>216</v>
      </c>
    </row>
    <row r="127" spans="2:16">
      <c r="B127" s="86" t="s">
        <v>213</v>
      </c>
      <c r="D127" t="s">
        <v>164</v>
      </c>
      <c r="F127" s="82">
        <f>SUM(G127:N127)</f>
        <v>6</v>
      </c>
      <c r="G127" s="39">
        <v>0</v>
      </c>
      <c r="H127" s="39">
        <v>0</v>
      </c>
      <c r="I127" s="39">
        <v>0</v>
      </c>
      <c r="J127" s="39">
        <v>0</v>
      </c>
      <c r="K127" s="39">
        <v>0</v>
      </c>
      <c r="L127" s="39">
        <v>0</v>
      </c>
      <c r="M127" s="39">
        <v>6</v>
      </c>
      <c r="N127" s="39">
        <v>0</v>
      </c>
    </row>
    <row r="128" spans="2:16">
      <c r="B128" s="86" t="s">
        <v>43</v>
      </c>
      <c r="F128" s="7"/>
      <c r="G128" s="7"/>
      <c r="H128" s="7"/>
      <c r="I128" s="7"/>
      <c r="J128" s="7"/>
      <c r="K128" s="7"/>
      <c r="L128" s="7"/>
      <c r="M128" s="7"/>
      <c r="N128" s="7"/>
    </row>
    <row r="129" spans="2:14">
      <c r="B129" s="86" t="s">
        <v>214</v>
      </c>
      <c r="D129" t="s">
        <v>164</v>
      </c>
      <c r="F129" s="82">
        <f>SUM(G129:N129)</f>
        <v>25330.000000000004</v>
      </c>
      <c r="G129" s="39">
        <v>0</v>
      </c>
      <c r="H129" s="39">
        <v>0</v>
      </c>
      <c r="I129" s="39">
        <v>0</v>
      </c>
      <c r="J129" s="39">
        <v>0</v>
      </c>
      <c r="K129" s="39">
        <v>0</v>
      </c>
      <c r="L129" s="39">
        <v>0</v>
      </c>
      <c r="M129" s="39">
        <v>25330.000000000004</v>
      </c>
      <c r="N129" s="39">
        <v>0</v>
      </c>
    </row>
    <row r="130" spans="2:14">
      <c r="B130" s="86" t="s">
        <v>217</v>
      </c>
      <c r="D130" t="s">
        <v>164</v>
      </c>
      <c r="F130" s="82">
        <f>SUM(G130:N130)</f>
        <v>203784.00000000003</v>
      </c>
      <c r="G130" s="39">
        <v>0</v>
      </c>
      <c r="H130" s="39">
        <v>0</v>
      </c>
      <c r="I130" s="39">
        <v>0</v>
      </c>
      <c r="J130" s="39">
        <v>0</v>
      </c>
      <c r="K130" s="39">
        <v>0</v>
      </c>
      <c r="L130" s="39">
        <v>0</v>
      </c>
      <c r="M130" s="39">
        <v>203784.00000000003</v>
      </c>
      <c r="N130" s="39">
        <v>0</v>
      </c>
    </row>
    <row r="131" spans="2:14">
      <c r="B131" s="86" t="s">
        <v>224</v>
      </c>
      <c r="F131" s="7"/>
      <c r="G131" s="7"/>
      <c r="H131" s="7"/>
      <c r="I131" s="7"/>
      <c r="J131" s="7"/>
      <c r="K131" s="7"/>
      <c r="L131" s="7"/>
      <c r="M131" s="7"/>
      <c r="N131" s="7"/>
    </row>
    <row r="132" spans="2:14">
      <c r="B132" s="86" t="s">
        <v>44</v>
      </c>
      <c r="D132" t="s">
        <v>164</v>
      </c>
      <c r="F132" s="82">
        <f>SUM(G132:N132)</f>
        <v>0</v>
      </c>
      <c r="G132" s="39">
        <v>0</v>
      </c>
      <c r="H132" s="39">
        <v>0</v>
      </c>
      <c r="I132" s="39">
        <v>0</v>
      </c>
      <c r="J132" s="39">
        <v>0</v>
      </c>
      <c r="K132" s="39">
        <v>0</v>
      </c>
      <c r="L132" s="39">
        <v>0</v>
      </c>
      <c r="M132" s="39">
        <v>0</v>
      </c>
      <c r="N132" s="39">
        <v>0</v>
      </c>
    </row>
    <row r="133" spans="2:14">
      <c r="B133" s="87"/>
    </row>
    <row r="134" spans="2:14">
      <c r="B134" s="86"/>
    </row>
    <row r="135" spans="2:14">
      <c r="B135" s="85" t="s">
        <v>218</v>
      </c>
    </row>
    <row r="136" spans="2:14">
      <c r="B136" s="86" t="s">
        <v>213</v>
      </c>
      <c r="D136" t="s">
        <v>164</v>
      </c>
      <c r="F136" s="82">
        <f>SUM(G136:N136)</f>
        <v>85.845445076101981</v>
      </c>
      <c r="G136" s="39">
        <v>0</v>
      </c>
      <c r="H136" s="39">
        <v>1</v>
      </c>
      <c r="I136" s="39">
        <v>0</v>
      </c>
      <c r="J136" s="39">
        <v>3</v>
      </c>
      <c r="K136" s="39">
        <v>18.02726391668169</v>
      </c>
      <c r="L136" s="39">
        <v>0</v>
      </c>
      <c r="M136" s="39">
        <v>63.818181159420284</v>
      </c>
      <c r="N136" s="39">
        <v>0</v>
      </c>
    </row>
    <row r="137" spans="2:14">
      <c r="B137" s="86" t="s">
        <v>43</v>
      </c>
      <c r="F137" s="7"/>
      <c r="G137" s="7"/>
      <c r="H137" s="7"/>
      <c r="I137" s="7"/>
      <c r="J137" s="7"/>
      <c r="K137" s="7"/>
      <c r="L137" s="7"/>
      <c r="M137" s="7"/>
      <c r="N137" s="7"/>
    </row>
    <row r="138" spans="2:14">
      <c r="B138" s="86" t="s">
        <v>214</v>
      </c>
      <c r="D138" t="s">
        <v>164</v>
      </c>
      <c r="F138" s="82">
        <f>SUM(G138:N138)</f>
        <v>866397.6100190205</v>
      </c>
      <c r="G138" s="39">
        <v>0</v>
      </c>
      <c r="H138" s="39">
        <v>21999.999999999996</v>
      </c>
      <c r="I138" s="39">
        <v>0</v>
      </c>
      <c r="J138" s="39">
        <v>54508.520325203244</v>
      </c>
      <c r="K138" s="39">
        <v>114986.90749042746</v>
      </c>
      <c r="L138" s="39">
        <v>0</v>
      </c>
      <c r="M138" s="39">
        <v>674902.18220338982</v>
      </c>
      <c r="N138" s="39">
        <v>0</v>
      </c>
    </row>
    <row r="139" spans="2:14">
      <c r="B139" s="86" t="s">
        <v>215</v>
      </c>
      <c r="D139" t="s">
        <v>164</v>
      </c>
      <c r="F139" s="82">
        <f>SUM(G139:N139)</f>
        <v>7785204.2393383412</v>
      </c>
      <c r="G139" s="39">
        <v>0</v>
      </c>
      <c r="H139" s="39">
        <v>223070.66666666666</v>
      </c>
      <c r="I139" s="39">
        <v>0</v>
      </c>
      <c r="J139" s="39">
        <v>467414.20579420577</v>
      </c>
      <c r="K139" s="39">
        <v>1145546.6390293695</v>
      </c>
      <c r="L139" s="39">
        <v>0</v>
      </c>
      <c r="M139" s="39">
        <v>5949172.7278480995</v>
      </c>
      <c r="N139" s="39">
        <v>0</v>
      </c>
    </row>
    <row r="140" spans="2:14">
      <c r="B140" s="86" t="s">
        <v>224</v>
      </c>
      <c r="F140" s="7"/>
      <c r="G140" s="7"/>
      <c r="H140" s="7"/>
      <c r="I140" s="7"/>
      <c r="J140" s="7"/>
      <c r="K140" s="7"/>
      <c r="L140" s="7"/>
      <c r="M140" s="7"/>
      <c r="N140" s="7"/>
    </row>
    <row r="141" spans="2:14">
      <c r="B141" s="86" t="s">
        <v>44</v>
      </c>
      <c r="D141" t="s">
        <v>164</v>
      </c>
      <c r="F141" s="82">
        <f>SUM(G141:N141)</f>
        <v>26957525.909090906</v>
      </c>
      <c r="G141" s="39">
        <v>0</v>
      </c>
      <c r="H141" s="39">
        <v>0</v>
      </c>
      <c r="I141" s="39">
        <v>0</v>
      </c>
      <c r="J141" s="39">
        <v>5598010.9090909082</v>
      </c>
      <c r="K141" s="39">
        <v>0</v>
      </c>
      <c r="L141" s="39">
        <v>0</v>
      </c>
      <c r="M141" s="39">
        <v>21359515</v>
      </c>
      <c r="N141" s="39">
        <v>0</v>
      </c>
    </row>
    <row r="142" spans="2:14">
      <c r="B142" s="87"/>
    </row>
    <row r="143" spans="2:14">
      <c r="B143" s="86"/>
    </row>
    <row r="144" spans="2:14">
      <c r="B144" s="85" t="s">
        <v>219</v>
      </c>
    </row>
    <row r="145" spans="2:14">
      <c r="B145" s="86" t="s">
        <v>213</v>
      </c>
      <c r="D145" t="s">
        <v>164</v>
      </c>
      <c r="F145" s="82">
        <f>SUM(G145:N145)</f>
        <v>24.090909420289854</v>
      </c>
      <c r="G145" s="39">
        <v>0</v>
      </c>
      <c r="H145" s="39">
        <v>0</v>
      </c>
      <c r="I145" s="39">
        <v>0</v>
      </c>
      <c r="J145" s="39">
        <v>1</v>
      </c>
      <c r="K145" s="39">
        <v>12</v>
      </c>
      <c r="L145" s="39">
        <v>0</v>
      </c>
      <c r="M145" s="39">
        <v>11.090909420289854</v>
      </c>
      <c r="N145" s="39">
        <v>0</v>
      </c>
    </row>
    <row r="146" spans="2:14">
      <c r="B146" s="86" t="s">
        <v>43</v>
      </c>
      <c r="F146" s="7"/>
      <c r="G146" s="7"/>
      <c r="H146" s="7"/>
      <c r="I146" s="7"/>
      <c r="J146" s="7"/>
      <c r="K146" s="7"/>
      <c r="L146" s="7"/>
      <c r="M146" s="7"/>
      <c r="N146" s="7"/>
    </row>
    <row r="147" spans="2:14">
      <c r="B147" s="86" t="s">
        <v>214</v>
      </c>
      <c r="D147" t="s">
        <v>164</v>
      </c>
      <c r="F147" s="82">
        <f>SUM(G147:N147)</f>
        <v>303510.48385562596</v>
      </c>
      <c r="G147" s="39">
        <v>0</v>
      </c>
      <c r="H147" s="39">
        <v>0</v>
      </c>
      <c r="I147" s="39">
        <v>0</v>
      </c>
      <c r="J147" s="39">
        <v>5071.9927797833943</v>
      </c>
      <c r="K147" s="39">
        <v>70734.67327923236</v>
      </c>
      <c r="L147" s="39">
        <v>0</v>
      </c>
      <c r="M147" s="39">
        <v>227703.81779661018</v>
      </c>
      <c r="N147" s="39">
        <v>0</v>
      </c>
    </row>
    <row r="148" spans="2:14">
      <c r="B148" s="86" t="s">
        <v>217</v>
      </c>
      <c r="D148" t="s">
        <v>164</v>
      </c>
      <c r="F148" s="82">
        <f>SUM(G148:N148)</f>
        <v>4623985.0819142452</v>
      </c>
      <c r="G148" s="39">
        <v>0</v>
      </c>
      <c r="H148" s="39">
        <v>0</v>
      </c>
      <c r="I148" s="39">
        <v>0</v>
      </c>
      <c r="J148" s="39">
        <v>4904.727272727273</v>
      </c>
      <c r="K148" s="39">
        <v>1115025.8091869729</v>
      </c>
      <c r="L148" s="39">
        <v>0</v>
      </c>
      <c r="M148" s="39">
        <v>3504054.5454545449</v>
      </c>
      <c r="N148" s="39">
        <v>0</v>
      </c>
    </row>
    <row r="149" spans="2:14">
      <c r="B149" s="86" t="s">
        <v>224</v>
      </c>
      <c r="F149" s="7"/>
      <c r="G149" s="7"/>
      <c r="H149" s="7"/>
      <c r="I149" s="7"/>
      <c r="J149" s="7"/>
      <c r="K149" s="7"/>
      <c r="L149" s="7"/>
      <c r="M149" s="7"/>
      <c r="N149" s="7"/>
    </row>
    <row r="150" spans="2:14">
      <c r="B150" s="86" t="s">
        <v>44</v>
      </c>
      <c r="D150" t="s">
        <v>164</v>
      </c>
      <c r="F150" s="82">
        <f>SUM(G150:N150)</f>
        <v>6619937.1212121211</v>
      </c>
      <c r="G150" s="39">
        <v>0</v>
      </c>
      <c r="H150" s="39">
        <v>0</v>
      </c>
      <c r="I150" s="39">
        <v>0</v>
      </c>
      <c r="J150" s="39">
        <v>2685745.4545454546</v>
      </c>
      <c r="K150" s="39">
        <v>0</v>
      </c>
      <c r="L150" s="39">
        <v>0</v>
      </c>
      <c r="M150" s="39">
        <v>3934191.666666667</v>
      </c>
      <c r="N150" s="39">
        <v>0</v>
      </c>
    </row>
    <row r="151" spans="2:14">
      <c r="B151" s="87"/>
    </row>
    <row r="152" spans="2:14">
      <c r="B152" s="86"/>
    </row>
    <row r="153" spans="2:14">
      <c r="B153" s="85" t="s">
        <v>220</v>
      </c>
    </row>
    <row r="154" spans="2:14">
      <c r="B154" s="86" t="s">
        <v>213</v>
      </c>
      <c r="D154" t="s">
        <v>164</v>
      </c>
      <c r="F154" s="82">
        <f>SUM(G154:N154)</f>
        <v>663.13728459214269</v>
      </c>
      <c r="G154" s="39">
        <v>0</v>
      </c>
      <c r="H154" s="39">
        <v>43.916666666666664</v>
      </c>
      <c r="I154" s="39">
        <v>1</v>
      </c>
      <c r="J154" s="39">
        <v>178.96114492753622</v>
      </c>
      <c r="K154" s="39">
        <v>312.71402009938907</v>
      </c>
      <c r="L154" s="39">
        <v>0</v>
      </c>
      <c r="M154" s="39">
        <v>121.54545289855074</v>
      </c>
      <c r="N154" s="39">
        <v>5</v>
      </c>
    </row>
    <row r="155" spans="2:14">
      <c r="B155" s="86" t="s">
        <v>43</v>
      </c>
      <c r="F155" s="7"/>
      <c r="G155" s="7"/>
      <c r="H155" s="7"/>
      <c r="I155" s="7"/>
      <c r="J155" s="7"/>
      <c r="K155" s="7"/>
      <c r="L155" s="7"/>
      <c r="M155" s="7"/>
      <c r="N155" s="7"/>
    </row>
    <row r="156" spans="2:14">
      <c r="B156" s="86" t="s">
        <v>214</v>
      </c>
      <c r="D156" t="s">
        <v>164</v>
      </c>
      <c r="F156" s="82">
        <f>SUM(G156:N156)</f>
        <v>2957475.123701151</v>
      </c>
      <c r="G156" s="39">
        <v>0</v>
      </c>
      <c r="H156" s="39">
        <v>79549.000000000015</v>
      </c>
      <c r="I156" s="39">
        <v>14838.976238073894</v>
      </c>
      <c r="J156" s="39">
        <v>1323269.3118989614</v>
      </c>
      <c r="K156" s="39">
        <v>1071299.8483126056</v>
      </c>
      <c r="L156" s="39">
        <v>0</v>
      </c>
      <c r="M156" s="39">
        <v>435695.90942028986</v>
      </c>
      <c r="N156" s="39">
        <v>32822.07783121994</v>
      </c>
    </row>
    <row r="157" spans="2:14">
      <c r="B157" s="86" t="s">
        <v>215</v>
      </c>
      <c r="D157" t="s">
        <v>164</v>
      </c>
      <c r="F157" s="82">
        <f>SUM(G157:N157)</f>
        <v>28031771.881716587</v>
      </c>
      <c r="G157" s="39">
        <v>0</v>
      </c>
      <c r="H157" s="39">
        <v>620968.28571428568</v>
      </c>
      <c r="I157" s="39">
        <v>165433.09983515041</v>
      </c>
      <c r="J157" s="39">
        <v>13213710.763636366</v>
      </c>
      <c r="K157" s="39">
        <v>9817084.002645731</v>
      </c>
      <c r="L157" s="39">
        <v>0</v>
      </c>
      <c r="M157" s="39">
        <v>3907532.7298850571</v>
      </c>
      <c r="N157" s="39">
        <v>307043</v>
      </c>
    </row>
    <row r="158" spans="2:14">
      <c r="B158" s="86" t="s">
        <v>224</v>
      </c>
      <c r="F158" s="7"/>
      <c r="G158" s="7"/>
      <c r="H158" s="7"/>
      <c r="I158" s="7"/>
      <c r="J158" s="7"/>
      <c r="K158" s="7"/>
      <c r="L158" s="7"/>
      <c r="M158" s="7"/>
      <c r="N158" s="7"/>
    </row>
    <row r="159" spans="2:14">
      <c r="B159" s="86" t="s">
        <v>44</v>
      </c>
      <c r="D159" t="s">
        <v>164</v>
      </c>
      <c r="F159" s="82">
        <f>SUM(G159:N159)</f>
        <v>49515300.151515149</v>
      </c>
      <c r="G159" s="39">
        <v>0</v>
      </c>
      <c r="H159" s="39">
        <v>0</v>
      </c>
      <c r="I159" s="39">
        <v>0</v>
      </c>
      <c r="J159" s="39">
        <v>37195150.151515149</v>
      </c>
      <c r="K159" s="39">
        <v>0</v>
      </c>
      <c r="L159" s="39">
        <v>0</v>
      </c>
      <c r="M159" s="39">
        <v>12320149.999999998</v>
      </c>
      <c r="N159" s="39">
        <v>0</v>
      </c>
    </row>
    <row r="160" spans="2:14">
      <c r="B160" s="87"/>
    </row>
    <row r="161" spans="2:14">
      <c r="B161" s="86"/>
    </row>
    <row r="162" spans="2:14">
      <c r="B162" s="85" t="s">
        <v>221</v>
      </c>
    </row>
    <row r="163" spans="2:14">
      <c r="B163" s="86" t="s">
        <v>213</v>
      </c>
      <c r="D163" t="s">
        <v>164</v>
      </c>
      <c r="F163" s="82">
        <f>SUM(G163:N163)</f>
        <v>32.302616271409747</v>
      </c>
      <c r="G163" s="39">
        <v>0</v>
      </c>
      <c r="H163" s="39">
        <v>1</v>
      </c>
      <c r="I163" s="39">
        <v>0</v>
      </c>
      <c r="J163" s="39">
        <v>11.393525691699603</v>
      </c>
      <c r="K163" s="39">
        <v>16</v>
      </c>
      <c r="L163" s="39">
        <v>0</v>
      </c>
      <c r="M163" s="39">
        <v>3.9090905797101452</v>
      </c>
      <c r="N163" s="39">
        <v>0</v>
      </c>
    </row>
    <row r="164" spans="2:14">
      <c r="B164" s="86" t="s">
        <v>43</v>
      </c>
      <c r="F164" s="7"/>
      <c r="G164" s="7"/>
      <c r="H164" s="7"/>
      <c r="I164" s="7"/>
      <c r="J164" s="7"/>
      <c r="K164" s="7"/>
      <c r="L164" s="7"/>
      <c r="M164" s="7"/>
      <c r="N164" s="7"/>
    </row>
    <row r="165" spans="2:14">
      <c r="B165" s="86" t="s">
        <v>214</v>
      </c>
      <c r="D165" t="s">
        <v>164</v>
      </c>
      <c r="F165" s="82">
        <f>SUM(G165:N165)</f>
        <v>153590.9556268329</v>
      </c>
      <c r="G165" s="39">
        <v>0</v>
      </c>
      <c r="H165" s="39">
        <v>9116</v>
      </c>
      <c r="I165" s="39">
        <v>0</v>
      </c>
      <c r="J165" s="39">
        <v>86182.425952045145</v>
      </c>
      <c r="K165" s="39">
        <v>40197.98378106796</v>
      </c>
      <c r="L165" s="39">
        <v>0</v>
      </c>
      <c r="M165" s="39">
        <v>18094.545893719809</v>
      </c>
      <c r="N165" s="39">
        <v>0</v>
      </c>
    </row>
    <row r="166" spans="2:14">
      <c r="B166" s="86" t="s">
        <v>217</v>
      </c>
      <c r="D166" t="s">
        <v>164</v>
      </c>
      <c r="F166" s="82">
        <f>SUM(G166:N166)</f>
        <v>2498426.5883423444</v>
      </c>
      <c r="G166" s="39">
        <v>0</v>
      </c>
      <c r="H166" s="39">
        <v>167603.42857142858</v>
      </c>
      <c r="I166" s="39">
        <v>0</v>
      </c>
      <c r="J166" s="39">
        <v>1450547.2727272729</v>
      </c>
      <c r="K166" s="39">
        <v>632955.88704364293</v>
      </c>
      <c r="L166" s="39">
        <v>0</v>
      </c>
      <c r="M166" s="39">
        <v>247320</v>
      </c>
      <c r="N166" s="39">
        <v>0</v>
      </c>
    </row>
    <row r="167" spans="2:14">
      <c r="B167" s="86" t="s">
        <v>224</v>
      </c>
      <c r="F167" s="7"/>
      <c r="G167" s="7"/>
      <c r="H167" s="7"/>
      <c r="I167" s="7"/>
      <c r="J167" s="7"/>
      <c r="K167" s="7"/>
      <c r="L167" s="7"/>
      <c r="M167" s="7"/>
      <c r="N167" s="7"/>
    </row>
    <row r="168" spans="2:14">
      <c r="B168" s="86" t="s">
        <v>44</v>
      </c>
      <c r="D168" t="s">
        <v>164</v>
      </c>
      <c r="F168" s="82">
        <f>SUM(G168:N168)</f>
        <v>3911629.0909090913</v>
      </c>
      <c r="G168" s="39">
        <v>0</v>
      </c>
      <c r="H168" s="39">
        <v>0</v>
      </c>
      <c r="I168" s="39">
        <v>0</v>
      </c>
      <c r="J168" s="39">
        <v>3911629.0909090913</v>
      </c>
      <c r="K168" s="39">
        <v>0</v>
      </c>
      <c r="L168" s="39">
        <v>0</v>
      </c>
      <c r="M168" s="39">
        <v>0</v>
      </c>
      <c r="N168" s="39">
        <v>0</v>
      </c>
    </row>
    <row r="169" spans="2:14">
      <c r="B169" s="87"/>
    </row>
    <row r="170" spans="2:14">
      <c r="B170" s="86"/>
    </row>
    <row r="171" spans="2:14">
      <c r="B171" s="85" t="s">
        <v>210</v>
      </c>
    </row>
    <row r="172" spans="2:14">
      <c r="B172" s="86" t="s">
        <v>213</v>
      </c>
      <c r="D172" t="s">
        <v>164</v>
      </c>
      <c r="F172" s="82">
        <f>SUM(G172:N172)</f>
        <v>260.83677798392091</v>
      </c>
      <c r="G172" s="39">
        <v>0</v>
      </c>
      <c r="H172" s="39">
        <v>0</v>
      </c>
      <c r="I172" s="39">
        <v>4</v>
      </c>
      <c r="J172" s="39">
        <v>255.08677798392088</v>
      </c>
      <c r="K172" s="39">
        <v>0</v>
      </c>
      <c r="L172" s="39">
        <v>1.75</v>
      </c>
      <c r="M172" s="39">
        <v>0</v>
      </c>
      <c r="N172" s="39">
        <v>0</v>
      </c>
    </row>
    <row r="173" spans="2:14">
      <c r="B173" s="86" t="s">
        <v>223</v>
      </c>
      <c r="D173" t="s">
        <v>164</v>
      </c>
      <c r="F173" s="82">
        <f>SUM(G173:N173)</f>
        <v>748288.32210083865</v>
      </c>
      <c r="G173" s="39">
        <v>0</v>
      </c>
      <c r="H173" s="39">
        <v>0</v>
      </c>
      <c r="I173" s="39">
        <v>22995.140282656881</v>
      </c>
      <c r="J173" s="39">
        <v>714839.18181818177</v>
      </c>
      <c r="K173" s="39">
        <v>0</v>
      </c>
      <c r="L173" s="39">
        <v>10454</v>
      </c>
      <c r="M173" s="39">
        <v>0</v>
      </c>
      <c r="N173" s="39">
        <v>0</v>
      </c>
    </row>
    <row r="174" spans="2:14">
      <c r="B174" s="86" t="s">
        <v>215</v>
      </c>
      <c r="D174" t="s">
        <v>164</v>
      </c>
      <c r="F174" s="82">
        <f>SUM(G174:N174)</f>
        <v>7191340.0185046168</v>
      </c>
      <c r="G174" s="39">
        <v>0</v>
      </c>
      <c r="H174" s="39">
        <v>0</v>
      </c>
      <c r="I174" s="39">
        <v>244972.46770247605</v>
      </c>
      <c r="J174" s="39">
        <v>6846609.5508021405</v>
      </c>
      <c r="K174" s="39">
        <v>0</v>
      </c>
      <c r="L174" s="39">
        <v>99758</v>
      </c>
      <c r="M174" s="39">
        <v>0</v>
      </c>
      <c r="N174" s="39">
        <v>0</v>
      </c>
    </row>
    <row r="175" spans="2:14">
      <c r="B175" s="86" t="s">
        <v>224</v>
      </c>
      <c r="D175" t="s">
        <v>164</v>
      </c>
      <c r="F175" s="82">
        <f>SUM(G175:N175)</f>
        <v>2856258670.9735126</v>
      </c>
      <c r="G175" s="39">
        <v>0</v>
      </c>
      <c r="H175" s="39">
        <v>0</v>
      </c>
      <c r="I175" s="39">
        <v>94534702.064421207</v>
      </c>
      <c r="J175" s="39">
        <v>2744185240.9090915</v>
      </c>
      <c r="K175" s="39">
        <v>0</v>
      </c>
      <c r="L175" s="39">
        <v>17538728</v>
      </c>
      <c r="M175" s="39">
        <v>0</v>
      </c>
      <c r="N175" s="39">
        <v>0</v>
      </c>
    </row>
    <row r="176" spans="2:14">
      <c r="B176" s="86" t="s">
        <v>44</v>
      </c>
      <c r="D176" t="s">
        <v>164</v>
      </c>
      <c r="F176" s="82">
        <f>SUM(G176:N176)</f>
        <v>54394743.63636364</v>
      </c>
      <c r="G176" s="39">
        <v>0</v>
      </c>
      <c r="H176" s="39">
        <v>0</v>
      </c>
      <c r="I176" s="39">
        <v>0</v>
      </c>
      <c r="J176" s="39">
        <v>54394743.63636364</v>
      </c>
      <c r="K176" s="39">
        <v>0</v>
      </c>
      <c r="L176" s="39">
        <v>0</v>
      </c>
      <c r="M176" s="39">
        <v>0</v>
      </c>
      <c r="N176" s="39">
        <v>0</v>
      </c>
    </row>
    <row r="177" spans="2:14">
      <c r="B177" s="87"/>
    </row>
    <row r="178" spans="2:14">
      <c r="B178" s="87"/>
    </row>
    <row r="179" spans="2:14">
      <c r="B179" s="85" t="s">
        <v>211</v>
      </c>
    </row>
    <row r="180" spans="2:14">
      <c r="B180" s="86" t="s">
        <v>213</v>
      </c>
      <c r="D180" t="s">
        <v>164</v>
      </c>
      <c r="F180" s="82">
        <f>SUM(G180:N180)</f>
        <v>23420.542906130344</v>
      </c>
      <c r="G180" s="39">
        <v>29</v>
      </c>
      <c r="H180" s="39">
        <v>463.16666666666669</v>
      </c>
      <c r="I180" s="39">
        <v>586</v>
      </c>
      <c r="J180" s="39">
        <v>9383.6665058750768</v>
      </c>
      <c r="K180" s="39">
        <v>9246.0766496883716</v>
      </c>
      <c r="L180" s="39">
        <v>16.579999999999998</v>
      </c>
      <c r="M180" s="39">
        <v>3150.563038548753</v>
      </c>
      <c r="N180" s="39">
        <v>545.49004535147401</v>
      </c>
    </row>
    <row r="181" spans="2:14">
      <c r="B181" s="86" t="s">
        <v>223</v>
      </c>
      <c r="D181" t="s">
        <v>164</v>
      </c>
      <c r="F181" s="82">
        <f>SUM(G181:N181)</f>
        <v>8643922.2347078137</v>
      </c>
      <c r="G181" s="39">
        <v>36771</v>
      </c>
      <c r="H181" s="39">
        <v>187186.66666666669</v>
      </c>
      <c r="I181" s="39">
        <v>146607.70048262065</v>
      </c>
      <c r="J181" s="39">
        <v>2955061.6419169074</v>
      </c>
      <c r="K181" s="39">
        <v>3202935.2575059184</v>
      </c>
      <c r="L181" s="39">
        <v>17799</v>
      </c>
      <c r="M181" s="39">
        <v>1878207.72690763</v>
      </c>
      <c r="N181" s="39">
        <v>219353.2412280702</v>
      </c>
    </row>
    <row r="182" spans="2:14">
      <c r="B182" s="86" t="s">
        <v>215</v>
      </c>
      <c r="D182" t="s">
        <v>164</v>
      </c>
      <c r="F182" s="82">
        <f>SUM(G182:N182)</f>
        <v>72457267.953841314</v>
      </c>
      <c r="G182" s="39">
        <v>351064</v>
      </c>
      <c r="H182" s="39">
        <v>1542758.7</v>
      </c>
      <c r="I182" s="39">
        <v>1152349.0909908765</v>
      </c>
      <c r="J182" s="39">
        <v>26177647.352016408</v>
      </c>
      <c r="K182" s="39">
        <v>27030480.825497672</v>
      </c>
      <c r="L182" s="39">
        <v>176453</v>
      </c>
      <c r="M182" s="39">
        <v>14285626.903703701</v>
      </c>
      <c r="N182" s="39">
        <v>1740888.0816326528</v>
      </c>
    </row>
    <row r="183" spans="2:14">
      <c r="B183" s="86" t="s">
        <v>224</v>
      </c>
      <c r="D183" t="s">
        <v>164</v>
      </c>
      <c r="F183" s="82">
        <f>SUM(G183:N183)</f>
        <v>23142382014.103214</v>
      </c>
      <c r="G183" s="39">
        <v>121563657</v>
      </c>
      <c r="H183" s="39">
        <v>481796050.12905985</v>
      </c>
      <c r="I183" s="39">
        <v>391072191.00489169</v>
      </c>
      <c r="J183" s="39">
        <v>8060094449.7048407</v>
      </c>
      <c r="K183" s="39">
        <v>8831037093.4279327</v>
      </c>
      <c r="L183" s="39">
        <v>61679728</v>
      </c>
      <c r="M183" s="39">
        <v>4753893366.2650595</v>
      </c>
      <c r="N183" s="39">
        <v>441245478.5714286</v>
      </c>
    </row>
    <row r="184" spans="2:14">
      <c r="B184" s="86" t="s">
        <v>44</v>
      </c>
      <c r="D184" t="s">
        <v>164</v>
      </c>
      <c r="F184" s="82">
        <f>SUM(G184:N184)</f>
        <v>295750732.75214994</v>
      </c>
      <c r="G184" s="39">
        <v>1657774</v>
      </c>
      <c r="H184" s="39">
        <v>0</v>
      </c>
      <c r="I184" s="39">
        <v>5251618.024877267</v>
      </c>
      <c r="J184" s="39">
        <v>246946302.72727269</v>
      </c>
      <c r="K184" s="39">
        <v>0</v>
      </c>
      <c r="L184" s="39">
        <v>1172048</v>
      </c>
      <c r="M184" s="39">
        <v>40722990</v>
      </c>
      <c r="N184" s="39">
        <v>0</v>
      </c>
    </row>
    <row r="185" spans="2:14">
      <c r="B185" s="87"/>
    </row>
    <row r="186" spans="2:14">
      <c r="B186" s="86"/>
    </row>
    <row r="187" spans="2:14">
      <c r="B187" s="85" t="s">
        <v>226</v>
      </c>
    </row>
    <row r="188" spans="2:14">
      <c r="B188" s="86" t="s">
        <v>213</v>
      </c>
      <c r="D188" t="s">
        <v>164</v>
      </c>
      <c r="F188" s="82">
        <f>SUM(G188:N188)</f>
        <v>41021.75382344723</v>
      </c>
      <c r="G188" s="39">
        <v>212</v>
      </c>
      <c r="H188" s="39">
        <v>1493.4166666666667</v>
      </c>
      <c r="I188" s="39">
        <v>688</v>
      </c>
      <c r="J188" s="39">
        <v>14509.805658627089</v>
      </c>
      <c r="K188" s="39">
        <v>13770.621339423315</v>
      </c>
      <c r="L188" s="39">
        <v>132.88</v>
      </c>
      <c r="M188" s="39">
        <v>9195.7272562358285</v>
      </c>
      <c r="N188" s="39">
        <v>1019.302902494331</v>
      </c>
    </row>
    <row r="189" spans="2:14">
      <c r="B189" s="86" t="s">
        <v>223</v>
      </c>
      <c r="D189" t="s">
        <v>164</v>
      </c>
      <c r="F189" s="82">
        <f>SUM(G189:N189)</f>
        <v>3892278.7414982626</v>
      </c>
      <c r="G189" s="39">
        <v>37447</v>
      </c>
      <c r="H189" s="39">
        <v>140982.33333333331</v>
      </c>
      <c r="I189" s="39">
        <v>41878.518230915404</v>
      </c>
      <c r="J189" s="39">
        <v>1057582.0210621064</v>
      </c>
      <c r="K189" s="39">
        <v>1224431.7700699416</v>
      </c>
      <c r="L189" s="39">
        <v>22961</v>
      </c>
      <c r="M189" s="39">
        <v>1163329.1820987654</v>
      </c>
      <c r="N189" s="39">
        <v>203666.91670320038</v>
      </c>
    </row>
    <row r="190" spans="2:14">
      <c r="B190" s="86" t="s">
        <v>215</v>
      </c>
      <c r="D190" t="s">
        <v>164</v>
      </c>
      <c r="F190" s="82">
        <f>SUM(G190:N190)</f>
        <v>29114862.588481303</v>
      </c>
      <c r="G190" s="39">
        <v>332415</v>
      </c>
      <c r="H190" s="39">
        <v>1072879.28</v>
      </c>
      <c r="I190" s="39">
        <v>275406.13262218493</v>
      </c>
      <c r="J190" s="39">
        <v>8347435.2248803843</v>
      </c>
      <c r="K190" s="39">
        <v>9324703.1568744257</v>
      </c>
      <c r="L190" s="39">
        <v>215826</v>
      </c>
      <c r="M190" s="39">
        <v>7998991.6444444433</v>
      </c>
      <c r="N190" s="39">
        <v>1547206.1496598639</v>
      </c>
    </row>
    <row r="191" spans="2:14">
      <c r="B191" s="86" t="s">
        <v>224</v>
      </c>
      <c r="D191" t="s">
        <v>164</v>
      </c>
      <c r="F191" s="82">
        <f>SUM(G191:N191)</f>
        <v>7958663334.1040459</v>
      </c>
      <c r="G191" s="39">
        <v>88078743</v>
      </c>
      <c r="H191" s="39">
        <v>278932159.62222224</v>
      </c>
      <c r="I191" s="39">
        <v>70341353.619569302</v>
      </c>
      <c r="J191" s="39">
        <v>2198882893.1523018</v>
      </c>
      <c r="K191" s="39">
        <v>2560022902.9160008</v>
      </c>
      <c r="L191" s="39">
        <v>57433018</v>
      </c>
      <c r="M191" s="39">
        <v>2284875730.120482</v>
      </c>
      <c r="N191" s="39">
        <v>420096533.67346942</v>
      </c>
    </row>
    <row r="192" spans="2:14">
      <c r="B192" s="86" t="s">
        <v>44</v>
      </c>
      <c r="D192" t="s">
        <v>164</v>
      </c>
      <c r="F192" s="82">
        <f>SUM(G192:N192)</f>
        <v>18211020.61441892</v>
      </c>
      <c r="G192" s="39">
        <v>950056</v>
      </c>
      <c r="H192" s="39">
        <v>0</v>
      </c>
      <c r="I192" s="39">
        <v>295975.52350982977</v>
      </c>
      <c r="J192" s="39">
        <v>13202159.09090909</v>
      </c>
      <c r="K192" s="39">
        <v>0</v>
      </c>
      <c r="L192" s="39">
        <v>820055</v>
      </c>
      <c r="M192" s="39">
        <v>2942775</v>
      </c>
      <c r="N192" s="39">
        <v>0</v>
      </c>
    </row>
    <row r="193" spans="2:14">
      <c r="B193" s="87"/>
      <c r="G193" s="118"/>
      <c r="H193" s="118"/>
      <c r="I193" s="118"/>
      <c r="J193" s="118"/>
      <c r="K193" s="118"/>
      <c r="L193" s="118"/>
      <c r="M193" s="118"/>
      <c r="N193" s="118"/>
    </row>
    <row r="194" spans="2:14">
      <c r="B194" s="86"/>
    </row>
    <row r="195" spans="2:14">
      <c r="B195" s="85" t="s">
        <v>227</v>
      </c>
    </row>
    <row r="196" spans="2:14">
      <c r="B196" s="86" t="s">
        <v>213</v>
      </c>
      <c r="D196" t="s">
        <v>164</v>
      </c>
      <c r="F196" s="82">
        <f>SUM(G196:N196)</f>
        <v>17357.639292842436</v>
      </c>
      <c r="G196" s="39">
        <v>307</v>
      </c>
      <c r="H196" s="39">
        <v>366.16666666666669</v>
      </c>
      <c r="I196" s="39">
        <v>0</v>
      </c>
      <c r="J196" s="39">
        <v>3309.2765151515155</v>
      </c>
      <c r="K196" s="39">
        <v>5907.9455554687029</v>
      </c>
      <c r="L196" s="39">
        <v>128.72</v>
      </c>
      <c r="M196" s="39">
        <v>7105.8183333333327</v>
      </c>
      <c r="N196" s="39">
        <v>232.71222222222218</v>
      </c>
    </row>
    <row r="197" spans="2:14">
      <c r="B197" s="86" t="s">
        <v>223</v>
      </c>
      <c r="D197" t="s">
        <v>164</v>
      </c>
      <c r="F197" s="82">
        <f>SUM(G197:N197)</f>
        <v>962732.20251234667</v>
      </c>
      <c r="G197" s="39">
        <v>24311</v>
      </c>
      <c r="H197" s="39">
        <v>18083.25</v>
      </c>
      <c r="I197" s="39">
        <v>0</v>
      </c>
      <c r="J197" s="39">
        <v>106721.42209232011</v>
      </c>
      <c r="K197" s="39">
        <v>218310.94820043078</v>
      </c>
      <c r="L197" s="39">
        <v>8076</v>
      </c>
      <c r="M197" s="39">
        <v>580697.36274509807</v>
      </c>
      <c r="N197" s="39">
        <v>6532.2194744976814</v>
      </c>
    </row>
    <row r="198" spans="2:14">
      <c r="B198" s="86" t="s">
        <v>228</v>
      </c>
      <c r="D198" t="s">
        <v>164</v>
      </c>
      <c r="F198" s="82">
        <f>SUM(G198:N198)</f>
        <v>622087516.16733503</v>
      </c>
      <c r="G198" s="39">
        <v>14763494</v>
      </c>
      <c r="H198" s="39">
        <v>8244879.9547968898</v>
      </c>
      <c r="I198" s="39">
        <v>0</v>
      </c>
      <c r="J198" s="39">
        <v>67101626.191989817</v>
      </c>
      <c r="K198" s="39">
        <v>158657286.07357863</v>
      </c>
      <c r="L198" s="39">
        <v>6278161</v>
      </c>
      <c r="M198" s="39">
        <v>360906251.33333331</v>
      </c>
      <c r="N198" s="39">
        <v>6135817.6136363642</v>
      </c>
    </row>
    <row r="199" spans="2:14">
      <c r="B199" s="86" t="s">
        <v>224</v>
      </c>
      <c r="D199" t="s">
        <v>164</v>
      </c>
      <c r="F199" s="82">
        <f>SUM(G199:N199)</f>
        <v>971420029.09875</v>
      </c>
      <c r="G199" s="39">
        <v>28727031</v>
      </c>
      <c r="H199" s="39">
        <v>10620099.156375071</v>
      </c>
      <c r="I199" s="39">
        <v>0</v>
      </c>
      <c r="J199" s="39">
        <v>102314917.48251748</v>
      </c>
      <c r="K199" s="39">
        <v>240230654.74557167</v>
      </c>
      <c r="L199" s="39">
        <v>12136072</v>
      </c>
      <c r="M199" s="39">
        <v>570058513</v>
      </c>
      <c r="N199" s="39">
        <v>7332741.7142857146</v>
      </c>
    </row>
    <row r="200" spans="2:14">
      <c r="B200" s="86" t="s">
        <v>44</v>
      </c>
      <c r="D200" t="s">
        <v>164</v>
      </c>
      <c r="F200" s="82">
        <f>SUM(G200:N200)</f>
        <v>3228382</v>
      </c>
      <c r="G200" s="39">
        <v>735975</v>
      </c>
      <c r="H200" s="39">
        <v>0</v>
      </c>
      <c r="I200" s="39">
        <v>0</v>
      </c>
      <c r="J200" s="39">
        <v>9335</v>
      </c>
      <c r="K200" s="39">
        <v>0</v>
      </c>
      <c r="L200" s="39">
        <v>526432</v>
      </c>
      <c r="M200" s="39">
        <v>1956640</v>
      </c>
      <c r="N200" s="39">
        <v>0</v>
      </c>
    </row>
    <row r="201" spans="2:14">
      <c r="B201" s="87"/>
    </row>
    <row r="202" spans="2:14">
      <c r="B202" s="86"/>
    </row>
    <row r="203" spans="2:14">
      <c r="B203" s="85" t="s">
        <v>229</v>
      </c>
    </row>
    <row r="204" spans="2:14">
      <c r="B204" s="86" t="s">
        <v>230</v>
      </c>
      <c r="D204" t="s">
        <v>164</v>
      </c>
      <c r="F204" s="82">
        <f>SUM(G204:N204)</f>
        <v>2586906.8379901522</v>
      </c>
      <c r="G204" s="39">
        <v>22807</v>
      </c>
      <c r="H204" s="39">
        <v>84946</v>
      </c>
      <c r="I204" s="39">
        <v>44092</v>
      </c>
      <c r="J204" s="39">
        <v>1066456.8786648924</v>
      </c>
      <c r="K204" s="39">
        <v>746470.63524900982</v>
      </c>
      <c r="L204" s="39">
        <v>18401</v>
      </c>
      <c r="M204" s="39">
        <v>579156.58844406588</v>
      </c>
      <c r="N204" s="39">
        <v>24576.735632183911</v>
      </c>
    </row>
    <row r="205" spans="2:14">
      <c r="B205" s="86" t="s">
        <v>231</v>
      </c>
      <c r="D205" t="s">
        <v>164</v>
      </c>
      <c r="F205" s="82">
        <f>SUM(G205:N205)</f>
        <v>7789563.8104284992</v>
      </c>
      <c r="G205" s="39">
        <v>52081</v>
      </c>
      <c r="H205" s="39">
        <v>203766.91666666672</v>
      </c>
      <c r="I205" s="39">
        <v>103323</v>
      </c>
      <c r="J205" s="39">
        <v>2540261.2262701881</v>
      </c>
      <c r="K205" s="39">
        <v>2851517.4026091956</v>
      </c>
      <c r="L205" s="39">
        <v>31135</v>
      </c>
      <c r="M205" s="39">
        <v>1955105.75</v>
      </c>
      <c r="N205" s="39">
        <v>52373.514882448668</v>
      </c>
    </row>
    <row r="206" spans="2:14">
      <c r="B206" s="87"/>
    </row>
    <row r="207" spans="2:14">
      <c r="B207" s="86"/>
    </row>
    <row r="208" spans="2:14">
      <c r="B208" s="85" t="s">
        <v>45</v>
      </c>
    </row>
    <row r="209" spans="2:14">
      <c r="B209" s="86" t="s">
        <v>233</v>
      </c>
      <c r="D209" t="s">
        <v>164</v>
      </c>
      <c r="F209" s="82">
        <f t="shared" ref="F209:F214" si="1">SUM(G209:N209)</f>
        <v>44867.065477970558</v>
      </c>
      <c r="G209" s="39">
        <v>244</v>
      </c>
      <c r="H209" s="39">
        <v>1120.25</v>
      </c>
      <c r="I209" s="39">
        <v>106</v>
      </c>
      <c r="J209" s="39">
        <v>17601.069971136687</v>
      </c>
      <c r="K209" s="39">
        <v>17142.831015702381</v>
      </c>
      <c r="L209" s="39">
        <v>173.6</v>
      </c>
      <c r="M209" s="39">
        <v>7893.8614916286133</v>
      </c>
      <c r="N209" s="39">
        <v>585.45299950287847</v>
      </c>
    </row>
    <row r="210" spans="2:14">
      <c r="B210" s="86" t="s">
        <v>234</v>
      </c>
      <c r="D210" t="s">
        <v>164</v>
      </c>
      <c r="F210" s="82">
        <f t="shared" si="1"/>
        <v>61259.997718667968</v>
      </c>
      <c r="G210" s="39">
        <v>255</v>
      </c>
      <c r="H210" s="39">
        <v>1225.6666666666667</v>
      </c>
      <c r="I210" s="39">
        <v>1266</v>
      </c>
      <c r="J210" s="39">
        <v>22453.710784741728</v>
      </c>
      <c r="K210" s="39">
        <v>20383.843033105066</v>
      </c>
      <c r="L210" s="39">
        <v>224.2</v>
      </c>
      <c r="M210" s="39">
        <v>14834.000000000002</v>
      </c>
      <c r="N210" s="39">
        <v>617.57723415450687</v>
      </c>
    </row>
    <row r="211" spans="2:14">
      <c r="B211" s="86" t="s">
        <v>235</v>
      </c>
      <c r="D211" t="s">
        <v>164</v>
      </c>
      <c r="F211" s="82">
        <f t="shared" si="1"/>
        <v>64095.668963131</v>
      </c>
      <c r="G211" s="39">
        <v>278</v>
      </c>
      <c r="H211" s="39">
        <v>1776.5</v>
      </c>
      <c r="I211" s="39">
        <v>705</v>
      </c>
      <c r="J211" s="39">
        <v>24027.277477398311</v>
      </c>
      <c r="K211" s="39">
        <v>23258.835365614381</v>
      </c>
      <c r="L211" s="39">
        <v>285.8</v>
      </c>
      <c r="M211" s="39">
        <v>13011</v>
      </c>
      <c r="N211" s="39">
        <v>753.25612011830867</v>
      </c>
    </row>
    <row r="212" spans="2:14">
      <c r="B212" s="86" t="s">
        <v>236</v>
      </c>
      <c r="D212" t="s">
        <v>164</v>
      </c>
      <c r="F212" s="82">
        <f t="shared" si="1"/>
        <v>158965.24511090296</v>
      </c>
      <c r="G212" s="39">
        <v>852</v>
      </c>
      <c r="H212" s="39">
        <v>3605.4166666666665</v>
      </c>
      <c r="I212" s="39">
        <v>1317</v>
      </c>
      <c r="J212" s="39">
        <v>60471.029476441625</v>
      </c>
      <c r="K212" s="39">
        <v>51766.429490476177</v>
      </c>
      <c r="L212" s="39">
        <v>524.79999999999995</v>
      </c>
      <c r="M212" s="39">
        <v>39087.000000000007</v>
      </c>
      <c r="N212" s="39">
        <v>1341.5694773184978</v>
      </c>
    </row>
    <row r="213" spans="2:14">
      <c r="B213" s="86" t="s">
        <v>46</v>
      </c>
      <c r="D213" t="s">
        <v>164</v>
      </c>
      <c r="F213" s="82">
        <f t="shared" si="1"/>
        <v>7459523.4691627966</v>
      </c>
      <c r="G213" s="39">
        <v>50452</v>
      </c>
      <c r="H213" s="39">
        <v>196039.08333333337</v>
      </c>
      <c r="I213" s="39">
        <v>99929</v>
      </c>
      <c r="J213" s="39">
        <v>2415692.9130738117</v>
      </c>
      <c r="K213" s="39">
        <v>2738965.4637042978</v>
      </c>
      <c r="L213" s="39">
        <v>29926.6</v>
      </c>
      <c r="M213" s="39">
        <v>1879442.7500000002</v>
      </c>
      <c r="N213" s="39">
        <v>49075.65905135448</v>
      </c>
    </row>
    <row r="214" spans="2:14">
      <c r="B214" s="86" t="s">
        <v>238</v>
      </c>
      <c r="D214" t="s">
        <v>164</v>
      </c>
      <c r="F214" s="82">
        <f t="shared" si="1"/>
        <v>2586906.8379901522</v>
      </c>
      <c r="G214" s="39">
        <v>22807</v>
      </c>
      <c r="H214" s="39">
        <v>84946</v>
      </c>
      <c r="I214" s="39">
        <v>44092</v>
      </c>
      <c r="J214" s="39">
        <v>1066456.8786648926</v>
      </c>
      <c r="K214" s="39">
        <v>746470.63524900982</v>
      </c>
      <c r="L214" s="39">
        <v>18401</v>
      </c>
      <c r="M214" s="39">
        <v>579156.58844406588</v>
      </c>
      <c r="N214" s="39">
        <v>24576.735632183911</v>
      </c>
    </row>
    <row r="215" spans="2:14">
      <c r="B215" s="87"/>
    </row>
    <row r="218" spans="2:14" s="2" customFormat="1">
      <c r="B218" s="2" t="s">
        <v>48</v>
      </c>
      <c r="F218" s="48"/>
    </row>
    <row r="220" spans="2:14">
      <c r="B220" s="3"/>
    </row>
    <row r="221" spans="2:14">
      <c r="B221" s="3" t="s">
        <v>49</v>
      </c>
    </row>
    <row r="222" spans="2:14">
      <c r="B222" s="3"/>
    </row>
    <row r="223" spans="2:14">
      <c r="B223" s="3"/>
    </row>
    <row r="224" spans="2:14">
      <c r="B224" s="85" t="s">
        <v>212</v>
      </c>
    </row>
    <row r="225" spans="2:16">
      <c r="B225" t="s">
        <v>213</v>
      </c>
      <c r="D225" t="s">
        <v>164</v>
      </c>
      <c r="F225" s="82">
        <f>SUM(G225:N225)</f>
        <v>11.090909420289854</v>
      </c>
      <c r="G225" s="39">
        <v>0</v>
      </c>
      <c r="H225" s="39">
        <v>0</v>
      </c>
      <c r="I225" s="39">
        <v>0</v>
      </c>
      <c r="J225" s="39">
        <v>0</v>
      </c>
      <c r="K225" s="39">
        <v>8</v>
      </c>
      <c r="L225" s="39">
        <v>0</v>
      </c>
      <c r="M225" s="39">
        <v>3.0909094202898548</v>
      </c>
      <c r="N225" s="39">
        <v>0</v>
      </c>
      <c r="P225" t="s">
        <v>492</v>
      </c>
    </row>
    <row r="226" spans="2:16">
      <c r="B226" t="s">
        <v>214</v>
      </c>
      <c r="D226" t="s">
        <v>164</v>
      </c>
      <c r="F226" s="82">
        <f>SUM(G226:N226)</f>
        <v>1011953.0319162193</v>
      </c>
      <c r="G226" s="39">
        <v>0</v>
      </c>
      <c r="H226" s="39">
        <v>0</v>
      </c>
      <c r="I226" s="39">
        <v>0</v>
      </c>
      <c r="J226" s="39">
        <v>0</v>
      </c>
      <c r="K226" s="39">
        <v>744718.48646167375</v>
      </c>
      <c r="L226" s="39">
        <v>0</v>
      </c>
      <c r="M226" s="39">
        <v>267234.54545454547</v>
      </c>
      <c r="N226" s="39">
        <v>0</v>
      </c>
    </row>
    <row r="227" spans="2:16">
      <c r="B227" t="s">
        <v>215</v>
      </c>
      <c r="D227" t="s">
        <v>164</v>
      </c>
      <c r="F227" s="82">
        <f>SUM(G227:N227)</f>
        <v>10607342.14789575</v>
      </c>
      <c r="G227" s="39">
        <v>0</v>
      </c>
      <c r="H227" s="39">
        <v>0</v>
      </c>
      <c r="I227" s="39">
        <v>0</v>
      </c>
      <c r="J227" s="39">
        <v>0</v>
      </c>
      <c r="K227" s="39">
        <v>7637637.7861936223</v>
      </c>
      <c r="L227" s="39">
        <v>0</v>
      </c>
      <c r="M227" s="39">
        <v>2969704.3617021278</v>
      </c>
      <c r="N227" s="39">
        <v>0</v>
      </c>
    </row>
    <row r="229" spans="2:16">
      <c r="B229" s="3" t="s">
        <v>216</v>
      </c>
    </row>
    <row r="230" spans="2:16">
      <c r="B230" t="s">
        <v>213</v>
      </c>
      <c r="D230" t="s">
        <v>164</v>
      </c>
      <c r="F230" s="82">
        <f>SUM(G230:N230)</f>
        <v>6</v>
      </c>
      <c r="G230" s="39">
        <v>0</v>
      </c>
      <c r="H230" s="39">
        <v>0</v>
      </c>
      <c r="I230" s="39">
        <v>0</v>
      </c>
      <c r="J230" s="39">
        <v>0</v>
      </c>
      <c r="K230" s="39">
        <v>0</v>
      </c>
      <c r="L230" s="39">
        <v>0</v>
      </c>
      <c r="M230" s="39">
        <v>6</v>
      </c>
      <c r="N230" s="39">
        <v>0</v>
      </c>
    </row>
    <row r="231" spans="2:16">
      <c r="B231" t="s">
        <v>214</v>
      </c>
      <c r="D231" t="s">
        <v>164</v>
      </c>
      <c r="F231" s="82">
        <f>SUM(G231:N231)</f>
        <v>31554</v>
      </c>
      <c r="G231" s="39">
        <v>0</v>
      </c>
      <c r="H231" s="39">
        <v>0</v>
      </c>
      <c r="I231" s="39">
        <v>0</v>
      </c>
      <c r="J231" s="39">
        <v>0</v>
      </c>
      <c r="K231" s="39">
        <v>0</v>
      </c>
      <c r="L231" s="39">
        <v>0</v>
      </c>
      <c r="M231" s="39">
        <v>31554</v>
      </c>
      <c r="N231" s="39">
        <v>0</v>
      </c>
    </row>
    <row r="232" spans="2:16">
      <c r="B232" t="s">
        <v>217</v>
      </c>
      <c r="D232" t="s">
        <v>164</v>
      </c>
      <c r="F232" s="82">
        <f>SUM(G232:N232)</f>
        <v>259498.90624999997</v>
      </c>
      <c r="G232" s="39">
        <v>0</v>
      </c>
      <c r="H232" s="39">
        <v>0</v>
      </c>
      <c r="I232" s="39">
        <v>0</v>
      </c>
      <c r="J232" s="39">
        <v>0</v>
      </c>
      <c r="K232" s="39">
        <v>0</v>
      </c>
      <c r="L232" s="39">
        <v>0</v>
      </c>
      <c r="M232" s="39">
        <v>259498.90624999997</v>
      </c>
      <c r="N232" s="39">
        <v>0</v>
      </c>
    </row>
    <row r="234" spans="2:16">
      <c r="B234" s="3" t="s">
        <v>218</v>
      </c>
    </row>
    <row r="235" spans="2:16">
      <c r="B235" t="s">
        <v>213</v>
      </c>
      <c r="D235" t="s">
        <v>164</v>
      </c>
      <c r="F235" s="82">
        <f>SUM(G235:N235)</f>
        <v>87.167023776497516</v>
      </c>
      <c r="G235" s="39">
        <v>0</v>
      </c>
      <c r="H235" s="39">
        <v>2</v>
      </c>
      <c r="I235" s="39">
        <v>0</v>
      </c>
      <c r="J235" s="39">
        <v>3.6363636363636358</v>
      </c>
      <c r="K235" s="39">
        <v>18.076113038684603</v>
      </c>
      <c r="L235" s="39">
        <v>0</v>
      </c>
      <c r="M235" s="39">
        <v>63.454547101449272</v>
      </c>
      <c r="N235" s="39">
        <v>0</v>
      </c>
    </row>
    <row r="236" spans="2:16">
      <c r="B236" t="s">
        <v>214</v>
      </c>
      <c r="D236" t="s">
        <v>164</v>
      </c>
      <c r="F236" s="82">
        <f>SUM(G236:N236)</f>
        <v>818179.73028685024</v>
      </c>
      <c r="G236" s="39">
        <v>0</v>
      </c>
      <c r="H236" s="39">
        <v>20498</v>
      </c>
      <c r="I236" s="39">
        <v>0</v>
      </c>
      <c r="J236" s="39">
        <v>68901.00250626565</v>
      </c>
      <c r="K236" s="39">
        <v>119658.90959876636</v>
      </c>
      <c r="L236" s="39">
        <v>0</v>
      </c>
      <c r="M236" s="39">
        <v>609121.81818181823</v>
      </c>
      <c r="N236" s="39">
        <v>0</v>
      </c>
    </row>
    <row r="237" spans="2:16">
      <c r="B237" t="s">
        <v>215</v>
      </c>
      <c r="D237" t="s">
        <v>164</v>
      </c>
      <c r="F237" s="82">
        <f>SUM(G237:N237)</f>
        <v>7464340.5401946148</v>
      </c>
      <c r="G237" s="39">
        <v>0</v>
      </c>
      <c r="H237" s="39">
        <v>214943.66666666666</v>
      </c>
      <c r="I237" s="39">
        <v>0</v>
      </c>
      <c r="J237" s="39">
        <v>625195.63636363635</v>
      </c>
      <c r="K237" s="39">
        <v>1176538.3280734029</v>
      </c>
      <c r="L237" s="39">
        <v>0</v>
      </c>
      <c r="M237" s="39">
        <v>5447662.9090909092</v>
      </c>
      <c r="N237" s="39">
        <v>0</v>
      </c>
    </row>
    <row r="239" spans="2:16">
      <c r="B239" s="3" t="s">
        <v>219</v>
      </c>
    </row>
    <row r="240" spans="2:16">
      <c r="B240" t="s">
        <v>213</v>
      </c>
      <c r="D240" t="s">
        <v>164</v>
      </c>
      <c r="F240" s="82">
        <f>SUM(G240:N240)</f>
        <v>25.916239465426145</v>
      </c>
      <c r="G240" s="39">
        <v>0</v>
      </c>
      <c r="H240" s="39">
        <v>0</v>
      </c>
      <c r="I240" s="39">
        <v>0</v>
      </c>
      <c r="J240" s="39">
        <v>1.9090909090909089</v>
      </c>
      <c r="K240" s="39">
        <v>12.007148556335238</v>
      </c>
      <c r="L240" s="39">
        <v>0</v>
      </c>
      <c r="M240" s="39">
        <v>12</v>
      </c>
      <c r="N240" s="39">
        <v>0</v>
      </c>
    </row>
    <row r="241" spans="2:14">
      <c r="B241" t="s">
        <v>214</v>
      </c>
      <c r="D241" t="s">
        <v>164</v>
      </c>
      <c r="F241" s="82">
        <f>SUM(G241:N241)</f>
        <v>403342.45758976741</v>
      </c>
      <c r="G241" s="39">
        <v>0</v>
      </c>
      <c r="H241" s="39">
        <v>0</v>
      </c>
      <c r="I241" s="39">
        <v>0</v>
      </c>
      <c r="J241" s="39">
        <v>10300.006677796327</v>
      </c>
      <c r="K241" s="39">
        <v>78692.450911971071</v>
      </c>
      <c r="L241" s="39">
        <v>0</v>
      </c>
      <c r="M241" s="39">
        <v>314350</v>
      </c>
      <c r="N241" s="39">
        <v>0</v>
      </c>
    </row>
    <row r="242" spans="2:14">
      <c r="B242" t="s">
        <v>217</v>
      </c>
      <c r="D242" t="s">
        <v>164</v>
      </c>
      <c r="F242" s="82">
        <f>SUM(G242:N242)</f>
        <v>4732624.7998237154</v>
      </c>
      <c r="G242" s="39">
        <v>0</v>
      </c>
      <c r="H242" s="39">
        <v>0</v>
      </c>
      <c r="I242" s="39">
        <v>0</v>
      </c>
      <c r="J242" s="39">
        <v>120558.54545454546</v>
      </c>
      <c r="K242" s="39">
        <v>1132502.6150249082</v>
      </c>
      <c r="L242" s="39">
        <v>0</v>
      </c>
      <c r="M242" s="39">
        <v>3479563.639344262</v>
      </c>
      <c r="N242" s="39">
        <v>0</v>
      </c>
    </row>
    <row r="244" spans="2:14">
      <c r="B244" s="3" t="s">
        <v>220</v>
      </c>
    </row>
    <row r="245" spans="2:14">
      <c r="B245" t="s">
        <v>213</v>
      </c>
      <c r="D245" t="s">
        <v>164</v>
      </c>
      <c r="F245" s="82">
        <f>SUM(G245:N245)</f>
        <v>686.16425553611532</v>
      </c>
      <c r="G245" s="39">
        <v>0</v>
      </c>
      <c r="H245" s="39">
        <v>43.999999999999993</v>
      </c>
      <c r="I245" s="39">
        <v>1</v>
      </c>
      <c r="J245" s="39">
        <v>183.30124604002722</v>
      </c>
      <c r="K245" s="39">
        <v>323.87058558304454</v>
      </c>
      <c r="L245" s="39">
        <v>0</v>
      </c>
      <c r="M245" s="39">
        <v>128.90909057971015</v>
      </c>
      <c r="N245" s="39">
        <v>5.0833333333333339</v>
      </c>
    </row>
    <row r="246" spans="2:14">
      <c r="B246" t="s">
        <v>214</v>
      </c>
      <c r="D246" t="s">
        <v>164</v>
      </c>
      <c r="F246" s="82">
        <f>SUM(G246:N246)</f>
        <v>3080110.0448810863</v>
      </c>
      <c r="G246" s="39">
        <v>0</v>
      </c>
      <c r="H246" s="39">
        <v>89601.083333333358</v>
      </c>
      <c r="I246" s="39">
        <v>14897.400267154388</v>
      </c>
      <c r="J246" s="39">
        <v>1375060.4546640576</v>
      </c>
      <c r="K246" s="39">
        <v>1108044.0692327665</v>
      </c>
      <c r="L246" s="39">
        <v>0</v>
      </c>
      <c r="M246" s="39">
        <v>459991.27267789247</v>
      </c>
      <c r="N246" s="39">
        <v>32515.764705882357</v>
      </c>
    </row>
    <row r="247" spans="2:14">
      <c r="B247" t="s">
        <v>215</v>
      </c>
      <c r="D247" t="s">
        <v>164</v>
      </c>
      <c r="F247" s="82">
        <f>SUM(G247:N247)</f>
        <v>28905602.567898098</v>
      </c>
      <c r="G247" s="39">
        <v>0</v>
      </c>
      <c r="H247" s="39">
        <v>705633.28571428568</v>
      </c>
      <c r="I247" s="39">
        <v>170238.52397146766</v>
      </c>
      <c r="J247" s="39">
        <v>13544316.401565323</v>
      </c>
      <c r="K247" s="39">
        <v>10083430.521133589</v>
      </c>
      <c r="L247" s="39">
        <v>0</v>
      </c>
      <c r="M247" s="39">
        <v>4119364.3659793818</v>
      </c>
      <c r="N247" s="39">
        <v>282619.46953405021</v>
      </c>
    </row>
    <row r="249" spans="2:14">
      <c r="B249" s="3" t="s">
        <v>221</v>
      </c>
    </row>
    <row r="250" spans="2:14">
      <c r="B250" t="s">
        <v>213</v>
      </c>
      <c r="D250" t="s">
        <v>164</v>
      </c>
      <c r="F250" s="82">
        <f>SUM(G250:N250)</f>
        <v>28.531897021095205</v>
      </c>
      <c r="G250" s="39">
        <v>0</v>
      </c>
      <c r="H250" s="39">
        <v>1</v>
      </c>
      <c r="I250" s="39">
        <v>0</v>
      </c>
      <c r="J250" s="39">
        <v>9.2727279314888005</v>
      </c>
      <c r="K250" s="39">
        <v>14.259169089606406</v>
      </c>
      <c r="L250" s="39">
        <v>0</v>
      </c>
      <c r="M250" s="39">
        <v>4</v>
      </c>
      <c r="N250" s="39">
        <v>0</v>
      </c>
    </row>
    <row r="251" spans="2:14">
      <c r="B251" t="s">
        <v>214</v>
      </c>
      <c r="D251" t="s">
        <v>164</v>
      </c>
      <c r="F251" s="82">
        <f>SUM(G251:N251)</f>
        <v>115055.98323568137</v>
      </c>
      <c r="G251" s="39">
        <v>0</v>
      </c>
      <c r="H251" s="39">
        <v>9116</v>
      </c>
      <c r="I251" s="39">
        <v>0</v>
      </c>
      <c r="J251" s="39">
        <v>53657.726205997409</v>
      </c>
      <c r="K251" s="39">
        <v>35938.257029683955</v>
      </c>
      <c r="L251" s="39">
        <v>0</v>
      </c>
      <c r="M251" s="39">
        <v>16344.000000000002</v>
      </c>
      <c r="N251" s="39">
        <v>0</v>
      </c>
    </row>
    <row r="252" spans="2:14">
      <c r="B252" t="s">
        <v>217</v>
      </c>
      <c r="D252" t="s">
        <v>164</v>
      </c>
      <c r="F252" s="82">
        <f>SUM(G252:N252)</f>
        <v>1697643.7131043249</v>
      </c>
      <c r="G252" s="39">
        <v>0</v>
      </c>
      <c r="H252" s="39">
        <v>167603.42857142858</v>
      </c>
      <c r="I252" s="39">
        <v>0</v>
      </c>
      <c r="J252" s="39">
        <v>824116.70104895101</v>
      </c>
      <c r="K252" s="39">
        <v>540011.58348394535</v>
      </c>
      <c r="L252" s="39">
        <v>0</v>
      </c>
      <c r="M252" s="39">
        <v>165911.99999999997</v>
      </c>
      <c r="N252" s="39">
        <v>0</v>
      </c>
    </row>
    <row r="258" spans="2:14">
      <c r="B258" s="3" t="s">
        <v>50</v>
      </c>
    </row>
    <row r="261" spans="2:14">
      <c r="B261" s="3" t="s">
        <v>222</v>
      </c>
    </row>
    <row r="262" spans="2:14">
      <c r="B262" t="s">
        <v>213</v>
      </c>
      <c r="D262" t="s">
        <v>164</v>
      </c>
      <c r="F262" s="82">
        <f>SUM(G262:N262)</f>
        <v>267.825704735925</v>
      </c>
      <c r="G262" s="39">
        <v>0</v>
      </c>
      <c r="H262" s="39">
        <v>0</v>
      </c>
      <c r="I262" s="39">
        <v>4</v>
      </c>
      <c r="J262" s="39">
        <v>261.825704735925</v>
      </c>
      <c r="K262" s="39">
        <v>0</v>
      </c>
      <c r="L262" s="39">
        <v>2</v>
      </c>
      <c r="M262" s="39">
        <v>0</v>
      </c>
      <c r="N262" s="39">
        <v>0</v>
      </c>
    </row>
    <row r="263" spans="2:14">
      <c r="B263" t="s">
        <v>223</v>
      </c>
      <c r="D263" t="s">
        <v>164</v>
      </c>
      <c r="F263" s="82">
        <f>SUM(G263:N263)</f>
        <v>773456.28531000658</v>
      </c>
      <c r="G263" s="39">
        <v>0</v>
      </c>
      <c r="H263" s="39">
        <v>0</v>
      </c>
      <c r="I263" s="39">
        <v>23180.461056931079</v>
      </c>
      <c r="J263" s="39">
        <v>738368.82425307552</v>
      </c>
      <c r="K263" s="39">
        <v>0</v>
      </c>
      <c r="L263" s="39">
        <v>11907</v>
      </c>
      <c r="M263" s="39">
        <v>0</v>
      </c>
      <c r="N263" s="39">
        <v>0</v>
      </c>
    </row>
    <row r="264" spans="2:14">
      <c r="B264" t="s">
        <v>215</v>
      </c>
      <c r="D264" t="s">
        <v>164</v>
      </c>
      <c r="F264" s="82">
        <f>SUM(G264:N264)</f>
        <v>7510228.046011705</v>
      </c>
      <c r="G264" s="39">
        <v>0</v>
      </c>
      <c r="H264" s="39">
        <v>0</v>
      </c>
      <c r="I264" s="39">
        <v>247777.08237534217</v>
      </c>
      <c r="J264" s="39">
        <v>7153066.9636363629</v>
      </c>
      <c r="K264" s="39">
        <v>0</v>
      </c>
      <c r="L264" s="39">
        <v>109384</v>
      </c>
      <c r="M264" s="39">
        <v>0</v>
      </c>
      <c r="N264" s="39">
        <v>0</v>
      </c>
    </row>
    <row r="265" spans="2:14">
      <c r="B265" t="s">
        <v>224</v>
      </c>
      <c r="D265" t="s">
        <v>164</v>
      </c>
      <c r="F265" s="82">
        <f>SUM(G265:N265)</f>
        <v>3014263800.1359649</v>
      </c>
      <c r="G265" s="39">
        <v>0</v>
      </c>
      <c r="H265" s="39">
        <v>0</v>
      </c>
      <c r="I265" s="39">
        <v>87448208.042942688</v>
      </c>
      <c r="J265" s="39">
        <v>2901284972.0930223</v>
      </c>
      <c r="K265" s="39">
        <v>0</v>
      </c>
      <c r="L265" s="39">
        <v>25530620</v>
      </c>
      <c r="M265" s="39">
        <v>0</v>
      </c>
      <c r="N265" s="39">
        <v>0</v>
      </c>
    </row>
    <row r="267" spans="2:14">
      <c r="B267" s="3" t="s">
        <v>225</v>
      </c>
    </row>
    <row r="268" spans="2:14">
      <c r="B268" t="s">
        <v>213</v>
      </c>
      <c r="D268" t="s">
        <v>164</v>
      </c>
      <c r="F268" s="82">
        <f>SUM(G268:N268)</f>
        <v>23672.145143405174</v>
      </c>
      <c r="G268" s="39">
        <v>29.76923076923077</v>
      </c>
      <c r="H268" s="39">
        <v>410.91666666666669</v>
      </c>
      <c r="I268" s="39">
        <v>581</v>
      </c>
      <c r="J268" s="39">
        <v>9635.73644395677</v>
      </c>
      <c r="K268" s="39">
        <v>9238.7411013322362</v>
      </c>
      <c r="L268" s="39">
        <v>16</v>
      </c>
      <c r="M268" s="39">
        <v>3209.8357823129254</v>
      </c>
      <c r="N268" s="39">
        <v>550.14591836734689</v>
      </c>
    </row>
    <row r="269" spans="2:14">
      <c r="B269" t="s">
        <v>223</v>
      </c>
      <c r="D269" t="s">
        <v>164</v>
      </c>
      <c r="F269" s="82">
        <f>SUM(G269:N269)</f>
        <v>8590924.8155018911</v>
      </c>
      <c r="G269" s="39">
        <v>33032.166666666664</v>
      </c>
      <c r="H269" s="39">
        <v>190248.41666666669</v>
      </c>
      <c r="I269" s="39">
        <v>145733.58603969391</v>
      </c>
      <c r="J269" s="39">
        <v>2968704.6185495118</v>
      </c>
      <c r="K269" s="39">
        <v>3166676.2195545714</v>
      </c>
      <c r="L269" s="39">
        <v>17544</v>
      </c>
      <c r="M269" s="39">
        <v>1843753.0909090911</v>
      </c>
      <c r="N269" s="39">
        <v>225232.71711568942</v>
      </c>
    </row>
    <row r="270" spans="2:14">
      <c r="B270" t="s">
        <v>215</v>
      </c>
      <c r="D270" t="s">
        <v>164</v>
      </c>
      <c r="F270" s="82">
        <f>SUM(G270:N270)</f>
        <v>71848856.337783307</v>
      </c>
      <c r="G270" s="39">
        <v>301142</v>
      </c>
      <c r="H270" s="39">
        <v>1565788.6333333333</v>
      </c>
      <c r="I270" s="39">
        <v>1165949.7724456401</v>
      </c>
      <c r="J270" s="39">
        <v>26120870.840277776</v>
      </c>
      <c r="K270" s="39">
        <v>26736631.092467286</v>
      </c>
      <c r="L270" s="39">
        <v>180513</v>
      </c>
      <c r="M270" s="39">
        <v>14002270.906666666</v>
      </c>
      <c r="N270" s="39">
        <v>1775690.0925925926</v>
      </c>
    </row>
    <row r="271" spans="2:14">
      <c r="B271" t="s">
        <v>224</v>
      </c>
      <c r="D271" t="s">
        <v>164</v>
      </c>
      <c r="F271" s="82">
        <f>SUM(G271:N271)</f>
        <v>22965963962.026897</v>
      </c>
      <c r="G271" s="39">
        <v>102726194</v>
      </c>
      <c r="H271" s="39">
        <v>475681141</v>
      </c>
      <c r="I271" s="39">
        <v>391313365.35639971</v>
      </c>
      <c r="J271" s="39">
        <v>8034914251.8072309</v>
      </c>
      <c r="K271" s="39">
        <v>8784384899.7595577</v>
      </c>
      <c r="L271" s="39">
        <v>57994865</v>
      </c>
      <c r="M271" s="39">
        <v>4689607559.782609</v>
      </c>
      <c r="N271" s="39">
        <v>429341685.32110095</v>
      </c>
    </row>
    <row r="273" spans="2:14">
      <c r="B273" s="3" t="s">
        <v>226</v>
      </c>
    </row>
    <row r="274" spans="2:14">
      <c r="B274" t="s">
        <v>213</v>
      </c>
      <c r="D274" t="s">
        <v>164</v>
      </c>
      <c r="F274" s="82">
        <f>SUM(G274:N274)</f>
        <v>41500.448996718835</v>
      </c>
      <c r="G274" s="39">
        <v>216.84615384615384</v>
      </c>
      <c r="H274" s="39">
        <v>1532.7500000000002</v>
      </c>
      <c r="I274" s="39">
        <v>711</v>
      </c>
      <c r="J274" s="39">
        <v>14610.884029094706</v>
      </c>
      <c r="K274" s="39">
        <v>13883.135004254167</v>
      </c>
      <c r="L274" s="39">
        <v>132.72999999999999</v>
      </c>
      <c r="M274" s="39">
        <v>9410.0909070294783</v>
      </c>
      <c r="N274" s="39">
        <v>1003.0129024943309</v>
      </c>
    </row>
    <row r="275" spans="2:14">
      <c r="B275" t="s">
        <v>223</v>
      </c>
      <c r="D275" t="s">
        <v>164</v>
      </c>
      <c r="F275" s="82">
        <f>SUM(G275:N275)</f>
        <v>3877370.982837941</v>
      </c>
      <c r="G275" s="39">
        <v>44163.75</v>
      </c>
      <c r="H275" s="39">
        <v>145437.08333333334</v>
      </c>
      <c r="I275" s="39">
        <v>43376.898920909698</v>
      </c>
      <c r="J275" s="39">
        <v>1060946.371794872</v>
      </c>
      <c r="K275" s="39">
        <v>1217002.5667774372</v>
      </c>
      <c r="L275" s="39">
        <v>23029</v>
      </c>
      <c r="M275" s="39">
        <v>1145447.6361111111</v>
      </c>
      <c r="N275" s="39">
        <v>197967.67590027701</v>
      </c>
    </row>
    <row r="276" spans="2:14">
      <c r="B276" t="s">
        <v>215</v>
      </c>
      <c r="D276" t="s">
        <v>164</v>
      </c>
      <c r="F276" s="82">
        <f>SUM(G276:N276)</f>
        <v>28910605.109327849</v>
      </c>
      <c r="G276" s="39">
        <v>392812</v>
      </c>
      <c r="H276" s="39">
        <v>1126543.78</v>
      </c>
      <c r="I276" s="39">
        <v>287033.25052994461</v>
      </c>
      <c r="J276" s="39">
        <v>8306849.5625000065</v>
      </c>
      <c r="K276" s="39">
        <v>9163142.1167917233</v>
      </c>
      <c r="L276" s="39">
        <v>211539</v>
      </c>
      <c r="M276" s="39">
        <v>7911848.7266666666</v>
      </c>
      <c r="N276" s="39">
        <v>1510836.6728395061</v>
      </c>
    </row>
    <row r="277" spans="2:14">
      <c r="B277" t="s">
        <v>224</v>
      </c>
      <c r="D277" t="s">
        <v>164</v>
      </c>
      <c r="F277" s="82">
        <f>SUM(G277:N277)</f>
        <v>7906241413.2165871</v>
      </c>
      <c r="G277" s="39">
        <v>112608973</v>
      </c>
      <c r="H277" s="39">
        <v>286907561.89999998</v>
      </c>
      <c r="I277" s="39">
        <v>72067455.575066105</v>
      </c>
      <c r="J277" s="39">
        <v>2169919219.2771077</v>
      </c>
      <c r="K277" s="39">
        <v>2548203713.4552383</v>
      </c>
      <c r="L277" s="39">
        <v>56484029</v>
      </c>
      <c r="M277" s="39">
        <v>2251031050.0000005</v>
      </c>
      <c r="N277" s="39">
        <v>409019411.00917429</v>
      </c>
    </row>
    <row r="283" spans="2:14">
      <c r="B283" s="3" t="s">
        <v>51</v>
      </c>
    </row>
    <row r="286" spans="2:14">
      <c r="B286" s="3" t="s">
        <v>227</v>
      </c>
    </row>
    <row r="287" spans="2:14">
      <c r="B287" t="s">
        <v>213</v>
      </c>
      <c r="D287" t="s">
        <v>164</v>
      </c>
      <c r="F287" s="82">
        <f>SUM(G287:N287)</f>
        <v>17639.77304589191</v>
      </c>
      <c r="G287" s="39">
        <v>307.23076923076923</v>
      </c>
      <c r="H287" s="39">
        <v>355.58333333333326</v>
      </c>
      <c r="I287" s="39">
        <v>0</v>
      </c>
      <c r="J287" s="39">
        <v>3470.3899134598587</v>
      </c>
      <c r="K287" s="39">
        <v>6037.1279187568398</v>
      </c>
      <c r="L287" s="39">
        <v>133.4</v>
      </c>
      <c r="M287" s="39">
        <v>7127</v>
      </c>
      <c r="N287" s="39">
        <v>209.04111111111112</v>
      </c>
    </row>
    <row r="288" spans="2:14">
      <c r="B288" t="s">
        <v>223</v>
      </c>
      <c r="D288" t="s">
        <v>164</v>
      </c>
      <c r="F288" s="82">
        <f>SUM(G288:N288)</f>
        <v>951792.80217230343</v>
      </c>
      <c r="G288" s="39">
        <v>24037.583333333332</v>
      </c>
      <c r="H288" s="39">
        <v>17533.166666666668</v>
      </c>
      <c r="I288" s="39">
        <v>0</v>
      </c>
      <c r="J288" s="39">
        <v>112217.14906832295</v>
      </c>
      <c r="K288" s="39">
        <v>218785.6836691105</v>
      </c>
      <c r="L288" s="39">
        <v>8440</v>
      </c>
      <c r="M288" s="39">
        <v>564686.45374449342</v>
      </c>
      <c r="N288" s="39">
        <v>6092.7656903765701</v>
      </c>
    </row>
    <row r="289" spans="2:14">
      <c r="B289" t="s">
        <v>228</v>
      </c>
      <c r="D289" t="s">
        <v>164</v>
      </c>
      <c r="F289" s="82">
        <f>SUM(G289:N289)</f>
        <v>598625679.45398259</v>
      </c>
      <c r="G289" s="39">
        <v>14475602</v>
      </c>
      <c r="H289" s="39">
        <v>7430354.6000000006</v>
      </c>
      <c r="I289" s="39">
        <v>0</v>
      </c>
      <c r="J289" s="39">
        <v>67325263.398692802</v>
      </c>
      <c r="K289" s="39">
        <v>156348248.64210299</v>
      </c>
      <c r="L289" s="39">
        <v>6225934</v>
      </c>
      <c r="M289" s="39">
        <v>341809288.09523809</v>
      </c>
      <c r="N289" s="39">
        <v>5010988.717948718</v>
      </c>
    </row>
    <row r="290" spans="2:14">
      <c r="B290" t="s">
        <v>224</v>
      </c>
      <c r="D290" t="s">
        <v>164</v>
      </c>
      <c r="F290" s="82">
        <f>SUM(G290:N290)</f>
        <v>956174395.35006928</v>
      </c>
      <c r="G290" s="39">
        <v>28608869</v>
      </c>
      <c r="H290" s="39">
        <v>9886124.1999999993</v>
      </c>
      <c r="I290" s="39">
        <v>0</v>
      </c>
      <c r="J290" s="39">
        <v>106383651.87713313</v>
      </c>
      <c r="K290" s="39">
        <v>239360333.84485564</v>
      </c>
      <c r="L290" s="39">
        <v>12064497</v>
      </c>
      <c r="M290" s="39">
        <v>553498173.80952382</v>
      </c>
      <c r="N290" s="39">
        <v>6372745.6185567016</v>
      </c>
    </row>
    <row r="292" spans="2:14">
      <c r="B292" s="3" t="s">
        <v>229</v>
      </c>
    </row>
    <row r="293" spans="2:14">
      <c r="B293" t="s">
        <v>230</v>
      </c>
      <c r="D293" t="s">
        <v>164</v>
      </c>
      <c r="F293" s="82">
        <f>SUM(G293:N293)</f>
        <v>2643338.9269077359</v>
      </c>
      <c r="G293" s="39">
        <v>22945</v>
      </c>
      <c r="H293" s="39">
        <v>87552.999999999985</v>
      </c>
      <c r="I293" s="39">
        <v>44951</v>
      </c>
      <c r="J293" s="39">
        <v>1112352</v>
      </c>
      <c r="K293" s="39">
        <v>744308.33943279029</v>
      </c>
      <c r="L293" s="39">
        <v>18696</v>
      </c>
      <c r="M293" s="39">
        <v>588338.66666666663</v>
      </c>
      <c r="N293" s="39">
        <v>24194.920808279134</v>
      </c>
    </row>
    <row r="294" spans="2:14">
      <c r="B294" t="s">
        <v>231</v>
      </c>
      <c r="D294" t="s">
        <v>164</v>
      </c>
      <c r="F294" s="82">
        <f>SUM(G294:N294)</f>
        <v>7868257.2295667902</v>
      </c>
      <c r="G294" s="39">
        <v>52153</v>
      </c>
      <c r="H294" s="39">
        <v>204782.41666666669</v>
      </c>
      <c r="I294" s="39">
        <v>104640</v>
      </c>
      <c r="J294" s="39">
        <v>2567760.14816585</v>
      </c>
      <c r="K294" s="39">
        <v>2884681.2897443259</v>
      </c>
      <c r="L294" s="39">
        <v>31392.799999999999</v>
      </c>
      <c r="M294" s="39">
        <v>1969462.5</v>
      </c>
      <c r="N294" s="39">
        <v>53385.074989947352</v>
      </c>
    </row>
    <row r="296" spans="2:14">
      <c r="B296" s="3" t="s">
        <v>232</v>
      </c>
    </row>
    <row r="297" spans="2:14">
      <c r="B297" t="s">
        <v>233</v>
      </c>
      <c r="D297" t="s">
        <v>164</v>
      </c>
      <c r="F297" s="82">
        <f t="shared" ref="F297:F302" si="2">SUM(G297:N297)</f>
        <v>46914.298181114566</v>
      </c>
      <c r="G297" s="39">
        <v>260.53846153846155</v>
      </c>
      <c r="H297" s="39">
        <v>1151.5000000000002</v>
      </c>
      <c r="I297" s="39">
        <v>113</v>
      </c>
      <c r="J297" s="39">
        <v>17940.134877272896</v>
      </c>
      <c r="K297" s="39">
        <v>17842.490496483832</v>
      </c>
      <c r="L297" s="39">
        <v>176.4</v>
      </c>
      <c r="M297" s="39">
        <v>8821.25</v>
      </c>
      <c r="N297" s="39">
        <v>608.9843458193784</v>
      </c>
    </row>
    <row r="298" spans="2:14">
      <c r="B298" t="s">
        <v>234</v>
      </c>
      <c r="D298" t="s">
        <v>164</v>
      </c>
      <c r="F298" s="82">
        <f t="shared" si="2"/>
        <v>61558.389536056486</v>
      </c>
      <c r="G298" s="39">
        <v>261.38461538461536</v>
      </c>
      <c r="H298" s="39">
        <v>1246</v>
      </c>
      <c r="I298" s="39">
        <v>1267</v>
      </c>
      <c r="J298" s="39">
        <v>22319.153568729493</v>
      </c>
      <c r="K298" s="39">
        <v>20733.970073200355</v>
      </c>
      <c r="L298" s="39">
        <v>226.4</v>
      </c>
      <c r="M298" s="39">
        <v>14865.083336177477</v>
      </c>
      <c r="N298" s="39">
        <v>639.39794256454752</v>
      </c>
    </row>
    <row r="299" spans="2:14">
      <c r="B299" t="s">
        <v>235</v>
      </c>
      <c r="D299" t="s">
        <v>164</v>
      </c>
      <c r="F299" s="82">
        <f t="shared" si="2"/>
        <v>64814.060554748001</v>
      </c>
      <c r="G299" s="39">
        <v>288.92307692307691</v>
      </c>
      <c r="H299" s="39">
        <v>1808.5833333333335</v>
      </c>
      <c r="I299" s="39">
        <v>722</v>
      </c>
      <c r="J299" s="39">
        <v>24029.284200407408</v>
      </c>
      <c r="K299" s="39">
        <v>23771.452702810333</v>
      </c>
      <c r="L299" s="39">
        <v>289</v>
      </c>
      <c r="M299" s="39">
        <v>13121.416666666666</v>
      </c>
      <c r="N299" s="39">
        <v>783.40057460718515</v>
      </c>
    </row>
    <row r="300" spans="2:14">
      <c r="B300" t="s">
        <v>236</v>
      </c>
      <c r="D300" t="s">
        <v>164</v>
      </c>
      <c r="F300" s="82">
        <f t="shared" si="2"/>
        <v>160973.36505435265</v>
      </c>
      <c r="G300" s="39">
        <v>856.92307692307691</v>
      </c>
      <c r="H300" s="39">
        <v>3655.0833333333339</v>
      </c>
      <c r="I300" s="39">
        <v>1339</v>
      </c>
      <c r="J300" s="39">
        <v>60396.920347843581</v>
      </c>
      <c r="K300" s="39">
        <v>52752.603668552671</v>
      </c>
      <c r="L300" s="39">
        <v>533.4</v>
      </c>
      <c r="M300" s="39">
        <v>40034.833191126279</v>
      </c>
      <c r="N300" s="39">
        <v>1404.6014365736989</v>
      </c>
    </row>
    <row r="301" spans="2:14">
      <c r="B301" t="s">
        <v>237</v>
      </c>
      <c r="D301" t="s">
        <v>164</v>
      </c>
      <c r="F301" s="82">
        <f t="shared" si="2"/>
        <v>7540895.1304925084</v>
      </c>
      <c r="G301" s="39">
        <v>50485.230769230766</v>
      </c>
      <c r="H301" s="39">
        <v>196921.25000000003</v>
      </c>
      <c r="I301" s="39">
        <v>101199</v>
      </c>
      <c r="J301" s="39">
        <v>2443074.6551715964</v>
      </c>
      <c r="K301" s="39">
        <v>2769580.7728032786</v>
      </c>
      <c r="L301" s="39">
        <v>30167.599999999999</v>
      </c>
      <c r="M301" s="39">
        <v>1899517.9310580206</v>
      </c>
      <c r="N301" s="39">
        <v>49948.690690382544</v>
      </c>
    </row>
    <row r="302" spans="2:14">
      <c r="B302" t="s">
        <v>238</v>
      </c>
      <c r="D302" t="s">
        <v>164</v>
      </c>
      <c r="F302" s="82">
        <f t="shared" si="2"/>
        <v>2643338.9269077359</v>
      </c>
      <c r="G302" s="39">
        <v>22945</v>
      </c>
      <c r="H302" s="39">
        <v>87552.999999999985</v>
      </c>
      <c r="I302" s="39">
        <v>44951</v>
      </c>
      <c r="J302" s="39">
        <v>1112352</v>
      </c>
      <c r="K302" s="39">
        <v>744308.33943279029</v>
      </c>
      <c r="L302" s="39">
        <v>18696</v>
      </c>
      <c r="M302" s="39">
        <v>588338.66666666663</v>
      </c>
      <c r="N302" s="39">
        <v>24194.920808279134</v>
      </c>
    </row>
    <row r="304" spans="2:14">
      <c r="B304" t="s">
        <v>52</v>
      </c>
    </row>
    <row r="310" spans="2:14">
      <c r="B310" s="3" t="s">
        <v>53</v>
      </c>
    </row>
    <row r="313" spans="2:14">
      <c r="B313" t="s">
        <v>239</v>
      </c>
      <c r="D313" t="s">
        <v>164</v>
      </c>
      <c r="F313" s="82">
        <f>SUM(G313:N313)</f>
        <v>604446175.53613055</v>
      </c>
      <c r="G313" s="39">
        <v>4557716</v>
      </c>
      <c r="H313" s="39">
        <v>0</v>
      </c>
      <c r="I313" s="39">
        <v>3457089.3846153887</v>
      </c>
      <c r="J313" s="39">
        <v>334568796.66666669</v>
      </c>
      <c r="K313" s="39">
        <v>0</v>
      </c>
      <c r="L313" s="39">
        <v>2334625</v>
      </c>
      <c r="M313" s="39">
        <v>259527948.4848485</v>
      </c>
      <c r="N313" s="39">
        <v>0</v>
      </c>
    </row>
    <row r="314" spans="2:14">
      <c r="B314" t="s">
        <v>240</v>
      </c>
      <c r="D314" t="s">
        <v>164</v>
      </c>
      <c r="F314" s="82">
        <f>SUM(G314:N314)</f>
        <v>41614491.484848484</v>
      </c>
      <c r="G314" s="39">
        <v>827267</v>
      </c>
      <c r="H314" s="39">
        <v>0</v>
      </c>
      <c r="I314" s="39">
        <v>0</v>
      </c>
      <c r="J314" s="39">
        <v>14957661.666666664</v>
      </c>
      <c r="K314" s="39">
        <v>0</v>
      </c>
      <c r="L314" s="39">
        <v>712131</v>
      </c>
      <c r="M314" s="39">
        <v>25117431.81818182</v>
      </c>
      <c r="N314" s="39">
        <v>0</v>
      </c>
    </row>
    <row r="318" spans="2:14" s="2" customFormat="1">
      <c r="B318" s="2" t="s">
        <v>54</v>
      </c>
      <c r="F318" s="48"/>
    </row>
    <row r="320" spans="2:14">
      <c r="B320" s="3"/>
    </row>
    <row r="321" spans="2:16">
      <c r="B321" s="3" t="s">
        <v>49</v>
      </c>
      <c r="G321" s="27"/>
    </row>
    <row r="322" spans="2:16">
      <c r="B322" s="3"/>
    </row>
    <row r="323" spans="2:16">
      <c r="B323" s="3"/>
    </row>
    <row r="324" spans="2:16">
      <c r="B324" s="85" t="s">
        <v>212</v>
      </c>
    </row>
    <row r="325" spans="2:16">
      <c r="B325" t="s">
        <v>213</v>
      </c>
      <c r="D325" t="s">
        <v>164</v>
      </c>
      <c r="F325" s="82">
        <f>SUM(G325:N325)</f>
        <v>15</v>
      </c>
      <c r="G325" s="160">
        <v>0</v>
      </c>
      <c r="H325" s="39">
        <v>0</v>
      </c>
      <c r="I325" s="39">
        <v>0</v>
      </c>
      <c r="J325" s="39">
        <v>0</v>
      </c>
      <c r="K325" s="39">
        <v>11</v>
      </c>
      <c r="L325" s="39">
        <v>0</v>
      </c>
      <c r="M325" s="39">
        <v>4</v>
      </c>
      <c r="N325" s="39">
        <v>0</v>
      </c>
      <c r="P325" t="s">
        <v>489</v>
      </c>
    </row>
    <row r="326" spans="2:16">
      <c r="B326" t="s">
        <v>214</v>
      </c>
      <c r="D326" t="s">
        <v>164</v>
      </c>
      <c r="F326" s="82">
        <f>SUM(G326:N326)</f>
        <v>929064.76712328766</v>
      </c>
      <c r="G326" s="39">
        <v>0</v>
      </c>
      <c r="H326" s="39">
        <v>0</v>
      </c>
      <c r="I326" s="39">
        <v>0</v>
      </c>
      <c r="J326" s="39">
        <v>0</v>
      </c>
      <c r="K326" s="39">
        <v>655728.76712328766</v>
      </c>
      <c r="L326" s="39">
        <v>0</v>
      </c>
      <c r="M326" s="39">
        <v>273336</v>
      </c>
      <c r="N326" s="39">
        <v>0</v>
      </c>
    </row>
    <row r="327" spans="2:16">
      <c r="B327" t="s">
        <v>215</v>
      </c>
      <c r="D327" t="s">
        <v>164</v>
      </c>
      <c r="F327" s="82">
        <f>SUM(G327:N327)</f>
        <v>9438031.5959595963</v>
      </c>
      <c r="G327" s="39">
        <v>0</v>
      </c>
      <c r="H327" s="39">
        <v>0</v>
      </c>
      <c r="I327" s="39">
        <v>0</v>
      </c>
      <c r="J327" s="39">
        <v>0</v>
      </c>
      <c r="K327" s="39">
        <v>6627033.777777778</v>
      </c>
      <c r="L327" s="39">
        <v>0</v>
      </c>
      <c r="M327" s="39">
        <v>2810997.8181818179</v>
      </c>
      <c r="N327" s="39">
        <v>0</v>
      </c>
    </row>
    <row r="329" spans="2:16">
      <c r="B329" s="3" t="s">
        <v>216</v>
      </c>
    </row>
    <row r="330" spans="2:16">
      <c r="B330" t="s">
        <v>213</v>
      </c>
      <c r="D330" t="s">
        <v>164</v>
      </c>
      <c r="F330" s="82">
        <f>SUM(G330:N330)</f>
        <v>6</v>
      </c>
      <c r="G330" s="39">
        <v>0</v>
      </c>
      <c r="H330" s="39">
        <v>0</v>
      </c>
      <c r="I330" s="39">
        <v>0</v>
      </c>
      <c r="J330" s="39">
        <v>0</v>
      </c>
      <c r="K330" s="39">
        <v>0</v>
      </c>
      <c r="L330" s="39">
        <v>0</v>
      </c>
      <c r="M330" s="39">
        <v>6</v>
      </c>
      <c r="N330" s="39">
        <v>0</v>
      </c>
    </row>
    <row r="331" spans="2:16">
      <c r="B331" t="s">
        <v>214</v>
      </c>
      <c r="D331" t="s">
        <v>164</v>
      </c>
      <c r="F331" s="82">
        <f>SUM(G331:N331)</f>
        <v>30729.81818181818</v>
      </c>
      <c r="G331" s="39">
        <v>0</v>
      </c>
      <c r="H331" s="39">
        <v>0</v>
      </c>
      <c r="I331" s="39">
        <v>0</v>
      </c>
      <c r="J331" s="39">
        <v>0</v>
      </c>
      <c r="K331" s="39">
        <v>0</v>
      </c>
      <c r="L331" s="39">
        <v>0</v>
      </c>
      <c r="M331" s="39">
        <v>30729.81818181818</v>
      </c>
      <c r="N331" s="39">
        <v>0</v>
      </c>
    </row>
    <row r="332" spans="2:16">
      <c r="B332" t="s">
        <v>217</v>
      </c>
      <c r="D332" t="s">
        <v>164</v>
      </c>
      <c r="F332" s="82">
        <f>SUM(G332:N332)</f>
        <v>212822.18181818179</v>
      </c>
      <c r="G332" s="39">
        <v>0</v>
      </c>
      <c r="H332" s="39">
        <v>0</v>
      </c>
      <c r="I332" s="39">
        <v>0</v>
      </c>
      <c r="J332" s="39">
        <v>0</v>
      </c>
      <c r="K332" s="39">
        <v>0</v>
      </c>
      <c r="L332" s="39">
        <v>0</v>
      </c>
      <c r="M332" s="39">
        <v>212822.18181818179</v>
      </c>
      <c r="N332" s="39">
        <v>0</v>
      </c>
    </row>
    <row r="334" spans="2:16">
      <c r="B334" s="3" t="s">
        <v>218</v>
      </c>
    </row>
    <row r="335" spans="2:16">
      <c r="B335" t="s">
        <v>213</v>
      </c>
      <c r="D335" t="s">
        <v>164</v>
      </c>
      <c r="F335" s="82">
        <f>SUM(G335:N335)</f>
        <v>92.687841325775508</v>
      </c>
      <c r="G335" s="39">
        <v>0</v>
      </c>
      <c r="H335" s="39">
        <v>2.7222210144927534</v>
      </c>
      <c r="I335" s="39">
        <v>0</v>
      </c>
      <c r="J335" s="39">
        <v>4.0001574981136496</v>
      </c>
      <c r="K335" s="39">
        <v>19.329099176805464</v>
      </c>
      <c r="L335" s="39">
        <v>0</v>
      </c>
      <c r="M335" s="39">
        <v>66.63636363636364</v>
      </c>
      <c r="N335" s="39">
        <v>0</v>
      </c>
    </row>
    <row r="336" spans="2:16">
      <c r="B336" t="s">
        <v>214</v>
      </c>
      <c r="D336" t="s">
        <v>164</v>
      </c>
      <c r="F336" s="82">
        <f>SUM(G336:N336)</f>
        <v>912339.0408390559</v>
      </c>
      <c r="G336" s="39">
        <v>0</v>
      </c>
      <c r="H336" s="39">
        <v>34213.861111111109</v>
      </c>
      <c r="I336" s="39">
        <v>0</v>
      </c>
      <c r="J336" s="39">
        <v>72330.004889975549</v>
      </c>
      <c r="K336" s="39">
        <v>135584.44756524207</v>
      </c>
      <c r="L336" s="39">
        <v>0</v>
      </c>
      <c r="M336" s="39">
        <v>670210.72727272718</v>
      </c>
      <c r="N336" s="39">
        <v>0</v>
      </c>
    </row>
    <row r="337" spans="2:14">
      <c r="B337" t="s">
        <v>215</v>
      </c>
      <c r="D337" t="s">
        <v>164</v>
      </c>
      <c r="F337" s="82">
        <f>SUM(G337:N337)</f>
        <v>8293904.5407517543</v>
      </c>
      <c r="G337" s="39">
        <v>0</v>
      </c>
      <c r="H337" s="39">
        <v>383447.6617647059</v>
      </c>
      <c r="I337" s="39">
        <v>0</v>
      </c>
      <c r="J337" s="39">
        <v>770270.18</v>
      </c>
      <c r="K337" s="39">
        <v>1286716.5171688669</v>
      </c>
      <c r="L337" s="39">
        <v>0</v>
      </c>
      <c r="M337" s="39">
        <v>5853470.1818181816</v>
      </c>
      <c r="N337" s="39">
        <v>0</v>
      </c>
    </row>
    <row r="339" spans="2:14">
      <c r="B339" s="3" t="s">
        <v>219</v>
      </c>
    </row>
    <row r="340" spans="2:14">
      <c r="B340" t="s">
        <v>213</v>
      </c>
      <c r="D340" t="s">
        <v>164</v>
      </c>
      <c r="F340" s="82">
        <f>SUM(G340:N340)</f>
        <v>25.000078749056826</v>
      </c>
      <c r="G340" s="39">
        <v>0</v>
      </c>
      <c r="H340" s="39">
        <v>0</v>
      </c>
      <c r="I340" s="39">
        <v>0</v>
      </c>
      <c r="J340" s="39">
        <v>2.0000787490568248</v>
      </c>
      <c r="K340" s="39">
        <v>12</v>
      </c>
      <c r="L340" s="39">
        <v>0</v>
      </c>
      <c r="M340" s="39">
        <v>11</v>
      </c>
      <c r="N340" s="39">
        <v>0</v>
      </c>
    </row>
    <row r="341" spans="2:14">
      <c r="B341" t="s">
        <v>214</v>
      </c>
      <c r="D341" t="s">
        <v>164</v>
      </c>
      <c r="F341" s="82">
        <f>SUM(G341:N341)</f>
        <v>346858.46520580392</v>
      </c>
      <c r="G341" s="39">
        <v>0</v>
      </c>
      <c r="H341" s="39">
        <v>0</v>
      </c>
      <c r="I341" s="39">
        <v>0</v>
      </c>
      <c r="J341" s="39">
        <v>13043.28338762215</v>
      </c>
      <c r="K341" s="39">
        <v>68597</v>
      </c>
      <c r="L341" s="39">
        <v>0</v>
      </c>
      <c r="M341" s="39">
        <v>265218.18181818177</v>
      </c>
      <c r="N341" s="39">
        <v>0</v>
      </c>
    </row>
    <row r="342" spans="2:14">
      <c r="B342" t="s">
        <v>217</v>
      </c>
      <c r="D342" t="s">
        <v>164</v>
      </c>
      <c r="F342" s="82">
        <f>SUM(G342:N342)</f>
        <v>4787902.6311688311</v>
      </c>
      <c r="G342" s="39">
        <v>0</v>
      </c>
      <c r="H342" s="39">
        <v>0</v>
      </c>
      <c r="I342" s="39">
        <v>0</v>
      </c>
      <c r="J342" s="39">
        <v>123901.08571428573</v>
      </c>
      <c r="K342" s="39">
        <v>1116279.0000000002</v>
      </c>
      <c r="L342" s="39">
        <v>0</v>
      </c>
      <c r="M342" s="39">
        <v>3547722.5454545454</v>
      </c>
      <c r="N342" s="39">
        <v>0</v>
      </c>
    </row>
    <row r="344" spans="2:14">
      <c r="B344" s="3" t="s">
        <v>220</v>
      </c>
    </row>
    <row r="345" spans="2:14">
      <c r="B345" t="s">
        <v>213</v>
      </c>
      <c r="D345" t="s">
        <v>164</v>
      </c>
      <c r="F345" s="82">
        <f>SUM(G345:N345)</f>
        <v>702.27602665030281</v>
      </c>
      <c r="G345" s="39">
        <v>0</v>
      </c>
      <c r="H345" s="39">
        <v>44.833333333333329</v>
      </c>
      <c r="I345" s="39">
        <v>1</v>
      </c>
      <c r="J345" s="39">
        <v>186.54607214714432</v>
      </c>
      <c r="K345" s="39">
        <v>328.80571207891603</v>
      </c>
      <c r="L345" s="39">
        <v>0</v>
      </c>
      <c r="M345" s="39">
        <v>136.09090909090909</v>
      </c>
      <c r="N345" s="39">
        <v>5</v>
      </c>
    </row>
    <row r="346" spans="2:14">
      <c r="B346" t="s">
        <v>214</v>
      </c>
      <c r="D346" t="s">
        <v>164</v>
      </c>
      <c r="F346" s="82">
        <f>SUM(G346:N346)</f>
        <v>3050214.6764847375</v>
      </c>
      <c r="G346" s="39">
        <v>0</v>
      </c>
      <c r="H346" s="39">
        <v>92758.583333333328</v>
      </c>
      <c r="I346" s="39">
        <v>14856.427966301664</v>
      </c>
      <c r="J346" s="39">
        <v>1368431.8165605098</v>
      </c>
      <c r="K346" s="39">
        <v>1079154.666806411</v>
      </c>
      <c r="L346" s="39">
        <v>0</v>
      </c>
      <c r="M346" s="39">
        <v>465033.18181818182</v>
      </c>
      <c r="N346" s="39">
        <v>29980</v>
      </c>
    </row>
    <row r="347" spans="2:14">
      <c r="B347" t="s">
        <v>215</v>
      </c>
      <c r="D347" t="s">
        <v>164</v>
      </c>
      <c r="F347" s="82">
        <f>SUM(G347:N347)</f>
        <v>29068464.693731695</v>
      </c>
      <c r="G347" s="39">
        <v>0</v>
      </c>
      <c r="H347" s="39">
        <v>743772</v>
      </c>
      <c r="I347" s="39">
        <v>164823.77296883665</v>
      </c>
      <c r="J347" s="39">
        <v>13544779.638709679</v>
      </c>
      <c r="K347" s="39">
        <v>10057355.100234997</v>
      </c>
      <c r="L347" s="39">
        <v>0</v>
      </c>
      <c r="M347" s="39">
        <v>4268414.1818181816</v>
      </c>
      <c r="N347" s="39">
        <v>289320</v>
      </c>
    </row>
    <row r="349" spans="2:14">
      <c r="B349" s="3" t="s">
        <v>221</v>
      </c>
    </row>
    <row r="350" spans="2:14">
      <c r="B350" t="s">
        <v>213</v>
      </c>
      <c r="D350" t="s">
        <v>164</v>
      </c>
      <c r="F350" s="82">
        <f>SUM(G350:N350)</f>
        <v>29.539721444319937</v>
      </c>
      <c r="G350" s="39">
        <v>0</v>
      </c>
      <c r="H350" s="39">
        <v>1</v>
      </c>
      <c r="I350" s="39">
        <v>0</v>
      </c>
      <c r="J350" s="39">
        <v>9.6230547776532713</v>
      </c>
      <c r="K350" s="39">
        <v>15.916666666666666</v>
      </c>
      <c r="L350" s="39">
        <v>0</v>
      </c>
      <c r="M350" s="39">
        <v>3</v>
      </c>
      <c r="N350" s="39">
        <v>0</v>
      </c>
    </row>
    <row r="351" spans="2:14">
      <c r="B351" t="s">
        <v>214</v>
      </c>
      <c r="D351" t="s">
        <v>164</v>
      </c>
      <c r="F351" s="82">
        <f>SUM(G351:N351)</f>
        <v>119964.68176027795</v>
      </c>
      <c r="G351" s="39">
        <v>0</v>
      </c>
      <c r="H351" s="39">
        <v>9116</v>
      </c>
      <c r="I351" s="39">
        <v>0</v>
      </c>
      <c r="J351" s="39">
        <v>51030.136305732485</v>
      </c>
      <c r="K351" s="39">
        <v>48252.000000000007</v>
      </c>
      <c r="L351" s="39">
        <v>0</v>
      </c>
      <c r="M351" s="39">
        <v>11566.545454545454</v>
      </c>
      <c r="N351" s="39">
        <v>0</v>
      </c>
    </row>
    <row r="352" spans="2:14">
      <c r="B352" t="s">
        <v>217</v>
      </c>
      <c r="D352" t="s">
        <v>164</v>
      </c>
      <c r="F352" s="82">
        <f>SUM(G352:N352)</f>
        <v>1768940.9810004809</v>
      </c>
      <c r="G352" s="39">
        <v>0</v>
      </c>
      <c r="H352" s="39">
        <v>163910.28571428571</v>
      </c>
      <c r="I352" s="39">
        <v>0</v>
      </c>
      <c r="J352" s="39">
        <v>740910.24074074079</v>
      </c>
      <c r="K352" s="39">
        <v>705558.99999999988</v>
      </c>
      <c r="L352" s="39">
        <v>0</v>
      </c>
      <c r="M352" s="39">
        <v>158561.45454545453</v>
      </c>
      <c r="N352" s="160">
        <v>0</v>
      </c>
    </row>
    <row r="358" spans="2:14">
      <c r="B358" s="3" t="s">
        <v>50</v>
      </c>
    </row>
    <row r="361" spans="2:14">
      <c r="B361" s="3" t="s">
        <v>222</v>
      </c>
    </row>
    <row r="362" spans="2:14">
      <c r="B362" t="s">
        <v>213</v>
      </c>
      <c r="D362" t="s">
        <v>164</v>
      </c>
      <c r="F362" s="82">
        <f>SUM(G362:N362)</f>
        <v>277.08317799025463</v>
      </c>
      <c r="G362" s="160">
        <v>0</v>
      </c>
      <c r="H362" s="39">
        <v>0</v>
      </c>
      <c r="I362" s="39">
        <v>4</v>
      </c>
      <c r="J362" s="39">
        <v>271.08317799025463</v>
      </c>
      <c r="K362" s="39">
        <v>0</v>
      </c>
      <c r="L362" s="39">
        <v>2</v>
      </c>
      <c r="M362" s="39">
        <v>0</v>
      </c>
      <c r="N362" s="39">
        <v>0</v>
      </c>
    </row>
    <row r="363" spans="2:14">
      <c r="B363" t="s">
        <v>223</v>
      </c>
      <c r="D363" t="s">
        <v>164</v>
      </c>
      <c r="F363" s="82">
        <f>SUM(G363:N363)</f>
        <v>796538.40365426894</v>
      </c>
      <c r="G363" s="39">
        <v>0</v>
      </c>
      <c r="H363" s="39">
        <v>0</v>
      </c>
      <c r="I363" s="39">
        <v>23110.427626871733</v>
      </c>
      <c r="J363" s="39">
        <v>760992.97602739721</v>
      </c>
      <c r="K363" s="39">
        <v>0</v>
      </c>
      <c r="L363" s="39">
        <v>12435</v>
      </c>
      <c r="M363" s="39">
        <v>0</v>
      </c>
      <c r="N363" s="39">
        <v>0</v>
      </c>
    </row>
    <row r="364" spans="2:14">
      <c r="B364" t="s">
        <v>215</v>
      </c>
      <c r="D364" t="s">
        <v>164</v>
      </c>
      <c r="F364" s="82">
        <f>SUM(G364:N364)</f>
        <v>7653787.6499531614</v>
      </c>
      <c r="G364" s="39">
        <v>0</v>
      </c>
      <c r="H364" s="39">
        <v>0</v>
      </c>
      <c r="I364" s="39">
        <v>249857.22517439915</v>
      </c>
      <c r="J364" s="39">
        <v>7287711.4247787623</v>
      </c>
      <c r="K364" s="39">
        <v>0</v>
      </c>
      <c r="L364" s="39">
        <v>116219</v>
      </c>
      <c r="M364" s="39">
        <v>0</v>
      </c>
      <c r="N364" s="39">
        <v>0</v>
      </c>
    </row>
    <row r="365" spans="2:14">
      <c r="B365" t="s">
        <v>224</v>
      </c>
      <c r="D365" t="s">
        <v>164</v>
      </c>
      <c r="F365" s="82">
        <f>SUM(G365:N365)</f>
        <v>3060297023.6484346</v>
      </c>
      <c r="G365" s="39">
        <v>0</v>
      </c>
      <c r="H365" s="39">
        <v>0</v>
      </c>
      <c r="I365" s="39">
        <v>90468727.466617242</v>
      </c>
      <c r="J365" s="39">
        <v>2945803143.1818175</v>
      </c>
      <c r="K365" s="39">
        <v>0</v>
      </c>
      <c r="L365" s="39">
        <v>24025153</v>
      </c>
      <c r="M365" s="39">
        <v>0</v>
      </c>
      <c r="N365" s="39">
        <v>0</v>
      </c>
    </row>
    <row r="367" spans="2:14">
      <c r="B367" s="3" t="s">
        <v>225</v>
      </c>
    </row>
    <row r="368" spans="2:14">
      <c r="B368" t="s">
        <v>213</v>
      </c>
      <c r="D368" t="s">
        <v>164</v>
      </c>
      <c r="F368" s="82">
        <f>SUM(G368:N368)</f>
        <v>24087.497376304775</v>
      </c>
      <c r="G368" s="39">
        <v>29.615384615384617</v>
      </c>
      <c r="H368" s="39">
        <v>411.74999999999994</v>
      </c>
      <c r="I368" s="39">
        <v>546</v>
      </c>
      <c r="J368" s="39">
        <v>10045.439854558193</v>
      </c>
      <c r="K368" s="39">
        <v>9224.6927638061097</v>
      </c>
      <c r="L368" s="39">
        <v>15.59</v>
      </c>
      <c r="M368" s="39">
        <v>3265.363636363636</v>
      </c>
      <c r="N368" s="39">
        <v>549.04573696145121</v>
      </c>
    </row>
    <row r="369" spans="2:14">
      <c r="B369" t="s">
        <v>223</v>
      </c>
      <c r="D369" t="s">
        <v>164</v>
      </c>
      <c r="F369" s="82">
        <f>SUM(G369:N369)</f>
        <v>8536172.8538765255</v>
      </c>
      <c r="G369" s="39">
        <v>34360.583333333336</v>
      </c>
      <c r="H369" s="39">
        <v>191867.83333333334</v>
      </c>
      <c r="I369" s="39">
        <v>143272.27681885005</v>
      </c>
      <c r="J369" s="39">
        <v>2976800.2758152173</v>
      </c>
      <c r="K369" s="39">
        <v>3143366.7009127089</v>
      </c>
      <c r="L369" s="39">
        <v>17732</v>
      </c>
      <c r="M369" s="39">
        <v>1799382.5454545452</v>
      </c>
      <c r="N369" s="39">
        <v>229390.63820853748</v>
      </c>
    </row>
    <row r="370" spans="2:14">
      <c r="B370" t="s">
        <v>215</v>
      </c>
      <c r="D370" t="s">
        <v>164</v>
      </c>
      <c r="F370" s="82">
        <f>SUM(G370:N370)</f>
        <v>71684214.935348928</v>
      </c>
      <c r="G370" s="39">
        <v>310600</v>
      </c>
      <c r="H370" s="39">
        <v>1594433</v>
      </c>
      <c r="I370" s="39">
        <v>1126420.8806018378</v>
      </c>
      <c r="J370" s="39">
        <v>26022300.885135137</v>
      </c>
      <c r="K370" s="39">
        <v>26736190.758777365</v>
      </c>
      <c r="L370" s="39">
        <v>183903.77</v>
      </c>
      <c r="M370" s="39">
        <v>13865482.181818182</v>
      </c>
      <c r="N370" s="39">
        <v>1844883.4590163934</v>
      </c>
    </row>
    <row r="371" spans="2:14">
      <c r="B371" t="s">
        <v>224</v>
      </c>
      <c r="D371" t="s">
        <v>164</v>
      </c>
      <c r="F371" s="82">
        <f>SUM(G371:N371)</f>
        <v>22877129136.697689</v>
      </c>
      <c r="G371" s="39">
        <v>106830282</v>
      </c>
      <c r="H371" s="39">
        <v>478326123</v>
      </c>
      <c r="I371" s="39">
        <v>382898261.00987029</v>
      </c>
      <c r="J371" s="39">
        <v>8009296961.1764708</v>
      </c>
      <c r="K371" s="39">
        <v>8717012091.2767448</v>
      </c>
      <c r="L371" s="39">
        <v>68468104</v>
      </c>
      <c r="M371" s="39">
        <v>4620856805.363636</v>
      </c>
      <c r="N371" s="39">
        <v>493440508.87096775</v>
      </c>
    </row>
    <row r="373" spans="2:14">
      <c r="B373" s="3" t="s">
        <v>226</v>
      </c>
    </row>
    <row r="374" spans="2:14">
      <c r="B374" t="s">
        <v>213</v>
      </c>
      <c r="D374" t="s">
        <v>164</v>
      </c>
      <c r="F374" s="82">
        <f>SUM(G374:N374)</f>
        <v>42089.260612129729</v>
      </c>
      <c r="G374" s="39">
        <v>224.23076923076923</v>
      </c>
      <c r="H374" s="39">
        <v>1572.0833333333333</v>
      </c>
      <c r="I374" s="39">
        <v>677</v>
      </c>
      <c r="J374" s="39">
        <v>14718.426456875208</v>
      </c>
      <c r="K374" s="39">
        <v>14103.714890868117</v>
      </c>
      <c r="L374" s="39">
        <v>131.59</v>
      </c>
      <c r="M374" s="39">
        <v>9673.6363636363621</v>
      </c>
      <c r="N374" s="39">
        <v>988.57879818594097</v>
      </c>
    </row>
    <row r="375" spans="2:14">
      <c r="B375" t="s">
        <v>223</v>
      </c>
      <c r="D375" t="s">
        <v>164</v>
      </c>
      <c r="F375" s="82">
        <f>SUM(G375:N375)</f>
        <v>3877569.188094805</v>
      </c>
      <c r="G375" s="39">
        <v>44866.333333333336</v>
      </c>
      <c r="H375" s="39">
        <v>150101.58333333334</v>
      </c>
      <c r="I375" s="39">
        <v>44188.744573009186</v>
      </c>
      <c r="J375" s="39">
        <v>1062564.8999110321</v>
      </c>
      <c r="K375" s="39">
        <v>1221571.2538675398</v>
      </c>
      <c r="L375" s="39">
        <v>23515.1</v>
      </c>
      <c r="M375" s="39">
        <v>1139841.2727272727</v>
      </c>
      <c r="N375" s="39">
        <v>190920.00034928398</v>
      </c>
    </row>
    <row r="376" spans="2:14">
      <c r="B376" t="s">
        <v>215</v>
      </c>
      <c r="D376" t="s">
        <v>164</v>
      </c>
      <c r="F376" s="82">
        <f>SUM(G376:N376)</f>
        <v>29027267.150915515</v>
      </c>
      <c r="G376" s="39">
        <v>393749</v>
      </c>
      <c r="H376" s="39">
        <v>1141189.2</v>
      </c>
      <c r="I376" s="39">
        <v>284553.61422736972</v>
      </c>
      <c r="J376" s="39">
        <v>8251215.6621621633</v>
      </c>
      <c r="K376" s="39">
        <v>9276159.6517192274</v>
      </c>
      <c r="L376" s="39">
        <v>211821.07</v>
      </c>
      <c r="M376" s="39">
        <v>7951210.9090909082</v>
      </c>
      <c r="N376" s="39">
        <v>1517368.043715847</v>
      </c>
    </row>
    <row r="377" spans="2:14">
      <c r="B377" t="s">
        <v>224</v>
      </c>
      <c r="D377" t="s">
        <v>164</v>
      </c>
      <c r="F377" s="82">
        <f>SUM(G377:N377)</f>
        <v>7924255171.4546385</v>
      </c>
      <c r="G377" s="39">
        <v>111159059</v>
      </c>
      <c r="H377" s="39">
        <v>289363166</v>
      </c>
      <c r="I377" s="39">
        <v>72878947.21911864</v>
      </c>
      <c r="J377" s="39">
        <v>2152041224.7058825</v>
      </c>
      <c r="K377" s="39">
        <v>2572407255.2745051</v>
      </c>
      <c r="L377" s="39">
        <v>56506229</v>
      </c>
      <c r="M377" s="39">
        <v>2253134526.5454545</v>
      </c>
      <c r="N377" s="160">
        <v>416764763.70967746</v>
      </c>
    </row>
    <row r="383" spans="2:14">
      <c r="B383" s="3" t="s">
        <v>51</v>
      </c>
    </row>
    <row r="386" spans="2:14">
      <c r="B386" s="3" t="s">
        <v>227</v>
      </c>
    </row>
    <row r="387" spans="2:14">
      <c r="B387" t="s">
        <v>213</v>
      </c>
      <c r="D387" t="s">
        <v>164</v>
      </c>
      <c r="F387" s="82">
        <f>SUM(G387:N387)</f>
        <v>17775.752164377926</v>
      </c>
      <c r="G387" s="160">
        <v>312.76923076923077</v>
      </c>
      <c r="H387" s="39">
        <v>352.41666666666674</v>
      </c>
      <c r="I387" s="39">
        <v>0</v>
      </c>
      <c r="J387" s="39">
        <v>3427.8865323378536</v>
      </c>
      <c r="K387" s="39">
        <v>6250.5608457152885</v>
      </c>
      <c r="L387" s="39">
        <v>141.13</v>
      </c>
      <c r="M387" s="39">
        <v>7087</v>
      </c>
      <c r="N387" s="39">
        <v>203.98888888888885</v>
      </c>
    </row>
    <row r="388" spans="2:14">
      <c r="B388" t="s">
        <v>223</v>
      </c>
      <c r="D388" t="s">
        <v>164</v>
      </c>
      <c r="F388" s="82">
        <f>SUM(G388:N388)</f>
        <v>942630.31788453739</v>
      </c>
      <c r="G388" s="39">
        <v>24321.583333333332</v>
      </c>
      <c r="H388" s="39">
        <v>17337.916666666664</v>
      </c>
      <c r="I388" s="39">
        <v>0</v>
      </c>
      <c r="J388" s="39">
        <v>119273.8868686869</v>
      </c>
      <c r="K388" s="39">
        <v>222377.81369504097</v>
      </c>
      <c r="L388" s="39">
        <v>8808.4</v>
      </c>
      <c r="M388" s="39">
        <v>544297.81818181812</v>
      </c>
      <c r="N388" s="39">
        <v>6212.8991389913899</v>
      </c>
    </row>
    <row r="389" spans="2:14">
      <c r="B389" t="s">
        <v>228</v>
      </c>
      <c r="D389" t="s">
        <v>164</v>
      </c>
      <c r="F389" s="82">
        <f>SUM(G389:N389)</f>
        <v>594495657.02115047</v>
      </c>
      <c r="G389" s="39">
        <v>14286440</v>
      </c>
      <c r="H389" s="39">
        <v>7476768.8000000007</v>
      </c>
      <c r="I389" s="39">
        <v>0</v>
      </c>
      <c r="J389" s="39">
        <v>70617543.949044585</v>
      </c>
      <c r="K389" s="39">
        <v>157369403.5555284</v>
      </c>
      <c r="L389" s="39">
        <v>6653658</v>
      </c>
      <c r="M389" s="39">
        <v>332816260.36363631</v>
      </c>
      <c r="N389" s="39">
        <v>5275582.3529411769</v>
      </c>
    </row>
    <row r="390" spans="2:14">
      <c r="B390" t="s">
        <v>224</v>
      </c>
      <c r="D390" t="s">
        <v>164</v>
      </c>
      <c r="F390" s="82">
        <f>SUM(G390:N390)</f>
        <v>940308050.59516108</v>
      </c>
      <c r="G390" s="39">
        <v>27936589</v>
      </c>
      <c r="H390" s="39">
        <v>9810541</v>
      </c>
      <c r="I390" s="39">
        <v>0</v>
      </c>
      <c r="J390" s="39">
        <v>112014458.99999999</v>
      </c>
      <c r="K390" s="39">
        <v>236041264.54970652</v>
      </c>
      <c r="L390" s="39">
        <v>12289299</v>
      </c>
      <c r="M390" s="39">
        <v>535512968.72727269</v>
      </c>
      <c r="N390" s="39">
        <v>6702929.3181818193</v>
      </c>
    </row>
    <row r="392" spans="2:14">
      <c r="B392" s="3" t="s">
        <v>229</v>
      </c>
    </row>
    <row r="393" spans="2:14">
      <c r="B393" t="s">
        <v>230</v>
      </c>
      <c r="D393" t="s">
        <v>164</v>
      </c>
      <c r="F393" s="82">
        <f>SUM(G393:N393)</f>
        <v>2683326.9299812303</v>
      </c>
      <c r="G393" s="39">
        <v>24005</v>
      </c>
      <c r="H393" s="39">
        <v>87171.333333333358</v>
      </c>
      <c r="I393" s="39">
        <v>44951</v>
      </c>
      <c r="J393" s="39">
        <v>1111666.2800048515</v>
      </c>
      <c r="K393" s="39">
        <v>783087.23571790964</v>
      </c>
      <c r="L393" s="39">
        <v>18957.5</v>
      </c>
      <c r="M393" s="39">
        <v>588773.54166666663</v>
      </c>
      <c r="N393" s="39">
        <v>24715.039258468842</v>
      </c>
    </row>
    <row r="394" spans="2:14">
      <c r="B394" t="s">
        <v>231</v>
      </c>
      <c r="D394" t="s">
        <v>164</v>
      </c>
      <c r="F394" s="82">
        <f>SUM(G394:N394)</f>
        <v>7923156.0867775856</v>
      </c>
      <c r="G394" s="39">
        <v>52116.846153846156</v>
      </c>
      <c r="H394" s="39">
        <v>206200.33333333331</v>
      </c>
      <c r="I394" s="39">
        <v>105565</v>
      </c>
      <c r="J394" s="39">
        <v>2584367.260172789</v>
      </c>
      <c r="K394" s="39">
        <v>2905918.7551506846</v>
      </c>
      <c r="L394" s="39">
        <v>31532.400000000001</v>
      </c>
      <c r="M394" s="39">
        <v>1982944.4818878789</v>
      </c>
      <c r="N394" s="39">
        <v>54511.010079053129</v>
      </c>
    </row>
    <row r="396" spans="2:14">
      <c r="B396" s="3" t="s">
        <v>232</v>
      </c>
    </row>
    <row r="397" spans="2:14">
      <c r="B397" t="s">
        <v>233</v>
      </c>
      <c r="D397" t="s">
        <v>164</v>
      </c>
      <c r="F397" s="82">
        <f t="shared" ref="F397:F402" si="3">SUM(G397:N397)</f>
        <v>48204.694915139837</v>
      </c>
      <c r="G397" s="39">
        <v>276.53846153846155</v>
      </c>
      <c r="H397" s="39">
        <v>1181.8333333333333</v>
      </c>
      <c r="I397" s="39">
        <v>211</v>
      </c>
      <c r="J397" s="39">
        <v>18778.697426311759</v>
      </c>
      <c r="K397" s="39">
        <v>18278.674396575534</v>
      </c>
      <c r="L397" s="39">
        <v>177</v>
      </c>
      <c r="M397" s="39">
        <v>8686.9166666666661</v>
      </c>
      <c r="N397" s="39">
        <v>614.03463071408794</v>
      </c>
    </row>
    <row r="398" spans="2:14">
      <c r="B398" t="s">
        <v>234</v>
      </c>
      <c r="D398" t="s">
        <v>164</v>
      </c>
      <c r="F398" s="82">
        <f t="shared" si="3"/>
        <v>62273.483872350371</v>
      </c>
      <c r="G398" s="39">
        <v>280.38461538461536</v>
      </c>
      <c r="H398" s="39">
        <v>1254.4166666666667</v>
      </c>
      <c r="I398" s="39">
        <v>1259</v>
      </c>
      <c r="J398" s="39">
        <v>22805.038707138843</v>
      </c>
      <c r="K398" s="39">
        <v>20956.951062529817</v>
      </c>
      <c r="L398" s="39">
        <v>223.6</v>
      </c>
      <c r="M398" s="39">
        <v>14861.083333333334</v>
      </c>
      <c r="N398" s="39">
        <v>633.00948729709251</v>
      </c>
    </row>
    <row r="399" spans="2:14">
      <c r="B399" t="s">
        <v>235</v>
      </c>
      <c r="D399" t="s">
        <v>164</v>
      </c>
      <c r="F399" s="82">
        <f t="shared" si="3"/>
        <v>65814.287471548509</v>
      </c>
      <c r="G399" s="39">
        <v>309.15384615384613</v>
      </c>
      <c r="H399" s="39">
        <v>1824.8333333333333</v>
      </c>
      <c r="I399" s="39">
        <v>736</v>
      </c>
      <c r="J399" s="39">
        <v>24408.37184198121</v>
      </c>
      <c r="K399" s="39">
        <v>24129.036142487843</v>
      </c>
      <c r="L399" s="39">
        <v>291.8</v>
      </c>
      <c r="M399" s="39">
        <v>13313</v>
      </c>
      <c r="N399" s="39">
        <v>802.0923075922783</v>
      </c>
    </row>
    <row r="400" spans="2:14">
      <c r="B400" t="s">
        <v>236</v>
      </c>
      <c r="D400" t="s">
        <v>164</v>
      </c>
      <c r="F400" s="82">
        <f t="shared" si="3"/>
        <v>163106.71147358941</v>
      </c>
      <c r="G400" s="39">
        <v>886.84615384615381</v>
      </c>
      <c r="H400" s="39">
        <v>3742.416666666667</v>
      </c>
      <c r="I400" s="39">
        <v>1347</v>
      </c>
      <c r="J400" s="39">
        <v>61411.456493295322</v>
      </c>
      <c r="K400" s="39">
        <v>53582.207204094659</v>
      </c>
      <c r="L400" s="39">
        <v>535.4</v>
      </c>
      <c r="M400" s="39">
        <v>40168.674242424247</v>
      </c>
      <c r="N400" s="39">
        <v>1432.7107132623923</v>
      </c>
    </row>
    <row r="401" spans="2:14">
      <c r="B401" t="s">
        <v>237</v>
      </c>
      <c r="D401" t="s">
        <v>164</v>
      </c>
      <c r="F401" s="82">
        <f t="shared" si="3"/>
        <v>7581419.3248222545</v>
      </c>
      <c r="G401" s="39">
        <v>50363.923076923078</v>
      </c>
      <c r="H401" s="39">
        <v>198196.83333333331</v>
      </c>
      <c r="I401" s="39">
        <v>102012</v>
      </c>
      <c r="J401" s="39">
        <v>2455983.2203220581</v>
      </c>
      <c r="K401" s="39">
        <v>2787614.7775042979</v>
      </c>
      <c r="L401" s="39">
        <v>30304.6</v>
      </c>
      <c r="M401" s="39">
        <v>1905914.8076454545</v>
      </c>
      <c r="N401" s="39">
        <v>51029.162940187278</v>
      </c>
    </row>
    <row r="402" spans="2:14">
      <c r="B402" t="s">
        <v>238</v>
      </c>
      <c r="D402" t="s">
        <v>164</v>
      </c>
      <c r="F402" s="82">
        <f t="shared" si="3"/>
        <v>2683316.2813800853</v>
      </c>
      <c r="G402" s="39">
        <v>24005</v>
      </c>
      <c r="H402" s="39">
        <v>87171.333333333358</v>
      </c>
      <c r="I402" s="39">
        <v>44951</v>
      </c>
      <c r="J402" s="39">
        <v>1111666.2800048515</v>
      </c>
      <c r="K402" s="39">
        <v>783076.58711676463</v>
      </c>
      <c r="L402" s="39">
        <v>18957.5</v>
      </c>
      <c r="M402" s="39">
        <v>588773.54166666663</v>
      </c>
      <c r="N402" s="39">
        <v>24715.039258468842</v>
      </c>
    </row>
    <row r="404" spans="2:14">
      <c r="B404" t="s">
        <v>52</v>
      </c>
    </row>
    <row r="410" spans="2:14">
      <c r="B410" s="3" t="s">
        <v>53</v>
      </c>
    </row>
    <row r="413" spans="2:14">
      <c r="B413" t="s">
        <v>239</v>
      </c>
      <c r="D413" t="s">
        <v>164</v>
      </c>
      <c r="F413" s="82">
        <f>SUM(G413:N413)</f>
        <v>885386586.45323193</v>
      </c>
      <c r="G413" s="39">
        <v>4204079</v>
      </c>
      <c r="H413" s="39">
        <v>0</v>
      </c>
      <c r="I413" s="39">
        <v>3229426.7605633778</v>
      </c>
      <c r="J413" s="39">
        <v>326848866.12903225</v>
      </c>
      <c r="K413" s="39">
        <v>259417004.19999999</v>
      </c>
      <c r="L413" s="39">
        <v>1654946</v>
      </c>
      <c r="M413" s="39">
        <v>290032264.36363637</v>
      </c>
      <c r="N413" s="39">
        <v>0</v>
      </c>
    </row>
    <row r="414" spans="2:14">
      <c r="B414" t="s">
        <v>240</v>
      </c>
      <c r="D414" t="s">
        <v>164</v>
      </c>
      <c r="F414" s="82">
        <f>SUM(G414:N414)</f>
        <v>52614855.509090908</v>
      </c>
      <c r="G414" s="39">
        <v>794319</v>
      </c>
      <c r="H414" s="39">
        <v>0</v>
      </c>
      <c r="I414" s="39">
        <v>0</v>
      </c>
      <c r="J414" s="39">
        <v>12980550.000000004</v>
      </c>
      <c r="K414" s="39">
        <v>15135725.6</v>
      </c>
      <c r="L414" s="39">
        <v>183758</v>
      </c>
      <c r="M414" s="39">
        <v>23520502.909090906</v>
      </c>
      <c r="N414" s="160">
        <v>0</v>
      </c>
    </row>
  </sheetData>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61</vt:i4>
      </vt:variant>
      <vt:variant>
        <vt:lpstr>Benoemde bereiken</vt:lpstr>
      </vt:variant>
      <vt:variant>
        <vt:i4>9</vt:i4>
      </vt:variant>
    </vt:vector>
  </HeadingPairs>
  <TitlesOfParts>
    <vt:vector size="70" baseType="lpstr">
      <vt:lpstr>Toel. Wijziging NE6R (aug 2016)</vt:lpstr>
      <vt:lpstr>Aanpassing gegevens (aug 2016)</vt:lpstr>
      <vt:lpstr>Import GAW-sheet (na sep 2014)</vt:lpstr>
      <vt:lpstr>Toel. herstel NE6R (sep. 2014)</vt:lpstr>
      <vt:lpstr>Aanpassing gegevens (sep 2014)</vt:lpstr>
      <vt:lpstr>Input (excl. volumes AD)--&gt;</vt:lpstr>
      <vt:lpstr>PRD OPEX (2009-2012)</vt:lpstr>
      <vt:lpstr>PRD Ov.Opbrengsten (2009-2012)</vt:lpstr>
      <vt:lpstr>PRD Volumes TD (2009-2012)</vt:lpstr>
      <vt:lpstr>TAR2013 Tarieven TD</vt:lpstr>
      <vt:lpstr>PRD Volumes DCO (2009-2012)</vt:lpstr>
      <vt:lpstr>Import GAW-sheet</vt:lpstr>
      <vt:lpstr>Data marktmodel</vt:lpstr>
      <vt:lpstr>Data dubieuze debiteuren</vt:lpstr>
      <vt:lpstr>WACC</vt:lpstr>
      <vt:lpstr>CPI</vt:lpstr>
      <vt:lpstr>Input EAV-PAV Tar &amp; Vol --&gt;</vt:lpstr>
      <vt:lpstr>Cogas</vt:lpstr>
      <vt:lpstr>DNWB</vt:lpstr>
      <vt:lpstr>Endinet</vt:lpstr>
      <vt:lpstr>Enexis</vt:lpstr>
      <vt:lpstr>Liander</vt:lpstr>
      <vt:lpstr>RENDO</vt:lpstr>
      <vt:lpstr>Stedin</vt:lpstr>
      <vt:lpstr>Westland</vt:lpstr>
      <vt:lpstr>Standaardisaties --&gt;</vt:lpstr>
      <vt:lpstr>Standaardisatie AD (per RNB)</vt:lpstr>
      <vt:lpstr>Overzicht Vol &amp; Tar AD</vt:lpstr>
      <vt:lpstr>Gestandaardiseerde PAV en EAV</vt:lpstr>
      <vt:lpstr>Standaardisatie volumes TD</vt:lpstr>
      <vt:lpstr>Tussenberekeningen --&gt;</vt:lpstr>
      <vt:lpstr>Berekening vergoedingen EAV</vt:lpstr>
      <vt:lpstr>Berekening operationele kosten</vt:lpstr>
      <vt:lpstr>Berekening kapitaalkosten</vt:lpstr>
      <vt:lpstr>Berekening rekenvolumes</vt:lpstr>
      <vt:lpstr>Berekening kosten dub. deb.</vt:lpstr>
      <vt:lpstr>berekeningen --&gt;</vt:lpstr>
      <vt:lpstr>Genormaliseerde totale kosten</vt:lpstr>
      <vt:lpstr>Berekening wegingsfactoren</vt:lpstr>
      <vt:lpstr>Standaardisatie Output</vt:lpstr>
      <vt:lpstr>Productiviteitsverandering</vt:lpstr>
      <vt:lpstr>berekeningen one-off --&gt;</vt:lpstr>
      <vt:lpstr>BeginInkomsten (obv RV&amp;Tar2013)</vt:lpstr>
      <vt:lpstr>Kostenbasis Eff.Kosten 2013</vt:lpstr>
      <vt:lpstr>Efficiënte kosten 2013</vt:lpstr>
      <vt:lpstr>Inschatting kosten 2013</vt:lpstr>
      <vt:lpstr>Toetsen toepassing one-off</vt:lpstr>
      <vt:lpstr>output --&gt;</vt:lpstr>
      <vt:lpstr>X-factorberekening</vt:lpstr>
      <vt:lpstr>Indicatieve TI bedragen '14-'16</vt:lpstr>
      <vt:lpstr>Bijlage 1 - Resultaten</vt:lpstr>
      <vt:lpstr>rekenvolumes --&gt;</vt:lpstr>
      <vt:lpstr>Rekenvolumes Cogas NE6R</vt:lpstr>
      <vt:lpstr>Rekenvolumes DNWB NE6R</vt:lpstr>
      <vt:lpstr>Rekenvolumes Endinet NE6R</vt:lpstr>
      <vt:lpstr>Rekenvolumes Enexis NE6R</vt:lpstr>
      <vt:lpstr>Rekenvolumes Liander NE6R</vt:lpstr>
      <vt:lpstr>Rekenvolumes Rendo NE6R</vt:lpstr>
      <vt:lpstr>Rekenvolumes Stedin NE6R</vt:lpstr>
      <vt:lpstr>Rekenvolumes Westland NE6R</vt:lpstr>
      <vt:lpstr>Blad1</vt:lpstr>
      <vt:lpstr>'Bijlage 1 - Resultaten'!Afdrukbereik</vt:lpstr>
      <vt:lpstr>'Data dubieuze debiteuren'!Afdrukbereik</vt:lpstr>
      <vt:lpstr>'Rekenvolumes DNWB NE6R'!Afdrukbereik</vt:lpstr>
      <vt:lpstr>'Rekenvolumes Endinet NE6R'!Afdrukbereik</vt:lpstr>
      <vt:lpstr>'Rekenvolumes Enexis NE6R'!Afdrukbereik</vt:lpstr>
      <vt:lpstr>'Rekenvolumes Liander NE6R'!Afdrukbereik</vt:lpstr>
      <vt:lpstr>'Rekenvolumes Rendo NE6R'!Afdrukbereik</vt:lpstr>
      <vt:lpstr>'Rekenvolumes Stedin NE6R'!Afdrukbereik</vt:lpstr>
      <vt:lpstr>'Rekenvolumes Westland NE6R'!Afdrukbereik</vt:lpstr>
    </vt:vector>
  </TitlesOfParts>
  <Company>Autoriteit Consument &amp; Markt (ACM)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Regionale netbeheerders Elektriciteit 2014-2016 Berekening x-factor NE6R (11-9-2014)</dc:title>
  <dc:creator>Autoriteit Consument &amp; Markt (ACM)</dc:creator>
  <cp:keywords>elektriciteit, regulering, x-factor, besluit, energie, NE6R, 14.0730.52, 14.0732.52, 14.0734.52, 14.0736.52, 14.0738.52, 14.0740.52, 14.0742.52, 14.0744.52</cp:keywords>
  <cp:lastModifiedBy>Vaanhold, Jorieke</cp:lastModifiedBy>
  <cp:lastPrinted>2014-09-11T10:18:48Z</cp:lastPrinted>
  <dcterms:created xsi:type="dcterms:W3CDTF">2012-11-12T13:29:01Z</dcterms:created>
  <dcterms:modified xsi:type="dcterms:W3CDTF">2016-08-25T07:05:59Z</dcterms:modified>
</cp:coreProperties>
</file>