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4780" windowHeight="12150" tabRatio="795"/>
  </bookViews>
  <sheets>
    <sheet name="Toelichting" sheetId="2" r:id="rId1"/>
    <sheet name="TI-berekening 2016" sheetId="1" r:id="rId2"/>
    <sheet name="Nacalculaties en correcties" sheetId="3" r:id="rId3"/>
    <sheet name="Nacalculaties --&gt;" sheetId="4" r:id="rId4"/>
    <sheet name="Netverliezen gas" sheetId="7" r:id="rId5"/>
    <sheet name="Lokale heffingen 2014" sheetId="8" r:id="rId6"/>
    <sheet name="VolVerschuiving Adm. 2015" sheetId="9" r:id="rId7"/>
    <sheet name="VolVerschuiving Codewijz. 2015" sheetId="19" r:id="rId8"/>
    <sheet name="Ruilverkaveling FNOP 2016" sheetId="15" r:id="rId9"/>
    <sheet name="Parameters --&gt;" sheetId="10" r:id="rId10"/>
    <sheet name="Heffingsrente" sheetId="16" r:id="rId11"/>
    <sheet name="CPI" sheetId="17" r:id="rId12"/>
  </sheets>
  <definedNames>
    <definedName name="_ftn1" localSheetId="7">'VolVerschuiving Codewijz. 2015'!$B$16</definedName>
    <definedName name="_ftn2" localSheetId="7">'VolVerschuiving Codewijz. 2015'!$B$17</definedName>
    <definedName name="AS2DocOpenMode" hidden="1">"AS2DocumentEdit"</definedName>
  </definedNames>
  <calcPr calcId="145621"/>
</workbook>
</file>

<file path=xl/calcChain.xml><?xml version="1.0" encoding="utf-8"?>
<calcChain xmlns="http://schemas.openxmlformats.org/spreadsheetml/2006/main">
  <c r="G39" i="1" l="1"/>
  <c r="G38" i="1"/>
  <c r="G35" i="1"/>
  <c r="I25" i="15" l="1"/>
  <c r="F28" i="15"/>
  <c r="F29" i="15"/>
  <c r="F27" i="15"/>
  <c r="G30" i="15" l="1"/>
  <c r="G41" i="15"/>
  <c r="H30" i="15"/>
  <c r="H41" i="15"/>
  <c r="H42" i="15" l="1"/>
  <c r="I41" i="15"/>
  <c r="G42" i="15"/>
  <c r="I30" i="15"/>
  <c r="I42" i="15" l="1"/>
  <c r="H49" i="19" l="1"/>
  <c r="I49" i="19"/>
  <c r="J49" i="19"/>
  <c r="K49" i="19"/>
  <c r="L49" i="19"/>
  <c r="M49" i="19"/>
  <c r="N49" i="19"/>
  <c r="O49" i="19"/>
  <c r="H50" i="19"/>
  <c r="I50" i="19"/>
  <c r="J50" i="19"/>
  <c r="K50" i="19"/>
  <c r="L50" i="19"/>
  <c r="M50" i="19"/>
  <c r="N50" i="19"/>
  <c r="O50" i="19"/>
  <c r="H51" i="19"/>
  <c r="I51" i="19"/>
  <c r="J51" i="19"/>
  <c r="K51" i="19"/>
  <c r="L51" i="19"/>
  <c r="M51" i="19"/>
  <c r="N51" i="19"/>
  <c r="O51" i="19"/>
  <c r="H52" i="19"/>
  <c r="I52" i="19"/>
  <c r="J52" i="19"/>
  <c r="K52" i="19"/>
  <c r="L52" i="19"/>
  <c r="M52" i="19"/>
  <c r="N52" i="19"/>
  <c r="O52" i="19"/>
  <c r="H53" i="19"/>
  <c r="I53" i="19"/>
  <c r="J53" i="19"/>
  <c r="K53" i="19"/>
  <c r="L53" i="19"/>
  <c r="M53" i="19"/>
  <c r="N53" i="19"/>
  <c r="O53" i="19"/>
  <c r="H54" i="19"/>
  <c r="I54" i="19"/>
  <c r="J54" i="19"/>
  <c r="K54" i="19"/>
  <c r="L54" i="19"/>
  <c r="M54" i="19"/>
  <c r="N54" i="19"/>
  <c r="O54" i="19"/>
  <c r="G50" i="19"/>
  <c r="G51" i="19"/>
  <c r="G52" i="19"/>
  <c r="G53" i="19"/>
  <c r="G54" i="19"/>
  <c r="G49" i="19"/>
  <c r="H39" i="9" l="1"/>
  <c r="I39" i="9"/>
  <c r="I62" i="19" s="1"/>
  <c r="J39" i="9"/>
  <c r="J62" i="19" s="1"/>
  <c r="K39" i="9"/>
  <c r="K62" i="19" s="1"/>
  <c r="L39" i="9"/>
  <c r="L62" i="19" s="1"/>
  <c r="M39" i="9"/>
  <c r="M62" i="19" s="1"/>
  <c r="N39" i="9"/>
  <c r="N62" i="19" s="1"/>
  <c r="O39" i="9"/>
  <c r="O62" i="19" s="1"/>
  <c r="H40" i="9"/>
  <c r="H63" i="19" s="1"/>
  <c r="I40" i="9"/>
  <c r="I63" i="19" s="1"/>
  <c r="J40" i="9"/>
  <c r="J63" i="19" s="1"/>
  <c r="K40" i="9"/>
  <c r="K63" i="19" s="1"/>
  <c r="L40" i="9"/>
  <c r="L63" i="19" s="1"/>
  <c r="M40" i="9"/>
  <c r="M63" i="19" s="1"/>
  <c r="N40" i="9"/>
  <c r="N63" i="19" s="1"/>
  <c r="O40" i="9"/>
  <c r="O63" i="19" s="1"/>
  <c r="H41" i="9"/>
  <c r="H64" i="19" s="1"/>
  <c r="I41" i="9"/>
  <c r="I64" i="19" s="1"/>
  <c r="J41" i="9"/>
  <c r="J64" i="19" s="1"/>
  <c r="K41" i="9"/>
  <c r="K64" i="19" s="1"/>
  <c r="L41" i="9"/>
  <c r="L64" i="19" s="1"/>
  <c r="M41" i="9"/>
  <c r="M64" i="19" s="1"/>
  <c r="N41" i="9"/>
  <c r="N64" i="19" s="1"/>
  <c r="O41" i="9"/>
  <c r="O64" i="19" s="1"/>
  <c r="H42" i="9"/>
  <c r="H65" i="19" s="1"/>
  <c r="I42" i="9"/>
  <c r="I65" i="19" s="1"/>
  <c r="J42" i="9"/>
  <c r="J65" i="19" s="1"/>
  <c r="K42" i="9"/>
  <c r="K65" i="19" s="1"/>
  <c r="L42" i="9"/>
  <c r="L65" i="19" s="1"/>
  <c r="M42" i="9"/>
  <c r="M65" i="19" s="1"/>
  <c r="N42" i="9"/>
  <c r="N65" i="19" s="1"/>
  <c r="O42" i="9"/>
  <c r="O65" i="19" s="1"/>
  <c r="H43" i="9"/>
  <c r="H66" i="19" s="1"/>
  <c r="I43" i="9"/>
  <c r="I66" i="19" s="1"/>
  <c r="J43" i="9"/>
  <c r="J66" i="19" s="1"/>
  <c r="K43" i="9"/>
  <c r="K66" i="19" s="1"/>
  <c r="L43" i="9"/>
  <c r="L66" i="19" s="1"/>
  <c r="M43" i="9"/>
  <c r="M66" i="19" s="1"/>
  <c r="N43" i="9"/>
  <c r="N66" i="19" s="1"/>
  <c r="O43" i="9"/>
  <c r="O66" i="19" s="1"/>
  <c r="H44" i="9"/>
  <c r="H67" i="19" s="1"/>
  <c r="I44" i="9"/>
  <c r="I67" i="19" s="1"/>
  <c r="J44" i="9"/>
  <c r="J67" i="19" s="1"/>
  <c r="K44" i="9"/>
  <c r="K67" i="19" s="1"/>
  <c r="L44" i="9"/>
  <c r="L67" i="19" s="1"/>
  <c r="M44" i="9"/>
  <c r="M67" i="19" s="1"/>
  <c r="N44" i="9"/>
  <c r="N67" i="19" s="1"/>
  <c r="O44" i="9"/>
  <c r="O67" i="19" s="1"/>
  <c r="G40" i="9"/>
  <c r="G63" i="19" s="1"/>
  <c r="G41" i="9"/>
  <c r="G64" i="19" s="1"/>
  <c r="G42" i="9"/>
  <c r="G65" i="19" s="1"/>
  <c r="G43" i="9"/>
  <c r="G66" i="19" s="1"/>
  <c r="G44" i="9"/>
  <c r="G67" i="19" s="1"/>
  <c r="G39" i="9"/>
  <c r="L69" i="19" l="1"/>
  <c r="O69" i="19"/>
  <c r="M69" i="19"/>
  <c r="K69" i="19"/>
  <c r="K71" i="19" s="1"/>
  <c r="K14" i="3" s="1"/>
  <c r="I69" i="19"/>
  <c r="I71" i="19" s="1"/>
  <c r="I14" i="3" s="1"/>
  <c r="N69" i="19"/>
  <c r="N71" i="19" s="1"/>
  <c r="N14" i="3" s="1"/>
  <c r="J69" i="19"/>
  <c r="J71" i="19" s="1"/>
  <c r="J14" i="3" s="1"/>
  <c r="H62" i="19"/>
  <c r="H69" i="19" s="1"/>
  <c r="H71" i="19" s="1"/>
  <c r="H14" i="3" s="1"/>
  <c r="H55" i="9"/>
  <c r="O71" i="19"/>
  <c r="O14" i="3" s="1"/>
  <c r="M71" i="19"/>
  <c r="M14" i="3" s="1"/>
  <c r="G55" i="9"/>
  <c r="G57" i="9" s="1"/>
  <c r="G13" i="3" s="1"/>
  <c r="G62" i="19"/>
  <c r="L71" i="19"/>
  <c r="L14" i="3" s="1"/>
  <c r="O55" i="9"/>
  <c r="O57" i="9" s="1"/>
  <c r="O13" i="3" s="1"/>
  <c r="M55" i="9"/>
  <c r="M57" i="9" s="1"/>
  <c r="M13" i="3" s="1"/>
  <c r="K55" i="9"/>
  <c r="K57" i="9" s="1"/>
  <c r="K13" i="3" s="1"/>
  <c r="I55" i="9"/>
  <c r="I57" i="9" s="1"/>
  <c r="I13" i="3" s="1"/>
  <c r="N55" i="9"/>
  <c r="N57" i="9" s="1"/>
  <c r="N13" i="3" s="1"/>
  <c r="L55" i="9"/>
  <c r="L57" i="9" s="1"/>
  <c r="L13" i="3" s="1"/>
  <c r="J55" i="9"/>
  <c r="J57" i="9" s="1"/>
  <c r="J13" i="3" s="1"/>
  <c r="H57" i="9"/>
  <c r="H13" i="3" s="1"/>
  <c r="G69" i="19" l="1"/>
  <c r="G71" i="19" s="1"/>
  <c r="G14" i="3" s="1"/>
  <c r="H22" i="1"/>
  <c r="I22" i="1"/>
  <c r="L22" i="1"/>
  <c r="M22" i="1"/>
  <c r="N22" i="1"/>
  <c r="O22" i="1"/>
  <c r="G22" i="1"/>
  <c r="F19" i="3" l="1"/>
  <c r="F20" i="3"/>
  <c r="E9" i="1"/>
  <c r="E10" i="1"/>
  <c r="E8" i="1"/>
  <c r="E16" i="7"/>
  <c r="E17" i="7"/>
  <c r="E15" i="7"/>
  <c r="J27" i="3" l="1"/>
  <c r="G27" i="3"/>
  <c r="G26" i="3"/>
  <c r="G20" i="1" s="1"/>
  <c r="H26" i="3"/>
  <c r="H20" i="1" s="1"/>
  <c r="I26" i="3"/>
  <c r="I20" i="1" s="1"/>
  <c r="I27" i="3"/>
  <c r="I21" i="1" s="1"/>
  <c r="L27" i="3"/>
  <c r="L21" i="1" s="1"/>
  <c r="M27" i="3"/>
  <c r="M21" i="1" s="1"/>
  <c r="N26" i="3"/>
  <c r="N20" i="1" s="1"/>
  <c r="O26" i="3"/>
  <c r="O20" i="1" s="1"/>
  <c r="J21" i="1"/>
  <c r="L26" i="3"/>
  <c r="L20" i="1" s="1"/>
  <c r="M26" i="3"/>
  <c r="M20" i="1" s="1"/>
  <c r="H27" i="3"/>
  <c r="H21" i="1" s="1"/>
  <c r="G21" i="1"/>
  <c r="J26" i="3"/>
  <c r="J20" i="1" s="1"/>
  <c r="K26" i="3"/>
  <c r="K20" i="1" s="1"/>
  <c r="K27" i="3"/>
  <c r="K21" i="1" s="1"/>
  <c r="N27" i="3"/>
  <c r="N21" i="1" s="1"/>
  <c r="O27" i="3"/>
  <c r="O21" i="1" s="1"/>
  <c r="M35" i="17"/>
  <c r="L34" i="17"/>
  <c r="L35" i="17" s="1"/>
  <c r="K33" i="17"/>
  <c r="K34" i="17" s="1"/>
  <c r="K35" i="17" s="1"/>
  <c r="J33" i="17"/>
  <c r="J34" i="17" s="1"/>
  <c r="J35" i="17" s="1"/>
  <c r="J32" i="17"/>
  <c r="I31" i="17"/>
  <c r="I32" i="17" s="1"/>
  <c r="I33" i="17" s="1"/>
  <c r="I34" i="17" s="1"/>
  <c r="I35" i="17" s="1"/>
  <c r="H30" i="17"/>
  <c r="H31" i="17" s="1"/>
  <c r="H32" i="17" s="1"/>
  <c r="H33" i="17" s="1"/>
  <c r="H34" i="17" s="1"/>
  <c r="H35" i="17" s="1"/>
  <c r="G29" i="17"/>
  <c r="G30" i="17" s="1"/>
  <c r="G31" i="17" s="1"/>
  <c r="G32" i="17" s="1"/>
  <c r="G33" i="17" s="1"/>
  <c r="G34" i="17" s="1"/>
  <c r="G35" i="17" s="1"/>
  <c r="F28" i="17"/>
  <c r="F29" i="17" s="1"/>
  <c r="F30" i="17" s="1"/>
  <c r="F31" i="17" s="1"/>
  <c r="F32" i="17" s="1"/>
  <c r="F33" i="17" s="1"/>
  <c r="F34" i="17" s="1"/>
  <c r="F35" i="17" s="1"/>
  <c r="E27" i="17"/>
  <c r="E28" i="17" s="1"/>
  <c r="E29" i="17" s="1"/>
  <c r="E30" i="17" s="1"/>
  <c r="E31" i="17" s="1"/>
  <c r="E32" i="17" s="1"/>
  <c r="E33" i="17" s="1"/>
  <c r="E34" i="17" s="1"/>
  <c r="E35" i="17" s="1"/>
  <c r="D26" i="17"/>
  <c r="D27" i="17" s="1"/>
  <c r="D28" i="17" s="1"/>
  <c r="D29" i="17" s="1"/>
  <c r="D30" i="17" s="1"/>
  <c r="D31" i="17" s="1"/>
  <c r="D32" i="17" s="1"/>
  <c r="D33" i="17" s="1"/>
  <c r="D34" i="17" s="1"/>
  <c r="D35" i="17" s="1"/>
  <c r="D79" i="16"/>
  <c r="D78" i="16"/>
  <c r="D32" i="16"/>
  <c r="D31" i="16"/>
  <c r="D30" i="16"/>
  <c r="D29" i="16"/>
  <c r="D28" i="16"/>
  <c r="D27" i="16"/>
  <c r="D26" i="16"/>
  <c r="D25" i="16"/>
  <c r="D24" i="16"/>
  <c r="D18" i="16"/>
  <c r="D17" i="16"/>
  <c r="D16" i="16" s="1"/>
  <c r="D15" i="16" s="1"/>
  <c r="D14" i="16" s="1"/>
  <c r="D13" i="16" s="1"/>
  <c r="D12" i="16" s="1"/>
  <c r="D11" i="16" s="1"/>
  <c r="D10" i="16" s="1"/>
  <c r="H12" i="7" l="1"/>
  <c r="H19" i="7" s="1"/>
  <c r="I12" i="7"/>
  <c r="I19" i="7" s="1"/>
  <c r="J12" i="7"/>
  <c r="J19" i="7" s="1"/>
  <c r="K12" i="7"/>
  <c r="L12" i="7"/>
  <c r="L19" i="7" s="1"/>
  <c r="M12" i="7"/>
  <c r="N12" i="7"/>
  <c r="N19" i="7" s="1"/>
  <c r="O12" i="7"/>
  <c r="G12" i="7"/>
  <c r="G19" i="7" s="1"/>
  <c r="O19" i="7" l="1"/>
  <c r="M19" i="7"/>
  <c r="K19" i="7"/>
  <c r="H11" i="1" l="1"/>
  <c r="H33" i="8" s="1"/>
  <c r="H68" i="8" s="1"/>
  <c r="H12" i="3" s="1"/>
  <c r="I11" i="1"/>
  <c r="J11" i="1"/>
  <c r="J33" i="8" s="1"/>
  <c r="J68" i="8" s="1"/>
  <c r="J12" i="3" s="1"/>
  <c r="K11" i="1"/>
  <c r="L11" i="1"/>
  <c r="L33" i="8" s="1"/>
  <c r="L68" i="8" s="1"/>
  <c r="L12" i="3" s="1"/>
  <c r="M11" i="1"/>
  <c r="N11" i="1"/>
  <c r="N33" i="8" s="1"/>
  <c r="N68" i="8" s="1"/>
  <c r="N12" i="3" s="1"/>
  <c r="O11" i="1"/>
  <c r="G11" i="1"/>
  <c r="G33" i="8" s="1"/>
  <c r="G68" i="8" s="1"/>
  <c r="G12" i="3" s="1"/>
  <c r="G25" i="3" s="1"/>
  <c r="O12" i="1" l="1"/>
  <c r="O13" i="1" s="1"/>
  <c r="O10" i="7" s="1"/>
  <c r="O21" i="7" s="1"/>
  <c r="O25" i="7" s="1"/>
  <c r="O11" i="3" s="1"/>
  <c r="O24" i="3" s="1"/>
  <c r="O18" i="1" s="1"/>
  <c r="O33" i="8"/>
  <c r="O68" i="8" s="1"/>
  <c r="O12" i="3" s="1"/>
  <c r="M12" i="1"/>
  <c r="M13" i="1" s="1"/>
  <c r="M10" i="7" s="1"/>
  <c r="M21" i="7" s="1"/>
  <c r="M25" i="7" s="1"/>
  <c r="M11" i="3" s="1"/>
  <c r="M24" i="3" s="1"/>
  <c r="M18" i="1" s="1"/>
  <c r="M33" i="8"/>
  <c r="M68" i="8" s="1"/>
  <c r="M12" i="3" s="1"/>
  <c r="M25" i="3" s="1"/>
  <c r="M19" i="1" s="1"/>
  <c r="K12" i="1"/>
  <c r="K13" i="1" s="1"/>
  <c r="K33" i="8"/>
  <c r="I12" i="1"/>
  <c r="I13" i="1" s="1"/>
  <c r="I10" i="7" s="1"/>
  <c r="I33" i="8"/>
  <c r="I68" i="8" s="1"/>
  <c r="I12" i="3" s="1"/>
  <c r="G12" i="1"/>
  <c r="G13" i="1" s="1"/>
  <c r="G10" i="7" s="1"/>
  <c r="G21" i="7" s="1"/>
  <c r="G25" i="7" s="1"/>
  <c r="G11" i="3" s="1"/>
  <c r="N12" i="1"/>
  <c r="N13" i="1" s="1"/>
  <c r="N10" i="7" s="1"/>
  <c r="N21" i="7" s="1"/>
  <c r="N25" i="7" s="1"/>
  <c r="N11" i="3" s="1"/>
  <c r="N24" i="3" s="1"/>
  <c r="N18" i="1" s="1"/>
  <c r="L12" i="1"/>
  <c r="L13" i="1" s="1"/>
  <c r="L10" i="7" s="1"/>
  <c r="L21" i="7" s="1"/>
  <c r="L25" i="7" s="1"/>
  <c r="L11" i="3" s="1"/>
  <c r="L24" i="3" s="1"/>
  <c r="L18" i="1" s="1"/>
  <c r="O25" i="3"/>
  <c r="O19" i="1" s="1"/>
  <c r="I25" i="3"/>
  <c r="I19" i="1" s="1"/>
  <c r="G19" i="1"/>
  <c r="N25" i="3"/>
  <c r="N19" i="1" s="1"/>
  <c r="L25" i="3"/>
  <c r="L19" i="1" s="1"/>
  <c r="J25" i="3"/>
  <c r="J19" i="1" s="1"/>
  <c r="H25" i="3"/>
  <c r="H19" i="1" s="1"/>
  <c r="J12" i="1"/>
  <c r="J13" i="1" s="1"/>
  <c r="H12" i="1"/>
  <c r="H13" i="1" s="1"/>
  <c r="H10" i="7" s="1"/>
  <c r="H21" i="7" s="1"/>
  <c r="H25" i="7" s="1"/>
  <c r="H11" i="3" s="1"/>
  <c r="H24" i="3" s="1"/>
  <c r="H18" i="1" s="1"/>
  <c r="H24" i="1" s="1"/>
  <c r="K68" i="8" l="1"/>
  <c r="K12" i="3" s="1"/>
  <c r="K25" i="3" s="1"/>
  <c r="K19" i="1" s="1"/>
  <c r="G24" i="3"/>
  <c r="G18" i="1" s="1"/>
  <c r="G24" i="1" s="1"/>
  <c r="G28" i="1" s="1"/>
  <c r="I21" i="7"/>
  <c r="I25" i="7" s="1"/>
  <c r="I11" i="3" s="1"/>
  <c r="I24" i="3" s="1"/>
  <c r="I18" i="1" s="1"/>
  <c r="I24" i="1" s="1"/>
  <c r="I28" i="1" s="1"/>
  <c r="N24" i="1"/>
  <c r="N28" i="1" s="1"/>
  <c r="J10" i="7"/>
  <c r="J21" i="7" s="1"/>
  <c r="J25" i="7" s="1"/>
  <c r="G37" i="15" s="1"/>
  <c r="G22" i="15"/>
  <c r="K10" i="7"/>
  <c r="K21" i="7" s="1"/>
  <c r="K25" i="7" s="1"/>
  <c r="H37" i="15" s="1"/>
  <c r="H44" i="15" s="1"/>
  <c r="H22" i="15"/>
  <c r="H32" i="15" s="1"/>
  <c r="L24" i="1"/>
  <c r="L28" i="1" s="1"/>
  <c r="M24" i="1"/>
  <c r="M28" i="1" s="1"/>
  <c r="O24" i="1"/>
  <c r="O28" i="1" s="1"/>
  <c r="H35" i="1"/>
  <c r="I35" i="1"/>
  <c r="J35" i="1"/>
  <c r="L35" i="1"/>
  <c r="M35" i="1"/>
  <c r="N35" i="1"/>
  <c r="O35" i="1"/>
  <c r="H36" i="1"/>
  <c r="I36" i="1"/>
  <c r="J36" i="1"/>
  <c r="L36" i="1"/>
  <c r="M36" i="1"/>
  <c r="N36" i="1"/>
  <c r="O36" i="1"/>
  <c r="G36" i="1"/>
  <c r="H28" i="1"/>
  <c r="H49" i="15" l="1"/>
  <c r="J11" i="3"/>
  <c r="J24" i="3" s="1"/>
  <c r="J18" i="1" s="1"/>
  <c r="K11" i="3"/>
  <c r="K24" i="3" s="1"/>
  <c r="K18" i="1" s="1"/>
  <c r="I22" i="15"/>
  <c r="G32" i="15"/>
  <c r="I32" i="15" s="1"/>
  <c r="K15" i="3"/>
  <c r="K28" i="3" s="1"/>
  <c r="K22" i="1" s="1"/>
  <c r="K24" i="1" s="1"/>
  <c r="K28" i="1" s="1"/>
  <c r="I37" i="15"/>
  <c r="G44" i="15"/>
  <c r="G49" i="15" s="1"/>
  <c r="N38" i="1"/>
  <c r="N39" i="1"/>
  <c r="L38" i="1"/>
  <c r="L39" i="1"/>
  <c r="H38" i="1"/>
  <c r="H39" i="1"/>
  <c r="O38" i="1"/>
  <c r="O39" i="1"/>
  <c r="M38" i="1"/>
  <c r="M39" i="1"/>
  <c r="I38" i="1"/>
  <c r="I39" i="1"/>
  <c r="K35" i="1" l="1"/>
  <c r="K38" i="1" s="1"/>
  <c r="K36" i="1"/>
  <c r="K39" i="1" s="1"/>
  <c r="I44" i="15"/>
  <c r="J15" i="3"/>
  <c r="J28" i="3" l="1"/>
  <c r="J22" i="1" s="1"/>
  <c r="J24" i="1" s="1"/>
  <c r="J28" i="1" s="1"/>
  <c r="J38" i="1" s="1"/>
  <c r="J39" i="1" l="1"/>
</calcChain>
</file>

<file path=xl/sharedStrings.xml><?xml version="1.0" encoding="utf-8"?>
<sst xmlns="http://schemas.openxmlformats.org/spreadsheetml/2006/main" count="488" uniqueCount="239">
  <si>
    <t>COGAS</t>
  </si>
  <si>
    <t>DNWB</t>
  </si>
  <si>
    <t>ENDINET</t>
  </si>
  <si>
    <t>ENEXIS</t>
  </si>
  <si>
    <t>LIANDER</t>
  </si>
  <si>
    <t>RENDO</t>
  </si>
  <si>
    <t>STEDIN</t>
  </si>
  <si>
    <t>WESTLAND</t>
  </si>
  <si>
    <t>ZEBRA</t>
  </si>
  <si>
    <t>Totale Inkomsten exclusief correcties</t>
  </si>
  <si>
    <t>Begininkomsten 2013</t>
  </si>
  <si>
    <t>X-factor 2014-2016</t>
  </si>
  <si>
    <t>cpi 2014</t>
  </si>
  <si>
    <t>cpi 2015</t>
  </si>
  <si>
    <t>TI 2015 (exclusief correcties)</t>
  </si>
  <si>
    <t>cpi 2016</t>
  </si>
  <si>
    <t>TI 2016 (exclusief correcties)</t>
  </si>
  <si>
    <t>€, pp 2013</t>
  </si>
  <si>
    <t>€, pp 2015</t>
  </si>
  <si>
    <t>€, pp 2016</t>
  </si>
  <si>
    <t>Correcties in TI 2016</t>
  </si>
  <si>
    <t>Totaalbedrag Correcties in TI 2016</t>
  </si>
  <si>
    <t>Totale Inkomsten 2016 inclusief correcties</t>
  </si>
  <si>
    <t>Totale Inkomsten 2016 (incl. correcties)</t>
  </si>
  <si>
    <t>Verdeling inkomsten over transport- en aansluitdienst</t>
  </si>
  <si>
    <t>Totale kosten AD t.b.v. balansfactor (gem. 2010-2012)</t>
  </si>
  <si>
    <t>Totale kosten TD t.b.v. balansfactor (gem. 2010-2012)</t>
  </si>
  <si>
    <t>Aandeel AD</t>
  </si>
  <si>
    <t xml:space="preserve">Aandeel TD </t>
  </si>
  <si>
    <t>Richtbedrag inkomsten AD</t>
  </si>
  <si>
    <t>Richtbedrag inkomsten TD</t>
  </si>
  <si>
    <t>%</t>
  </si>
  <si>
    <t>TI-berekening 2016</t>
  </si>
  <si>
    <t>Toelichting</t>
  </si>
  <si>
    <t>Toelichting bij TI-berekening</t>
  </si>
  <si>
    <t>Legenda celkleuren</t>
  </si>
  <si>
    <t>Data en input</t>
  </si>
  <si>
    <t>Berekende waarde</t>
  </si>
  <si>
    <t>Waarde die zonder berekening wordt overgenomen uit een andere cel</t>
  </si>
  <si>
    <t>Berekende of overgenomen waarde en tevens resultaat</t>
  </si>
  <si>
    <t>Waarde of berekening die speciale aandacht vraagt (toelichting in opmerking)</t>
  </si>
  <si>
    <t>Dit Excel-bestand bevat de berekening van de Totale Inkomsten (TI) voor het jaar 2016 voor de regionale netbeheerders gas.</t>
  </si>
  <si>
    <t>In dit bestand worden de berekeningen gepresenteerd zoals ACM die voornemens is te gaan maken voor de vaststelling van de tarieven voor 2016, inclusief de berekening van de nacalculatiebedragen.</t>
  </si>
  <si>
    <t>Nacalculaties en correcties</t>
  </si>
  <si>
    <t>Nacalculaties</t>
  </si>
  <si>
    <t>€, pp 2014</t>
  </si>
  <si>
    <t>Heffingsrente</t>
  </si>
  <si>
    <t>Correcties</t>
  </si>
  <si>
    <t>van 2014 naar 2016</t>
  </si>
  <si>
    <t>van 2015 naar 2016</t>
  </si>
  <si>
    <t>CPI 2015</t>
  </si>
  <si>
    <t>Begininkomsten 2013 (exclusief correcties)</t>
  </si>
  <si>
    <t>TI 2016 (exclusief correcties, inclusief ingroei via x-factor voor netverliezen gas)</t>
  </si>
  <si>
    <t>TI 2016 (exclusief correcties, exclusief ingroei via x-factor voor netverliezen gas)</t>
  </si>
  <si>
    <t>Berekeningswijze nacalculatie volumewijzigingen</t>
  </si>
  <si>
    <t>Transportdienst</t>
  </si>
  <si>
    <t>=&lt; 10 m3(n)h, jaarverbruik &lt; 500 Nm3</t>
  </si>
  <si>
    <t>=&lt; 10 m3(n)h, jaarverbruik vanaf 500 Nm3 en &lt; 4.000 Nm3</t>
  </si>
  <si>
    <t>=&lt; 10 m3(n)h, jaarverbruik vanaf 4.000 Nm3</t>
  </si>
  <si>
    <t>&gt; 10 en =&lt; 16 m3(n)h</t>
  </si>
  <si>
    <t>&gt; 16 en =&lt; 25 m3(n)h</t>
  </si>
  <si>
    <t>&gt; 25 en =&lt; 40 m3(n)h</t>
  </si>
  <si>
    <t>Vastrecht kleinverbruik</t>
  </si>
  <si>
    <t>Vastrecht</t>
  </si>
  <si>
    <t>0 t/m 10 m3(n)/h</t>
  </si>
  <si>
    <t>10 t/m 16 m3(n)/h</t>
  </si>
  <si>
    <t>16 t/m 25 m3(n)/h</t>
  </si>
  <si>
    <t>25 t/m 40 m3(n)/h</t>
  </si>
  <si>
    <t>Rekencapaciteit</t>
  </si>
  <si>
    <t>Tarieven 2015</t>
  </si>
  <si>
    <t>Heffingsrente naar jaar van berekening TI</t>
  </si>
  <si>
    <t>naar jaar:</t>
  </si>
  <si>
    <t>van 2008</t>
  </si>
  <si>
    <t>van 2009</t>
  </si>
  <si>
    <t>van 2010</t>
  </si>
  <si>
    <t>van 2011</t>
  </si>
  <si>
    <t>van 2012</t>
  </si>
  <si>
    <t>van 2013</t>
  </si>
  <si>
    <t>van 2014</t>
  </si>
  <si>
    <t>van 2015</t>
  </si>
  <si>
    <t>Heffingsrente per jaar</t>
  </si>
  <si>
    <t>van 2007 naar 2008</t>
  </si>
  <si>
    <t>van 2008 naar 2009</t>
  </si>
  <si>
    <t>van 2009 naar 2010</t>
  </si>
  <si>
    <t>van 2010 naar 2011</t>
  </si>
  <si>
    <t>van 2011 naar 2012</t>
  </si>
  <si>
    <t>van 2012 naar 2013</t>
  </si>
  <si>
    <t>van 2013 naar 2014</t>
  </si>
  <si>
    <t>van 2014 naar 2015</t>
  </si>
  <si>
    <t>De heffingsrente wordt ieder kwartaal gepubliceerd door het Ministerie van Financiën.</t>
  </si>
  <si>
    <t>Data heffingsrente per kwartaal</t>
  </si>
  <si>
    <t>Heffingsrentepercentages zoals te gebruiken voor de "TI-berekening 2016"</t>
  </si>
  <si>
    <t>CPI</t>
  </si>
  <si>
    <t>Data</t>
  </si>
  <si>
    <t>Van jaar - naar jaar</t>
  </si>
  <si>
    <t>Van:</t>
  </si>
  <si>
    <t>Naar:</t>
  </si>
  <si>
    <t>Berekening nacalculatie ORV Lokale Heffingen 2014</t>
  </si>
  <si>
    <t>Correctie netverliezen gas 2016</t>
  </si>
  <si>
    <t>Nacalc. Lokale Heffingen 2014</t>
  </si>
  <si>
    <t>Te verrekenen in de tarieven 2016 voor netverliezen gas</t>
  </si>
  <si>
    <t>TI 2014 (exclusief correcties)</t>
  </si>
  <si>
    <t>Bron: Gewijzigde x-factorberekening NG5R, 11 september 2014, tabblad bijlage 1 - resultaten, rij 12</t>
  </si>
  <si>
    <t>Bron: Gewijzigde x-factorberekening NG5R, 11 september 2014, tabblad bijlage 1 - resultaten, rij 9</t>
  </si>
  <si>
    <t>Bron: Gewijzigde x-factorberekening NG5R, 11 september 2014</t>
  </si>
  <si>
    <t>Bron: Gewijzigde x-factorberekening NG5R, 11 september 2014; tabblad Bijlage 1 - Resultaten; regel 31.</t>
  </si>
  <si>
    <t>Correctie tarieven 2016 voor niet invoeren codewijziging netverliezen gas</t>
  </si>
  <si>
    <t>Hieronder worden de nacalculaties die verrekend worden in de tarieven 2016 omgerekend van het jaar waarop ze zien (het 'TI-jaar' van de nacalculatie) naar correcties op de tarieven in 2016.</t>
  </si>
  <si>
    <t>Overigens ontbreken de volgende nacalculaties:</t>
  </si>
  <si>
    <t>- Omdat bij geen van de netbeheerders sprake is geweest van de overname van private netten, is de berekening van extra tariefruimte hiervoor achterwege gelaten.</t>
  </si>
  <si>
    <t>- Omdat er geen nacalculaties zijn die invloed hebben op de inkomsten van Enexis in 2012 en 2013, is de bijzondere verrekening die hierop van toepassing was in eerdere jaren (in verband met het niet rekenen van de maximumtarieven in die jaren) ook achterwege gelaten.</t>
  </si>
  <si>
    <t>Correctie TI voor netverliezen gas vanwege niet invoeren codewijziging</t>
  </si>
  <si>
    <t>Getal voor X-factor 2014-2016 exclusief effect netverliezen gas</t>
  </si>
  <si>
    <t>Vergoeding in TI2016 voor netverliezen gas via wettelijke formule (o.b.v. methodebesluit NG5R)</t>
  </si>
  <si>
    <t>Bijzonderheid: Ruilverkaveling FNOP</t>
  </si>
  <si>
    <t>Met ingang van 1 januari 2016 draagt Enexis het beheer van een deel van haar net over aan Liander, in het kader van de zogenaamde 'ruilverkaveling' tussen beide bedrijven.</t>
  </si>
  <si>
    <t>In de tarieven van 2016 zal ACM al rekening houden met de verschuiving van tariefruimte tussen Enexis en Liander. Dit is een maatregel die specifiek ziet op het jaar 2016.</t>
  </si>
  <si>
    <t>#</t>
  </si>
  <si>
    <t>Correctie op Inkomsten Enexis en Liander 2016</t>
  </si>
  <si>
    <t>Enexis</t>
  </si>
  <si>
    <t>Liander</t>
  </si>
  <si>
    <t>EUR, pp 2016</t>
  </si>
  <si>
    <t>van 2007</t>
  </si>
  <si>
    <r>
      <t xml:space="preserve">De </t>
    </r>
    <r>
      <rPr>
        <sz val="10"/>
        <color indexed="10"/>
        <rFont val="Arial"/>
        <family val="2"/>
      </rPr>
      <t>rode</t>
    </r>
    <r>
      <rPr>
        <sz val="10"/>
        <rFont val="Arial"/>
        <family val="2"/>
      </rPr>
      <t xml:space="preserve"> getallen betreffen een schatting, op basis van het laatst bekende kwartaal.</t>
    </r>
  </si>
  <si>
    <t xml:space="preserve">Precario </t>
  </si>
  <si>
    <t>Gedoogbelastingen</t>
  </si>
  <si>
    <t>Transportdienst &lt; 16 Bar</t>
  </si>
  <si>
    <t>Volumeverschuivingen administratief 2015</t>
  </si>
  <si>
    <t>Volumeverschuivingen codewijzigingen 2015</t>
  </si>
  <si>
    <t>Ruilverkaveling FNOP 2016</t>
  </si>
  <si>
    <t>Het verschil tussen dit inkomstenbedrag en het inkomstenbedrag dat netbeheerders werkelijk voor 2014 ontvangen hebben (exclusief correcties), geeft het nacalculatiebedrag.</t>
  </si>
  <si>
    <t>Voor de operationele kosten van lokale heffingen wordt gebruik gemaakt van de reguleringsdata over 2014. Deze bedragen worden, na correctie voor het juiste CPI niveau, ingevoerd op het blad 'PRD OPEX 2009-2012' voor de jaren 2010 t/m 2012.</t>
  </si>
  <si>
    <t>Voor de kapitaalkosten van lokale heffingen is ook een uitbreiding van de GAW-sheet noodzakelijk. Om tot de juiste kapitaalkosten te komen worden de volgende stappen doorlopen:</t>
  </si>
  <si>
    <t>2. Op blad InpC wordt de CPI ingevuld voor 2013 (2,3%) en 2014 (2,8%)</t>
  </si>
  <si>
    <t>Toegestane inkomsten voor 2014 o.b.v.  geschatte kosten voor lokale heffingen</t>
  </si>
  <si>
    <t>TI-bedrag 2014 o.b.v. oorspronkelijke x-factorberekening</t>
  </si>
  <si>
    <t>Gebaseerd op de herstelde x-factorberekening van 11 sept 2014 en met toepassing van de CPI voor 2014</t>
  </si>
  <si>
    <t>TI 2014 (exclusief correcties en inkoopkosten transport )</t>
  </si>
  <si>
    <t>EUR, pp 2014</t>
  </si>
  <si>
    <t>Toegestane inkomsten voor 2014 o.b.v. daadwerkelijke kosten voor lokale heffingen</t>
  </si>
  <si>
    <t>In deze nacalculatie wordt bepaald welk inkomstenbedrag de netbeheerders gekregen zouden hebben wanneer de gegevens over lokale heffingen over 2014 bekend zouden zijn geweest bij het vaststellen van de x-factoren voor NG5R.</t>
  </si>
  <si>
    <t>In het methodebesluit voor RNB's gas 2014-2016 is geen one-off toegepast, wat betekent dat bij de vaststelling van de nacalculatie lokale heffingen sprake is van een ingroei effect.</t>
  </si>
  <si>
    <t xml:space="preserve">Hierdoor sluit deze nacalcualtie aan op de werkwijze in vorige tarievenbesluiten (voor de periode 2011-2013), waarin eveneens sprake was van ingroei. </t>
  </si>
  <si>
    <t xml:space="preserve">Omdat in de bijbehorende (virtuele) x-factorberekening uitsluitend de eindinkomsten 2016 worden aangepast, geldt dat via deze nacalculatie slechts (ongeveer) een derde van het totale verschil tussen geschatte en werkelijke kosten voor de ORV Lokale heffingen in een correctie op de tarieven 2016 tot uitdrukking komt. </t>
  </si>
  <si>
    <t>1. Voor de bewerking wordt gebruik gemaakt van de GAW-sheet voor NG5R, zoals opnieuw gepubliceerd bij de herstelde x-factoren op 11 sept 2014.</t>
  </si>
  <si>
    <t>3. Op het blad 'Dashboard Boekjaar' kunnen nu de afschrijvingen en boekwaarde van afgekochte precario voor Intergas en RENDO worden afgelezen (voor alle andere netbeheerders zijn de bedragen nul).</t>
  </si>
  <si>
    <t>Cogas</t>
  </si>
  <si>
    <t>Delta</t>
  </si>
  <si>
    <t>Delta EHD</t>
  </si>
  <si>
    <t>Endinet</t>
  </si>
  <si>
    <t>Obragas</t>
  </si>
  <si>
    <t>Intergas</t>
  </si>
  <si>
    <t>Enexis EHD</t>
  </si>
  <si>
    <t>Haarlemmer</t>
  </si>
  <si>
    <t>Rendo</t>
  </si>
  <si>
    <t>Stedin</t>
  </si>
  <si>
    <t>Westland</t>
  </si>
  <si>
    <t>Zebra EHD</t>
  </si>
  <si>
    <t>Uitkomsten TI-berekening na aanpassing van gegevens (zie toelichting hierboven)</t>
  </si>
  <si>
    <t>Aansluitdienst &lt; 16 Bar - tabel A</t>
  </si>
  <si>
    <t>Aansluitdienst &lt; 16 Bar - tabel B</t>
  </si>
  <si>
    <t>Operationele kosten Lokale Heffingen 2014 op basis van RD2014 (kosten EHD overal nul)</t>
  </si>
  <si>
    <t>Bron: Reguleringsdata 2014</t>
  </si>
  <si>
    <t>Investeringsbedrag boekjaar precario</t>
  </si>
  <si>
    <t>Afschrijvingen precario</t>
  </si>
  <si>
    <t>Boekwaarde precario</t>
  </si>
  <si>
    <t>Bijzonderheid: precario (Transportdienst)</t>
  </si>
  <si>
    <t>KOSTENDATA</t>
  </si>
  <si>
    <t>RESULTAAT</t>
  </si>
  <si>
    <t>Bron: herstelde x-factorberekening Ng5R na aanpassing van gegevens zoals boven beschreven (tab 'Indicatieve TI-bedragen 14-16', regel 20).</t>
  </si>
  <si>
    <t>Kapitaalkosten die volgen uit bewerkte GAW-berekening voor kosten Precario-afkoop 2014</t>
  </si>
  <si>
    <t>Nacalculatiebedrag</t>
  </si>
  <si>
    <t>Nacalculatiebedrag Lokale Heffingen 2014</t>
  </si>
  <si>
    <t>Volumeverschuivingen Codewijzing (volumeherleidingsfactor en hoogtecorrectie) 2015</t>
  </si>
  <si>
    <t>Volumeverschuivingen Administratief- 2015</t>
  </si>
  <si>
    <t>Volumewijzigingen in Rekenvolumes n.a.v. administratieve aanpassing capaciteiten</t>
  </si>
  <si>
    <t>Gemiddelde wijziging over 2010 t/m 2012 (bron: tarievenbesluit 2015)</t>
  </si>
  <si>
    <t>Periodieke aansluitvergoeding (lage druk)</t>
  </si>
  <si>
    <t>Basistarief per rekeneenheid</t>
  </si>
  <si>
    <t>Omzetverschil door verschoven volume (somproduct)</t>
  </si>
  <si>
    <t>EUR, pp 2015</t>
  </si>
  <si>
    <t>Nacalculatiebedrag volumeverschuiving administratief 2015</t>
  </si>
  <si>
    <t>Berekening gemiddelde volumeverschuiving in rekenvolumes</t>
  </si>
  <si>
    <t>Volumewijzigingen in Rekenvolumes n.a.v. volumeherleidingsfactor en hoogtecorrectie</t>
  </si>
  <si>
    <t>Volumeverschuivingen 2010</t>
  </si>
  <si>
    <t>Volumeverschuivingen 2012</t>
  </si>
  <si>
    <t>Volumeverschuivingen 2011</t>
  </si>
  <si>
    <t>Berekening nacalculatie</t>
  </si>
  <si>
    <t>Bron: eenmalig dataverzoek VOLRD(i) 15-03 (dataverzoek voor volumeverschuivingen)</t>
  </si>
  <si>
    <t>Bron: Tarievenbesluiten 2015</t>
  </si>
  <si>
    <t>Het te verschuiven TI-bedrag is vastgesteld op basis van een afzonderlijke berekening die Enexis en Liander samen hebben ontwikkeld. ACM heeft deze berekening gecontroleerd en de uitkomsten hiervan overgenomen.</t>
  </si>
  <si>
    <t>In de berekening wordt via de volumes in het FNOP gebied vastgesteld welke SO en daarmee TI-bedrag hoort bij het FNOP gebied. Dit TI-bedrag vervalt bij Enexis en wordt toegevoegd aan de inkomsten van Liander.</t>
  </si>
  <si>
    <t>Ook moet een aanvullende correctie worden gemaakt in verband met het wegvallen van de vergoeding voor netverliezen gas. Ook deze correctie is tot standgekomen door te kijken naar de volumes van het FNOP gebied.</t>
  </si>
  <si>
    <t>Aanpassing TI-bedragen</t>
  </si>
  <si>
    <t>Voor onderstaande berekening is steeds gebruik gemaakt van de afzonderlijke berekening in de herstelde x-factorberekening die door Enexis en Liander is aangeleverd bij ACM.</t>
  </si>
  <si>
    <t>Oorspronkelijke TI-bedrag voor 2016 (o.b.v. herzien x-factorbesluit)</t>
  </si>
  <si>
    <t>Gegevens voor berekening TI-bedrag 2016 na ruilverkaveling FNOP</t>
  </si>
  <si>
    <t>Begininkomsten na verschuiving FNOP</t>
  </si>
  <si>
    <t>(virtuele) x-factoren na verschuiving FNOP</t>
  </si>
  <si>
    <t>CPI 2014</t>
  </si>
  <si>
    <t>EUR, pp 2013</t>
  </si>
  <si>
    <t>CPI 2016</t>
  </si>
  <si>
    <t>TI-bedrag 2016 na verschuiving FNOP</t>
  </si>
  <si>
    <t>Bron: Berekening x-factorberekening NG5R o.b.v. aanpassingen overdracht FNOP, blad x-factorberekening, regel 91</t>
  </si>
  <si>
    <t>Bron: Berekening x-factorberekening NG5R o.b.v. aanpassingen overdracht FNOP, blad x-factorberekening, regel 96</t>
  </si>
  <si>
    <t>OPTELLING</t>
  </si>
  <si>
    <t>Nacalculatiebedrag (nog zonder effect correctie netverliezen)</t>
  </si>
  <si>
    <t>Overig effect: aanpassing bedrag correctie voor niet vergoeden netverliezen</t>
  </si>
  <si>
    <t>Bron: Berekening x-factorberekening NG5R o.b.v. aanpassingen overdracht FNOP, blad Bijlage 1, regel 31</t>
  </si>
  <si>
    <t>virtuele x-factor voor berekening effect netverliezen</t>
  </si>
  <si>
    <t>TI-bedrag 2016 na verschuiving FNOP, met x-factor voor netverlieseffect</t>
  </si>
  <si>
    <t>Correctiebedrag voor netverliezen na verschuiving FNOP</t>
  </si>
  <si>
    <t>Correctiebedrag op correctiebedrag netverliezen gas a.g.v. FNOP-effect</t>
  </si>
  <si>
    <t>Correctie op Totale Inkomsten 2016 i.v.m. FNOP-overdracht</t>
  </si>
  <si>
    <t>Gegevens voor berekening effect netverliezen na ruilverkaveling FNOP</t>
  </si>
  <si>
    <t>Wel wijkt deze nacalculatie af van de werkwijze bij elektriciteit voor het jaar 2014 omdat in het methodebesluit elektrciteit wel gekozen is voor toepassing van de one-off (en er dus geen sprake is van ingroei).</t>
  </si>
  <si>
    <t>De berekening is uitgevoerd in het (herstelde) x-factorbesluit voor de vijfde reguleringsperiode gas (2014-2016), zoals gepubliceerd op 11 september 2014.</t>
  </si>
  <si>
    <t>In onderstaand overzicht zijn de gegevens opgenomen die voor deze bewerking gebruikt zijn. In de gehele x-factorberekening wordt nu doorgerekend met deze nieuwe gegevens, waarbij de PV overigens niet beïnvloed wordt.</t>
  </si>
  <si>
    <t>4. Deze gegevens worden vervolgens, na correctie voor het juiste CPI niveau, ingevoerd in de GAW-tabellen in het x-factorbesluit op het blad 'Import GAW' voor de jaren 2010-2012.</t>
  </si>
  <si>
    <t xml:space="preserve"> Berekening van gemiddelde wijziging over 2010 t/m 2012</t>
  </si>
  <si>
    <t>Het verschil tussen de oude en nieuwe inkomsten voor het jaar 2016 van Enexis en Liander wordt voor deze beide netbeheerders het nacalculatiebedrag.</t>
  </si>
  <si>
    <t>Het betreft hier het gebied Friesland en Noord-Oost Polder ('FNOP'), voor zowel gas als elektriciteit.</t>
  </si>
  <si>
    <t>Deze percentages zijn te vinden op de websites van de rijksoverheid en de belastingdienst (zie onder voor Bron), de wijze van bepaling van dit percentage is veranderd per 2012.</t>
  </si>
  <si>
    <t>Bron: http://www.belastingdienst.nl/wps/wcm/connect/bldcontentnl/standaard_functies/prive/contact/rechten_en_plichten_bij_de_belastingdienst/heffingsrente/overzicht_percentages_heffingsrente/overzicht_percentages_heffingsrente</t>
  </si>
  <si>
    <t>De relatieve wijziging van de consumentenprijsindex wordt berekend uit het quotiënt van van deze index, gepubliceerd in de vierde maand voorafgaande aan het jaar t, en van deze index, gepubliceerd in de zestiende maand voorafgaande aan het jaar t, zoals deze maandelijks wordt vastgesteld door het CBS.</t>
  </si>
  <si>
    <t>In het methodebesluit en de (in september 2014 herziene) x-factorbesluiten is er rekening mee gehouden dat netbeheerders gedurende de reguleringsperiode verantwoordelijk zouden worden voor de inkoop van netverliezen gas.
Op 21 augustus 2014 heeft het CBb in het beroep tegen het codebesluit van 18-7-2013 bepaald dat de inkoop van netverliezen gas niet bij de netbeheerders belegd kan worden.
Per mail van 5 september 2014 zijn netbeheerders geïnformeerd dat ACM deze uitspraak zal volgen en op welke wijze ACM in de tariefregulering hiermee om zal gaan.
Wat betreft de tarieven van 2016 geldt dat ACM de vergoeding voor de inkoop van netverliezen gas hieruit zal verwijderen.
In onderstaande berekening is bepaald welke vergoeding het herziene x-factormodel van september 2014 bevat voor netverliezen gas in 2016. Deze vergoeding zal verrekend worden in de tarieven van 2016.</t>
  </si>
  <si>
    <t>Vanaf 2017 (nieuwe periode) zullen alle reguleringsgegevens zoveel mogelijk worden aangepast aan de nieuwe situatie.</t>
  </si>
  <si>
    <t>Deze bewerking loop via een aanpassing op het herziene x-factormodel (zoals vastgesteld op 11 september 2015) waardoor sprake is van afrondingsverschillen (door afronding van de x-factor).</t>
  </si>
  <si>
    <t>Huidige correctiebedrag netverliezen gas 2016</t>
  </si>
  <si>
    <t>Het resultaat (het TI-bedrag voor 2014 exclusief correcties) kan vervolgens worden afgelezen uit regel 20 van het blad 'TI-bedragen 2014-2016' (na toepassing van de juiste CPI op regel 14: 2,8%)</t>
  </si>
  <si>
    <t>Bron: Tarievenbesluiten 2015, tabblad volumeverschuivingen in TI-berekening 2015, regel 66-78</t>
  </si>
  <si>
    <t>ACM heeft de netbeheerders verzocht om de bovenbeschreven volumewijzigingen in de jaren 2010 t/m 2012 aan ACM op te geven.</t>
  </si>
  <si>
    <t>De nacalculatie voor de volumeverschuivingen berekent ACM als volgt. Uit de door de netbeheerders aangeleverde data berekent zij de gemiddelde verschuiving in de volumes voor de jaren 2010 tot en met 2012 voor de afzonderlijke kleinverbruikerscategorieën binnen de aansluit- en de transportdienst. Dit gemiddelde vermenigvuldigt zij met de respectievelijke tarieven die voor het jaar 2015 zijn vastgesteld. Wanneer dit vervolgens bij elkaar wordt opgeteld, resulteert het nacalculatiebedrag (in prijspeil van het jaar 2015) dat na een correctie voor de inflatie in de tarieven voor het jaar 2016 verwerkt zal worden.</t>
  </si>
  <si>
    <t>Bron: Gewijzigde x-factorberekening NG5R, 11 september 2014, tabblad genormaliseerde totale kosten</t>
  </si>
  <si>
    <r>
      <t>Naast de volumeverschuivingen met een administratieve achtergrond zijn er per 1 januari 2015 ook twee codewijzigingen in werking getreden die invloed hebben op de rekenvolumes voor de jaren 2010 tot en met 2012, welke in de herziene x-factorbesluiten voor de vijfde reguleringsperiode gas gebruikt worden. De betreffende codewijzigingen zijn de besluiten ‘Codewijziging administratieve volumeherleiding’ van 11 december 2014</t>
    </r>
    <r>
      <rPr>
        <sz val="10"/>
        <color rgb="FF000000"/>
        <rFont val="Arial"/>
        <family val="2"/>
      </rPr>
      <t xml:space="preserve"> en ‘Codewijziging hoogtecorrectie’ van 17 november 2014</t>
    </r>
    <r>
      <rPr>
        <sz val="10"/>
        <color rgb="FF000000"/>
        <rFont val="Arial"/>
        <family val="2"/>
      </rPr>
      <t>.</t>
    </r>
  </si>
  <si>
    <r>
      <t xml:space="preserve">De nacalculatie voor de codewijzigingen berekent ACM op dezelfde wijze als de eerdergenoemde ‘Nacalculatie Volumeverschuivingen Administratief 2015’. Uit de door de netbeheerders aangeleverde data berekent zij de gemiddelde verschuiving in de volumes voor de jaren 2010 tot en met 2012 </t>
    </r>
    <r>
      <rPr>
        <sz val="10"/>
        <color theme="1"/>
        <rFont val="Arial"/>
        <family val="2"/>
      </rPr>
      <t>voor de afzonderlijke kleinverbruikerscategorieën binnen de aansluit- en de transportdienst</t>
    </r>
    <r>
      <rPr>
        <sz val="10"/>
        <color rgb="FF000000"/>
        <rFont val="Arial"/>
        <family val="2"/>
      </rPr>
      <t>. Dit gemiddelde vermenigvuldigt zij met de respectievelijke tarieven die voor het jaar 2015 zijn vastgesteld. Wanneer dit vervolgens bij elkaar wordt opgeteld, resulteert het nacalculatiebedrag (in prijspeil van het jaar 2015) dat na een correctie voor de inflatie in de tarieven voor het jaar 2016 verwerkt zal worden.</t>
    </r>
  </si>
  <si>
    <t>Naar aanleiding van een zienswijze van Endinet en Liander is in het methodebesluit voor de vijfde reguleringsperiode opgenomen dat ACM voornemens is om substantiële volumeverschuivingen in de rekenvolumes te verwerken in de tarieven. De volumeverschuivingen dienen voort te komen uit meer dan gebruikelijke aanpassingen van capaciteiten van aansluitingen met een administratieve achtergrond als oorzaak (TROS Radar-uitzending).</t>
  </si>
  <si>
    <t>Correcties in tarieven 2016</t>
  </si>
  <si>
    <t>Deze berekeningen maken onderdeel uit van de tarievenbesluiten gas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</si>
</sst>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_-* #,##0.00_-;_-* #,##0.00\-;_-* &quot;-&quot;??_-;_-@_-"/>
    <numFmt numFmtId="165" formatCode="_-* #,##0_-;_-* #,##0\-;_-* &quot;-&quot;??_-;_-@_-"/>
    <numFmt numFmtId="166" formatCode="_-* #,##0.0_-;_-* #,##0.0\-;_-* &quot;-&quot;??_-;_-@_-"/>
    <numFmt numFmtId="167" formatCode="_-* #,##0_-;_-* #,##0\-;_-* &quot;-&quot;_-;_-@_-"/>
    <numFmt numFmtId="168" formatCode="dd/mm/yyyy"/>
    <numFmt numFmtId="169" formatCode="_(* #,##0.00_);_(* \(#,##0.00\);_(* &quot;-&quot;??_);_(@_)"/>
    <numFmt numFmtId="170" formatCode="_([$€]* #,##0.00_);_([$€]* \(#,##0.00\);_([$€]* &quot;-&quot;??_);_(@_)"/>
    <numFmt numFmtId="171" formatCode="_ * #,##0_ ;_ * \-#,##0_ ;_ * &quot;-&quot;??_ ;_ @_ "/>
  </numFmts>
  <fonts count="57">
    <font>
      <sz val="11"/>
      <color theme="1"/>
      <name val="Calibri"/>
      <family val="2"/>
      <scheme val="minor"/>
    </font>
    <font>
      <sz val="10"/>
      <name val="Arial"/>
      <family val="2"/>
    </font>
    <font>
      <b/>
      <sz val="12"/>
      <name val="Arial"/>
      <family val="2"/>
    </font>
    <font>
      <b/>
      <sz val="14"/>
      <name val="Arial"/>
      <family val="2"/>
    </font>
    <font>
      <b/>
      <sz val="10"/>
      <name val="Arial"/>
      <family val="2"/>
    </font>
    <font>
      <sz val="10"/>
      <color indexed="8"/>
      <name val="MS Sans Serif"/>
      <family val="2"/>
    </font>
    <font>
      <sz val="10"/>
      <color indexed="8"/>
      <name val="Arial"/>
      <family val="2"/>
    </font>
    <font>
      <sz val="10"/>
      <color theme="1"/>
      <name val="Arial"/>
      <family val="2"/>
    </font>
    <font>
      <i/>
      <sz val="10"/>
      <name val="Arial"/>
      <family val="2"/>
    </font>
    <font>
      <sz val="10"/>
      <color rgb="FFFF0000"/>
      <name val="Arial"/>
      <family val="2"/>
    </font>
    <font>
      <sz val="8"/>
      <name val="Arial"/>
      <family val="2"/>
    </font>
    <font>
      <i/>
      <sz val="10"/>
      <color rgb="FFFF0000"/>
      <name val="Arial"/>
      <family val="2"/>
    </font>
    <font>
      <sz val="10"/>
      <color indexed="10"/>
      <name val="Arial"/>
      <family val="2"/>
    </font>
    <font>
      <sz val="11"/>
      <color theme="1"/>
      <name val="Arial"/>
      <family val="2"/>
    </font>
    <font>
      <b/>
      <sz val="10"/>
      <color theme="1"/>
      <name val="Arial"/>
      <family val="2"/>
    </font>
    <font>
      <sz val="14"/>
      <name val="Arial"/>
      <family val="2"/>
    </font>
    <font>
      <sz val="11"/>
      <color theme="1"/>
      <name val="Calibri"/>
      <family val="2"/>
      <scheme val="minor"/>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i/>
      <sz val="10"/>
      <color theme="1"/>
      <name val="Arial"/>
      <family val="2"/>
    </font>
    <font>
      <b/>
      <sz val="10"/>
      <color rgb="FFFF0000"/>
      <name val="Arial"/>
      <family val="2"/>
    </font>
    <font>
      <sz val="10"/>
      <color rgb="FF000000"/>
      <name val="Arial"/>
      <family val="2"/>
    </font>
  </fonts>
  <fills count="3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4"/>
        <bgColor indexed="64"/>
      </patternFill>
    </fill>
    <fill>
      <patternFill patternType="solid">
        <fgColor rgb="FFFFCC99"/>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0" tint="-0.249977111117893"/>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8">
    <xf numFmtId="0" fontId="0" fillId="0" borderId="0"/>
    <xf numFmtId="0" fontId="1" fillId="0" borderId="0"/>
    <xf numFmtId="0" fontId="1" fillId="0" borderId="0"/>
    <xf numFmtId="0" fontId="1" fillId="0" borderId="0"/>
    <xf numFmtId="0" fontId="1" fillId="0" borderId="0"/>
    <xf numFmtId="0" fontId="1" fillId="0" borderId="0"/>
    <xf numFmtId="0" fontId="5"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5"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 fillId="0" borderId="0"/>
    <xf numFmtId="0" fontId="5" fillId="0" borderId="0"/>
    <xf numFmtId="0" fontId="1" fillId="0" borderId="0"/>
    <xf numFmtId="0" fontId="17"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7" fillId="19" borderId="0" applyNumberFormat="0" applyBorder="0" applyAlignment="0" applyProtection="0"/>
    <xf numFmtId="0" fontId="18" fillId="19" borderId="0" applyNumberFormat="0" applyBorder="0" applyAlignment="0" applyProtection="0"/>
    <xf numFmtId="0" fontId="17" fillId="20" borderId="0" applyNumberFormat="0" applyBorder="0" applyAlignment="0" applyProtection="0"/>
    <xf numFmtId="0" fontId="18" fillId="20" borderId="0" applyNumberFormat="0" applyBorder="0" applyAlignment="0" applyProtection="0"/>
    <xf numFmtId="0" fontId="17" fillId="21" borderId="0" applyNumberFormat="0" applyBorder="0" applyAlignment="0" applyProtection="0"/>
    <xf numFmtId="0" fontId="18" fillId="21" borderId="0" applyNumberFormat="0" applyBorder="0" applyAlignment="0" applyProtection="0"/>
    <xf numFmtId="0" fontId="17" fillId="22" borderId="0" applyNumberFormat="0" applyBorder="0" applyAlignment="0" applyProtection="0"/>
    <xf numFmtId="0" fontId="18" fillId="22" borderId="0" applyNumberFormat="0" applyBorder="0" applyAlignment="0" applyProtection="0"/>
    <xf numFmtId="0" fontId="17" fillId="23" borderId="0" applyNumberFormat="0" applyBorder="0" applyAlignment="0" applyProtection="0"/>
    <xf numFmtId="0" fontId="18" fillId="23" borderId="0" applyNumberFormat="0" applyBorder="0" applyAlignment="0" applyProtection="0"/>
    <xf numFmtId="0" fontId="17" fillId="24" borderId="0" applyNumberFormat="0" applyBorder="0" applyAlignment="0" applyProtection="0"/>
    <xf numFmtId="0" fontId="18" fillId="24" borderId="0" applyNumberFormat="0" applyBorder="0" applyAlignment="0" applyProtection="0"/>
    <xf numFmtId="0" fontId="17" fillId="19" borderId="0" applyNumberFormat="0" applyBorder="0" applyAlignment="0" applyProtection="0"/>
    <xf numFmtId="0" fontId="18" fillId="19" borderId="0" applyNumberFormat="0" applyBorder="0" applyAlignment="0" applyProtection="0"/>
    <xf numFmtId="0" fontId="17" fillId="22" borderId="0" applyNumberFormat="0" applyBorder="0" applyAlignment="0" applyProtection="0"/>
    <xf numFmtId="0" fontId="18" fillId="22" borderId="0" applyNumberFormat="0" applyBorder="0" applyAlignment="0" applyProtection="0"/>
    <xf numFmtId="0" fontId="17" fillId="25" borderId="0" applyNumberFormat="0" applyBorder="0" applyAlignment="0" applyProtection="0"/>
    <xf numFmtId="0" fontId="18" fillId="25" borderId="0" applyNumberFormat="0" applyBorder="0" applyAlignment="0" applyProtection="0"/>
    <xf numFmtId="0" fontId="19" fillId="26" borderId="0" applyNumberFormat="0" applyBorder="0" applyAlignment="0" applyProtection="0"/>
    <xf numFmtId="0" fontId="20" fillId="26" borderId="0" applyNumberFormat="0" applyBorder="0" applyAlignment="0" applyProtection="0"/>
    <xf numFmtId="0" fontId="19" fillId="23" borderId="0" applyNumberFormat="0" applyBorder="0" applyAlignment="0" applyProtection="0"/>
    <xf numFmtId="0" fontId="20" fillId="23" borderId="0" applyNumberFormat="0" applyBorder="0" applyAlignment="0" applyProtection="0"/>
    <xf numFmtId="0" fontId="19" fillId="24" borderId="0" applyNumberFormat="0" applyBorder="0" applyAlignment="0" applyProtection="0"/>
    <xf numFmtId="0" fontId="20" fillId="24" borderId="0" applyNumberFormat="0" applyBorder="0" applyAlignment="0" applyProtection="0"/>
    <xf numFmtId="0" fontId="19" fillId="27" borderId="0" applyNumberFormat="0" applyBorder="0" applyAlignment="0" applyProtection="0"/>
    <xf numFmtId="0" fontId="20" fillId="27" borderId="0" applyNumberFormat="0" applyBorder="0" applyAlignment="0" applyProtection="0"/>
    <xf numFmtId="0" fontId="19" fillId="28" borderId="0" applyNumberFormat="0" applyBorder="0" applyAlignment="0" applyProtection="0"/>
    <xf numFmtId="0" fontId="20" fillId="28" borderId="0" applyNumberFormat="0" applyBorder="0" applyAlignment="0" applyProtection="0"/>
    <xf numFmtId="0" fontId="19" fillId="29" borderId="0" applyNumberFormat="0" applyBorder="0" applyAlignment="0" applyProtection="0"/>
    <xf numFmtId="0" fontId="20" fillId="29" borderId="0" applyNumberFormat="0" applyBorder="0" applyAlignment="0" applyProtection="0"/>
    <xf numFmtId="0" fontId="19" fillId="30" borderId="0" applyNumberFormat="0" applyBorder="0" applyAlignment="0" applyProtection="0"/>
    <xf numFmtId="0" fontId="20" fillId="30" borderId="0" applyNumberFormat="0" applyBorder="0" applyAlignment="0" applyProtection="0"/>
    <xf numFmtId="0" fontId="19" fillId="31" borderId="0" applyNumberFormat="0" applyBorder="0" applyAlignment="0" applyProtection="0"/>
    <xf numFmtId="0" fontId="20" fillId="31" borderId="0" applyNumberFormat="0" applyBorder="0" applyAlignment="0" applyProtection="0"/>
    <xf numFmtId="0" fontId="19" fillId="32" borderId="0" applyNumberFormat="0" applyBorder="0" applyAlignment="0" applyProtection="0"/>
    <xf numFmtId="0" fontId="20" fillId="32" borderId="0" applyNumberFormat="0" applyBorder="0" applyAlignment="0" applyProtection="0"/>
    <xf numFmtId="0" fontId="19" fillId="27" borderId="0" applyNumberFormat="0" applyBorder="0" applyAlignment="0" applyProtection="0"/>
    <xf numFmtId="0" fontId="20" fillId="27" borderId="0" applyNumberFormat="0" applyBorder="0" applyAlignment="0" applyProtection="0"/>
    <xf numFmtId="0" fontId="19" fillId="28" borderId="0" applyNumberFormat="0" applyBorder="0" applyAlignment="0" applyProtection="0"/>
    <xf numFmtId="0" fontId="20" fillId="28" borderId="0" applyNumberFormat="0" applyBorder="0" applyAlignment="0" applyProtection="0"/>
    <xf numFmtId="0" fontId="19" fillId="33" borderId="0" applyNumberFormat="0" applyBorder="0" applyAlignment="0" applyProtection="0"/>
    <xf numFmtId="0" fontId="20" fillId="33" borderId="0" applyNumberFormat="0" applyBorder="0" applyAlignment="0" applyProtection="0"/>
    <xf numFmtId="0" fontId="21" fillId="17" borderId="0" applyNumberFormat="0" applyBorder="0" applyAlignment="0" applyProtection="0"/>
    <xf numFmtId="0" fontId="22" fillId="17" borderId="0" applyNumberFormat="0" applyBorder="0" applyAlignment="0" applyProtection="0"/>
    <xf numFmtId="0" fontId="23" fillId="34" borderId="3" applyNumberFormat="0" applyAlignment="0" applyProtection="0"/>
    <xf numFmtId="0" fontId="23" fillId="34" borderId="3" applyNumberFormat="0" applyAlignment="0" applyProtection="0"/>
    <xf numFmtId="0" fontId="24" fillId="34" borderId="3" applyNumberFormat="0" applyAlignment="0" applyProtection="0"/>
    <xf numFmtId="0" fontId="25" fillId="35" borderId="4" applyNumberFormat="0" applyAlignment="0" applyProtection="0"/>
    <xf numFmtId="0" fontId="26" fillId="35" borderId="4" applyNumberFormat="0" applyAlignment="0" applyProtection="0"/>
    <xf numFmtId="169" fontId="27" fillId="0" borderId="0" applyFont="0" applyFill="0" applyBorder="0" applyAlignment="0" applyProtection="0"/>
    <xf numFmtId="43" fontId="27" fillId="0" borderId="0" applyFont="0" applyFill="0" applyBorder="0" applyAlignment="0" applyProtection="0"/>
    <xf numFmtId="0" fontId="25" fillId="35" borderId="4" applyNumberFormat="0" applyAlignment="0" applyProtection="0"/>
    <xf numFmtId="170" fontId="1" fillId="0" borderId="0" applyFont="0" applyFill="0" applyBorder="0" applyAlignment="0" applyProtection="0"/>
    <xf numFmtId="170" fontId="1"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5" applyNumberFormat="0" applyFill="0" applyAlignment="0" applyProtection="0"/>
    <xf numFmtId="0" fontId="31" fillId="18" borderId="0" applyNumberFormat="0" applyBorder="0" applyAlignment="0" applyProtection="0"/>
    <xf numFmtId="0" fontId="31" fillId="18" borderId="0" applyNumberFormat="0" applyBorder="0" applyAlignment="0" applyProtection="0"/>
    <xf numFmtId="0" fontId="32" fillId="18" borderId="0" applyNumberFormat="0" applyBorder="0" applyAlignment="0" applyProtection="0"/>
    <xf numFmtId="0" fontId="33" fillId="0" borderId="0"/>
    <xf numFmtId="0" fontId="34" fillId="0" borderId="6" applyNumberFormat="0" applyFill="0" applyAlignment="0" applyProtection="0"/>
    <xf numFmtId="0" fontId="35" fillId="0" borderId="6" applyNumberFormat="0" applyFill="0" applyAlignment="0" applyProtection="0"/>
    <xf numFmtId="0" fontId="36" fillId="0" borderId="7"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9" fillId="0" borderId="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21" borderId="3" applyNumberFormat="0" applyAlignment="0" applyProtection="0"/>
    <xf numFmtId="0" fontId="41" fillId="21" borderId="3" applyNumberFormat="0" applyAlignment="0" applyProtection="0"/>
    <xf numFmtId="0" fontId="40" fillId="21" borderId="3"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6" fillId="0" borderId="0" applyFont="0" applyFill="0" applyBorder="0" applyAlignment="0" applyProtection="0"/>
    <xf numFmtId="164" fontId="1" fillId="0" borderId="0" applyFont="0" applyFill="0" applyBorder="0" applyAlignment="0" applyProtection="0"/>
    <xf numFmtId="0" fontId="34" fillId="0" borderId="6" applyNumberFormat="0" applyFill="0" applyAlignment="0" applyProtection="0"/>
    <xf numFmtId="0" fontId="36"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0" fillId="0" borderId="5" applyNumberFormat="0" applyFill="0" applyAlignment="0" applyProtection="0"/>
    <xf numFmtId="0" fontId="42" fillId="0" borderId="5" applyNumberFormat="0" applyFill="0" applyAlignment="0" applyProtection="0"/>
    <xf numFmtId="0" fontId="43" fillId="36" borderId="0" applyNumberFormat="0" applyBorder="0" applyAlignment="0" applyProtection="0"/>
    <xf numFmtId="0" fontId="43" fillId="36" borderId="0" applyNumberFormat="0" applyBorder="0" applyAlignment="0" applyProtection="0"/>
    <xf numFmtId="0" fontId="44" fillId="36" borderId="0" applyNumberFormat="0" applyBorder="0" applyAlignment="0" applyProtection="0"/>
    <xf numFmtId="0" fontId="45" fillId="0" borderId="0"/>
    <xf numFmtId="0" fontId="27" fillId="0" borderId="0"/>
    <xf numFmtId="0" fontId="46" fillId="0" borderId="0"/>
    <xf numFmtId="0" fontId="1" fillId="37" borderId="9" applyNumberFormat="0" applyFont="0" applyAlignment="0" applyProtection="0"/>
    <xf numFmtId="0" fontId="27" fillId="37" borderId="9" applyNumberFormat="0" applyFont="0" applyAlignment="0" applyProtection="0"/>
    <xf numFmtId="0" fontId="1" fillId="37" borderId="9" applyNumberFormat="0" applyFont="0" applyAlignment="0" applyProtection="0"/>
    <xf numFmtId="0" fontId="21" fillId="17" borderId="0" applyNumberFormat="0" applyBorder="0" applyAlignment="0" applyProtection="0"/>
    <xf numFmtId="0" fontId="47" fillId="34" borderId="10" applyNumberFormat="0" applyAlignment="0" applyProtection="0"/>
    <xf numFmtId="0" fontId="48" fillId="34" borderId="10" applyNumberFormat="0" applyAlignment="0" applyProtection="0"/>
    <xf numFmtId="9" fontId="16"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applyFill="0"/>
    <xf numFmtId="0" fontId="16" fillId="0" borderId="0"/>
    <xf numFmtId="0" fontId="16" fillId="0" borderId="0"/>
    <xf numFmtId="0" fontId="5" fillId="0" borderId="0"/>
    <xf numFmtId="0" fontId="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11" applyNumberFormat="0" applyFill="0" applyAlignment="0" applyProtection="0"/>
    <xf numFmtId="0" fontId="50" fillId="0" borderId="11" applyNumberFormat="0" applyFill="0" applyAlignment="0" applyProtection="0"/>
    <xf numFmtId="0" fontId="51" fillId="0" borderId="11" applyNumberFormat="0" applyFill="0" applyAlignment="0" applyProtection="0"/>
    <xf numFmtId="0" fontId="47" fillId="34" borderId="10" applyNumberFormat="0" applyAlignment="0" applyProtection="0"/>
    <xf numFmtId="44" fontId="1" fillId="0" borderId="0" applyFont="0" applyFill="0" applyBorder="0" applyAlignment="0" applyProtection="0"/>
    <xf numFmtId="0" fontId="28"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10" fillId="0" borderId="0" applyNumberFormat="0" applyFont="0" applyBorder="0" applyAlignment="0" applyProtection="0"/>
  </cellStyleXfs>
  <cellXfs count="182">
    <xf numFmtId="0" fontId="0" fillId="0" borderId="0" xfId="0"/>
    <xf numFmtId="0" fontId="1" fillId="6" borderId="2" xfId="6" applyFont="1" applyFill="1" applyBorder="1"/>
    <xf numFmtId="0" fontId="1" fillId="5" borderId="2" xfId="6" applyFont="1" applyFill="1" applyBorder="1"/>
    <xf numFmtId="0" fontId="1" fillId="8" borderId="2" xfId="6" applyFont="1" applyFill="1" applyBorder="1"/>
    <xf numFmtId="0" fontId="1" fillId="13" borderId="2" xfId="6" applyFont="1" applyFill="1" applyBorder="1"/>
    <xf numFmtId="0" fontId="4" fillId="3" borderId="1" xfId="4" applyFont="1" applyFill="1" applyBorder="1" applyAlignment="1">
      <alignment horizontal="center"/>
    </xf>
    <xf numFmtId="0" fontId="0" fillId="12" borderId="0" xfId="0" applyFill="1"/>
    <xf numFmtId="0" fontId="1" fillId="4" borderId="1" xfId="11" applyFont="1" applyFill="1" applyBorder="1"/>
    <xf numFmtId="0" fontId="4" fillId="4" borderId="1" xfId="11" applyFont="1" applyFill="1" applyBorder="1"/>
    <xf numFmtId="165" fontId="1" fillId="6" borderId="0" xfId="7" applyNumberFormat="1" applyFont="1" applyFill="1"/>
    <xf numFmtId="0" fontId="2" fillId="3" borderId="1" xfId="11" applyFont="1" applyFill="1" applyBorder="1"/>
    <xf numFmtId="0" fontId="4" fillId="4" borderId="1" xfId="15" applyFont="1" applyFill="1" applyBorder="1"/>
    <xf numFmtId="0" fontId="1" fillId="4" borderId="1" xfId="15" applyFont="1" applyFill="1" applyBorder="1"/>
    <xf numFmtId="165" fontId="1" fillId="11" borderId="0" xfId="7" applyNumberFormat="1" applyFont="1" applyFill="1"/>
    <xf numFmtId="0" fontId="4" fillId="14" borderId="1" xfId="0" applyFont="1" applyFill="1" applyBorder="1" applyAlignment="1">
      <alignment horizontal="center"/>
    </xf>
    <xf numFmtId="10" fontId="1" fillId="10" borderId="0" xfId="8" applyNumberFormat="1" applyFont="1" applyFill="1"/>
    <xf numFmtId="10" fontId="1" fillId="7" borderId="0" xfId="8" applyNumberFormat="1" applyFont="1" applyFill="1"/>
    <xf numFmtId="0" fontId="1" fillId="0" borderId="0" xfId="0" applyNumberFormat="1" applyFont="1" applyFill="1" applyBorder="1" applyAlignment="1">
      <alignment vertical="top"/>
    </xf>
    <xf numFmtId="0" fontId="7" fillId="0" borderId="0" xfId="0" applyFont="1"/>
    <xf numFmtId="0" fontId="7" fillId="4" borderId="1" xfId="0" applyFont="1" applyFill="1" applyBorder="1"/>
    <xf numFmtId="10" fontId="7" fillId="5" borderId="0" xfId="0" applyNumberFormat="1" applyFont="1" applyFill="1"/>
    <xf numFmtId="167" fontId="7" fillId="6" borderId="0" xfId="0" applyNumberFormat="1" applyFont="1" applyFill="1"/>
    <xf numFmtId="164" fontId="7" fillId="6" borderId="0" xfId="0" applyNumberFormat="1" applyFont="1" applyFill="1"/>
    <xf numFmtId="165" fontId="7" fillId="8" borderId="0" xfId="0" applyNumberFormat="1" applyFont="1" applyFill="1"/>
    <xf numFmtId="0" fontId="1" fillId="0" borderId="0" xfId="0" applyFont="1" applyFill="1"/>
    <xf numFmtId="0" fontId="1" fillId="0" borderId="0" xfId="6" applyFont="1" applyFill="1" applyBorder="1"/>
    <xf numFmtId="0" fontId="6" fillId="0" borderId="0" xfId="6" applyFont="1" applyFill="1" applyBorder="1"/>
    <xf numFmtId="0" fontId="1" fillId="0" borderId="0" xfId="5" applyFont="1" applyFill="1" applyBorder="1"/>
    <xf numFmtId="0" fontId="1" fillId="0" borderId="0" xfId="1" applyFont="1" applyFill="1" applyBorder="1"/>
    <xf numFmtId="0" fontId="1" fillId="15" borderId="2" xfId="6" applyFont="1" applyFill="1" applyBorder="1"/>
    <xf numFmtId="0" fontId="1" fillId="0" borderId="0" xfId="1" applyFont="1" applyFill="1"/>
    <xf numFmtId="1" fontId="1" fillId="0" borderId="0" xfId="1" applyNumberFormat="1" applyFont="1" applyFill="1"/>
    <xf numFmtId="0" fontId="13" fillId="0" borderId="0" xfId="0" applyFont="1" applyFill="1"/>
    <xf numFmtId="0" fontId="1" fillId="0" borderId="0" xfId="5" applyFont="1" applyFill="1"/>
    <xf numFmtId="0" fontId="14" fillId="4" borderId="1" xfId="0" applyFont="1" applyFill="1" applyBorder="1"/>
    <xf numFmtId="0" fontId="7" fillId="0" borderId="0" xfId="0" applyFont="1" applyFill="1"/>
    <xf numFmtId="1" fontId="7" fillId="0" borderId="0" xfId="0" applyNumberFormat="1" applyFont="1" applyFill="1"/>
    <xf numFmtId="0" fontId="15" fillId="14" borderId="1" xfId="1" applyFont="1" applyFill="1" applyBorder="1"/>
    <xf numFmtId="0" fontId="3" fillId="14" borderId="1" xfId="1" applyFont="1" applyFill="1" applyBorder="1" applyAlignment="1">
      <alignment vertical="center" wrapText="1"/>
    </xf>
    <xf numFmtId="0" fontId="3" fillId="14" borderId="1" xfId="1" applyFont="1" applyFill="1" applyBorder="1" applyAlignment="1">
      <alignment wrapText="1"/>
    </xf>
    <xf numFmtId="0" fontId="3" fillId="14" borderId="1" xfId="5" applyFont="1" applyFill="1" applyBorder="1" applyAlignment="1">
      <alignment horizontal="center" textRotation="90"/>
    </xf>
    <xf numFmtId="167" fontId="7" fillId="0" borderId="0" xfId="0" applyNumberFormat="1" applyFont="1" applyFill="1"/>
    <xf numFmtId="0" fontId="14" fillId="0" borderId="0" xfId="0" applyFont="1" applyFill="1"/>
    <xf numFmtId="166" fontId="7" fillId="0" borderId="0" xfId="0" applyNumberFormat="1" applyFont="1" applyFill="1"/>
    <xf numFmtId="167" fontId="7" fillId="15" borderId="0" xfId="0" applyNumberFormat="1" applyFont="1" applyFill="1"/>
    <xf numFmtId="9" fontId="7" fillId="15" borderId="0" xfId="0" applyNumberFormat="1" applyFont="1" applyFill="1"/>
    <xf numFmtId="0" fontId="1" fillId="14" borderId="1" xfId="1" applyFont="1" applyFill="1" applyBorder="1"/>
    <xf numFmtId="0" fontId="4" fillId="14" borderId="1" xfId="1" applyFont="1" applyFill="1" applyBorder="1" applyAlignment="1">
      <alignment wrapText="1"/>
    </xf>
    <xf numFmtId="0" fontId="4" fillId="14" borderId="1" xfId="5" applyFont="1" applyFill="1" applyBorder="1" applyAlignment="1">
      <alignment horizontal="center" textRotation="90"/>
    </xf>
    <xf numFmtId="0" fontId="13" fillId="0" borderId="0" xfId="0" quotePrefix="1" applyFont="1" applyFill="1"/>
    <xf numFmtId="0" fontId="15" fillId="14" borderId="1" xfId="2" applyFont="1" applyFill="1" applyBorder="1"/>
    <xf numFmtId="0" fontId="3" fillId="14" borderId="1" xfId="2" applyFont="1" applyFill="1" applyBorder="1" applyAlignment="1">
      <alignment vertical="center" wrapText="1"/>
    </xf>
    <xf numFmtId="0" fontId="3" fillId="14" borderId="1" xfId="2" applyFont="1" applyFill="1" applyBorder="1" applyAlignment="1">
      <alignment wrapText="1"/>
    </xf>
    <xf numFmtId="0" fontId="3" fillId="14" borderId="1" xfId="3" applyFont="1" applyFill="1" applyBorder="1" applyAlignment="1">
      <alignment horizontal="center" textRotation="90"/>
    </xf>
    <xf numFmtId="0" fontId="4" fillId="14" borderId="1" xfId="4" applyFont="1" applyFill="1" applyBorder="1" applyAlignment="1">
      <alignment horizontal="center"/>
    </xf>
    <xf numFmtId="0" fontId="1" fillId="0" borderId="0" xfId="10" applyFont="1" applyFill="1"/>
    <xf numFmtId="0" fontId="1" fillId="0" borderId="0" xfId="11" applyFont="1" applyFill="1"/>
    <xf numFmtId="165" fontId="1" fillId="0" borderId="0" xfId="7" applyNumberFormat="1" applyFont="1" applyFill="1"/>
    <xf numFmtId="0" fontId="1" fillId="14" borderId="1" xfId="11" applyFont="1" applyFill="1" applyBorder="1"/>
    <xf numFmtId="0" fontId="3" fillId="14" borderId="1" xfId="11" applyFont="1" applyFill="1" applyBorder="1"/>
    <xf numFmtId="0" fontId="4" fillId="14" borderId="1" xfId="11" applyFont="1" applyFill="1" applyBorder="1" applyAlignment="1">
      <alignment horizontal="center"/>
    </xf>
    <xf numFmtId="10" fontId="1" fillId="0" borderId="0" xfId="1" applyNumberFormat="1" applyFont="1" applyFill="1"/>
    <xf numFmtId="166" fontId="1" fillId="0" borderId="0" xfId="7" applyNumberFormat="1" applyFont="1" applyFill="1"/>
    <xf numFmtId="0" fontId="54" fillId="0" borderId="0" xfId="0" applyFont="1" applyFill="1"/>
    <xf numFmtId="165" fontId="1" fillId="0" borderId="0" xfId="1" applyNumberFormat="1" applyFont="1" applyFill="1"/>
    <xf numFmtId="171" fontId="7" fillId="5" borderId="0" xfId="19" applyNumberFormat="1" applyFont="1" applyFill="1"/>
    <xf numFmtId="171" fontId="1" fillId="0" borderId="0" xfId="19" applyNumberFormat="1" applyFont="1" applyFill="1"/>
    <xf numFmtId="171" fontId="1" fillId="15" borderId="0" xfId="19" applyNumberFormat="1" applyFont="1" applyFill="1"/>
    <xf numFmtId="171" fontId="1" fillId="8" borderId="0" xfId="19" applyNumberFormat="1" applyFont="1" applyFill="1"/>
    <xf numFmtId="43" fontId="7" fillId="6" borderId="0" xfId="19" applyNumberFormat="1" applyFont="1" applyFill="1"/>
    <xf numFmtId="0" fontId="2" fillId="3" borderId="1" xfId="133" applyFont="1" applyFill="1" applyBorder="1"/>
    <xf numFmtId="0" fontId="1" fillId="0" borderId="0" xfId="127" applyFont="1" applyFill="1"/>
    <xf numFmtId="0" fontId="1" fillId="0" borderId="0" xfId="127" applyFont="1"/>
    <xf numFmtId="0" fontId="4" fillId="4" borderId="1" xfId="127" applyFont="1" applyFill="1" applyBorder="1"/>
    <xf numFmtId="0" fontId="1" fillId="4" borderId="1" xfId="127" applyFont="1" applyFill="1" applyBorder="1"/>
    <xf numFmtId="0" fontId="55" fillId="0" borderId="0" xfId="127" applyFont="1"/>
    <xf numFmtId="0" fontId="1" fillId="0" borderId="0" xfId="15" applyFont="1" applyFill="1"/>
    <xf numFmtId="165" fontId="4" fillId="0" borderId="0" xfId="101" applyNumberFormat="1" applyFont="1" applyFill="1" applyBorder="1" applyAlignment="1">
      <alignment horizontal="center"/>
    </xf>
    <xf numFmtId="0" fontId="4" fillId="0" borderId="0" xfId="15" applyFont="1" applyFill="1" applyBorder="1" applyAlignment="1">
      <alignment horizontal="center" textRotation="90"/>
    </xf>
    <xf numFmtId="0" fontId="4" fillId="0" borderId="0" xfId="15" applyFont="1" applyFill="1" applyBorder="1" applyAlignment="1">
      <alignment horizontal="left"/>
    </xf>
    <xf numFmtId="0" fontId="4" fillId="0" borderId="0" xfId="127" applyFont="1"/>
    <xf numFmtId="0" fontId="11" fillId="0" borderId="0" xfId="15" applyFont="1" applyFill="1"/>
    <xf numFmtId="0" fontId="1" fillId="0" borderId="0" xfId="134" applyFont="1" applyFill="1"/>
    <xf numFmtId="0" fontId="1" fillId="0" borderId="0" xfId="134" applyFont="1"/>
    <xf numFmtId="0" fontId="7" fillId="0" borderId="0" xfId="132" applyFont="1"/>
    <xf numFmtId="171" fontId="7" fillId="8" borderId="0" xfId="19" applyNumberFormat="1" applyFont="1" applyFill="1" applyAlignment="1">
      <alignment horizontal="right"/>
    </xf>
    <xf numFmtId="0" fontId="1" fillId="0" borderId="0" xfId="11" applyFont="1"/>
    <xf numFmtId="0" fontId="3" fillId="3" borderId="1" xfId="17" applyFont="1" applyFill="1" applyBorder="1" applyAlignment="1">
      <alignment horizontal="left"/>
    </xf>
    <xf numFmtId="0" fontId="4" fillId="3" borderId="1" xfId="17" applyFont="1" applyFill="1" applyBorder="1"/>
    <xf numFmtId="0" fontId="1" fillId="3" borderId="1" xfId="17" applyFont="1" applyFill="1" applyBorder="1"/>
    <xf numFmtId="0" fontId="1" fillId="0" borderId="0" xfId="127" applyFont="1" applyAlignment="1">
      <alignment horizontal="right"/>
    </xf>
    <xf numFmtId="10" fontId="1" fillId="11" borderId="0" xfId="8" applyNumberFormat="1" applyFont="1" applyFill="1"/>
    <xf numFmtId="10" fontId="7" fillId="0" borderId="0" xfId="8" applyNumberFormat="1" applyFont="1"/>
    <xf numFmtId="16" fontId="1" fillId="0" borderId="0" xfId="127" applyNumberFormat="1" applyFont="1"/>
    <xf numFmtId="10" fontId="1" fillId="0" borderId="0" xfId="8" applyNumberFormat="1" applyFont="1" applyFill="1"/>
    <xf numFmtId="0" fontId="1" fillId="0" borderId="0" xfId="18" applyFont="1"/>
    <xf numFmtId="0" fontId="1" fillId="0" borderId="0" xfId="127" applyFont="1" applyBorder="1"/>
    <xf numFmtId="168" fontId="1" fillId="0" borderId="0" xfId="127" applyNumberFormat="1" applyFont="1" applyBorder="1"/>
    <xf numFmtId="14" fontId="1" fillId="0" borderId="0" xfId="127" applyNumberFormat="1" applyFont="1"/>
    <xf numFmtId="10" fontId="1" fillId="9" borderId="0" xfId="127" applyNumberFormat="1" applyFont="1" applyFill="1"/>
    <xf numFmtId="168" fontId="1" fillId="0" borderId="0" xfId="127" applyNumberFormat="1" applyFont="1"/>
    <xf numFmtId="10" fontId="1" fillId="9" borderId="0" xfId="8" applyNumberFormat="1" applyFont="1" applyFill="1"/>
    <xf numFmtId="10" fontId="1" fillId="6" borderId="0" xfId="127" applyNumberFormat="1" applyFont="1" applyFill="1"/>
    <xf numFmtId="10" fontId="9" fillId="5" borderId="0" xfId="127" applyNumberFormat="1" applyFont="1" applyFill="1"/>
    <xf numFmtId="0" fontId="3" fillId="3" borderId="1" xfId="127" applyFont="1" applyFill="1" applyBorder="1"/>
    <xf numFmtId="0" fontId="1" fillId="3" borderId="1" xfId="127" applyFill="1" applyBorder="1"/>
    <xf numFmtId="0" fontId="1" fillId="4" borderId="1" xfId="127" applyFill="1" applyBorder="1"/>
    <xf numFmtId="0" fontId="1" fillId="0" borderId="0" xfId="127"/>
    <xf numFmtId="10" fontId="1" fillId="9" borderId="0" xfId="8" applyNumberFormat="1" applyFill="1"/>
    <xf numFmtId="0" fontId="1" fillId="0" borderId="0" xfId="127" applyFill="1"/>
    <xf numFmtId="10" fontId="1" fillId="15" borderId="0" xfId="127" applyNumberFormat="1" applyFill="1"/>
    <xf numFmtId="0" fontId="1" fillId="3" borderId="0" xfId="127" applyFill="1"/>
    <xf numFmtId="10" fontId="1" fillId="3" borderId="0" xfId="127" applyNumberFormat="1" applyFill="1"/>
    <xf numFmtId="10" fontId="1" fillId="0" borderId="0" xfId="8" applyNumberFormat="1" applyFill="1"/>
    <xf numFmtId="0" fontId="4" fillId="0" borderId="0" xfId="15" applyFont="1"/>
    <xf numFmtId="165" fontId="1" fillId="0" borderId="0" xfId="101" applyNumberFormat="1" applyFont="1"/>
    <xf numFmtId="0" fontId="8" fillId="0" borderId="0" xfId="15" applyFont="1"/>
    <xf numFmtId="0" fontId="7" fillId="0" borderId="0" xfId="1" applyFont="1"/>
    <xf numFmtId="165" fontId="1" fillId="5" borderId="0" xfId="101" applyNumberFormat="1" applyFont="1" applyFill="1"/>
    <xf numFmtId="0" fontId="1" fillId="0" borderId="0" xfId="0" applyFont="1"/>
    <xf numFmtId="0" fontId="4" fillId="0" borderId="0" xfId="15" applyFont="1" applyFill="1"/>
    <xf numFmtId="165" fontId="1" fillId="0" borderId="0" xfId="127" applyNumberFormat="1" applyFont="1" applyFill="1"/>
    <xf numFmtId="0" fontId="1" fillId="0" borderId="0" xfId="15" applyFont="1"/>
    <xf numFmtId="0" fontId="0" fillId="0" borderId="0" xfId="0" applyFill="1"/>
    <xf numFmtId="0" fontId="55" fillId="0" borderId="0" xfId="127" applyFont="1" applyFill="1"/>
    <xf numFmtId="165" fontId="1" fillId="0" borderId="0" xfId="101" applyNumberFormat="1" applyFont="1" applyFill="1"/>
    <xf numFmtId="0" fontId="8" fillId="0" borderId="0" xfId="15" applyFont="1" applyFill="1"/>
    <xf numFmtId="0" fontId="7" fillId="0" borderId="0" xfId="1" applyFont="1" applyFill="1"/>
    <xf numFmtId="0" fontId="1" fillId="14" borderId="1" xfId="9" applyFont="1" applyFill="1" applyBorder="1"/>
    <xf numFmtId="0" fontId="2" fillId="14" borderId="1" xfId="9" applyFont="1" applyFill="1" applyBorder="1"/>
    <xf numFmtId="0" fontId="4" fillId="14" borderId="1" xfId="9" applyFont="1" applyFill="1" applyBorder="1"/>
    <xf numFmtId="0" fontId="4" fillId="3" borderId="1" xfId="0" applyFont="1" applyFill="1" applyBorder="1"/>
    <xf numFmtId="171" fontId="1" fillId="6" borderId="0" xfId="19" applyNumberFormat="1" applyFont="1" applyFill="1"/>
    <xf numFmtId="43" fontId="1" fillId="6" borderId="0" xfId="19" applyFont="1" applyFill="1"/>
    <xf numFmtId="0" fontId="4" fillId="2" borderId="0" xfId="0" applyFont="1" applyFill="1" applyAlignment="1">
      <alignment vertical="top"/>
    </xf>
    <xf numFmtId="0" fontId="1" fillId="2" borderId="0" xfId="0" applyFont="1" applyFill="1" applyAlignment="1">
      <alignment horizontal="left" vertical="top" indent="1"/>
    </xf>
    <xf numFmtId="171" fontId="7" fillId="6" borderId="0" xfId="19" applyNumberFormat="1" applyFont="1" applyFill="1" applyAlignment="1">
      <alignment vertical="top"/>
    </xf>
    <xf numFmtId="0" fontId="8" fillId="0" borderId="0" xfId="127" applyFont="1" applyFill="1"/>
    <xf numFmtId="0" fontId="7" fillId="0" borderId="0" xfId="0" applyFont="1" applyFill="1" applyAlignment="1">
      <alignment horizontal="left" vertical="top" wrapText="1"/>
    </xf>
    <xf numFmtId="43" fontId="7" fillId="15" borderId="0" xfId="19" applyFont="1" applyFill="1"/>
    <xf numFmtId="171" fontId="7" fillId="15" borderId="0" xfId="19" applyNumberFormat="1" applyFont="1" applyFill="1"/>
    <xf numFmtId="0" fontId="8" fillId="0" borderId="0" xfId="10" applyFont="1" applyFill="1" applyAlignment="1">
      <alignment vertical="top"/>
    </xf>
    <xf numFmtId="0" fontId="11" fillId="0" borderId="0" xfId="10" applyFont="1" applyFill="1" applyAlignment="1">
      <alignment vertical="top" wrapText="1"/>
    </xf>
    <xf numFmtId="0" fontId="8" fillId="0" borderId="0" xfId="11" applyFont="1" applyFill="1" applyAlignment="1"/>
    <xf numFmtId="0" fontId="9" fillId="0" borderId="0" xfId="11" applyFont="1" applyFill="1" applyAlignment="1"/>
    <xf numFmtId="0" fontId="4" fillId="0" borderId="0" xfId="0" quotePrefix="1" applyFont="1" applyFill="1" applyAlignment="1">
      <alignment horizontal="left"/>
    </xf>
    <xf numFmtId="0" fontId="4" fillId="0" borderId="0" xfId="0" applyFont="1" applyFill="1"/>
    <xf numFmtId="0" fontId="8" fillId="0" borderId="0" xfId="0" applyFont="1" applyFill="1" applyAlignment="1">
      <alignment horizontal="center" vertical="center"/>
    </xf>
    <xf numFmtId="0" fontId="2" fillId="14" borderId="1" xfId="11" applyFont="1" applyFill="1" applyBorder="1"/>
    <xf numFmtId="0" fontId="8" fillId="0" borderId="0" xfId="0" applyFont="1"/>
    <xf numFmtId="43" fontId="1" fillId="0" borderId="0" xfId="19" applyFont="1" applyFill="1"/>
    <xf numFmtId="0" fontId="8" fillId="0" borderId="0" xfId="0" applyFont="1" applyAlignment="1">
      <alignment horizontal="center" vertical="center"/>
    </xf>
    <xf numFmtId="164" fontId="1" fillId="6" borderId="0" xfId="101" applyNumberFormat="1" applyFont="1" applyFill="1"/>
    <xf numFmtId="43" fontId="1" fillId="15" borderId="0" xfId="19" applyFont="1" applyFill="1"/>
    <xf numFmtId="171" fontId="7" fillId="6" borderId="0" xfId="19" applyNumberFormat="1" applyFont="1" applyFill="1"/>
    <xf numFmtId="43" fontId="7" fillId="0" borderId="0" xfId="19" applyFont="1" applyFill="1"/>
    <xf numFmtId="43" fontId="7" fillId="6" borderId="0" xfId="19" applyFont="1" applyFill="1"/>
    <xf numFmtId="171" fontId="7" fillId="8" borderId="0" xfId="0" applyNumberFormat="1" applyFont="1" applyFill="1"/>
    <xf numFmtId="171" fontId="1" fillId="6" borderId="0" xfId="19" applyNumberFormat="1" applyFont="1" applyFill="1" applyAlignment="1">
      <alignment wrapText="1"/>
    </xf>
    <xf numFmtId="43" fontId="1" fillId="5" borderId="0" xfId="19" applyFont="1" applyFill="1"/>
    <xf numFmtId="164" fontId="1" fillId="0" borderId="0" xfId="101" applyNumberFormat="1" applyFont="1" applyFill="1"/>
    <xf numFmtId="171" fontId="1" fillId="6" borderId="0" xfId="19" applyNumberFormat="1" applyFont="1" applyFill="1" applyBorder="1" applyAlignment="1">
      <alignment horizontal="center"/>
    </xf>
    <xf numFmtId="43" fontId="1" fillId="6" borderId="0" xfId="19" applyFont="1" applyFill="1" applyBorder="1" applyAlignment="1">
      <alignment horizontal="center"/>
    </xf>
    <xf numFmtId="10" fontId="1" fillId="5" borderId="0" xfId="15" applyNumberFormat="1" applyFont="1" applyFill="1"/>
    <xf numFmtId="165" fontId="1" fillId="15" borderId="0" xfId="101" applyNumberFormat="1" applyFont="1" applyFill="1" applyBorder="1" applyAlignment="1">
      <alignment horizontal="right"/>
    </xf>
    <xf numFmtId="171" fontId="1" fillId="5" borderId="0" xfId="19" applyNumberFormat="1" applyFont="1" applyFill="1" applyBorder="1" applyAlignment="1">
      <alignment horizontal="right"/>
    </xf>
    <xf numFmtId="165" fontId="1" fillId="0" borderId="0" xfId="101" applyNumberFormat="1" applyFont="1" applyFill="1" applyBorder="1" applyAlignment="1">
      <alignment horizontal="left"/>
    </xf>
    <xf numFmtId="171" fontId="1" fillId="15" borderId="0" xfId="19" applyNumberFormat="1" applyFont="1" applyFill="1" applyBorder="1" applyAlignment="1">
      <alignment horizontal="right"/>
    </xf>
    <xf numFmtId="171" fontId="1" fillId="15" borderId="0" xfId="127" applyNumberFormat="1" applyFont="1" applyFill="1"/>
    <xf numFmtId="10" fontId="1" fillId="0" borderId="0" xfId="127" applyNumberFormat="1" applyFont="1"/>
    <xf numFmtId="10" fontId="1" fillId="0" borderId="0" xfId="127" applyNumberFormat="1"/>
    <xf numFmtId="0" fontId="7" fillId="0" borderId="0" xfId="132" applyFont="1" applyFill="1"/>
    <xf numFmtId="0" fontId="7" fillId="0" borderId="0" xfId="0" applyFont="1" applyFill="1" applyAlignment="1">
      <alignment wrapText="1"/>
    </xf>
    <xf numFmtId="0" fontId="56" fillId="0" borderId="0" xfId="0" applyFont="1" applyAlignment="1">
      <alignment vertical="center" wrapText="1"/>
    </xf>
    <xf numFmtId="0" fontId="7" fillId="0" borderId="0" xfId="0" applyFont="1" applyAlignment="1">
      <alignment horizontal="left" vertical="top" wrapText="1"/>
    </xf>
    <xf numFmtId="0" fontId="7" fillId="0" borderId="0" xfId="0" applyFont="1" applyFill="1" applyAlignment="1">
      <alignment horizontal="left" vertical="top"/>
    </xf>
    <xf numFmtId="0" fontId="7" fillId="0" borderId="0" xfId="0" quotePrefix="1" applyFont="1" applyFill="1"/>
    <xf numFmtId="0" fontId="4" fillId="4" borderId="1" xfId="0" applyFont="1" applyFill="1" applyBorder="1"/>
    <xf numFmtId="0" fontId="1" fillId="0" borderId="0" xfId="0" applyNumberFormat="1" applyFont="1"/>
    <xf numFmtId="0" fontId="1" fillId="0" borderId="0" xfId="10" applyFont="1" applyFill="1" applyAlignment="1">
      <alignment horizontal="left" vertical="top" wrapText="1"/>
    </xf>
    <xf numFmtId="0" fontId="7" fillId="0" borderId="0" xfId="0" applyFont="1" applyAlignment="1">
      <alignment horizontal="left" vertical="top" wrapText="1"/>
    </xf>
    <xf numFmtId="0" fontId="56" fillId="0" borderId="0" xfId="0" applyFont="1" applyAlignment="1">
      <alignment horizontal="left" vertical="top" wrapText="1"/>
    </xf>
  </cellXfs>
  <cellStyles count="148">
    <cellStyle name="_x000d__x000a_JournalTemplate=C:\COMFO\CTALK\JOURSTD.TPL_x000d__x000a_LbStateAddress=3 3 0 251 1 89 2 311_x000d__x000a_LbStateJou" xfId="4"/>
    <cellStyle name="_x000d__x000a_JournalTemplate=C:\COMFO\CTALK\JOURSTD.TPL_x000d__x000a_LbStateAddress=3 3 0 251 1 89 2 311_x000d__x000a_LbStateJou 2" xfId="15"/>
    <cellStyle name="_x000d__x000a_JournalTemplate=C:\COMFO\CTALK\JOURSTD.TPL_x000d__x000a_LbStateAddress=3 3 0 251 1 89 2 311_x000d__x000a_LbStateJou 2 2" xfId="16"/>
    <cellStyle name="_x000d__x000a_JournalTemplate=C:\COMFO\CTALK\JOURSTD.TPL_x000d__x000a_LbStateAddress=3 3 0 251 1 89 2 311_x000d__x000a_LbStateJou 3" xfId="20"/>
    <cellStyle name="_x000d__x000a_JournalTemplate=C:\COMFO\CTALK\JOURSTD.TPL_x000d__x000a_LbStateAddress=3 3 0 251 1 89 2 311_x000d__x000a_LbStateJou 4" xfId="21"/>
    <cellStyle name="_x000d__x000a_JournalTemplate=C:\COMFO\CTALK\JOURSTD.TPL_x000d__x000a_LbStateAddress=3 3 0 251 1 89 2 311_x000d__x000a_LbStateJou_100720 berekening x-factoren NG4R v4.2" xfId="22"/>
    <cellStyle name="_x000d__x000a_JournalTemplate=C:\COMFO\CTALK\JOURSTD.TPL_x000d__x000a_LbStateAddress=3 3 0 251 1 89 2 311_x000d__x000a_LbStateJou_20110825 TI berekening 2012 E - PwA" xfId="3"/>
    <cellStyle name="_x000d__x000a_JournalTemplate=C:\COMFO\CTALK\JOURSTD.TPL_x000d__x000a_LbStateAddress=3 3 0 251 1 89 2 311_x000d__x000a_LbStateJou_20120516 - TI-berekening 2013 Elektriciteit (concept)" xfId="5"/>
    <cellStyle name="20% - Accent1 2" xfId="23"/>
    <cellStyle name="20% - Accent1 3" xfId="24"/>
    <cellStyle name="20% - Accent2 2" xfId="25"/>
    <cellStyle name="20% - Accent2 3" xfId="26"/>
    <cellStyle name="20% - Accent3 2" xfId="27"/>
    <cellStyle name="20% - Accent3 3" xfId="28"/>
    <cellStyle name="20% - Accent4 2" xfId="29"/>
    <cellStyle name="20% - Accent4 3" xfId="30"/>
    <cellStyle name="20% - Accent5 2" xfId="31"/>
    <cellStyle name="20% - Accent5 3" xfId="32"/>
    <cellStyle name="20% - Accent6 2" xfId="33"/>
    <cellStyle name="20% - Accent6 3" xfId="34"/>
    <cellStyle name="40% - Accent1 2" xfId="35"/>
    <cellStyle name="40% - Accent1 3" xfId="36"/>
    <cellStyle name="40% - Accent2 2" xfId="37"/>
    <cellStyle name="40% - Accent2 3" xfId="38"/>
    <cellStyle name="40% - Accent3 2" xfId="39"/>
    <cellStyle name="40% - Accent3 3" xfId="40"/>
    <cellStyle name="40% - Accent4 2" xfId="41"/>
    <cellStyle name="40% - Accent4 3" xfId="42"/>
    <cellStyle name="40% - Accent5 2" xfId="43"/>
    <cellStyle name="40% - Accent5 3" xfId="44"/>
    <cellStyle name="40% - Accent6 2" xfId="45"/>
    <cellStyle name="40% - Accent6 3" xfId="46"/>
    <cellStyle name="60% - Accent1 2" xfId="47"/>
    <cellStyle name="60% - Accent1 3" xfId="48"/>
    <cellStyle name="60% - Accent2 2" xfId="49"/>
    <cellStyle name="60% - Accent2 3" xfId="50"/>
    <cellStyle name="60% - Accent3 2" xfId="51"/>
    <cellStyle name="60% - Accent3 3" xfId="52"/>
    <cellStyle name="60% - Accent4 2" xfId="53"/>
    <cellStyle name="60% - Accent4 3" xfId="54"/>
    <cellStyle name="60% - Accent5 2" xfId="55"/>
    <cellStyle name="60% - Accent5 3" xfId="56"/>
    <cellStyle name="60% - Accent6 2" xfId="57"/>
    <cellStyle name="60% - Accent6 3" xfId="58"/>
    <cellStyle name="Accent1 2" xfId="59"/>
    <cellStyle name="Accent1 3" xfId="60"/>
    <cellStyle name="Accent2 2" xfId="61"/>
    <cellStyle name="Accent2 3" xfId="62"/>
    <cellStyle name="Accent3 2" xfId="63"/>
    <cellStyle name="Accent3 3" xfId="64"/>
    <cellStyle name="Accent4 2" xfId="65"/>
    <cellStyle name="Accent4 3" xfId="66"/>
    <cellStyle name="Accent5 2" xfId="67"/>
    <cellStyle name="Accent5 3" xfId="68"/>
    <cellStyle name="Accent6 2" xfId="69"/>
    <cellStyle name="Accent6 3" xfId="70"/>
    <cellStyle name="Bad" xfId="71"/>
    <cellStyle name="Bad 2" xfId="72"/>
    <cellStyle name="Berekening 2" xfId="73"/>
    <cellStyle name="Calculation" xfId="74"/>
    <cellStyle name="Calculation 2" xfId="75"/>
    <cellStyle name="Check Cell" xfId="76"/>
    <cellStyle name="Check Cell 2" xfId="77"/>
    <cellStyle name="Comma 2" xfId="78"/>
    <cellStyle name="Comma 3" xfId="79"/>
    <cellStyle name="Controlecel 2" xfId="80"/>
    <cellStyle name="Euro" xfId="81"/>
    <cellStyle name="Euro 2" xfId="82"/>
    <cellStyle name="Explanatory Text" xfId="83"/>
    <cellStyle name="Explanatory Text 2" xfId="84"/>
    <cellStyle name="Gekoppelde cel 2" xfId="85"/>
    <cellStyle name="Goed 2" xfId="86"/>
    <cellStyle name="Good" xfId="87"/>
    <cellStyle name="Good 2" xfId="88"/>
    <cellStyle name="Header" xfId="89"/>
    <cellStyle name="Heading 1" xfId="90"/>
    <cellStyle name="Heading 1 2" xfId="91"/>
    <cellStyle name="Heading 2" xfId="92"/>
    <cellStyle name="Heading 2 2" xfId="93"/>
    <cellStyle name="Heading 3" xfId="94"/>
    <cellStyle name="Heading 3 2" xfId="95"/>
    <cellStyle name="Heading 4" xfId="96"/>
    <cellStyle name="Heading 4 2" xfId="97"/>
    <cellStyle name="Input" xfId="98"/>
    <cellStyle name="Input 2" xfId="99"/>
    <cellStyle name="Invoer 2" xfId="100"/>
    <cellStyle name="Komma" xfId="19" builtinId="3"/>
    <cellStyle name="Komma 14 2" xfId="101"/>
    <cellStyle name="Komma 2" xfId="7"/>
    <cellStyle name="Komma 2 2" xfId="13"/>
    <cellStyle name="Komma 2 3" xfId="102"/>
    <cellStyle name="Komma 3" xfId="103"/>
    <cellStyle name="Komma 3 2" xfId="104"/>
    <cellStyle name="Komma 4" xfId="105"/>
    <cellStyle name="Komma 5" xfId="106"/>
    <cellStyle name="Kop 1 2" xfId="107"/>
    <cellStyle name="Kop 2 2" xfId="108"/>
    <cellStyle name="Kop 3 2" xfId="109"/>
    <cellStyle name="Kop 4 2" xfId="110"/>
    <cellStyle name="Linked Cell" xfId="111"/>
    <cellStyle name="Linked Cell 2" xfId="112"/>
    <cellStyle name="Neutraal 2" xfId="113"/>
    <cellStyle name="Neutral" xfId="114"/>
    <cellStyle name="Neutral 2" xfId="115"/>
    <cellStyle name="Normal 2" xfId="116"/>
    <cellStyle name="Normal 3" xfId="117"/>
    <cellStyle name="Normal_# klanten" xfId="118"/>
    <cellStyle name="Note" xfId="119"/>
    <cellStyle name="Note 2" xfId="120"/>
    <cellStyle name="Notitie 2" xfId="121"/>
    <cellStyle name="Ongeldig 2" xfId="122"/>
    <cellStyle name="Output" xfId="123"/>
    <cellStyle name="Output 2" xfId="124"/>
    <cellStyle name="Procent 2" xfId="8"/>
    <cellStyle name="Procent 2 2" xfId="14"/>
    <cellStyle name="Procent 3" xfId="125"/>
    <cellStyle name="Procent 4" xfId="126"/>
    <cellStyle name="Standaard" xfId="0" builtinId="0"/>
    <cellStyle name="Standaard 2" xfId="127"/>
    <cellStyle name="Standaard 2 2" xfId="10"/>
    <cellStyle name="Standaard 2 3" xfId="128"/>
    <cellStyle name="Standaard 3" xfId="129"/>
    <cellStyle name="Standaard 4" xfId="130"/>
    <cellStyle name="Standaard 5" xfId="131"/>
    <cellStyle name="Standaard 6" xfId="132"/>
    <cellStyle name="Standaard_20100727 Rekenmodel NE5R v1.9" xfId="6"/>
    <cellStyle name="Standaard_20110803 Nacalculatieregister gas (WhK)" xfId="9"/>
    <cellStyle name="Standaard_20110825 TI berekening 2012 E - PwA" xfId="2"/>
    <cellStyle name="Standaard_20110830 TI berekening 2012 E - v3 PwA" xfId="18"/>
    <cellStyle name="Standaard_20120514 - Analyse Inkoopkosten Transport v9" xfId="133"/>
    <cellStyle name="Standaard_20120514 - Analyse Inkoopkosten Transport v9 2 2" xfId="11"/>
    <cellStyle name="Standaard_20120516 - TI-berekening 2013 Elektriciteit (concept) opm HK" xfId="1"/>
    <cellStyle name="Standaard_20120727 - TI-berekening 2013 Elektriciteit (concept)" xfId="17"/>
    <cellStyle name="Standaard_Rekenmodel inkoopkosten transport NE4R v2 2 2" xfId="134"/>
    <cellStyle name="Titel 2" xfId="135"/>
    <cellStyle name="Title" xfId="136"/>
    <cellStyle name="Title 2" xfId="137"/>
    <cellStyle name="Totaal 2" xfId="138"/>
    <cellStyle name="Total" xfId="139"/>
    <cellStyle name="Total 2" xfId="140"/>
    <cellStyle name="Uitvoer 2" xfId="141"/>
    <cellStyle name="Valuta 2" xfId="142"/>
    <cellStyle name="Valuta 2 2" xfId="12"/>
    <cellStyle name="Verklarende tekst 2" xfId="143"/>
    <cellStyle name="Waarschuwingstekst 2" xfId="144"/>
    <cellStyle name="Warning Text" xfId="145"/>
    <cellStyle name="Warning Text 2" xfId="146"/>
    <cellStyle name="WIt" xfId="147"/>
  </cellStyles>
  <dxfs count="0"/>
  <tableStyles count="0" defaultTableStyle="TableStyleMedium2" defaultPivotStyle="PivotStyleLight16"/>
  <colors>
    <mruColors>
      <color rgb="FFFFCCFF"/>
      <color rgb="FFFFCC99"/>
      <color rgb="FFFF66FF"/>
      <color rgb="FF99FF99"/>
      <color rgb="FFFFCC66"/>
      <color rgb="FFFF9966"/>
      <color rgb="FFFFFFCC"/>
      <color rgb="FFCCFFCC"/>
      <color rgb="FFCCFF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857250</xdr:colOff>
      <xdr:row>43</xdr:row>
      <xdr:rowOff>0</xdr:rowOff>
    </xdr:from>
    <xdr:to>
      <xdr:col>1</xdr:col>
      <xdr:colOff>933450</xdr:colOff>
      <xdr:row>43</xdr:row>
      <xdr:rowOff>0</xdr:rowOff>
    </xdr:to>
    <xdr:sp macro="" textlink="">
      <xdr:nvSpPr>
        <xdr:cNvPr id="2" name="AutoShape 2"/>
        <xdr:cNvSpPr>
          <a:spLocks/>
        </xdr:cNvSpPr>
      </xdr:nvSpPr>
      <xdr:spPr bwMode="auto">
        <a:xfrm>
          <a:off x="1133475" y="6867525"/>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43</xdr:row>
      <xdr:rowOff>0</xdr:rowOff>
    </xdr:from>
    <xdr:to>
      <xdr:col>1</xdr:col>
      <xdr:colOff>933450</xdr:colOff>
      <xdr:row>43</xdr:row>
      <xdr:rowOff>0</xdr:rowOff>
    </xdr:to>
    <xdr:sp macro="" textlink="">
      <xdr:nvSpPr>
        <xdr:cNvPr id="3" name="AutoShape 3"/>
        <xdr:cNvSpPr>
          <a:spLocks/>
        </xdr:cNvSpPr>
      </xdr:nvSpPr>
      <xdr:spPr bwMode="auto">
        <a:xfrm>
          <a:off x="1133475" y="6867525"/>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43</xdr:row>
      <xdr:rowOff>28575</xdr:rowOff>
    </xdr:from>
    <xdr:to>
      <xdr:col>1</xdr:col>
      <xdr:colOff>933450</xdr:colOff>
      <xdr:row>46</xdr:row>
      <xdr:rowOff>142875</xdr:rowOff>
    </xdr:to>
    <xdr:sp macro="" textlink="">
      <xdr:nvSpPr>
        <xdr:cNvPr id="4" name="AutoShape 4"/>
        <xdr:cNvSpPr>
          <a:spLocks/>
        </xdr:cNvSpPr>
      </xdr:nvSpPr>
      <xdr:spPr bwMode="auto">
        <a:xfrm>
          <a:off x="1133475" y="68961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47</xdr:row>
      <xdr:rowOff>28575</xdr:rowOff>
    </xdr:from>
    <xdr:to>
      <xdr:col>1</xdr:col>
      <xdr:colOff>933450</xdr:colOff>
      <xdr:row>50</xdr:row>
      <xdr:rowOff>142875</xdr:rowOff>
    </xdr:to>
    <xdr:sp macro="" textlink="">
      <xdr:nvSpPr>
        <xdr:cNvPr id="5" name="AutoShape 5"/>
        <xdr:cNvSpPr>
          <a:spLocks/>
        </xdr:cNvSpPr>
      </xdr:nvSpPr>
      <xdr:spPr bwMode="auto">
        <a:xfrm>
          <a:off x="1133475" y="75438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51</xdr:row>
      <xdr:rowOff>28575</xdr:rowOff>
    </xdr:from>
    <xdr:to>
      <xdr:col>1</xdr:col>
      <xdr:colOff>933450</xdr:colOff>
      <xdr:row>54</xdr:row>
      <xdr:rowOff>142875</xdr:rowOff>
    </xdr:to>
    <xdr:sp macro="" textlink="">
      <xdr:nvSpPr>
        <xdr:cNvPr id="6" name="AutoShape 6"/>
        <xdr:cNvSpPr>
          <a:spLocks/>
        </xdr:cNvSpPr>
      </xdr:nvSpPr>
      <xdr:spPr bwMode="auto">
        <a:xfrm>
          <a:off x="1133475" y="81915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55</xdr:row>
      <xdr:rowOff>28575</xdr:rowOff>
    </xdr:from>
    <xdr:to>
      <xdr:col>1</xdr:col>
      <xdr:colOff>933450</xdr:colOff>
      <xdr:row>58</xdr:row>
      <xdr:rowOff>142875</xdr:rowOff>
    </xdr:to>
    <xdr:sp macro="" textlink="">
      <xdr:nvSpPr>
        <xdr:cNvPr id="7" name="AutoShape 7"/>
        <xdr:cNvSpPr>
          <a:spLocks/>
        </xdr:cNvSpPr>
      </xdr:nvSpPr>
      <xdr:spPr bwMode="auto">
        <a:xfrm>
          <a:off x="1133475" y="88392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59</xdr:row>
      <xdr:rowOff>28575</xdr:rowOff>
    </xdr:from>
    <xdr:to>
      <xdr:col>1</xdr:col>
      <xdr:colOff>933450</xdr:colOff>
      <xdr:row>62</xdr:row>
      <xdr:rowOff>142875</xdr:rowOff>
    </xdr:to>
    <xdr:sp macro="" textlink="">
      <xdr:nvSpPr>
        <xdr:cNvPr id="8" name="AutoShape 8"/>
        <xdr:cNvSpPr>
          <a:spLocks/>
        </xdr:cNvSpPr>
      </xdr:nvSpPr>
      <xdr:spPr bwMode="auto">
        <a:xfrm>
          <a:off x="1133475" y="94869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63</xdr:row>
      <xdr:rowOff>28575</xdr:rowOff>
    </xdr:from>
    <xdr:to>
      <xdr:col>1</xdr:col>
      <xdr:colOff>933450</xdr:colOff>
      <xdr:row>66</xdr:row>
      <xdr:rowOff>142875</xdr:rowOff>
    </xdr:to>
    <xdr:sp macro="" textlink="">
      <xdr:nvSpPr>
        <xdr:cNvPr id="9" name="AutoShape 9"/>
        <xdr:cNvSpPr>
          <a:spLocks/>
        </xdr:cNvSpPr>
      </xdr:nvSpPr>
      <xdr:spPr bwMode="auto">
        <a:xfrm>
          <a:off x="1133475" y="101346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67</xdr:row>
      <xdr:rowOff>0</xdr:rowOff>
    </xdr:from>
    <xdr:to>
      <xdr:col>1</xdr:col>
      <xdr:colOff>933450</xdr:colOff>
      <xdr:row>67</xdr:row>
      <xdr:rowOff>0</xdr:rowOff>
    </xdr:to>
    <xdr:sp macro="" textlink="">
      <xdr:nvSpPr>
        <xdr:cNvPr id="10" name="AutoShape 10"/>
        <xdr:cNvSpPr>
          <a:spLocks/>
        </xdr:cNvSpPr>
      </xdr:nvSpPr>
      <xdr:spPr bwMode="auto">
        <a:xfrm>
          <a:off x="1133475" y="10753725"/>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67</xdr:row>
      <xdr:rowOff>0</xdr:rowOff>
    </xdr:from>
    <xdr:to>
      <xdr:col>1</xdr:col>
      <xdr:colOff>933450</xdr:colOff>
      <xdr:row>67</xdr:row>
      <xdr:rowOff>0</xdr:rowOff>
    </xdr:to>
    <xdr:sp macro="" textlink="">
      <xdr:nvSpPr>
        <xdr:cNvPr id="11" name="AutoShape 11"/>
        <xdr:cNvSpPr>
          <a:spLocks/>
        </xdr:cNvSpPr>
      </xdr:nvSpPr>
      <xdr:spPr bwMode="auto">
        <a:xfrm>
          <a:off x="1133475" y="10753725"/>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67</xdr:row>
      <xdr:rowOff>28575</xdr:rowOff>
    </xdr:from>
    <xdr:to>
      <xdr:col>1</xdr:col>
      <xdr:colOff>933450</xdr:colOff>
      <xdr:row>70</xdr:row>
      <xdr:rowOff>142875</xdr:rowOff>
    </xdr:to>
    <xdr:sp macro="" textlink="">
      <xdr:nvSpPr>
        <xdr:cNvPr id="12" name="AutoShape 9"/>
        <xdr:cNvSpPr>
          <a:spLocks/>
        </xdr:cNvSpPr>
      </xdr:nvSpPr>
      <xdr:spPr bwMode="auto">
        <a:xfrm>
          <a:off x="1133475" y="107823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71</xdr:row>
      <xdr:rowOff>28575</xdr:rowOff>
    </xdr:from>
    <xdr:to>
      <xdr:col>1</xdr:col>
      <xdr:colOff>933450</xdr:colOff>
      <xdr:row>74</xdr:row>
      <xdr:rowOff>142875</xdr:rowOff>
    </xdr:to>
    <xdr:sp macro="" textlink="">
      <xdr:nvSpPr>
        <xdr:cNvPr id="13" name="AutoShape 9"/>
        <xdr:cNvSpPr>
          <a:spLocks/>
        </xdr:cNvSpPr>
      </xdr:nvSpPr>
      <xdr:spPr bwMode="auto">
        <a:xfrm>
          <a:off x="1133475" y="114300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75</xdr:row>
      <xdr:rowOff>28575</xdr:rowOff>
    </xdr:from>
    <xdr:to>
      <xdr:col>1</xdr:col>
      <xdr:colOff>933450</xdr:colOff>
      <xdr:row>78</xdr:row>
      <xdr:rowOff>142875</xdr:rowOff>
    </xdr:to>
    <xdr:sp macro="" textlink="">
      <xdr:nvSpPr>
        <xdr:cNvPr id="14" name="AutoShape 9"/>
        <xdr:cNvSpPr>
          <a:spLocks/>
        </xdr:cNvSpPr>
      </xdr:nvSpPr>
      <xdr:spPr bwMode="auto">
        <a:xfrm>
          <a:off x="1133475" y="120777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4"/>
  <sheetViews>
    <sheetView showGridLines="0" tabSelected="1" zoomScale="85" zoomScaleNormal="85" workbookViewId="0"/>
  </sheetViews>
  <sheetFormatPr defaultRowHeight="12.75"/>
  <cols>
    <col min="1" max="1" width="3" style="28" customWidth="1"/>
    <col min="2" max="2" width="110.7109375" style="28" customWidth="1"/>
    <col min="3" max="16384" width="9.140625" style="28"/>
  </cols>
  <sheetData>
    <row r="2" spans="2:18" s="37" customFormat="1" ht="18">
      <c r="B2" s="38" t="s">
        <v>33</v>
      </c>
      <c r="C2" s="39"/>
      <c r="F2" s="40"/>
      <c r="G2" s="40"/>
      <c r="H2" s="40"/>
      <c r="I2" s="40"/>
      <c r="J2" s="40"/>
      <c r="K2" s="40"/>
      <c r="L2" s="40"/>
      <c r="M2" s="40"/>
      <c r="N2" s="40"/>
      <c r="O2" s="40"/>
      <c r="P2" s="40"/>
      <c r="Q2" s="40"/>
      <c r="R2" s="40"/>
    </row>
    <row r="3" spans="2:18" s="30" customFormat="1"/>
    <row r="4" spans="2:18" s="30" customFormat="1"/>
    <row r="5" spans="2:18" s="19" customFormat="1">
      <c r="B5" s="34" t="s">
        <v>34</v>
      </c>
    </row>
    <row r="6" spans="2:18" s="30" customFormat="1">
      <c r="G6" s="31"/>
      <c r="H6" s="31"/>
      <c r="I6" s="31"/>
      <c r="J6" s="31"/>
      <c r="K6" s="31"/>
      <c r="L6" s="31"/>
      <c r="M6" s="31"/>
      <c r="N6" s="31"/>
      <c r="O6" s="31"/>
      <c r="P6" s="31"/>
      <c r="Q6" s="31"/>
      <c r="R6" s="31"/>
    </row>
    <row r="7" spans="2:18" s="35" customFormat="1">
      <c r="B7" s="24" t="s">
        <v>41</v>
      </c>
      <c r="G7" s="36"/>
      <c r="H7" s="36"/>
      <c r="I7" s="36"/>
      <c r="J7" s="36"/>
      <c r="K7" s="36"/>
      <c r="L7" s="36"/>
      <c r="M7" s="36"/>
      <c r="N7" s="36"/>
      <c r="O7" s="36"/>
      <c r="P7" s="36"/>
      <c r="Q7" s="36"/>
      <c r="R7" s="36"/>
    </row>
    <row r="8" spans="2:18" s="35" customFormat="1">
      <c r="B8" s="24" t="s">
        <v>42</v>
      </c>
      <c r="G8" s="36"/>
      <c r="H8" s="36"/>
      <c r="I8" s="36"/>
      <c r="J8" s="36"/>
      <c r="K8" s="36"/>
      <c r="L8" s="36"/>
      <c r="M8" s="36"/>
      <c r="N8" s="36"/>
      <c r="O8" s="36"/>
      <c r="P8" s="36"/>
      <c r="Q8" s="36"/>
      <c r="R8" s="36"/>
    </row>
    <row r="9" spans="2:18" s="35" customFormat="1">
      <c r="B9" s="178" t="s">
        <v>238</v>
      </c>
      <c r="G9" s="36"/>
      <c r="H9" s="36"/>
      <c r="I9" s="36"/>
      <c r="J9" s="36"/>
      <c r="K9" s="36"/>
      <c r="L9" s="36"/>
      <c r="M9" s="36"/>
      <c r="N9" s="36"/>
      <c r="O9" s="36"/>
      <c r="P9" s="36"/>
      <c r="Q9" s="36"/>
      <c r="R9" s="36"/>
    </row>
    <row r="10" spans="2:18" s="30" customFormat="1">
      <c r="C10" s="35"/>
      <c r="G10" s="31"/>
      <c r="H10" s="31"/>
      <c r="I10" s="31"/>
      <c r="J10" s="31"/>
      <c r="K10" s="31"/>
      <c r="L10" s="31"/>
      <c r="M10" s="31"/>
      <c r="N10" s="31"/>
      <c r="O10" s="31"/>
      <c r="P10" s="31"/>
      <c r="Q10" s="31"/>
      <c r="R10" s="31"/>
    </row>
    <row r="11" spans="2:18" s="30" customFormat="1">
      <c r="C11" s="35"/>
      <c r="G11" s="31"/>
      <c r="H11" s="31"/>
      <c r="I11" s="31"/>
      <c r="J11" s="31"/>
      <c r="K11" s="31"/>
      <c r="L11" s="31"/>
      <c r="M11" s="31"/>
      <c r="N11" s="31"/>
      <c r="O11" s="31"/>
      <c r="P11" s="31"/>
      <c r="Q11" s="31"/>
      <c r="R11" s="31"/>
    </row>
    <row r="12" spans="2:18" s="19" customFormat="1">
      <c r="B12" s="34" t="s">
        <v>35</v>
      </c>
    </row>
    <row r="13" spans="2:18" s="33" customFormat="1"/>
    <row r="14" spans="2:18" s="33" customFormat="1">
      <c r="B14" s="1" t="s">
        <v>36</v>
      </c>
    </row>
    <row r="15" spans="2:18" s="33" customFormat="1">
      <c r="B15" s="25"/>
    </row>
    <row r="16" spans="2:18" s="33" customFormat="1">
      <c r="B16" s="29" t="s">
        <v>37</v>
      </c>
    </row>
    <row r="17" spans="2:2" s="33" customFormat="1">
      <c r="B17" s="25"/>
    </row>
    <row r="18" spans="2:2" s="33" customFormat="1">
      <c r="B18" s="2" t="s">
        <v>38</v>
      </c>
    </row>
    <row r="19" spans="2:2" s="33" customFormat="1">
      <c r="B19" s="26"/>
    </row>
    <row r="20" spans="2:2" s="33" customFormat="1">
      <c r="B20" s="3" t="s">
        <v>39</v>
      </c>
    </row>
    <row r="21" spans="2:2" s="33" customFormat="1"/>
    <row r="22" spans="2:2" s="33" customFormat="1">
      <c r="B22" s="4" t="s">
        <v>40</v>
      </c>
    </row>
    <row r="23" spans="2:2" s="27" customFormat="1"/>
    <row r="24" spans="2:2" s="27" customFormat="1"/>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workbookViewId="0"/>
  </sheetViews>
  <sheetFormatPr defaultRowHeight="15"/>
  <cols>
    <col min="1" max="16384" width="9.140625" style="6"/>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2:H79"/>
  <sheetViews>
    <sheetView showGridLines="0" zoomScale="85" workbookViewId="0"/>
  </sheetViews>
  <sheetFormatPr defaultRowHeight="12.75"/>
  <cols>
    <col min="1" max="1" width="4.140625" style="72" customWidth="1"/>
    <col min="2" max="2" width="24.85546875" style="72" customWidth="1"/>
    <col min="3" max="3" width="5.5703125" style="72" customWidth="1"/>
    <col min="4" max="4" width="17" style="72" customWidth="1"/>
    <col min="5" max="16384" width="9.140625" style="72"/>
  </cols>
  <sheetData>
    <row r="2" spans="1:7" s="89" customFormat="1" ht="18">
      <c r="B2" s="87" t="s">
        <v>46</v>
      </c>
      <c r="C2" s="88"/>
    </row>
    <row r="4" spans="1:7" s="74" customFormat="1">
      <c r="B4" s="73" t="s">
        <v>70</v>
      </c>
      <c r="C4" s="73"/>
    </row>
    <row r="6" spans="1:7">
      <c r="B6" s="80" t="s">
        <v>91</v>
      </c>
    </row>
    <row r="7" spans="1:7">
      <c r="B7" s="80"/>
    </row>
    <row r="8" spans="1:7">
      <c r="B8" s="90" t="s">
        <v>71</v>
      </c>
      <c r="D8" s="72">
        <v>2016</v>
      </c>
    </row>
    <row r="9" spans="1:7">
      <c r="D9" s="71"/>
      <c r="G9" s="75"/>
    </row>
    <row r="10" spans="1:7">
      <c r="A10" s="71"/>
      <c r="B10" s="72" t="s">
        <v>122</v>
      </c>
      <c r="D10" s="91">
        <f t="shared" ref="D10:D17" si="0">(1+D11)*(1+D24)-1</f>
        <v>0.36429884815100677</v>
      </c>
      <c r="F10" s="92"/>
      <c r="G10" s="75"/>
    </row>
    <row r="11" spans="1:7">
      <c r="A11" s="71"/>
      <c r="B11" s="72" t="s">
        <v>72</v>
      </c>
      <c r="D11" s="91">
        <f t="shared" si="0"/>
        <v>0.29717399294701874</v>
      </c>
      <c r="F11" s="92"/>
      <c r="G11" s="75"/>
    </row>
    <row r="12" spans="1:7">
      <c r="A12" s="71"/>
      <c r="B12" s="72" t="s">
        <v>73</v>
      </c>
      <c r="D12" s="91">
        <f t="shared" si="0"/>
        <v>0.23838393122342616</v>
      </c>
      <c r="F12" s="92"/>
      <c r="G12" s="75"/>
    </row>
    <row r="13" spans="1:7">
      <c r="A13" s="71"/>
      <c r="B13" s="72" t="s">
        <v>74</v>
      </c>
      <c r="D13" s="91">
        <f t="shared" si="0"/>
        <v>0.20744387127254615</v>
      </c>
      <c r="F13" s="92"/>
      <c r="G13" s="75"/>
    </row>
    <row r="14" spans="1:7">
      <c r="A14" s="71"/>
      <c r="B14" s="72" t="s">
        <v>75</v>
      </c>
      <c r="D14" s="91">
        <f t="shared" si="0"/>
        <v>0.17799402075370341</v>
      </c>
      <c r="F14" s="92"/>
      <c r="G14" s="75"/>
    </row>
    <row r="15" spans="1:7">
      <c r="A15" s="71"/>
      <c r="B15" s="72" t="s">
        <v>76</v>
      </c>
      <c r="D15" s="91">
        <f t="shared" si="0"/>
        <v>0.14674892008649953</v>
      </c>
      <c r="F15" s="92"/>
    </row>
    <row r="16" spans="1:7">
      <c r="A16" s="71"/>
      <c r="B16" s="72" t="s">
        <v>77</v>
      </c>
      <c r="D16" s="91">
        <f t="shared" si="0"/>
        <v>0.11674221072489388</v>
      </c>
      <c r="F16" s="92"/>
    </row>
    <row r="17" spans="1:6">
      <c r="A17" s="71"/>
      <c r="B17" s="72" t="s">
        <v>78</v>
      </c>
      <c r="D17" s="91">
        <f t="shared" si="0"/>
        <v>8.1599999999999229E-2</v>
      </c>
    </row>
    <row r="18" spans="1:6">
      <c r="A18" s="71"/>
      <c r="B18" s="72" t="s">
        <v>79</v>
      </c>
      <c r="D18" s="91">
        <f>D32</f>
        <v>3.9999999999999591E-2</v>
      </c>
    </row>
    <row r="21" spans="1:6" s="74" customFormat="1">
      <c r="B21" s="73" t="s">
        <v>80</v>
      </c>
      <c r="C21" s="73"/>
    </row>
    <row r="24" spans="1:6">
      <c r="A24" s="71"/>
      <c r="B24" s="93" t="s">
        <v>81</v>
      </c>
      <c r="C24" s="93"/>
      <c r="D24" s="15">
        <f>(1+D47)^0.25*(1+D46)^0.25*(1+D45)^0.25*(1+D44)^0.25-1</f>
        <v>5.174699428832108E-2</v>
      </c>
      <c r="F24" s="92"/>
    </row>
    <row r="25" spans="1:6">
      <c r="A25" s="71"/>
      <c r="B25" s="72" t="s">
        <v>82</v>
      </c>
      <c r="D25" s="15">
        <f>(1+D51)^0.25*(1+D50)^0.25*(1+D49)^0.25*(1+D48)^0.25-1</f>
        <v>4.7473211046523023E-2</v>
      </c>
      <c r="F25" s="92"/>
    </row>
    <row r="26" spans="1:6">
      <c r="A26" s="71"/>
      <c r="B26" s="72" t="s">
        <v>83</v>
      </c>
      <c r="D26" s="15">
        <f>(1+D52)^0.25*(1+D53)^0.25*(1+D54)^0.25*(1+D55)^0.25-1</f>
        <v>2.5624429165615581E-2</v>
      </c>
      <c r="F26" s="92"/>
    </row>
    <row r="27" spans="1:6">
      <c r="A27" s="71"/>
      <c r="B27" s="72" t="s">
        <v>84</v>
      </c>
      <c r="D27" s="15">
        <f>(1+D56)^0.25*(1+D57)^0.25*(1+D58)^0.25*(1+D59)^0.25-1</f>
        <v>2.5000000000000133E-2</v>
      </c>
      <c r="F27" s="92"/>
    </row>
    <row r="28" spans="1:6">
      <c r="A28" s="71"/>
      <c r="B28" s="72" t="s">
        <v>85</v>
      </c>
      <c r="C28" s="94"/>
      <c r="D28" s="15">
        <f>(1+D60)^0.25*(1+D61)^0.25*(1+D62)^0.25*(1+D63)^0.25-1</f>
        <v>2.7246679826693931E-2</v>
      </c>
      <c r="F28" s="92"/>
    </row>
    <row r="29" spans="1:6">
      <c r="A29" s="71"/>
      <c r="B29" s="72" t="s">
        <v>86</v>
      </c>
      <c r="C29" s="94"/>
      <c r="D29" s="16">
        <f>(1+D64)^0.25*(1+D65)^0.25*(1+D66)^0.25*(1+D67)^0.25-1</f>
        <v>2.6869862241643006E-2</v>
      </c>
      <c r="F29" s="92"/>
    </row>
    <row r="30" spans="1:6">
      <c r="A30" s="71"/>
      <c r="B30" s="72" t="s">
        <v>87</v>
      </c>
      <c r="C30" s="94"/>
      <c r="D30" s="16">
        <f>(1+D68)^0.25*(1+D69)^0.25*(1+D70)^0.25*(1+D71)^0.25-1</f>
        <v>3.2490949264880387E-2</v>
      </c>
      <c r="F30" s="92"/>
    </row>
    <row r="31" spans="1:6">
      <c r="A31" s="71"/>
      <c r="B31" s="72" t="s">
        <v>88</v>
      </c>
      <c r="D31" s="16">
        <f>(1+D72)^0.25*(1+D73)^0.25*(1+D74)^0.25*(1+D75)^0.25-1</f>
        <v>3.9999999999999591E-2</v>
      </c>
    </row>
    <row r="32" spans="1:6">
      <c r="A32" s="71"/>
      <c r="B32" s="72" t="s">
        <v>49</v>
      </c>
      <c r="D32" s="16">
        <f>(1+D76)^0.25*(1+D77)^0.25*(1+D78)^0.25*(1+D79)^0.25-1</f>
        <v>3.9999999999999591E-2</v>
      </c>
    </row>
    <row r="35" spans="1:8" s="74" customFormat="1">
      <c r="B35" s="73" t="s">
        <v>90</v>
      </c>
      <c r="C35" s="73"/>
    </row>
    <row r="37" spans="1:8">
      <c r="A37" s="71"/>
      <c r="B37" s="72" t="s">
        <v>89</v>
      </c>
    </row>
    <row r="38" spans="1:8">
      <c r="A38" s="71"/>
      <c r="B38" s="95" t="s">
        <v>222</v>
      </c>
    </row>
    <row r="39" spans="1:8">
      <c r="A39" s="71"/>
      <c r="B39" s="95" t="s">
        <v>123</v>
      </c>
    </row>
    <row r="40" spans="1:8">
      <c r="A40" s="71"/>
      <c r="B40" s="95"/>
    </row>
    <row r="41" spans="1:8">
      <c r="A41" s="71"/>
      <c r="B41" s="72" t="s">
        <v>223</v>
      </c>
    </row>
    <row r="42" spans="1:8">
      <c r="A42" s="71"/>
      <c r="B42" s="96"/>
    </row>
    <row r="43" spans="1:8">
      <c r="A43" s="71"/>
      <c r="B43" s="96"/>
    </row>
    <row r="44" spans="1:8">
      <c r="A44" s="71"/>
      <c r="B44" s="97">
        <v>39264</v>
      </c>
      <c r="C44" s="98"/>
      <c r="D44" s="99">
        <v>5.2499999999999998E-2</v>
      </c>
      <c r="H44" s="169"/>
    </row>
    <row r="45" spans="1:8">
      <c r="A45" s="71"/>
      <c r="B45" s="100">
        <v>39356</v>
      </c>
      <c r="C45" s="98"/>
      <c r="D45" s="99">
        <v>5.3999999999999999E-2</v>
      </c>
      <c r="H45" s="169"/>
    </row>
    <row r="46" spans="1:8">
      <c r="A46" s="71"/>
      <c r="B46" s="100">
        <v>39448</v>
      </c>
      <c r="C46" s="98"/>
      <c r="D46" s="99">
        <v>5.2999999999999999E-2</v>
      </c>
      <c r="H46" s="169"/>
    </row>
    <row r="47" spans="1:8">
      <c r="A47" s="71"/>
      <c r="B47" s="100">
        <v>39539</v>
      </c>
      <c r="C47" s="98"/>
      <c r="D47" s="99">
        <v>4.7500000000000001E-2</v>
      </c>
      <c r="H47" s="169"/>
    </row>
    <row r="48" spans="1:8">
      <c r="A48" s="71"/>
      <c r="B48" s="100">
        <v>39630</v>
      </c>
      <c r="C48" s="98"/>
      <c r="D48" s="99">
        <v>5.1499999999999997E-2</v>
      </c>
      <c r="H48" s="169"/>
    </row>
    <row r="49" spans="1:8">
      <c r="A49" s="71"/>
      <c r="B49" s="100">
        <v>39722</v>
      </c>
      <c r="C49" s="98"/>
      <c r="D49" s="99">
        <v>5.45E-2</v>
      </c>
      <c r="H49" s="169"/>
    </row>
    <row r="50" spans="1:8">
      <c r="A50" s="71"/>
      <c r="B50" s="100">
        <v>39814</v>
      </c>
      <c r="C50" s="98"/>
      <c r="D50" s="99">
        <v>4.9000000000000002E-2</v>
      </c>
      <c r="H50" s="169"/>
    </row>
    <row r="51" spans="1:8">
      <c r="A51" s="71"/>
      <c r="B51" s="100">
        <v>39904</v>
      </c>
      <c r="C51" s="98"/>
      <c r="D51" s="99">
        <v>3.5000000000000003E-2</v>
      </c>
      <c r="H51" s="169"/>
    </row>
    <row r="52" spans="1:8">
      <c r="A52" s="71"/>
      <c r="B52" s="100">
        <v>39995</v>
      </c>
      <c r="C52" s="98"/>
      <c r="D52" s="99">
        <v>2.75E-2</v>
      </c>
      <c r="H52" s="169"/>
    </row>
    <row r="53" spans="1:8">
      <c r="A53" s="71"/>
      <c r="B53" s="100">
        <v>40087</v>
      </c>
      <c r="C53" s="98"/>
      <c r="D53" s="99">
        <v>2.5000000000000001E-2</v>
      </c>
      <c r="H53" s="169"/>
    </row>
    <row r="54" spans="1:8">
      <c r="A54" s="71"/>
      <c r="B54" s="100">
        <v>40179</v>
      </c>
      <c r="C54" s="98"/>
      <c r="D54" s="99">
        <v>2.5000000000000001E-2</v>
      </c>
      <c r="H54" s="169"/>
    </row>
    <row r="55" spans="1:8">
      <c r="A55" s="71"/>
      <c r="B55" s="100">
        <v>40269</v>
      </c>
      <c r="C55" s="98"/>
      <c r="D55" s="99">
        <v>2.5000000000000001E-2</v>
      </c>
      <c r="H55" s="169"/>
    </row>
    <row r="56" spans="1:8">
      <c r="A56" s="71"/>
      <c r="B56" s="100">
        <v>40360</v>
      </c>
      <c r="C56" s="98"/>
      <c r="D56" s="99">
        <v>2.5000000000000001E-2</v>
      </c>
      <c r="H56" s="169"/>
    </row>
    <row r="57" spans="1:8">
      <c r="A57" s="71"/>
      <c r="B57" s="100">
        <v>40452</v>
      </c>
      <c r="C57" s="98"/>
      <c r="D57" s="99">
        <v>2.5000000000000001E-2</v>
      </c>
      <c r="H57" s="169"/>
    </row>
    <row r="58" spans="1:8">
      <c r="A58" s="71"/>
      <c r="B58" s="100">
        <v>40544</v>
      </c>
      <c r="C58" s="98"/>
      <c r="D58" s="99">
        <v>2.5000000000000001E-2</v>
      </c>
      <c r="H58" s="169"/>
    </row>
    <row r="59" spans="1:8">
      <c r="A59" s="71"/>
      <c r="B59" s="100">
        <v>40634</v>
      </c>
      <c r="C59" s="98"/>
      <c r="D59" s="99">
        <v>2.5000000000000001E-2</v>
      </c>
      <c r="H59" s="169"/>
    </row>
    <row r="60" spans="1:8">
      <c r="A60" s="71"/>
      <c r="B60" s="100">
        <v>40725</v>
      </c>
      <c r="C60" s="98"/>
      <c r="D60" s="99">
        <v>2.75E-2</v>
      </c>
      <c r="H60" s="169"/>
    </row>
    <row r="61" spans="1:8">
      <c r="A61" s="71"/>
      <c r="B61" s="100">
        <v>40817</v>
      </c>
      <c r="C61" s="98"/>
      <c r="D61" s="101">
        <v>0.03</v>
      </c>
      <c r="H61" s="169"/>
    </row>
    <row r="62" spans="1:8">
      <c r="A62" s="71"/>
      <c r="B62" s="100">
        <v>40909</v>
      </c>
      <c r="C62" s="94"/>
      <c r="D62" s="99">
        <v>2.8500000000000001E-2</v>
      </c>
      <c r="H62" s="169"/>
    </row>
    <row r="63" spans="1:8">
      <c r="A63" s="71"/>
      <c r="B63" s="100">
        <v>41000</v>
      </c>
      <c r="C63" s="94"/>
      <c r="D63" s="99">
        <v>2.3E-2</v>
      </c>
      <c r="H63" s="169"/>
    </row>
    <row r="64" spans="1:8">
      <c r="A64" s="71"/>
      <c r="B64" s="100">
        <v>41091</v>
      </c>
      <c r="C64" s="94"/>
      <c r="D64" s="99">
        <v>2.5000000000000001E-2</v>
      </c>
      <c r="H64" s="169"/>
    </row>
    <row r="65" spans="1:8">
      <c r="A65" s="71"/>
      <c r="B65" s="100">
        <v>41183</v>
      </c>
      <c r="C65" s="94"/>
      <c r="D65" s="99">
        <v>2.2499999999999999E-2</v>
      </c>
      <c r="H65" s="169"/>
    </row>
    <row r="66" spans="1:8">
      <c r="A66" s="71"/>
      <c r="B66" s="100">
        <v>41275</v>
      </c>
      <c r="C66" s="94"/>
      <c r="D66" s="102">
        <v>0.03</v>
      </c>
      <c r="H66" s="169"/>
    </row>
    <row r="67" spans="1:8">
      <c r="A67" s="71"/>
      <c r="B67" s="100">
        <v>41365</v>
      </c>
      <c r="C67" s="94"/>
      <c r="D67" s="102">
        <v>0.03</v>
      </c>
      <c r="H67" s="169"/>
    </row>
    <row r="68" spans="1:8">
      <c r="A68" s="71"/>
      <c r="B68" s="100">
        <v>41456</v>
      </c>
      <c r="D68" s="102">
        <v>0.03</v>
      </c>
      <c r="H68" s="169"/>
    </row>
    <row r="69" spans="1:8">
      <c r="A69" s="71"/>
      <c r="B69" s="100">
        <v>41548</v>
      </c>
      <c r="D69" s="102">
        <v>0.03</v>
      </c>
      <c r="H69" s="169"/>
    </row>
    <row r="70" spans="1:8">
      <c r="A70" s="71"/>
      <c r="B70" s="100">
        <v>41640</v>
      </c>
      <c r="D70" s="102">
        <v>0.03</v>
      </c>
      <c r="H70" s="169"/>
    </row>
    <row r="71" spans="1:8">
      <c r="A71" s="71"/>
      <c r="B71" s="100">
        <v>41730</v>
      </c>
      <c r="D71" s="102">
        <v>0.04</v>
      </c>
      <c r="H71" s="169"/>
    </row>
    <row r="72" spans="1:8">
      <c r="A72" s="71"/>
      <c r="B72" s="100">
        <v>41821</v>
      </c>
      <c r="D72" s="102">
        <v>0.04</v>
      </c>
      <c r="H72" s="169"/>
    </row>
    <row r="73" spans="1:8">
      <c r="A73" s="71"/>
      <c r="B73" s="100">
        <v>41913</v>
      </c>
      <c r="D73" s="102">
        <v>0.04</v>
      </c>
      <c r="H73" s="169"/>
    </row>
    <row r="74" spans="1:8">
      <c r="A74" s="71"/>
      <c r="B74" s="100">
        <v>42005</v>
      </c>
      <c r="D74" s="102">
        <v>0.04</v>
      </c>
      <c r="H74" s="169"/>
    </row>
    <row r="75" spans="1:8">
      <c r="A75" s="71"/>
      <c r="B75" s="100">
        <v>42095</v>
      </c>
      <c r="D75" s="102">
        <v>0.04</v>
      </c>
      <c r="H75" s="169"/>
    </row>
    <row r="76" spans="1:8">
      <c r="A76" s="71"/>
      <c r="B76" s="100">
        <v>42186</v>
      </c>
      <c r="D76" s="102">
        <v>0.04</v>
      </c>
      <c r="H76" s="169"/>
    </row>
    <row r="77" spans="1:8">
      <c r="A77" s="71"/>
      <c r="B77" s="100">
        <v>42278</v>
      </c>
      <c r="D77" s="102">
        <v>0.04</v>
      </c>
      <c r="H77" s="169"/>
    </row>
    <row r="78" spans="1:8">
      <c r="A78" s="71"/>
      <c r="B78" s="100">
        <v>42370</v>
      </c>
      <c r="D78" s="103">
        <f>D77</f>
        <v>0.04</v>
      </c>
      <c r="H78" s="169"/>
    </row>
    <row r="79" spans="1:8">
      <c r="A79" s="71"/>
      <c r="B79" s="100">
        <v>42461</v>
      </c>
      <c r="D79" s="103">
        <f>D77</f>
        <v>0.04</v>
      </c>
      <c r="H79" s="169"/>
    </row>
  </sheetData>
  <pageMargins left="0.75" right="0.75" top="1" bottom="1" header="0.5" footer="0.5"/>
  <pageSetup paperSize="9" scale="4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2:W48"/>
  <sheetViews>
    <sheetView showGridLines="0" zoomScale="85" workbookViewId="0"/>
  </sheetViews>
  <sheetFormatPr defaultRowHeight="12.75"/>
  <cols>
    <col min="1" max="1" width="4.28515625" style="107" customWidth="1"/>
    <col min="2" max="2" width="13.85546875" style="107" customWidth="1"/>
    <col min="3" max="3" width="12.7109375" style="107" customWidth="1"/>
    <col min="4" max="16384" width="9.140625" style="107"/>
  </cols>
  <sheetData>
    <row r="2" spans="1:6" s="105" customFormat="1" ht="18">
      <c r="B2" s="104" t="s">
        <v>92</v>
      </c>
    </row>
    <row r="4" spans="1:6" s="106" customFormat="1">
      <c r="B4" s="73" t="s">
        <v>93</v>
      </c>
    </row>
    <row r="6" spans="1:6">
      <c r="A6" s="109"/>
      <c r="B6" s="107" t="s">
        <v>224</v>
      </c>
    </row>
    <row r="7" spans="1:6">
      <c r="A7" s="109"/>
      <c r="B7" s="72"/>
    </row>
    <row r="8" spans="1:6">
      <c r="A8" s="109"/>
    </row>
    <row r="9" spans="1:6">
      <c r="A9" s="109"/>
      <c r="C9" s="107" t="s">
        <v>92</v>
      </c>
    </row>
    <row r="10" spans="1:6">
      <c r="A10" s="109"/>
      <c r="B10" s="107">
        <v>2007</v>
      </c>
      <c r="C10" s="108">
        <v>1.4E-2</v>
      </c>
      <c r="F10" s="170"/>
    </row>
    <row r="11" spans="1:6">
      <c r="A11" s="109"/>
      <c r="B11" s="107">
        <v>2008</v>
      </c>
      <c r="C11" s="108">
        <v>1.0999999999999999E-2</v>
      </c>
      <c r="F11" s="170"/>
    </row>
    <row r="12" spans="1:6">
      <c r="A12" s="109"/>
      <c r="B12" s="107">
        <v>2009</v>
      </c>
      <c r="C12" s="108">
        <v>3.2000000000000001E-2</v>
      </c>
      <c r="F12" s="170"/>
    </row>
    <row r="13" spans="1:6">
      <c r="A13" s="109"/>
      <c r="B13" s="107">
        <v>2010</v>
      </c>
      <c r="C13" s="108">
        <v>3.0000000000000001E-3</v>
      </c>
      <c r="F13" s="170"/>
    </row>
    <row r="14" spans="1:6">
      <c r="A14" s="109"/>
      <c r="B14" s="107">
        <v>2011</v>
      </c>
      <c r="C14" s="108">
        <v>1.4999999999999999E-2</v>
      </c>
      <c r="F14" s="170"/>
    </row>
    <row r="15" spans="1:6">
      <c r="A15" s="109"/>
      <c r="B15" s="107">
        <v>2012</v>
      </c>
      <c r="C15" s="108">
        <v>2.5999999999999999E-2</v>
      </c>
      <c r="F15" s="170"/>
    </row>
    <row r="16" spans="1:6">
      <c r="A16" s="109"/>
      <c r="B16" s="107">
        <v>2013</v>
      </c>
      <c r="C16" s="108">
        <v>2.3E-2</v>
      </c>
      <c r="F16" s="170"/>
    </row>
    <row r="17" spans="1:13">
      <c r="A17" s="109"/>
      <c r="B17" s="107">
        <v>2014</v>
      </c>
      <c r="C17" s="108">
        <v>2.8000000000000001E-2</v>
      </c>
      <c r="F17" s="170"/>
    </row>
    <row r="18" spans="1:13">
      <c r="A18" s="109"/>
      <c r="B18" s="107">
        <v>2015</v>
      </c>
      <c r="C18" s="101">
        <v>0.01</v>
      </c>
      <c r="F18" s="170"/>
    </row>
    <row r="19" spans="1:13">
      <c r="A19" s="109"/>
      <c r="B19" s="107">
        <v>2016</v>
      </c>
      <c r="C19" s="101">
        <v>8.0000000000000002E-3</v>
      </c>
      <c r="F19" s="170"/>
    </row>
    <row r="22" spans="1:13" s="106" customFormat="1">
      <c r="B22" s="73" t="s">
        <v>94</v>
      </c>
    </row>
    <row r="24" spans="1:13">
      <c r="C24" s="107" t="s">
        <v>95</v>
      </c>
      <c r="D24" s="107">
        <v>2006</v>
      </c>
      <c r="E24" s="107">
        <v>2007</v>
      </c>
      <c r="F24" s="107">
        <v>2008</v>
      </c>
      <c r="G24" s="107">
        <v>2009</v>
      </c>
      <c r="H24" s="107">
        <v>2010</v>
      </c>
      <c r="I24" s="107">
        <v>2011</v>
      </c>
      <c r="J24" s="107">
        <v>2012</v>
      </c>
      <c r="K24" s="107">
        <v>2013</v>
      </c>
      <c r="L24" s="107">
        <v>2014</v>
      </c>
      <c r="M24" s="107">
        <v>2015</v>
      </c>
    </row>
    <row r="25" spans="1:13">
      <c r="B25" s="107" t="s">
        <v>96</v>
      </c>
    </row>
    <row r="26" spans="1:13">
      <c r="A26" s="109"/>
      <c r="B26" s="107">
        <v>2007</v>
      </c>
      <c r="C26" s="109"/>
      <c r="D26" s="110">
        <f>C10</f>
        <v>1.4E-2</v>
      </c>
      <c r="E26" s="111"/>
      <c r="F26" s="111"/>
      <c r="G26" s="111"/>
      <c r="H26" s="111"/>
      <c r="I26" s="111"/>
      <c r="J26" s="111"/>
      <c r="K26" s="111"/>
      <c r="L26" s="111"/>
      <c r="M26" s="111"/>
    </row>
    <row r="27" spans="1:13">
      <c r="A27" s="109"/>
      <c r="B27" s="107">
        <v>2008</v>
      </c>
      <c r="C27" s="109"/>
      <c r="D27" s="110">
        <f t="shared" ref="D27:D33" si="0">(1+D26)*(1+C11)-1</f>
        <v>2.5153999999999899E-2</v>
      </c>
      <c r="E27" s="110">
        <f>C11</f>
        <v>1.0999999999999999E-2</v>
      </c>
      <c r="F27" s="111"/>
      <c r="G27" s="111"/>
      <c r="H27" s="111"/>
      <c r="I27" s="111"/>
      <c r="J27" s="111"/>
      <c r="K27" s="111"/>
      <c r="L27" s="111"/>
      <c r="M27" s="111"/>
    </row>
    <row r="28" spans="1:13">
      <c r="A28" s="109"/>
      <c r="B28" s="107">
        <v>2009</v>
      </c>
      <c r="C28" s="109"/>
      <c r="D28" s="110">
        <f t="shared" si="0"/>
        <v>5.795892799999991E-2</v>
      </c>
      <c r="E28" s="110">
        <f t="shared" ref="E28:E33" si="1">(1+E27)*(1+C12)-1</f>
        <v>4.3351999999999835E-2</v>
      </c>
      <c r="F28" s="110">
        <f>C12</f>
        <v>3.2000000000000001E-2</v>
      </c>
      <c r="G28" s="111"/>
      <c r="H28" s="111"/>
      <c r="I28" s="111"/>
      <c r="J28" s="111"/>
      <c r="K28" s="111"/>
      <c r="L28" s="111"/>
      <c r="M28" s="111"/>
    </row>
    <row r="29" spans="1:13">
      <c r="A29" s="109"/>
      <c r="B29" s="107">
        <v>2010</v>
      </c>
      <c r="C29" s="109"/>
      <c r="D29" s="110">
        <f t="shared" si="0"/>
        <v>6.113280478399985E-2</v>
      </c>
      <c r="E29" s="110">
        <f t="shared" si="1"/>
        <v>4.6482055999999661E-2</v>
      </c>
      <c r="F29" s="110">
        <f>(1+F28)*(1+C13)-1</f>
        <v>3.5096000000000016E-2</v>
      </c>
      <c r="G29" s="110">
        <f>C13</f>
        <v>3.0000000000000001E-3</v>
      </c>
      <c r="H29" s="111"/>
      <c r="I29" s="111"/>
      <c r="J29" s="111"/>
      <c r="K29" s="111"/>
      <c r="L29" s="111"/>
      <c r="M29" s="111"/>
    </row>
    <row r="30" spans="1:13">
      <c r="A30" s="109"/>
      <c r="B30" s="107">
        <v>2011</v>
      </c>
      <c r="C30" s="109"/>
      <c r="D30" s="110">
        <f t="shared" si="0"/>
        <v>7.7049796855759745E-2</v>
      </c>
      <c r="E30" s="110">
        <f t="shared" si="1"/>
        <v>6.2179286839999515E-2</v>
      </c>
      <c r="F30" s="110">
        <f>(1+F29)*(1+C14)-1</f>
        <v>5.0622439999999935E-2</v>
      </c>
      <c r="G30" s="110">
        <f>(1+G29)*(1+C14)-1</f>
        <v>1.8044999999999867E-2</v>
      </c>
      <c r="H30" s="110">
        <f>C14</f>
        <v>1.4999999999999999E-2</v>
      </c>
      <c r="I30" s="111"/>
      <c r="J30" s="111"/>
      <c r="K30" s="111"/>
      <c r="L30" s="111"/>
      <c r="M30" s="111"/>
    </row>
    <row r="31" spans="1:13">
      <c r="A31" s="109"/>
      <c r="B31" s="107">
        <v>2012</v>
      </c>
      <c r="C31" s="109"/>
      <c r="D31" s="110">
        <f t="shared" si="0"/>
        <v>0.10505309157400955</v>
      </c>
      <c r="E31" s="110">
        <f t="shared" si="1"/>
        <v>8.9795948297839434E-2</v>
      </c>
      <c r="F31" s="110">
        <f>(1+F30)*(1+C15)-1</f>
        <v>7.793862343999991E-2</v>
      </c>
      <c r="G31" s="110">
        <f>(1+G30)*(1+C15)-1</f>
        <v>4.4514169999999798E-2</v>
      </c>
      <c r="H31" s="110">
        <f>(1+H30)*(1+C15)-1</f>
        <v>4.1389999999999816E-2</v>
      </c>
      <c r="I31" s="110">
        <f>C15</f>
        <v>2.5999999999999999E-2</v>
      </c>
      <c r="J31" s="112"/>
      <c r="K31" s="112"/>
      <c r="L31" s="112"/>
      <c r="M31" s="112"/>
    </row>
    <row r="32" spans="1:13">
      <c r="A32" s="109"/>
      <c r="B32" s="107">
        <v>2013</v>
      </c>
      <c r="C32" s="113"/>
      <c r="D32" s="110">
        <f t="shared" si="0"/>
        <v>0.13046931268021167</v>
      </c>
      <c r="E32" s="110">
        <f t="shared" si="1"/>
        <v>0.11486125510868961</v>
      </c>
      <c r="F32" s="110">
        <f>(1+F31)*(1+C16)-1</f>
        <v>0.1027312117791197</v>
      </c>
      <c r="G32" s="110">
        <f>(1+G31)*(1+C16)-1</f>
        <v>6.8537995909999649E-2</v>
      </c>
      <c r="H32" s="110">
        <f>(1+H31)*(1+C16)-1</f>
        <v>6.5341969999999749E-2</v>
      </c>
      <c r="I32" s="110">
        <f>(1+I31)*(1+C16)-1</f>
        <v>4.9598000000000031E-2</v>
      </c>
      <c r="J32" s="110">
        <f>C16</f>
        <v>2.3E-2</v>
      </c>
      <c r="K32" s="112"/>
      <c r="L32" s="112"/>
      <c r="M32" s="112"/>
    </row>
    <row r="33" spans="1:23">
      <c r="A33" s="109"/>
      <c r="B33" s="107">
        <v>2014</v>
      </c>
      <c r="D33" s="110">
        <f t="shared" si="0"/>
        <v>0.16212245343525766</v>
      </c>
      <c r="E33" s="110">
        <f t="shared" si="1"/>
        <v>0.14607737025173284</v>
      </c>
      <c r="F33" s="110">
        <f>(1+F32)*(1+C17)-1</f>
        <v>0.133607685708935</v>
      </c>
      <c r="G33" s="110">
        <f>(1+G32)*(1+C17)-1</f>
        <v>9.8457059795479696E-2</v>
      </c>
      <c r="H33" s="110">
        <f>(1+H32)*(1+C17)-1</f>
        <v>9.5171545159999704E-2</v>
      </c>
      <c r="I33" s="110">
        <f>(1+I32)*(1+C17)-1</f>
        <v>7.8986744000000053E-2</v>
      </c>
      <c r="J33" s="110">
        <f>(1+J32)*(1+C17)-1</f>
        <v>5.1644000000000023E-2</v>
      </c>
      <c r="K33" s="110">
        <f>C17</f>
        <v>2.8000000000000001E-2</v>
      </c>
      <c r="L33" s="111"/>
      <c r="M33" s="111"/>
    </row>
    <row r="34" spans="1:23">
      <c r="A34" s="109"/>
      <c r="B34" s="107">
        <v>2015</v>
      </c>
      <c r="D34" s="110">
        <f>(1+D33)*(1+$C$18)-1</f>
        <v>0.17374367796961021</v>
      </c>
      <c r="E34" s="110">
        <f t="shared" ref="E34:K34" si="2">(1+E33)*(1+$C$18)-1</f>
        <v>0.15753814395425025</v>
      </c>
      <c r="F34" s="110">
        <f t="shared" si="2"/>
        <v>0.14494376256602437</v>
      </c>
      <c r="G34" s="110">
        <f t="shared" si="2"/>
        <v>0.10944163039343446</v>
      </c>
      <c r="H34" s="110">
        <f t="shared" si="2"/>
        <v>0.1061232606115996</v>
      </c>
      <c r="I34" s="110">
        <f t="shared" si="2"/>
        <v>8.9776611440000043E-2</v>
      </c>
      <c r="J34" s="110">
        <f t="shared" si="2"/>
        <v>6.2160439999999983E-2</v>
      </c>
      <c r="K34" s="110">
        <f t="shared" si="2"/>
        <v>3.8280000000000092E-2</v>
      </c>
      <c r="L34" s="110">
        <f>$C$18</f>
        <v>0.01</v>
      </c>
      <c r="M34" s="111"/>
    </row>
    <row r="35" spans="1:23">
      <c r="A35" s="109"/>
      <c r="B35" s="107">
        <v>2016</v>
      </c>
      <c r="D35" s="110">
        <f>(1+D34)*(1+$C$19)-1</f>
        <v>0.18313362739336703</v>
      </c>
      <c r="E35" s="110">
        <f t="shared" ref="E35:L35" si="3">(1+E34)*(1+$C$19)-1</f>
        <v>0.16679844910588426</v>
      </c>
      <c r="F35" s="110">
        <f t="shared" si="3"/>
        <v>0.15410331266655253</v>
      </c>
      <c r="G35" s="110">
        <f t="shared" si="3"/>
        <v>0.11831716343658205</v>
      </c>
      <c r="H35" s="110">
        <f t="shared" si="3"/>
        <v>0.11497224669649242</v>
      </c>
      <c r="I35" s="110">
        <f t="shared" si="3"/>
        <v>9.8494824331520014E-2</v>
      </c>
      <c r="J35" s="110">
        <f t="shared" si="3"/>
        <v>7.0657723519999882E-2</v>
      </c>
      <c r="K35" s="110">
        <f t="shared" si="3"/>
        <v>4.6586240000000112E-2</v>
      </c>
      <c r="L35" s="110">
        <f t="shared" si="3"/>
        <v>1.8080000000000096E-2</v>
      </c>
      <c r="M35" s="110">
        <f>C19</f>
        <v>8.0000000000000002E-3</v>
      </c>
    </row>
    <row r="36" spans="1:23">
      <c r="A36" s="109"/>
      <c r="D36" s="109"/>
      <c r="E36" s="109"/>
      <c r="F36" s="109"/>
      <c r="G36" s="109"/>
      <c r="H36" s="109"/>
      <c r="I36" s="109"/>
    </row>
    <row r="37" spans="1:23">
      <c r="D37" s="109"/>
      <c r="E37" s="109"/>
      <c r="F37" s="109"/>
      <c r="G37" s="109"/>
      <c r="H37" s="109"/>
      <c r="I37" s="109"/>
      <c r="O37" s="170"/>
      <c r="P37" s="170"/>
      <c r="Q37" s="170"/>
      <c r="R37" s="170"/>
      <c r="S37" s="170"/>
      <c r="T37" s="170"/>
      <c r="U37" s="170"/>
      <c r="V37" s="170"/>
      <c r="W37" s="170"/>
    </row>
    <row r="38" spans="1:23">
      <c r="D38" s="109"/>
      <c r="E38" s="109"/>
      <c r="F38" s="109"/>
      <c r="G38" s="109"/>
      <c r="H38" s="109"/>
      <c r="I38" s="109"/>
      <c r="O38" s="170"/>
      <c r="P38" s="170"/>
      <c r="Q38" s="170"/>
      <c r="R38" s="170"/>
      <c r="S38" s="170"/>
      <c r="T38" s="170"/>
      <c r="U38" s="170"/>
      <c r="V38" s="170"/>
      <c r="W38" s="170"/>
    </row>
    <row r="39" spans="1:23">
      <c r="O39" s="170"/>
      <c r="P39" s="170"/>
      <c r="Q39" s="170"/>
      <c r="R39" s="170"/>
      <c r="S39" s="170"/>
      <c r="T39" s="170"/>
      <c r="U39" s="170"/>
      <c r="V39" s="170"/>
      <c r="W39" s="170"/>
    </row>
    <row r="40" spans="1:23">
      <c r="O40" s="170"/>
      <c r="P40" s="170"/>
      <c r="Q40" s="170"/>
      <c r="R40" s="170"/>
      <c r="S40" s="170"/>
      <c r="T40" s="170"/>
      <c r="U40" s="170"/>
      <c r="V40" s="170"/>
      <c r="W40" s="170"/>
    </row>
    <row r="41" spans="1:23">
      <c r="O41" s="170"/>
      <c r="P41" s="170"/>
      <c r="Q41" s="170"/>
      <c r="R41" s="170"/>
      <c r="S41" s="170"/>
      <c r="T41" s="170"/>
      <c r="U41" s="170"/>
      <c r="V41" s="170"/>
      <c r="W41" s="170"/>
    </row>
    <row r="42" spans="1:23">
      <c r="O42" s="170"/>
      <c r="P42" s="170"/>
      <c r="Q42" s="170"/>
      <c r="R42" s="170"/>
      <c r="S42" s="170"/>
      <c r="T42" s="170"/>
      <c r="U42" s="170"/>
      <c r="V42" s="170"/>
      <c r="W42" s="170"/>
    </row>
    <row r="43" spans="1:23">
      <c r="O43" s="170"/>
      <c r="P43" s="170"/>
      <c r="Q43" s="170"/>
      <c r="R43" s="170"/>
      <c r="S43" s="170"/>
      <c r="T43" s="170"/>
      <c r="U43" s="170"/>
      <c r="V43" s="170"/>
      <c r="W43" s="170"/>
    </row>
    <row r="44" spans="1:23">
      <c r="O44" s="170"/>
      <c r="P44" s="170"/>
      <c r="Q44" s="170"/>
      <c r="R44" s="170"/>
      <c r="S44" s="170"/>
      <c r="T44" s="170"/>
      <c r="U44" s="170"/>
      <c r="V44" s="170"/>
      <c r="W44" s="170"/>
    </row>
    <row r="45" spans="1:23">
      <c r="O45" s="170"/>
      <c r="P45" s="170"/>
      <c r="Q45" s="170"/>
      <c r="R45" s="170"/>
      <c r="S45" s="170"/>
      <c r="T45" s="170"/>
      <c r="U45" s="170"/>
      <c r="V45" s="170"/>
      <c r="W45" s="170"/>
    </row>
    <row r="46" spans="1:23">
      <c r="O46" s="170"/>
      <c r="P46" s="170"/>
      <c r="Q46" s="170"/>
      <c r="R46" s="170"/>
      <c r="S46" s="170"/>
      <c r="T46" s="170"/>
      <c r="U46" s="170"/>
      <c r="V46" s="170"/>
      <c r="W46" s="170"/>
    </row>
    <row r="47" spans="1:23">
      <c r="O47" s="170"/>
    </row>
    <row r="48" spans="1:23">
      <c r="O48" s="170"/>
    </row>
  </sheetData>
  <pageMargins left="0.75" right="0.75" top="1" bottom="1" header="0.5" footer="0.5"/>
  <pageSetup paperSize="8"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1:R46"/>
  <sheetViews>
    <sheetView showGridLines="0" zoomScale="85" zoomScaleNormal="85" workbookViewId="0">
      <pane xSplit="4" ySplit="2" topLeftCell="E3" activePane="bottomRight" state="frozen"/>
      <selection pane="topRight" activeCell="E1" sqref="E1"/>
      <selection pane="bottomLeft" activeCell="A3" sqref="A3"/>
      <selection pane="bottomRight" activeCell="B43" sqref="B43"/>
    </sheetView>
  </sheetViews>
  <sheetFormatPr defaultRowHeight="12.75"/>
  <cols>
    <col min="1" max="1" width="3.42578125" style="35" customWidth="1"/>
    <col min="2" max="2" width="67.85546875" style="35" customWidth="1"/>
    <col min="3" max="3" width="1" style="35" customWidth="1"/>
    <col min="4" max="4" width="10.28515625" style="35" customWidth="1"/>
    <col min="5" max="5" width="13" style="35" customWidth="1"/>
    <col min="6" max="6" width="5.28515625" style="35" customWidth="1"/>
    <col min="7" max="9" width="14.42578125" style="35" customWidth="1"/>
    <col min="10" max="10" width="15.28515625" style="35" bestFit="1" customWidth="1"/>
    <col min="11" max="14" width="14.42578125" style="35" customWidth="1"/>
    <col min="15" max="15" width="11.85546875" style="35" customWidth="1"/>
    <col min="16" max="16" width="5.5703125" style="35" customWidth="1"/>
    <col min="17" max="17" width="11.85546875" style="35" customWidth="1"/>
    <col min="18" max="18" width="16.7109375" style="35" bestFit="1" customWidth="1"/>
    <col min="19" max="16384" width="9.140625" style="35"/>
  </cols>
  <sheetData>
    <row r="1" spans="2:18" s="30" customFormat="1"/>
    <row r="2" spans="2:18" s="46" customFormat="1" ht="18">
      <c r="B2" s="38" t="s">
        <v>32</v>
      </c>
      <c r="C2" s="47"/>
      <c r="F2" s="48"/>
      <c r="G2" s="5" t="s">
        <v>0</v>
      </c>
      <c r="H2" s="5" t="s">
        <v>1</v>
      </c>
      <c r="I2" s="5" t="s">
        <v>2</v>
      </c>
      <c r="J2" s="5" t="s">
        <v>3</v>
      </c>
      <c r="K2" s="5" t="s">
        <v>4</v>
      </c>
      <c r="L2" s="5" t="s">
        <v>5</v>
      </c>
      <c r="M2" s="5" t="s">
        <v>6</v>
      </c>
      <c r="N2" s="5" t="s">
        <v>7</v>
      </c>
      <c r="O2" s="5" t="s">
        <v>8</v>
      </c>
      <c r="P2" s="48"/>
      <c r="Q2" s="48"/>
      <c r="R2" s="48"/>
    </row>
    <row r="3" spans="2:18" s="30" customFormat="1"/>
    <row r="4" spans="2:18" s="19" customFormat="1">
      <c r="B4" s="34" t="s">
        <v>9</v>
      </c>
    </row>
    <row r="5" spans="2:18" s="30" customFormat="1">
      <c r="G5" s="31"/>
      <c r="H5" s="31"/>
      <c r="I5" s="31"/>
      <c r="J5" s="31"/>
      <c r="K5" s="31"/>
      <c r="L5" s="31"/>
      <c r="M5" s="31"/>
      <c r="N5" s="31"/>
      <c r="O5" s="31"/>
      <c r="P5" s="31"/>
      <c r="Q5" s="31"/>
    </row>
    <row r="6" spans="2:18">
      <c r="B6" s="35" t="s">
        <v>10</v>
      </c>
      <c r="D6" s="35" t="s">
        <v>17</v>
      </c>
      <c r="G6" s="21">
        <v>22155782.462519988</v>
      </c>
      <c r="H6" s="21">
        <v>30603336.272270575</v>
      </c>
      <c r="I6" s="21">
        <v>62282919.272606239</v>
      </c>
      <c r="J6" s="21">
        <v>320334771.2753402</v>
      </c>
      <c r="K6" s="21">
        <v>342731735.95406991</v>
      </c>
      <c r="L6" s="21">
        <v>18354485.758633368</v>
      </c>
      <c r="M6" s="21">
        <v>297632151.81264526</v>
      </c>
      <c r="N6" s="21">
        <v>18389510.971848741</v>
      </c>
      <c r="O6" s="21">
        <v>6440014.167166301</v>
      </c>
      <c r="Q6" s="24" t="s">
        <v>103</v>
      </c>
    </row>
    <row r="7" spans="2:18">
      <c r="B7" s="35" t="s">
        <v>11</v>
      </c>
      <c r="G7" s="22">
        <v>7.56</v>
      </c>
      <c r="H7" s="22">
        <v>6.75</v>
      </c>
      <c r="I7" s="22">
        <v>6.8</v>
      </c>
      <c r="J7" s="22">
        <v>6.75</v>
      </c>
      <c r="K7" s="22">
        <v>6.17</v>
      </c>
      <c r="L7" s="22">
        <v>6.97</v>
      </c>
      <c r="M7" s="22">
        <v>6.45</v>
      </c>
      <c r="N7" s="22">
        <v>5.68</v>
      </c>
      <c r="O7" s="22">
        <v>10.67</v>
      </c>
      <c r="Q7" s="24" t="s">
        <v>102</v>
      </c>
    </row>
    <row r="8" spans="2:18">
      <c r="B8" s="35" t="s">
        <v>12</v>
      </c>
      <c r="D8" s="35" t="s">
        <v>31</v>
      </c>
      <c r="E8" s="20">
        <f>CPI!C17</f>
        <v>2.8000000000000001E-2</v>
      </c>
    </row>
    <row r="9" spans="2:18">
      <c r="B9" s="35" t="s">
        <v>13</v>
      </c>
      <c r="D9" s="35" t="s">
        <v>31</v>
      </c>
      <c r="E9" s="20">
        <f>CPI!C18</f>
        <v>0.01</v>
      </c>
    </row>
    <row r="10" spans="2:18">
      <c r="B10" s="35" t="s">
        <v>15</v>
      </c>
      <c r="D10" s="35" t="s">
        <v>31</v>
      </c>
      <c r="E10" s="20">
        <f>CPI!C19</f>
        <v>8.0000000000000002E-3</v>
      </c>
    </row>
    <row r="11" spans="2:18">
      <c r="B11" s="35" t="s">
        <v>101</v>
      </c>
      <c r="D11" s="35" t="s">
        <v>45</v>
      </c>
      <c r="G11" s="44">
        <f>G6*(1-G7/100+$E$8)</f>
        <v>21101167.217304036</v>
      </c>
      <c r="H11" s="44">
        <f t="shared" ref="H11:O11" si="0">H6*(1-H7/100+$E$8)</f>
        <v>29394504.489515889</v>
      </c>
      <c r="I11" s="44">
        <f t="shared" si="0"/>
        <v>59791602.501701988</v>
      </c>
      <c r="J11" s="44">
        <f t="shared" si="0"/>
        <v>307681547.80996424</v>
      </c>
      <c r="K11" s="44">
        <f t="shared" si="0"/>
        <v>331181676.45241779</v>
      </c>
      <c r="L11" s="44">
        <f t="shared" si="0"/>
        <v>17589103.702498358</v>
      </c>
      <c r="M11" s="44">
        <f t="shared" si="0"/>
        <v>286768578.27148372</v>
      </c>
      <c r="N11" s="44">
        <f t="shared" si="0"/>
        <v>17859893.055859499</v>
      </c>
      <c r="O11" s="44">
        <f t="shared" si="0"/>
        <v>5933185.0522103133</v>
      </c>
    </row>
    <row r="12" spans="2:18">
      <c r="B12" s="35" t="s">
        <v>14</v>
      </c>
      <c r="D12" s="35" t="s">
        <v>18</v>
      </c>
      <c r="G12" s="44">
        <f>G11*(1-G7/100+$E$9)</f>
        <v>19716930.647848893</v>
      </c>
      <c r="H12" s="44">
        <f t="shared" ref="H12:O12" si="1">H11*(1-H7/100+$E$9)</f>
        <v>27704320.481368724</v>
      </c>
      <c r="I12" s="44">
        <f t="shared" si="1"/>
        <v>56323689.556603268</v>
      </c>
      <c r="J12" s="44">
        <f t="shared" si="1"/>
        <v>289989858.81089127</v>
      </c>
      <c r="K12" s="44">
        <f t="shared" si="1"/>
        <v>314059583.77982777</v>
      </c>
      <c r="L12" s="44">
        <f t="shared" si="1"/>
        <v>16539034.211459206</v>
      </c>
      <c r="M12" s="44">
        <f t="shared" si="1"/>
        <v>271139690.75568783</v>
      </c>
      <c r="N12" s="44">
        <f t="shared" si="1"/>
        <v>17024050.060845274</v>
      </c>
      <c r="O12" s="44">
        <f t="shared" si="1"/>
        <v>5359446.0576615762</v>
      </c>
    </row>
    <row r="13" spans="2:18">
      <c r="B13" s="35" t="s">
        <v>16</v>
      </c>
      <c r="D13" s="35" t="s">
        <v>19</v>
      </c>
      <c r="G13" s="44">
        <f>G12*(1-G7/100+$E$10)</f>
        <v>18384066.136054307</v>
      </c>
      <c r="H13" s="44">
        <f t="shared" ref="H13:O13" si="2">H12*(1-H7/100+$E$10)</f>
        <v>26055913.412727285</v>
      </c>
      <c r="I13" s="44">
        <f t="shared" si="2"/>
        <v>52944268.183207072</v>
      </c>
      <c r="J13" s="44">
        <f t="shared" si="2"/>
        <v>272735462.21164322</v>
      </c>
      <c r="K13" s="44">
        <f t="shared" si="2"/>
        <v>297194584.13085103</v>
      </c>
      <c r="L13" s="44">
        <f t="shared" si="2"/>
        <v>15518575.800612174</v>
      </c>
      <c r="M13" s="44">
        <f t="shared" si="2"/>
        <v>255820298.22799146</v>
      </c>
      <c r="N13" s="44">
        <f t="shared" si="2"/>
        <v>16193276.417876026</v>
      </c>
      <c r="O13" s="44">
        <f t="shared" si="2"/>
        <v>4830468.7317703785</v>
      </c>
    </row>
    <row r="14" spans="2:18" s="30" customFormat="1"/>
    <row r="15" spans="2:18" s="19" customFormat="1">
      <c r="B15" s="177" t="s">
        <v>237</v>
      </c>
    </row>
    <row r="16" spans="2:18" s="30" customFormat="1"/>
    <row r="17" spans="2:17">
      <c r="B17" s="42" t="s">
        <v>20</v>
      </c>
    </row>
    <row r="18" spans="2:17">
      <c r="B18" s="35" t="s">
        <v>98</v>
      </c>
      <c r="D18" s="35" t="s">
        <v>19</v>
      </c>
      <c r="G18" s="65">
        <f>'Nacalculaties en correcties'!G24</f>
        <v>-477107.54646218568</v>
      </c>
      <c r="H18" s="65">
        <f>'Nacalculaties en correcties'!H24</f>
        <v>-928977.35957187414</v>
      </c>
      <c r="I18" s="65">
        <f>'Nacalculaties en correcties'!I24</f>
        <v>-1560585.2068151236</v>
      </c>
      <c r="J18" s="65">
        <f>'Nacalculaties en correcties'!J24</f>
        <v>-7950314.2479274273</v>
      </c>
      <c r="K18" s="65">
        <f>'Nacalculaties en correcties'!K24</f>
        <v>-7877004.9937384129</v>
      </c>
      <c r="L18" s="65">
        <f>'Nacalculaties en correcties'!L24</f>
        <v>-371199.80293812603</v>
      </c>
      <c r="M18" s="65">
        <f>'Nacalculaties en correcties'!M24</f>
        <v>-6958726.11288625</v>
      </c>
      <c r="N18" s="65">
        <f>'Nacalculaties en correcties'!N24</f>
        <v>-1277610.0638382826</v>
      </c>
      <c r="O18" s="65">
        <f>'Nacalculaties en correcties'!O24</f>
        <v>-1092169.2788468604</v>
      </c>
    </row>
    <row r="19" spans="2:17">
      <c r="B19" s="35" t="s">
        <v>99</v>
      </c>
      <c r="D19" s="35" t="s">
        <v>19</v>
      </c>
      <c r="G19" s="65">
        <f>'Nacalculaties en correcties'!G25</f>
        <v>-119818.47155730487</v>
      </c>
      <c r="H19" s="65">
        <f>'Nacalculaties en correcties'!H25</f>
        <v>26480.45480966771</v>
      </c>
      <c r="I19" s="65">
        <f>'Nacalculaties en correcties'!I25</f>
        <v>0</v>
      </c>
      <c r="J19" s="65">
        <f>'Nacalculaties en correcties'!J25</f>
        <v>0</v>
      </c>
      <c r="K19" s="65">
        <f>'Nacalculaties en correcties'!K25</f>
        <v>5226850.9030716838</v>
      </c>
      <c r="L19" s="65">
        <f>'Nacalculaties en correcties'!L25</f>
        <v>-77423.626006499209</v>
      </c>
      <c r="M19" s="65">
        <f>'Nacalculaties en correcties'!M25</f>
        <v>-193151.36124031321</v>
      </c>
      <c r="N19" s="65">
        <f>'Nacalculaties en correcties'!N25</f>
        <v>3978.0190134301397</v>
      </c>
      <c r="O19" s="65">
        <f>'Nacalculaties en correcties'!O25</f>
        <v>1393.1038646416177</v>
      </c>
    </row>
    <row r="20" spans="2:17">
      <c r="B20" s="17" t="s">
        <v>127</v>
      </c>
      <c r="D20" s="35" t="s">
        <v>19</v>
      </c>
      <c r="G20" s="65">
        <f>'Nacalculaties en correcties'!G26</f>
        <v>7540.9706666666643</v>
      </c>
      <c r="H20" s="65">
        <f>'Nacalculaties en correcties'!H26</f>
        <v>24019.673599999991</v>
      </c>
      <c r="I20" s="65">
        <f>'Nacalculaties en correcties'!I26</f>
        <v>260399.09618666657</v>
      </c>
      <c r="J20" s="65">
        <f>'Nacalculaties en correcties'!J26</f>
        <v>335404.66672266659</v>
      </c>
      <c r="K20" s="65">
        <f>'Nacalculaties en correcties'!K26</f>
        <v>-312068.48937333323</v>
      </c>
      <c r="L20" s="65">
        <f>'Nacalculaties en correcties'!L26</f>
        <v>34505.780399999996</v>
      </c>
      <c r="M20" s="65">
        <f>'Nacalculaties en correcties'!M26</f>
        <v>799771.55788399966</v>
      </c>
      <c r="N20" s="65">
        <f>'Nacalculaties en correcties'!N26</f>
        <v>3601.4623839999986</v>
      </c>
      <c r="O20" s="65">
        <f>'Nacalculaties en correcties'!O26</f>
        <v>0</v>
      </c>
    </row>
    <row r="21" spans="2:17">
      <c r="B21" s="17" t="s">
        <v>128</v>
      </c>
      <c r="D21" s="35" t="s">
        <v>19</v>
      </c>
      <c r="G21" s="65">
        <f>'Nacalculaties en correcties'!G27</f>
        <v>29065.472799999989</v>
      </c>
      <c r="H21" s="65">
        <f>'Nacalculaties en correcties'!H27</f>
        <v>28058.659199999987</v>
      </c>
      <c r="I21" s="65">
        <f>'Nacalculaties en correcties'!I27</f>
        <v>100537.02203999997</v>
      </c>
      <c r="J21" s="65">
        <f>'Nacalculaties en correcties'!J27</f>
        <v>469308.49024799978</v>
      </c>
      <c r="K21" s="65">
        <f>'Nacalculaties en correcties'!K27</f>
        <v>412164.51743999979</v>
      </c>
      <c r="L21" s="65">
        <f>'Nacalculaties en correcties'!L27</f>
        <v>37917.947599999992</v>
      </c>
      <c r="M21" s="65">
        <f>'Nacalculaties en correcties'!M27</f>
        <v>342171.56905106228</v>
      </c>
      <c r="N21" s="65">
        <f>'Nacalculaties en correcties'!N27</f>
        <v>7410.4439759999977</v>
      </c>
      <c r="O21" s="65">
        <f>'Nacalculaties en correcties'!O27</f>
        <v>0</v>
      </c>
    </row>
    <row r="22" spans="2:17">
      <c r="B22" s="17" t="s">
        <v>129</v>
      </c>
      <c r="D22" s="35" t="s">
        <v>19</v>
      </c>
      <c r="G22" s="65">
        <f>'Nacalculaties en correcties'!G28</f>
        <v>0</v>
      </c>
      <c r="H22" s="65">
        <f>'Nacalculaties en correcties'!H28</f>
        <v>0</v>
      </c>
      <c r="I22" s="65">
        <f>'Nacalculaties en correcties'!I28</f>
        <v>0</v>
      </c>
      <c r="J22" s="65">
        <f>'Nacalculaties en correcties'!J28</f>
        <v>-27993825.921959668</v>
      </c>
      <c r="K22" s="65">
        <f>'Nacalculaties en correcties'!K28</f>
        <v>28036923.925481439</v>
      </c>
      <c r="L22" s="65">
        <f>'Nacalculaties en correcties'!L28</f>
        <v>0</v>
      </c>
      <c r="M22" s="65">
        <f>'Nacalculaties en correcties'!M28</f>
        <v>0</v>
      </c>
      <c r="N22" s="65">
        <f>'Nacalculaties en correcties'!N28</f>
        <v>0</v>
      </c>
      <c r="O22" s="65">
        <f>'Nacalculaties en correcties'!O28</f>
        <v>0</v>
      </c>
    </row>
    <row r="24" spans="2:17">
      <c r="B24" s="35" t="s">
        <v>21</v>
      </c>
      <c r="D24" s="35" t="s">
        <v>19</v>
      </c>
      <c r="G24" s="140">
        <f>SUM(G18:G22)</f>
        <v>-560319.57455282391</v>
      </c>
      <c r="H24" s="140">
        <f t="shared" ref="H24:O24" si="3">SUM(H18:H22)</f>
        <v>-850418.57196220651</v>
      </c>
      <c r="I24" s="140">
        <f t="shared" si="3"/>
        <v>-1199649.0885884571</v>
      </c>
      <c r="J24" s="140">
        <f t="shared" si="3"/>
        <v>-35139427.012916431</v>
      </c>
      <c r="K24" s="140">
        <f t="shared" si="3"/>
        <v>25486865.862881377</v>
      </c>
      <c r="L24" s="140">
        <f t="shared" si="3"/>
        <v>-376199.70094462525</v>
      </c>
      <c r="M24" s="140">
        <f t="shared" si="3"/>
        <v>-6009934.3471915014</v>
      </c>
      <c r="N24" s="140">
        <f t="shared" si="3"/>
        <v>-1262620.1384648525</v>
      </c>
      <c r="O24" s="140">
        <f t="shared" si="3"/>
        <v>-1090776.1749822188</v>
      </c>
    </row>
    <row r="25" spans="2:17" s="30" customFormat="1"/>
    <row r="26" spans="2:17" s="19" customFormat="1">
      <c r="B26" s="34" t="s">
        <v>22</v>
      </c>
    </row>
    <row r="27" spans="2:17" s="30" customFormat="1"/>
    <row r="28" spans="2:17">
      <c r="B28" s="35" t="s">
        <v>23</v>
      </c>
      <c r="D28" s="35" t="s">
        <v>19</v>
      </c>
      <c r="G28" s="23">
        <f t="shared" ref="G28:O28" si="4">G13+G24</f>
        <v>17823746.561501484</v>
      </c>
      <c r="H28" s="23">
        <f t="shared" si="4"/>
        <v>25205494.840765078</v>
      </c>
      <c r="I28" s="23">
        <f t="shared" si="4"/>
        <v>51744619.094618618</v>
      </c>
      <c r="J28" s="23">
        <f t="shared" si="4"/>
        <v>237596035.19872677</v>
      </c>
      <c r="K28" s="23">
        <f t="shared" si="4"/>
        <v>322681449.99373239</v>
      </c>
      <c r="L28" s="23">
        <f t="shared" si="4"/>
        <v>15142376.099667549</v>
      </c>
      <c r="M28" s="23">
        <f t="shared" si="4"/>
        <v>249810363.88079995</v>
      </c>
      <c r="N28" s="23">
        <f t="shared" si="4"/>
        <v>14930656.279411172</v>
      </c>
      <c r="O28" s="23">
        <f t="shared" si="4"/>
        <v>3739692.5567881595</v>
      </c>
    </row>
    <row r="29" spans="2:17" s="30" customFormat="1"/>
    <row r="30" spans="2:17" s="19" customFormat="1">
      <c r="B30" s="34" t="s">
        <v>24</v>
      </c>
    </row>
    <row r="31" spans="2:17" s="30" customFormat="1"/>
    <row r="32" spans="2:17">
      <c r="B32" s="35" t="s">
        <v>25</v>
      </c>
      <c r="D32" s="35" t="s">
        <v>17</v>
      </c>
      <c r="G32" s="21">
        <v>3467749.7420662218</v>
      </c>
      <c r="H32" s="21">
        <v>4321939.9066870231</v>
      </c>
      <c r="I32" s="21">
        <v>11435680.528196925</v>
      </c>
      <c r="J32" s="21">
        <v>37354460.553247526</v>
      </c>
      <c r="K32" s="21">
        <v>68946424.101342753</v>
      </c>
      <c r="L32" s="21">
        <v>2705519.6435421472</v>
      </c>
      <c r="M32" s="21">
        <v>59830747.821621023</v>
      </c>
      <c r="N32" s="21">
        <v>1037832.3857857356</v>
      </c>
      <c r="O32" s="21">
        <v>0</v>
      </c>
      <c r="Q32" s="35" t="s">
        <v>233</v>
      </c>
    </row>
    <row r="33" spans="2:17">
      <c r="B33" s="35" t="s">
        <v>26</v>
      </c>
      <c r="D33" s="35" t="s">
        <v>17</v>
      </c>
      <c r="G33" s="21">
        <v>16020081.886041785</v>
      </c>
      <c r="H33" s="21">
        <v>20284234.017797168</v>
      </c>
      <c r="I33" s="21">
        <v>38655269.268704616</v>
      </c>
      <c r="J33" s="21">
        <v>195991800.37288415</v>
      </c>
      <c r="K33" s="21">
        <v>238311165.47373649</v>
      </c>
      <c r="L33" s="21">
        <v>18226325.950834468</v>
      </c>
      <c r="M33" s="21">
        <v>207182164.85223594</v>
      </c>
      <c r="N33" s="21">
        <v>17557229.201133613</v>
      </c>
      <c r="O33" s="21">
        <v>4397978.741419402</v>
      </c>
      <c r="Q33" s="35" t="s">
        <v>104</v>
      </c>
    </row>
    <row r="35" spans="2:17">
      <c r="B35" s="35" t="s">
        <v>27</v>
      </c>
      <c r="D35" s="35" t="s">
        <v>31</v>
      </c>
      <c r="G35" s="45">
        <f>G32/SUM(G32:G33)</f>
        <v>0.17794436078073256</v>
      </c>
      <c r="H35" s="45">
        <f t="shared" ref="H35:O35" si="5">H32/SUM(H32:H33)</f>
        <v>0.1756445321385991</v>
      </c>
      <c r="I35" s="45">
        <f t="shared" si="5"/>
        <v>0.22829833681660991</v>
      </c>
      <c r="J35" s="45">
        <f t="shared" si="5"/>
        <v>0.16008167606796361</v>
      </c>
      <c r="K35" s="45">
        <f>(K32+J35*K22)/SUM(K32:K33,K22)</f>
        <v>0.21901528035292772</v>
      </c>
      <c r="L35" s="45">
        <f t="shared" si="5"/>
        <v>0.12925375506634687</v>
      </c>
      <c r="M35" s="45">
        <f t="shared" si="5"/>
        <v>0.22407436113286894</v>
      </c>
      <c r="N35" s="45">
        <f t="shared" si="5"/>
        <v>5.5812258589979409E-2</v>
      </c>
      <c r="O35" s="45">
        <f t="shared" si="5"/>
        <v>0</v>
      </c>
    </row>
    <row r="36" spans="2:17">
      <c r="B36" s="35" t="s">
        <v>28</v>
      </c>
      <c r="D36" s="35" t="s">
        <v>31</v>
      </c>
      <c r="G36" s="45">
        <f>G33/SUM(G32:G33)</f>
        <v>0.8220556392192675</v>
      </c>
      <c r="H36" s="45">
        <f t="shared" ref="H36:O36" si="6">H33/SUM(H32:H33)</f>
        <v>0.82435546786140079</v>
      </c>
      <c r="I36" s="45">
        <f t="shared" si="6"/>
        <v>0.77170166318339017</v>
      </c>
      <c r="J36" s="45">
        <f t="shared" si="6"/>
        <v>0.83991832393203647</v>
      </c>
      <c r="K36" s="45">
        <f>(K33+J36*K22)/SUM(K32:K33,K22)</f>
        <v>0.78098471964707228</v>
      </c>
      <c r="L36" s="45">
        <f t="shared" si="6"/>
        <v>0.87074624493365305</v>
      </c>
      <c r="M36" s="45">
        <f t="shared" si="6"/>
        <v>0.77592563886713106</v>
      </c>
      <c r="N36" s="45">
        <f t="shared" si="6"/>
        <v>0.9441877414100206</v>
      </c>
      <c r="O36" s="45">
        <f t="shared" si="6"/>
        <v>1</v>
      </c>
    </row>
    <row r="38" spans="2:17">
      <c r="B38" s="35" t="s">
        <v>29</v>
      </c>
      <c r="D38" s="35" t="s">
        <v>19</v>
      </c>
      <c r="G38" s="23">
        <f>G28*G35</f>
        <v>3171635.1886041616</v>
      </c>
      <c r="H38" s="23">
        <f t="shared" ref="H38:O38" si="7">H28*H35</f>
        <v>4427207.3486280553</v>
      </c>
      <c r="I38" s="23">
        <f t="shared" si="7"/>
        <v>11813210.478510426</v>
      </c>
      <c r="J38" s="23">
        <f t="shared" si="7"/>
        <v>38034771.541715063</v>
      </c>
      <c r="K38" s="23">
        <f>K28*K35</f>
        <v>70672168.235066533</v>
      </c>
      <c r="L38" s="23">
        <f t="shared" si="7"/>
        <v>1957208.9715089342</v>
      </c>
      <c r="M38" s="23">
        <f t="shared" si="7"/>
        <v>55976097.690959767</v>
      </c>
      <c r="N38" s="23">
        <f t="shared" si="7"/>
        <v>833313.64918459626</v>
      </c>
      <c r="O38" s="23">
        <f t="shared" si="7"/>
        <v>0</v>
      </c>
    </row>
    <row r="39" spans="2:17">
      <c r="B39" s="35" t="s">
        <v>30</v>
      </c>
      <c r="D39" s="35" t="s">
        <v>19</v>
      </c>
      <c r="G39" s="23">
        <f>G28*G36</f>
        <v>14652111.372897323</v>
      </c>
      <c r="H39" s="23">
        <f t="shared" ref="H39:O39" si="8">H28*H36</f>
        <v>20778287.492137019</v>
      </c>
      <c r="I39" s="23">
        <f t="shared" si="8"/>
        <v>39931408.616108194</v>
      </c>
      <c r="J39" s="23">
        <f t="shared" si="8"/>
        <v>199561263.65701175</v>
      </c>
      <c r="K39" s="23">
        <f>K28*K36</f>
        <v>252009281.75866586</v>
      </c>
      <c r="L39" s="23">
        <f t="shared" si="8"/>
        <v>13185167.128158614</v>
      </c>
      <c r="M39" s="23">
        <f t="shared" si="8"/>
        <v>193834266.1898402</v>
      </c>
      <c r="N39" s="23">
        <f t="shared" si="8"/>
        <v>14097342.630226577</v>
      </c>
      <c r="O39" s="23">
        <f t="shared" si="8"/>
        <v>3739692.5567881595</v>
      </c>
    </row>
    <row r="45" spans="2:17">
      <c r="G45" s="41"/>
      <c r="H45" s="41"/>
      <c r="I45" s="41"/>
      <c r="J45" s="41"/>
      <c r="K45" s="41"/>
      <c r="L45" s="41"/>
      <c r="M45" s="41"/>
      <c r="N45" s="41"/>
      <c r="O45" s="41"/>
    </row>
    <row r="46" spans="2:17">
      <c r="G46" s="41"/>
      <c r="H46" s="41"/>
      <c r="I46" s="41"/>
      <c r="J46" s="41"/>
      <c r="K46" s="41"/>
      <c r="L46" s="41"/>
      <c r="M46" s="41"/>
      <c r="N46" s="41"/>
      <c r="O46" s="41"/>
    </row>
  </sheetData>
  <pageMargins left="0.7" right="0.7" top="0.75" bottom="0.75" header="0.3" footer="0.3"/>
  <pageSetup paperSize="9" orientation="portrait" r:id="rId1"/>
  <ignoredErrors>
    <ignoredError sqref="K35:K3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2:Q28"/>
  <sheetViews>
    <sheetView showGridLines="0" zoomScale="80" zoomScaleNormal="80" workbookViewId="0">
      <selection activeCell="B7" sqref="B7"/>
    </sheetView>
  </sheetViews>
  <sheetFormatPr defaultRowHeight="12.75"/>
  <cols>
    <col min="1" max="1" width="3.5703125" style="35" customWidth="1"/>
    <col min="2" max="2" width="64.42578125" style="35" customWidth="1"/>
    <col min="3" max="3" width="8.5703125" style="35" customWidth="1"/>
    <col min="4" max="4" width="12" style="35" customWidth="1"/>
    <col min="5" max="5" width="3.5703125" style="35" customWidth="1"/>
    <col min="6" max="6" width="11.85546875" style="35" customWidth="1"/>
    <col min="7" max="15" width="15.7109375" style="35" customWidth="1"/>
    <col min="16" max="16" width="5.28515625" style="35" customWidth="1"/>
    <col min="17" max="17" width="13.5703125" style="35" customWidth="1"/>
    <col min="18" max="16384" width="9.140625" style="35"/>
  </cols>
  <sheetData>
    <row r="2" spans="2:17" s="50" customFormat="1" ht="18">
      <c r="B2" s="51" t="s">
        <v>43</v>
      </c>
      <c r="C2" s="52"/>
      <c r="F2" s="53"/>
      <c r="G2" s="54" t="s">
        <v>0</v>
      </c>
      <c r="H2" s="54" t="s">
        <v>1</v>
      </c>
      <c r="I2" s="54" t="s">
        <v>2</v>
      </c>
      <c r="J2" s="54" t="s">
        <v>3</v>
      </c>
      <c r="K2" s="54" t="s">
        <v>4</v>
      </c>
      <c r="L2" s="54" t="s">
        <v>5</v>
      </c>
      <c r="M2" s="54" t="s">
        <v>6</v>
      </c>
      <c r="N2" s="54" t="s">
        <v>7</v>
      </c>
      <c r="O2" s="54" t="s">
        <v>8</v>
      </c>
      <c r="P2" s="53"/>
      <c r="Q2" s="53"/>
    </row>
    <row r="4" spans="2:17" s="32" customFormat="1" ht="14.25">
      <c r="B4" s="35" t="s">
        <v>107</v>
      </c>
    </row>
    <row r="5" spans="2:17" s="32" customFormat="1" ht="14.25">
      <c r="B5" s="35" t="s">
        <v>108</v>
      </c>
    </row>
    <row r="6" spans="2:17" s="32" customFormat="1" ht="14.25">
      <c r="B6" s="176" t="s">
        <v>109</v>
      </c>
    </row>
    <row r="7" spans="2:17" s="32" customFormat="1" ht="14.25">
      <c r="B7" s="176" t="s">
        <v>110</v>
      </c>
    </row>
    <row r="8" spans="2:17" s="32" customFormat="1" ht="14.25">
      <c r="B8" s="49"/>
    </row>
    <row r="9" spans="2:17" s="19" customFormat="1">
      <c r="B9" s="34" t="s">
        <v>44</v>
      </c>
    </row>
    <row r="11" spans="2:17">
      <c r="B11" s="35" t="s">
        <v>98</v>
      </c>
      <c r="D11" s="24" t="s">
        <v>19</v>
      </c>
      <c r="E11" s="24"/>
      <c r="G11" s="65">
        <f>'Netverliezen gas'!G25</f>
        <v>-477107.54646218568</v>
      </c>
      <c r="H11" s="65">
        <f>'Netverliezen gas'!H25</f>
        <v>-928977.35957187414</v>
      </c>
      <c r="I11" s="65">
        <f>'Netverliezen gas'!I25</f>
        <v>-1560585.2068151236</v>
      </c>
      <c r="J11" s="65">
        <f>'Netverliezen gas'!J25</f>
        <v>-7950314.2479274273</v>
      </c>
      <c r="K11" s="65">
        <f>'Netverliezen gas'!K25</f>
        <v>-7877004.9937384129</v>
      </c>
      <c r="L11" s="65">
        <f>'Netverliezen gas'!L25</f>
        <v>-371199.80293812603</v>
      </c>
      <c r="M11" s="65">
        <f>'Netverliezen gas'!M25</f>
        <v>-6958726.11288625</v>
      </c>
      <c r="N11" s="65">
        <f>'Netverliezen gas'!N25</f>
        <v>-1277610.0638382826</v>
      </c>
      <c r="O11" s="65">
        <f>'Netverliezen gas'!O25</f>
        <v>-1092169.2788468604</v>
      </c>
    </row>
    <row r="12" spans="2:17">
      <c r="B12" s="35" t="s">
        <v>99</v>
      </c>
      <c r="D12" s="35" t="s">
        <v>45</v>
      </c>
      <c r="G12" s="65">
        <f>'Lokale heffingen 2014'!G68</f>
        <v>-110778.91231259704</v>
      </c>
      <c r="H12" s="65">
        <f>'Lokale heffingen 2014'!H68</f>
        <v>24482.6690178141</v>
      </c>
      <c r="I12" s="65">
        <f>'Lokale heffingen 2014'!I68</f>
        <v>0</v>
      </c>
      <c r="J12" s="65">
        <f>'Lokale heffingen 2014'!J68</f>
        <v>0</v>
      </c>
      <c r="K12" s="65">
        <f>'Lokale heffingen 2014'!K68</f>
        <v>4832517.476952374</v>
      </c>
      <c r="L12" s="65">
        <f>'Lokale heffingen 2014'!L68</f>
        <v>-71582.494458671659</v>
      </c>
      <c r="M12" s="65">
        <f>'Lokale heffingen 2014'!M68</f>
        <v>-178579.29108756781</v>
      </c>
      <c r="N12" s="65">
        <f>'Lokale heffingen 2014'!N68</f>
        <v>3677.9021943695843</v>
      </c>
      <c r="O12" s="65">
        <f>'Lokale heffingen 2014'!O68</f>
        <v>1288.0028334334493</v>
      </c>
    </row>
    <row r="13" spans="2:17">
      <c r="B13" s="17" t="s">
        <v>127</v>
      </c>
      <c r="D13" s="35" t="s">
        <v>18</v>
      </c>
      <c r="G13" s="65">
        <f>'VolVerschuiving Adm. 2015'!G57</f>
        <v>7250.9333333333343</v>
      </c>
      <c r="H13" s="65">
        <f>'VolVerschuiving Adm. 2015'!H57</f>
        <v>23095.84</v>
      </c>
      <c r="I13" s="65">
        <f>'VolVerschuiving Adm. 2015'!I57</f>
        <v>250383.74633333334</v>
      </c>
      <c r="J13" s="65">
        <f>'VolVerschuiving Adm. 2015'!J57</f>
        <v>322504.48723333341</v>
      </c>
      <c r="K13" s="65">
        <f>'VolVerschuiving Adm. 2015'!K57</f>
        <v>-300065.85516666668</v>
      </c>
      <c r="L13" s="65">
        <f>'VolVerschuiving Adm. 2015'!L57</f>
        <v>33178.635000000009</v>
      </c>
      <c r="M13" s="65">
        <f>'VolVerschuiving Adm. 2015'!M57</f>
        <v>769011.11335</v>
      </c>
      <c r="N13" s="65">
        <f>'VolVerschuiving Adm. 2015'!N57</f>
        <v>3462.9445999999998</v>
      </c>
      <c r="O13" s="65">
        <f>'VolVerschuiving Adm. 2015'!O57</f>
        <v>0</v>
      </c>
    </row>
    <row r="14" spans="2:17">
      <c r="B14" s="17" t="s">
        <v>128</v>
      </c>
      <c r="D14" s="35" t="s">
        <v>18</v>
      </c>
      <c r="G14" s="65">
        <f>'VolVerschuiving Codewijz. 2015'!G71</f>
        <v>27947.57</v>
      </c>
      <c r="H14" s="65">
        <f>'VolVerschuiving Codewijz. 2015'!H71</f>
        <v>26979.48</v>
      </c>
      <c r="I14" s="65">
        <f>'VolVerschuiving Codewijz. 2015'!I71</f>
        <v>96670.213500000013</v>
      </c>
      <c r="J14" s="65">
        <f>'VolVerschuiving Codewijz. 2015'!J71</f>
        <v>451258.16369999998</v>
      </c>
      <c r="K14" s="65">
        <f>'VolVerschuiving Codewijz. 2015'!K71</f>
        <v>396312.03599999996</v>
      </c>
      <c r="L14" s="65">
        <f>'VolVerschuiving Codewijz. 2015'!L71</f>
        <v>36459.56500000001</v>
      </c>
      <c r="M14" s="65">
        <f>'VolVerschuiving Codewijz. 2015'!M71</f>
        <v>329011.12408755999</v>
      </c>
      <c r="N14" s="65">
        <f>'VolVerschuiving Codewijz. 2015'!N71</f>
        <v>7125.4269000000004</v>
      </c>
      <c r="O14" s="65">
        <f>'VolVerschuiving Codewijz. 2015'!O71</f>
        <v>0</v>
      </c>
    </row>
    <row r="15" spans="2:17">
      <c r="B15" s="17" t="s">
        <v>129</v>
      </c>
      <c r="D15" s="24" t="s">
        <v>19</v>
      </c>
      <c r="G15" s="43"/>
      <c r="H15" s="43"/>
      <c r="I15" s="43"/>
      <c r="J15" s="65">
        <f>'Ruilverkaveling FNOP 2016'!G49</f>
        <v>-27993825.921959668</v>
      </c>
      <c r="K15" s="65">
        <f>'Ruilverkaveling FNOP 2016'!H49</f>
        <v>28036923.925481439</v>
      </c>
      <c r="L15" s="43"/>
      <c r="M15" s="43"/>
      <c r="N15" s="43"/>
      <c r="O15" s="43"/>
    </row>
    <row r="17" spans="2:15" s="19" customFormat="1">
      <c r="B17" s="34" t="s">
        <v>46</v>
      </c>
    </row>
    <row r="19" spans="2:15">
      <c r="B19" s="24" t="s">
        <v>48</v>
      </c>
      <c r="F19" s="20">
        <f>Heffingsrente!D17</f>
        <v>8.1599999999999229E-2</v>
      </c>
    </row>
    <row r="20" spans="2:15">
      <c r="B20" s="24" t="s">
        <v>49</v>
      </c>
      <c r="F20" s="20">
        <f>Heffingsrente!D18</f>
        <v>3.9999999999999591E-2</v>
      </c>
    </row>
    <row r="21" spans="2:15">
      <c r="B21" s="24"/>
    </row>
    <row r="22" spans="2:15" s="19" customFormat="1">
      <c r="B22" s="34" t="s">
        <v>47</v>
      </c>
    </row>
    <row r="23" spans="2:15">
      <c r="B23" s="24"/>
    </row>
    <row r="24" spans="2:15">
      <c r="B24" s="35" t="s">
        <v>98</v>
      </c>
      <c r="D24" s="35" t="s">
        <v>19</v>
      </c>
      <c r="G24" s="65">
        <f t="shared" ref="G24:O24" si="0">G11</f>
        <v>-477107.54646218568</v>
      </c>
      <c r="H24" s="65">
        <f t="shared" si="0"/>
        <v>-928977.35957187414</v>
      </c>
      <c r="I24" s="65">
        <f t="shared" si="0"/>
        <v>-1560585.2068151236</v>
      </c>
      <c r="J24" s="65">
        <f t="shared" si="0"/>
        <v>-7950314.2479274273</v>
      </c>
      <c r="K24" s="65">
        <f t="shared" si="0"/>
        <v>-7877004.9937384129</v>
      </c>
      <c r="L24" s="65">
        <f t="shared" si="0"/>
        <v>-371199.80293812603</v>
      </c>
      <c r="M24" s="65">
        <f t="shared" si="0"/>
        <v>-6958726.11288625</v>
      </c>
      <c r="N24" s="65">
        <f t="shared" si="0"/>
        <v>-1277610.0638382826</v>
      </c>
      <c r="O24" s="65">
        <f t="shared" si="0"/>
        <v>-1092169.2788468604</v>
      </c>
    </row>
    <row r="25" spans="2:15">
      <c r="B25" s="35" t="s">
        <v>99</v>
      </c>
      <c r="D25" s="35" t="s">
        <v>19</v>
      </c>
      <c r="G25" s="140">
        <f t="shared" ref="G25:O25" si="1">G12*(1+$F$19)</f>
        <v>-119818.47155730487</v>
      </c>
      <c r="H25" s="140">
        <f t="shared" si="1"/>
        <v>26480.45480966771</v>
      </c>
      <c r="I25" s="140">
        <f t="shared" si="1"/>
        <v>0</v>
      </c>
      <c r="J25" s="140">
        <f t="shared" si="1"/>
        <v>0</v>
      </c>
      <c r="K25" s="140">
        <f t="shared" si="1"/>
        <v>5226850.9030716838</v>
      </c>
      <c r="L25" s="140">
        <f t="shared" si="1"/>
        <v>-77423.626006499209</v>
      </c>
      <c r="M25" s="140">
        <f t="shared" si="1"/>
        <v>-193151.36124031321</v>
      </c>
      <c r="N25" s="140">
        <f t="shared" si="1"/>
        <v>3978.0190134301397</v>
      </c>
      <c r="O25" s="140">
        <f t="shared" si="1"/>
        <v>1393.1038646416177</v>
      </c>
    </row>
    <row r="26" spans="2:15">
      <c r="B26" s="17" t="s">
        <v>127</v>
      </c>
      <c r="D26" s="35" t="s">
        <v>19</v>
      </c>
      <c r="G26" s="140">
        <f>G13*(1+$F$20)</f>
        <v>7540.9706666666643</v>
      </c>
      <c r="H26" s="140">
        <f t="shared" ref="H26:O26" si="2">H13*(1+$F$20)</f>
        <v>24019.673599999991</v>
      </c>
      <c r="I26" s="140">
        <f t="shared" si="2"/>
        <v>260399.09618666657</v>
      </c>
      <c r="J26" s="140">
        <f t="shared" si="2"/>
        <v>335404.66672266659</v>
      </c>
      <c r="K26" s="140">
        <f t="shared" si="2"/>
        <v>-312068.48937333323</v>
      </c>
      <c r="L26" s="140">
        <f t="shared" si="2"/>
        <v>34505.780399999996</v>
      </c>
      <c r="M26" s="140">
        <f t="shared" si="2"/>
        <v>799771.55788399966</v>
      </c>
      <c r="N26" s="140">
        <f t="shared" si="2"/>
        <v>3601.4623839999986</v>
      </c>
      <c r="O26" s="140">
        <f t="shared" si="2"/>
        <v>0</v>
      </c>
    </row>
    <row r="27" spans="2:15">
      <c r="B27" s="17" t="s">
        <v>128</v>
      </c>
      <c r="D27" s="35" t="s">
        <v>19</v>
      </c>
      <c r="G27" s="140">
        <f>G14*(1+$F$20)</f>
        <v>29065.472799999989</v>
      </c>
      <c r="H27" s="140">
        <f t="shared" ref="H27:O27" si="3">H14*(1+$F$20)</f>
        <v>28058.659199999987</v>
      </c>
      <c r="I27" s="140">
        <f t="shared" si="3"/>
        <v>100537.02203999997</v>
      </c>
      <c r="J27" s="140">
        <f t="shared" si="3"/>
        <v>469308.49024799978</v>
      </c>
      <c r="K27" s="140">
        <f t="shared" si="3"/>
        <v>412164.51743999979</v>
      </c>
      <c r="L27" s="140">
        <f t="shared" si="3"/>
        <v>37917.947599999992</v>
      </c>
      <c r="M27" s="140">
        <f t="shared" si="3"/>
        <v>342171.56905106228</v>
      </c>
      <c r="N27" s="140">
        <f t="shared" si="3"/>
        <v>7410.4439759999977</v>
      </c>
      <c r="O27" s="140">
        <f t="shared" si="3"/>
        <v>0</v>
      </c>
    </row>
    <row r="28" spans="2:15">
      <c r="B28" s="17" t="s">
        <v>129</v>
      </c>
      <c r="D28" s="24" t="s">
        <v>19</v>
      </c>
      <c r="G28" s="43"/>
      <c r="H28" s="43"/>
      <c r="I28" s="43"/>
      <c r="J28" s="65">
        <f>J15</f>
        <v>-27993825.921959668</v>
      </c>
      <c r="K28" s="65">
        <f>K15</f>
        <v>28036923.925481439</v>
      </c>
      <c r="L28" s="43"/>
      <c r="M28" s="43"/>
      <c r="N28" s="43"/>
      <c r="O28" s="4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workbookViewId="0"/>
  </sheetViews>
  <sheetFormatPr defaultRowHeight="15"/>
  <cols>
    <col min="1" max="16384" width="9.140625" style="6"/>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Q27"/>
  <sheetViews>
    <sheetView showGridLines="0" zoomScale="80" zoomScaleNormal="80" workbookViewId="0">
      <pane xSplit="4" ySplit="2" topLeftCell="E3" activePane="bottomRight" state="frozen"/>
      <selection pane="topRight" activeCell="E1" sqref="E1"/>
      <selection pane="bottomLeft" activeCell="A3" sqref="A3"/>
      <selection pane="bottomRight" activeCell="B6" sqref="B6:K6"/>
    </sheetView>
  </sheetViews>
  <sheetFormatPr defaultRowHeight="14.25"/>
  <cols>
    <col min="1" max="1" width="3.42578125" style="32" customWidth="1"/>
    <col min="2" max="2" width="84" style="32" customWidth="1"/>
    <col min="3" max="3" width="3.42578125" style="32" customWidth="1"/>
    <col min="4" max="4" width="10.85546875" style="32" customWidth="1"/>
    <col min="5" max="5" width="10.140625" style="32" customWidth="1"/>
    <col min="6" max="6" width="3.28515625" style="32" customWidth="1"/>
    <col min="7" max="15" width="15.7109375" style="32" customWidth="1"/>
    <col min="16" max="16" width="4.28515625" style="32" customWidth="1"/>
    <col min="17" max="17" width="21.28515625" style="32" customWidth="1"/>
    <col min="18" max="16384" width="9.140625" style="32"/>
  </cols>
  <sheetData>
    <row r="2" spans="2:17" s="58" customFormat="1" ht="18">
      <c r="B2" s="59" t="s">
        <v>111</v>
      </c>
      <c r="G2" s="60" t="s">
        <v>0</v>
      </c>
      <c r="H2" s="60" t="s">
        <v>1</v>
      </c>
      <c r="I2" s="60" t="s">
        <v>2</v>
      </c>
      <c r="J2" s="60" t="s">
        <v>3</v>
      </c>
      <c r="K2" s="60" t="s">
        <v>4</v>
      </c>
      <c r="L2" s="60" t="s">
        <v>5</v>
      </c>
      <c r="M2" s="60" t="s">
        <v>6</v>
      </c>
      <c r="N2" s="60" t="s">
        <v>7</v>
      </c>
      <c r="O2" s="60" t="s">
        <v>8</v>
      </c>
    </row>
    <row r="4" spans="2:17" s="19" customFormat="1" ht="12.75">
      <c r="B4" s="34" t="s">
        <v>33</v>
      </c>
    </row>
    <row r="5" spans="2:17" s="35" customFormat="1" ht="12.75"/>
    <row r="6" spans="2:17" s="35" customFormat="1" ht="82.5" customHeight="1">
      <c r="B6" s="179" t="s">
        <v>225</v>
      </c>
      <c r="C6" s="179"/>
      <c r="D6" s="179"/>
      <c r="E6" s="179"/>
      <c r="F6" s="179"/>
      <c r="G6" s="179"/>
      <c r="H6" s="179"/>
      <c r="I6" s="179"/>
      <c r="J6" s="179"/>
      <c r="K6" s="179"/>
    </row>
    <row r="7" spans="2:17" s="35" customFormat="1" ht="12.75"/>
    <row r="8" spans="2:17" s="19" customFormat="1" ht="12.75">
      <c r="B8" s="34" t="s">
        <v>106</v>
      </c>
    </row>
    <row r="9" spans="2:17" s="35" customFormat="1" ht="12.75">
      <c r="B9" s="55"/>
    </row>
    <row r="10" spans="2:17" s="35" customFormat="1" ht="12.75">
      <c r="B10" s="30" t="s">
        <v>52</v>
      </c>
      <c r="C10" s="56"/>
      <c r="D10" s="30" t="s">
        <v>19</v>
      </c>
      <c r="E10" s="56"/>
      <c r="F10" s="56"/>
      <c r="G10" s="65">
        <f>'TI-berekening 2016'!G13</f>
        <v>18384066.136054307</v>
      </c>
      <c r="H10" s="65">
        <f>'TI-berekening 2016'!H13</f>
        <v>26055913.412727285</v>
      </c>
      <c r="I10" s="65">
        <f>'TI-berekening 2016'!I13</f>
        <v>52944268.183207072</v>
      </c>
      <c r="J10" s="65">
        <f>'TI-berekening 2016'!J13</f>
        <v>272735462.21164322</v>
      </c>
      <c r="K10" s="65">
        <f>'TI-berekening 2016'!K13</f>
        <v>297194584.13085103</v>
      </c>
      <c r="L10" s="65">
        <f>'TI-berekening 2016'!L13</f>
        <v>15518575.800612174</v>
      </c>
      <c r="M10" s="65">
        <f>'TI-berekening 2016'!M13</f>
        <v>255820298.22799146</v>
      </c>
      <c r="N10" s="65">
        <f>'TI-berekening 2016'!N13</f>
        <v>16193276.417876026</v>
      </c>
      <c r="O10" s="65">
        <f>'TI-berekening 2016'!O13</f>
        <v>4830468.7317703785</v>
      </c>
    </row>
    <row r="11" spans="2:17" s="35" customFormat="1" ht="12.75">
      <c r="B11" s="56"/>
      <c r="C11" s="56"/>
      <c r="D11" s="24"/>
      <c r="E11" s="56"/>
      <c r="F11" s="56"/>
      <c r="G11" s="66"/>
      <c r="H11" s="66"/>
      <c r="I11" s="66"/>
      <c r="J11" s="66"/>
      <c r="K11" s="66"/>
      <c r="L11" s="66"/>
      <c r="M11" s="66"/>
      <c r="N11" s="66"/>
      <c r="O11" s="66"/>
    </row>
    <row r="12" spans="2:17" s="35" customFormat="1" ht="12.75">
      <c r="B12" s="24" t="s">
        <v>51</v>
      </c>
      <c r="D12" s="35" t="s">
        <v>17</v>
      </c>
      <c r="G12" s="65">
        <f>'TI-berekening 2016'!G6</f>
        <v>22155782.462519988</v>
      </c>
      <c r="H12" s="65">
        <f>'TI-berekening 2016'!H6</f>
        <v>30603336.272270575</v>
      </c>
      <c r="I12" s="65">
        <f>'TI-berekening 2016'!I6</f>
        <v>62282919.272606239</v>
      </c>
      <c r="J12" s="65">
        <f>'TI-berekening 2016'!J6</f>
        <v>320334771.2753402</v>
      </c>
      <c r="K12" s="65">
        <f>'TI-berekening 2016'!K6</f>
        <v>342731735.95406991</v>
      </c>
      <c r="L12" s="65">
        <f>'TI-berekening 2016'!L6</f>
        <v>18354485.758633368</v>
      </c>
      <c r="M12" s="65">
        <f>'TI-berekening 2016'!M6</f>
        <v>297632151.81264526</v>
      </c>
      <c r="N12" s="65">
        <f>'TI-berekening 2016'!N6</f>
        <v>18389510.971848741</v>
      </c>
      <c r="O12" s="65">
        <f>'TI-berekening 2016'!O6</f>
        <v>6440014.167166301</v>
      </c>
    </row>
    <row r="13" spans="2:17" s="35" customFormat="1" ht="12.75">
      <c r="B13" s="24" t="s">
        <v>112</v>
      </c>
      <c r="C13" s="30"/>
      <c r="D13" s="30"/>
      <c r="E13" s="62"/>
      <c r="F13" s="62"/>
      <c r="G13" s="69">
        <v>8.3800000000000008</v>
      </c>
      <c r="H13" s="69">
        <v>7.89</v>
      </c>
      <c r="I13" s="69">
        <v>7.74</v>
      </c>
      <c r="J13" s="69">
        <v>7.68</v>
      </c>
      <c r="K13" s="69">
        <v>7.02</v>
      </c>
      <c r="L13" s="69">
        <v>7.73</v>
      </c>
      <c r="M13" s="69">
        <v>7.32</v>
      </c>
      <c r="N13" s="69">
        <v>8.27</v>
      </c>
      <c r="O13" s="69">
        <v>18.11</v>
      </c>
      <c r="Q13" s="63" t="s">
        <v>105</v>
      </c>
    </row>
    <row r="14" spans="2:17" s="35" customFormat="1" ht="12.75">
      <c r="B14" s="24"/>
      <c r="C14" s="30"/>
      <c r="D14" s="30"/>
      <c r="E14" s="62"/>
      <c r="F14" s="62"/>
      <c r="G14" s="66"/>
      <c r="H14" s="66"/>
      <c r="I14" s="66"/>
      <c r="J14" s="66"/>
      <c r="K14" s="66"/>
      <c r="L14" s="66"/>
      <c r="M14" s="66"/>
      <c r="N14" s="66"/>
      <c r="O14" s="66"/>
    </row>
    <row r="15" spans="2:17" s="35" customFormat="1" ht="12.75">
      <c r="B15" s="30" t="s">
        <v>12</v>
      </c>
      <c r="C15" s="30"/>
      <c r="D15" s="30" t="s">
        <v>31</v>
      </c>
      <c r="E15" s="20">
        <f>CPI!C17</f>
        <v>2.8000000000000001E-2</v>
      </c>
      <c r="F15" s="61"/>
      <c r="G15" s="66"/>
      <c r="H15" s="66"/>
      <c r="I15" s="66"/>
      <c r="J15" s="66"/>
      <c r="K15" s="66"/>
      <c r="L15" s="66"/>
      <c r="M15" s="66"/>
      <c r="N15" s="66"/>
      <c r="O15" s="66"/>
    </row>
    <row r="16" spans="2:17" s="35" customFormat="1" ht="12.75">
      <c r="B16" s="30" t="s">
        <v>13</v>
      </c>
      <c r="C16" s="30"/>
      <c r="D16" s="30" t="s">
        <v>31</v>
      </c>
      <c r="E16" s="20">
        <f>CPI!C18</f>
        <v>0.01</v>
      </c>
      <c r="F16" s="61"/>
      <c r="G16" s="66"/>
      <c r="H16" s="66"/>
      <c r="I16" s="66"/>
      <c r="J16" s="66"/>
      <c r="K16" s="66"/>
      <c r="L16" s="66"/>
      <c r="M16" s="66"/>
      <c r="N16" s="66"/>
      <c r="O16" s="66"/>
    </row>
    <row r="17" spans="2:15" s="35" customFormat="1" ht="12.75">
      <c r="B17" s="30" t="s">
        <v>15</v>
      </c>
      <c r="C17" s="30"/>
      <c r="D17" s="30" t="s">
        <v>31</v>
      </c>
      <c r="E17" s="20">
        <f>CPI!C19</f>
        <v>8.0000000000000002E-3</v>
      </c>
      <c r="F17" s="61"/>
      <c r="G17" s="66"/>
      <c r="H17" s="66"/>
      <c r="I17" s="66"/>
      <c r="J17" s="66"/>
      <c r="K17" s="66"/>
      <c r="L17" s="66"/>
      <c r="M17" s="66"/>
      <c r="N17" s="66"/>
      <c r="O17" s="66"/>
    </row>
    <row r="18" spans="2:15" s="35" customFormat="1" ht="12.75">
      <c r="B18" s="30"/>
      <c r="C18" s="30"/>
      <c r="D18" s="30"/>
      <c r="E18" s="57"/>
      <c r="F18" s="61"/>
      <c r="G18" s="66"/>
      <c r="H18" s="66"/>
      <c r="I18" s="66"/>
      <c r="J18" s="66"/>
      <c r="K18" s="66"/>
      <c r="L18" s="66"/>
      <c r="M18" s="66"/>
      <c r="N18" s="66"/>
      <c r="O18" s="66"/>
    </row>
    <row r="19" spans="2:15" s="35" customFormat="1" ht="12.75">
      <c r="B19" s="30" t="s">
        <v>53</v>
      </c>
      <c r="C19" s="30"/>
      <c r="D19" s="30" t="s">
        <v>19</v>
      </c>
      <c r="E19" s="30"/>
      <c r="F19" s="64"/>
      <c r="G19" s="67">
        <f>G12*(1-G13/100+$E$15)*(1-G13/100+$E$16)*(1-G13/100+$E$17)</f>
        <v>17906958.589592122</v>
      </c>
      <c r="H19" s="67">
        <f t="shared" ref="H19:O19" si="0">H12*(1-H13/100+$E$15)*(1-H13/100+$E$16)*(1-H13/100+$E$17)</f>
        <v>25126936.053155411</v>
      </c>
      <c r="I19" s="67">
        <f>I12*(1-I13/100+$E$15)*(1-I13/100+$E$16)*(1-I13/100+$E$17)</f>
        <v>51383682.976391949</v>
      </c>
      <c r="J19" s="67">
        <f t="shared" si="0"/>
        <v>264785147.96371579</v>
      </c>
      <c r="K19" s="67">
        <f t="shared" si="0"/>
        <v>289317579.13711262</v>
      </c>
      <c r="L19" s="67">
        <f t="shared" si="0"/>
        <v>15147375.997674048</v>
      </c>
      <c r="M19" s="67">
        <f t="shared" si="0"/>
        <v>248861572.11510521</v>
      </c>
      <c r="N19" s="67">
        <f t="shared" si="0"/>
        <v>14915666.354037743</v>
      </c>
      <c r="O19" s="67">
        <f t="shared" si="0"/>
        <v>3738299.4529235181</v>
      </c>
    </row>
    <row r="20" spans="2:15" s="35" customFormat="1" ht="12.75">
      <c r="B20" s="30"/>
      <c r="C20" s="30"/>
      <c r="D20" s="30"/>
      <c r="E20" s="57"/>
      <c r="F20" s="61"/>
      <c r="G20" s="66"/>
      <c r="H20" s="66"/>
      <c r="I20" s="66"/>
      <c r="J20" s="66"/>
      <c r="K20" s="66"/>
      <c r="L20" s="66"/>
      <c r="M20" s="66"/>
      <c r="N20" s="66"/>
      <c r="O20" s="66"/>
    </row>
    <row r="21" spans="2:15" s="35" customFormat="1" ht="12.75">
      <c r="B21" s="56" t="s">
        <v>113</v>
      </c>
      <c r="C21" s="56"/>
      <c r="D21" s="24" t="s">
        <v>19</v>
      </c>
      <c r="E21" s="56"/>
      <c r="F21" s="56"/>
      <c r="G21" s="67">
        <f t="shared" ref="G21:O21" si="1">G10-G19</f>
        <v>477107.54646218568</v>
      </c>
      <c r="H21" s="67">
        <f t="shared" si="1"/>
        <v>928977.35957187414</v>
      </c>
      <c r="I21" s="67">
        <f>I10-I19</f>
        <v>1560585.2068151236</v>
      </c>
      <c r="J21" s="67">
        <f t="shared" si="1"/>
        <v>7950314.2479274273</v>
      </c>
      <c r="K21" s="67">
        <f t="shared" si="1"/>
        <v>7877004.9937384129</v>
      </c>
      <c r="L21" s="67">
        <f t="shared" si="1"/>
        <v>371199.80293812603</v>
      </c>
      <c r="M21" s="67">
        <f t="shared" si="1"/>
        <v>6958726.11288625</v>
      </c>
      <c r="N21" s="67">
        <f t="shared" si="1"/>
        <v>1277610.0638382826</v>
      </c>
      <c r="O21" s="67">
        <f t="shared" si="1"/>
        <v>1092169.2788468604</v>
      </c>
    </row>
    <row r="22" spans="2:15" s="35" customFormat="1" ht="12.75">
      <c r="B22" s="56"/>
      <c r="C22" s="56"/>
      <c r="D22" s="56"/>
      <c r="E22" s="56"/>
      <c r="F22" s="56"/>
      <c r="G22" s="66"/>
      <c r="H22" s="66"/>
      <c r="I22" s="66"/>
      <c r="J22" s="66"/>
      <c r="K22" s="66"/>
      <c r="L22" s="66"/>
      <c r="M22" s="66"/>
      <c r="N22" s="66"/>
      <c r="O22" s="66"/>
    </row>
    <row r="23" spans="2:15" s="12" customFormat="1" ht="12.75">
      <c r="B23" s="11" t="s">
        <v>171</v>
      </c>
    </row>
    <row r="24" spans="2:15" s="35" customFormat="1" ht="12.75">
      <c r="B24" s="56"/>
      <c r="C24" s="56"/>
      <c r="D24" s="56"/>
      <c r="E24" s="56"/>
      <c r="F24" s="56"/>
      <c r="G24" s="66"/>
      <c r="H24" s="66"/>
      <c r="I24" s="66"/>
      <c r="J24" s="66"/>
      <c r="K24" s="66"/>
      <c r="L24" s="66"/>
      <c r="M24" s="66"/>
      <c r="N24" s="66"/>
      <c r="O24" s="66"/>
    </row>
    <row r="25" spans="2:15" s="35" customFormat="1" ht="12.75">
      <c r="B25" s="56" t="s">
        <v>100</v>
      </c>
      <c r="C25" s="56"/>
      <c r="D25" s="24" t="s">
        <v>19</v>
      </c>
      <c r="E25" s="56"/>
      <c r="F25" s="56"/>
      <c r="G25" s="68">
        <f t="shared" ref="G25:O25" si="2">-G21</f>
        <v>-477107.54646218568</v>
      </c>
      <c r="H25" s="68">
        <f t="shared" si="2"/>
        <v>-928977.35957187414</v>
      </c>
      <c r="I25" s="68">
        <f t="shared" si="2"/>
        <v>-1560585.2068151236</v>
      </c>
      <c r="J25" s="68">
        <f t="shared" si="2"/>
        <v>-7950314.2479274273</v>
      </c>
      <c r="K25" s="68">
        <f t="shared" si="2"/>
        <v>-7877004.9937384129</v>
      </c>
      <c r="L25" s="68">
        <f t="shared" si="2"/>
        <v>-371199.80293812603</v>
      </c>
      <c r="M25" s="68">
        <f t="shared" si="2"/>
        <v>-6958726.11288625</v>
      </c>
      <c r="N25" s="68">
        <f t="shared" si="2"/>
        <v>-1277610.0638382826</v>
      </c>
      <c r="O25" s="68">
        <f t="shared" si="2"/>
        <v>-1092169.2788468604</v>
      </c>
    </row>
    <row r="26" spans="2:15" s="35" customFormat="1" ht="12.75"/>
    <row r="27" spans="2:15" s="35" customFormat="1" ht="12.75"/>
  </sheetData>
  <mergeCells count="1">
    <mergeCell ref="B6:K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2:T72"/>
  <sheetViews>
    <sheetView showGridLines="0" zoomScale="80" zoomScaleNormal="80" workbookViewId="0">
      <pane xSplit="2" ySplit="2" topLeftCell="C3" activePane="bottomRight" state="frozen"/>
      <selection pane="topRight" activeCell="C1" sqref="C1"/>
      <selection pane="bottomLeft" activeCell="A3" sqref="A3"/>
      <selection pane="bottomRight" activeCell="B24" sqref="B24"/>
    </sheetView>
  </sheetViews>
  <sheetFormatPr defaultRowHeight="15"/>
  <cols>
    <col min="1" max="1" width="4.28515625" style="123" customWidth="1"/>
    <col min="2" max="2" width="65" style="123" customWidth="1"/>
    <col min="3" max="3" width="4.42578125" style="123" customWidth="1"/>
    <col min="4" max="4" width="13" style="123" customWidth="1"/>
    <col min="5" max="5" width="7.140625" style="123" customWidth="1"/>
    <col min="6" max="6" width="6" style="123" customWidth="1"/>
    <col min="7" max="14" width="17.28515625" style="123" customWidth="1"/>
    <col min="15" max="20" width="17.140625" style="123" customWidth="1"/>
    <col min="21" max="16384" width="9.140625" style="123"/>
  </cols>
  <sheetData>
    <row r="2" spans="2:15" s="128" customFormat="1" ht="15.75">
      <c r="B2" s="129" t="s">
        <v>97</v>
      </c>
      <c r="C2" s="129"/>
      <c r="D2" s="130"/>
      <c r="G2" s="60" t="s">
        <v>0</v>
      </c>
      <c r="H2" s="60" t="s">
        <v>1</v>
      </c>
      <c r="I2" s="60" t="s">
        <v>2</v>
      </c>
      <c r="J2" s="60" t="s">
        <v>3</v>
      </c>
      <c r="K2" s="60" t="s">
        <v>4</v>
      </c>
      <c r="L2" s="60" t="s">
        <v>5</v>
      </c>
      <c r="M2" s="60" t="s">
        <v>6</v>
      </c>
      <c r="N2" s="60" t="s">
        <v>7</v>
      </c>
      <c r="O2" s="60" t="s">
        <v>8</v>
      </c>
    </row>
    <row r="4" spans="2:15" s="19" customFormat="1" ht="12.75">
      <c r="B4" s="34" t="s">
        <v>33</v>
      </c>
    </row>
    <row r="5" spans="2:15" s="71" customFormat="1" ht="12.75"/>
    <row r="6" spans="2:15" s="71" customFormat="1" ht="12.75">
      <c r="B6" s="71" t="s">
        <v>140</v>
      </c>
    </row>
    <row r="7" spans="2:15" s="71" customFormat="1" ht="12.75">
      <c r="B7" s="71" t="s">
        <v>130</v>
      </c>
    </row>
    <row r="8" spans="2:15" s="71" customFormat="1" ht="12.75">
      <c r="B8" s="71" t="s">
        <v>141</v>
      </c>
    </row>
    <row r="9" spans="2:15" s="71" customFormat="1" ht="12.75">
      <c r="B9" s="71" t="s">
        <v>142</v>
      </c>
    </row>
    <row r="10" spans="2:15" s="71" customFormat="1" ht="12.75">
      <c r="B10" s="71" t="s">
        <v>215</v>
      </c>
    </row>
    <row r="11" spans="2:15" s="71" customFormat="1" ht="12.75"/>
    <row r="12" spans="2:15" s="71" customFormat="1" ht="12.75">
      <c r="B12" s="71" t="s">
        <v>143</v>
      </c>
    </row>
    <row r="13" spans="2:15" s="71" customFormat="1" ht="12.75">
      <c r="B13" s="71" t="s">
        <v>216</v>
      </c>
    </row>
    <row r="14" spans="2:15" s="71" customFormat="1" ht="12.75"/>
    <row r="15" spans="2:15" s="71" customFormat="1" ht="12.75">
      <c r="B15" s="71" t="s">
        <v>131</v>
      </c>
    </row>
    <row r="16" spans="2:15" s="71" customFormat="1" ht="12.75"/>
    <row r="17" spans="2:17" s="71" customFormat="1" ht="12.75">
      <c r="B17" s="71" t="s">
        <v>132</v>
      </c>
    </row>
    <row r="18" spans="2:17" s="71" customFormat="1" ht="12.75">
      <c r="B18" s="71" t="s">
        <v>144</v>
      </c>
    </row>
    <row r="19" spans="2:17" s="71" customFormat="1" ht="12.75">
      <c r="B19" s="71" t="s">
        <v>133</v>
      </c>
    </row>
    <row r="20" spans="2:17" s="71" customFormat="1" ht="12.75">
      <c r="B20" s="71" t="s">
        <v>145</v>
      </c>
    </row>
    <row r="21" spans="2:17" s="71" customFormat="1" ht="12.75">
      <c r="B21" s="71" t="s">
        <v>218</v>
      </c>
    </row>
    <row r="22" spans="2:17" s="71" customFormat="1" ht="12.75"/>
    <row r="23" spans="2:17" s="71" customFormat="1" ht="12.75">
      <c r="B23" s="71" t="s">
        <v>217</v>
      </c>
    </row>
    <row r="24" spans="2:17" s="71" customFormat="1" ht="12.75">
      <c r="B24" s="71" t="s">
        <v>229</v>
      </c>
    </row>
    <row r="25" spans="2:17" s="71" customFormat="1" ht="12.75"/>
    <row r="26" spans="2:17" s="71" customFormat="1" ht="12.75">
      <c r="B26" s="124"/>
    </row>
    <row r="27" spans="2:17" s="71" customFormat="1" ht="12.75"/>
    <row r="28" spans="2:17" s="19" customFormat="1" ht="12.75">
      <c r="B28" s="34" t="s">
        <v>134</v>
      </c>
    </row>
    <row r="29" spans="2:17" s="76" customFormat="1" ht="12.75">
      <c r="G29" s="77"/>
      <c r="H29" s="77"/>
      <c r="I29" s="77"/>
      <c r="J29" s="77"/>
      <c r="K29" s="77"/>
      <c r="L29" s="77"/>
      <c r="M29" s="77"/>
      <c r="N29" s="77"/>
      <c r="O29" s="78"/>
      <c r="Q29" s="79"/>
    </row>
    <row r="30" spans="2:17" s="71" customFormat="1" ht="12.75">
      <c r="B30" s="120" t="s">
        <v>135</v>
      </c>
      <c r="G30" s="125"/>
      <c r="H30" s="125"/>
      <c r="I30" s="125"/>
      <c r="J30" s="125"/>
      <c r="K30" s="125"/>
      <c r="L30" s="125"/>
      <c r="M30" s="125"/>
      <c r="N30" s="125"/>
    </row>
    <row r="31" spans="2:17" s="71" customFormat="1" ht="12.75">
      <c r="B31" s="126" t="s">
        <v>136</v>
      </c>
      <c r="G31" s="125"/>
      <c r="H31" s="125"/>
      <c r="I31" s="125"/>
      <c r="J31" s="125"/>
      <c r="K31" s="125"/>
      <c r="L31" s="125"/>
      <c r="M31" s="125"/>
      <c r="N31" s="125"/>
    </row>
    <row r="32" spans="2:17" s="71" customFormat="1" ht="12.75">
      <c r="B32" s="126"/>
      <c r="G32" s="125"/>
      <c r="H32" s="125"/>
      <c r="I32" s="125"/>
      <c r="J32" s="125"/>
      <c r="K32" s="125"/>
      <c r="L32" s="125"/>
      <c r="M32" s="125"/>
      <c r="N32" s="125"/>
    </row>
    <row r="33" spans="2:17" s="71" customFormat="1" ht="12.75">
      <c r="B33" s="127" t="s">
        <v>137</v>
      </c>
      <c r="D33" s="71" t="s">
        <v>138</v>
      </c>
      <c r="G33" s="118">
        <f>'TI-berekening 2016'!G11</f>
        <v>21101167.217304036</v>
      </c>
      <c r="H33" s="118">
        <f>'TI-berekening 2016'!H11</f>
        <v>29394504.489515889</v>
      </c>
      <c r="I33" s="118">
        <f>'TI-berekening 2016'!I11</f>
        <v>59791602.501701988</v>
      </c>
      <c r="J33" s="118">
        <f>'TI-berekening 2016'!J11</f>
        <v>307681547.80996424</v>
      </c>
      <c r="K33" s="118">
        <f>'TI-berekening 2016'!K11</f>
        <v>331181676.45241779</v>
      </c>
      <c r="L33" s="118">
        <f>'TI-berekening 2016'!L11</f>
        <v>17589103.702498358</v>
      </c>
      <c r="M33" s="118">
        <f>'TI-berekening 2016'!M11</f>
        <v>286768578.27148372</v>
      </c>
      <c r="N33" s="118">
        <f>'TI-berekening 2016'!N11</f>
        <v>17859893.055859499</v>
      </c>
      <c r="O33" s="118">
        <f>'TI-berekening 2016'!O11</f>
        <v>5933185.0522103133</v>
      </c>
      <c r="Q33" s="24"/>
    </row>
    <row r="34" spans="2:17" s="71" customFormat="1" ht="12.75">
      <c r="B34" s="120"/>
      <c r="G34" s="125"/>
      <c r="H34" s="125"/>
      <c r="I34" s="125"/>
      <c r="J34" s="125"/>
      <c r="K34" s="125"/>
      <c r="L34" s="125"/>
      <c r="M34" s="125"/>
      <c r="N34" s="125"/>
    </row>
    <row r="35" spans="2:17" s="71" customFormat="1" ht="12.75">
      <c r="B35" s="120"/>
      <c r="G35" s="125"/>
      <c r="H35" s="125"/>
      <c r="I35" s="125"/>
      <c r="J35" s="125"/>
      <c r="K35" s="125"/>
      <c r="L35" s="125"/>
      <c r="M35" s="125"/>
      <c r="N35" s="125"/>
    </row>
    <row r="36" spans="2:17" s="19" customFormat="1" ht="12.75">
      <c r="B36" s="34" t="s">
        <v>139</v>
      </c>
    </row>
    <row r="37" spans="2:17" s="76" customFormat="1" ht="12.75">
      <c r="G37" s="78"/>
      <c r="H37" s="78"/>
      <c r="I37" s="78"/>
      <c r="J37" s="78"/>
      <c r="K37" s="78"/>
      <c r="L37" s="78"/>
      <c r="M37" s="78"/>
      <c r="N37" s="78"/>
      <c r="O37" s="78"/>
      <c r="Q37" s="79"/>
    </row>
    <row r="38" spans="2:17" s="76" customFormat="1" ht="12.75">
      <c r="B38" s="120" t="s">
        <v>167</v>
      </c>
      <c r="G38" s="121"/>
      <c r="H38" s="121"/>
      <c r="I38" s="121"/>
      <c r="J38" s="121"/>
      <c r="K38" s="121"/>
      <c r="L38" s="121"/>
      <c r="M38" s="121"/>
      <c r="N38" s="121"/>
      <c r="O38" s="78"/>
      <c r="Q38" s="79"/>
    </row>
    <row r="39" spans="2:17" s="76" customFormat="1" ht="12.75">
      <c r="G39" s="121"/>
      <c r="H39" s="121"/>
      <c r="I39" s="121"/>
      <c r="J39" s="121"/>
      <c r="K39" s="121"/>
      <c r="L39" s="121"/>
      <c r="M39" s="121"/>
      <c r="N39" s="121"/>
      <c r="O39" s="78"/>
      <c r="Q39" s="79"/>
    </row>
    <row r="40" spans="2:17" s="71" customFormat="1" ht="12.75">
      <c r="B40" s="120" t="s">
        <v>161</v>
      </c>
      <c r="G40" s="81"/>
      <c r="H40" s="76"/>
      <c r="I40" s="76"/>
      <c r="J40" s="76"/>
      <c r="K40" s="76"/>
      <c r="L40" s="76"/>
      <c r="M40" s="76"/>
      <c r="N40" s="76"/>
      <c r="O40" s="76"/>
    </row>
    <row r="41" spans="2:17" s="137" customFormat="1" ht="12.75">
      <c r="B41" s="63" t="s">
        <v>126</v>
      </c>
      <c r="G41" s="81"/>
      <c r="H41" s="126"/>
      <c r="I41" s="126"/>
      <c r="J41" s="126"/>
      <c r="K41" s="126"/>
      <c r="L41" s="126"/>
      <c r="M41" s="126"/>
      <c r="N41" s="126"/>
      <c r="O41" s="126"/>
    </row>
    <row r="42" spans="2:17" s="71" customFormat="1" ht="12.75">
      <c r="B42" s="35" t="s">
        <v>124</v>
      </c>
      <c r="D42" s="71" t="s">
        <v>138</v>
      </c>
      <c r="G42" s="132">
        <v>0</v>
      </c>
      <c r="H42" s="132">
        <v>426541</v>
      </c>
      <c r="I42" s="132">
        <v>0</v>
      </c>
      <c r="J42" s="132">
        <v>0</v>
      </c>
      <c r="K42" s="132">
        <v>24827387.039999999</v>
      </c>
      <c r="L42" s="132">
        <v>97598.46</v>
      </c>
      <c r="M42" s="132">
        <v>13198864</v>
      </c>
      <c r="N42" s="132">
        <v>1618.59</v>
      </c>
      <c r="O42" s="132">
        <v>0</v>
      </c>
      <c r="Q42" s="18" t="s">
        <v>162</v>
      </c>
    </row>
    <row r="43" spans="2:17" s="71" customFormat="1" ht="12.75">
      <c r="B43" s="35" t="s">
        <v>125</v>
      </c>
      <c r="D43" s="71" t="s">
        <v>138</v>
      </c>
      <c r="G43" s="132">
        <v>219.6705</v>
      </c>
      <c r="H43" s="132">
        <v>0</v>
      </c>
      <c r="I43" s="132">
        <v>0</v>
      </c>
      <c r="J43" s="132">
        <v>816814.40928523894</v>
      </c>
      <c r="K43" s="132">
        <v>0</v>
      </c>
      <c r="L43" s="132">
        <v>0</v>
      </c>
      <c r="M43" s="132">
        <v>0</v>
      </c>
      <c r="N43" s="132">
        <v>0</v>
      </c>
      <c r="O43" s="132">
        <v>0</v>
      </c>
    </row>
    <row r="44" spans="2:17" s="137" customFormat="1" ht="12.75">
      <c r="B44" s="63" t="s">
        <v>159</v>
      </c>
      <c r="G44" s="81"/>
      <c r="H44" s="126"/>
      <c r="I44" s="126"/>
      <c r="J44" s="126"/>
      <c r="K44" s="126"/>
      <c r="L44" s="126"/>
      <c r="M44" s="126"/>
      <c r="N44" s="126"/>
      <c r="O44" s="126"/>
    </row>
    <row r="45" spans="2:17" s="71" customFormat="1" ht="12.75">
      <c r="B45" s="35" t="s">
        <v>124</v>
      </c>
      <c r="D45" s="71" t="s">
        <v>138</v>
      </c>
      <c r="G45" s="132">
        <v>0</v>
      </c>
      <c r="H45" s="132">
        <v>0</v>
      </c>
      <c r="I45" s="132">
        <v>0</v>
      </c>
      <c r="J45" s="132">
        <v>0</v>
      </c>
      <c r="K45" s="132">
        <v>0</v>
      </c>
      <c r="L45" s="132">
        <v>0</v>
      </c>
      <c r="M45" s="132">
        <v>0</v>
      </c>
      <c r="N45" s="132">
        <v>0</v>
      </c>
      <c r="O45" s="132">
        <v>0</v>
      </c>
      <c r="Q45" s="18" t="s">
        <v>162</v>
      </c>
    </row>
    <row r="46" spans="2:17" s="71" customFormat="1" ht="12.75">
      <c r="B46" s="35" t="s">
        <v>125</v>
      </c>
      <c r="D46" s="71" t="s">
        <v>138</v>
      </c>
      <c r="G46" s="132">
        <v>199.10309999999998</v>
      </c>
      <c r="H46" s="132">
        <v>0</v>
      </c>
      <c r="I46" s="132">
        <v>0</v>
      </c>
      <c r="J46" s="132">
        <v>0</v>
      </c>
      <c r="K46" s="132">
        <v>0</v>
      </c>
      <c r="L46" s="132">
        <v>0</v>
      </c>
      <c r="M46" s="132">
        <v>0</v>
      </c>
      <c r="N46" s="132">
        <v>0</v>
      </c>
      <c r="O46" s="132">
        <v>0</v>
      </c>
    </row>
    <row r="47" spans="2:17" s="137" customFormat="1" ht="12.75">
      <c r="B47" s="63" t="s">
        <v>160</v>
      </c>
      <c r="G47" s="81"/>
      <c r="H47" s="126"/>
      <c r="I47" s="126"/>
      <c r="J47" s="126"/>
      <c r="K47" s="126"/>
      <c r="L47" s="126"/>
      <c r="M47" s="126"/>
      <c r="N47" s="126"/>
      <c r="O47" s="126"/>
    </row>
    <row r="48" spans="2:17" s="71" customFormat="1" ht="12.75">
      <c r="B48" s="35" t="s">
        <v>124</v>
      </c>
      <c r="D48" s="71" t="s">
        <v>138</v>
      </c>
      <c r="G48" s="132">
        <v>0</v>
      </c>
      <c r="H48" s="132">
        <v>0</v>
      </c>
      <c r="I48" s="132">
        <v>0</v>
      </c>
      <c r="J48" s="132">
        <v>0</v>
      </c>
      <c r="K48" s="132">
        <v>0</v>
      </c>
      <c r="L48" s="132">
        <v>0</v>
      </c>
      <c r="M48" s="132">
        <v>0</v>
      </c>
      <c r="N48" s="132">
        <v>0</v>
      </c>
      <c r="O48" s="132">
        <v>0</v>
      </c>
      <c r="Q48" s="18" t="s">
        <v>162</v>
      </c>
    </row>
    <row r="49" spans="1:20" s="71" customFormat="1" ht="12.75">
      <c r="B49" s="35" t="s">
        <v>125</v>
      </c>
      <c r="D49" s="71" t="s">
        <v>138</v>
      </c>
      <c r="G49" s="132">
        <v>0</v>
      </c>
      <c r="H49" s="132">
        <v>0</v>
      </c>
      <c r="I49" s="132">
        <v>0</v>
      </c>
      <c r="J49" s="132">
        <v>0</v>
      </c>
      <c r="K49" s="132">
        <v>0</v>
      </c>
      <c r="L49" s="132">
        <v>0</v>
      </c>
      <c r="M49" s="132">
        <v>0</v>
      </c>
      <c r="N49" s="132">
        <v>0</v>
      </c>
      <c r="O49" s="132">
        <v>0</v>
      </c>
    </row>
    <row r="50" spans="1:20" s="71" customFormat="1" ht="12.75">
      <c r="B50" s="120"/>
      <c r="G50" s="81"/>
      <c r="H50" s="76"/>
      <c r="I50" s="76"/>
      <c r="J50" s="76"/>
      <c r="K50" s="76"/>
      <c r="L50" s="76"/>
      <c r="M50" s="76"/>
      <c r="N50" s="76"/>
      <c r="O50" s="76"/>
    </row>
    <row r="51" spans="1:20" s="71" customFormat="1" ht="12.75">
      <c r="B51" s="120" t="s">
        <v>170</v>
      </c>
      <c r="G51" s="81"/>
      <c r="H51" s="76"/>
      <c r="I51" s="76"/>
      <c r="J51" s="76"/>
      <c r="K51" s="76"/>
      <c r="L51" s="76"/>
      <c r="M51" s="76"/>
      <c r="N51" s="76"/>
      <c r="O51" s="76"/>
    </row>
    <row r="52" spans="1:20" s="71" customFormat="1" ht="12.75">
      <c r="B52" s="120"/>
      <c r="G52" s="81"/>
      <c r="H52" s="76"/>
      <c r="I52" s="76"/>
      <c r="J52" s="76"/>
      <c r="K52" s="76"/>
      <c r="L52" s="76"/>
      <c r="M52" s="76"/>
      <c r="N52" s="76"/>
      <c r="O52" s="76"/>
    </row>
    <row r="53" spans="1:20" s="71" customFormat="1" ht="12.75">
      <c r="B53" s="134" t="s">
        <v>166</v>
      </c>
      <c r="G53" s="131" t="s">
        <v>146</v>
      </c>
      <c r="H53" s="131" t="s">
        <v>147</v>
      </c>
      <c r="I53" s="131" t="s">
        <v>148</v>
      </c>
      <c r="J53" s="131" t="s">
        <v>149</v>
      </c>
      <c r="K53" s="131" t="s">
        <v>150</v>
      </c>
      <c r="L53" s="131" t="s">
        <v>119</v>
      </c>
      <c r="M53" s="131" t="s">
        <v>151</v>
      </c>
      <c r="N53" s="131" t="s">
        <v>152</v>
      </c>
      <c r="O53" s="131" t="s">
        <v>120</v>
      </c>
      <c r="P53" s="131" t="s">
        <v>153</v>
      </c>
      <c r="Q53" s="131" t="s">
        <v>154</v>
      </c>
      <c r="R53" s="131" t="s">
        <v>155</v>
      </c>
      <c r="S53" s="131" t="s">
        <v>156</v>
      </c>
      <c r="T53" s="131" t="s">
        <v>157</v>
      </c>
    </row>
    <row r="54" spans="1:20" s="71" customFormat="1" ht="12.75">
      <c r="B54" s="135" t="s">
        <v>163</v>
      </c>
      <c r="D54" s="71" t="s">
        <v>138</v>
      </c>
      <c r="G54" s="136">
        <v>0</v>
      </c>
      <c r="H54" s="136">
        <v>0</v>
      </c>
      <c r="I54" s="136">
        <v>0</v>
      </c>
      <c r="J54" s="136">
        <v>0</v>
      </c>
      <c r="K54" s="136">
        <v>0</v>
      </c>
      <c r="L54" s="136">
        <v>0</v>
      </c>
      <c r="M54" s="136">
        <v>0</v>
      </c>
      <c r="N54" s="136">
        <v>0</v>
      </c>
      <c r="O54" s="136">
        <v>0</v>
      </c>
      <c r="P54" s="136">
        <v>0</v>
      </c>
      <c r="Q54" s="136">
        <v>0</v>
      </c>
      <c r="R54" s="136">
        <v>0</v>
      </c>
      <c r="S54" s="136">
        <v>0</v>
      </c>
      <c r="T54" s="136">
        <v>0</v>
      </c>
    </row>
    <row r="55" spans="1:20" s="71" customFormat="1" ht="12.75">
      <c r="B55" s="135" t="s">
        <v>164</v>
      </c>
      <c r="D55" s="71" t="s">
        <v>138</v>
      </c>
      <c r="G55" s="136">
        <v>0</v>
      </c>
      <c r="H55" s="136">
        <v>0</v>
      </c>
      <c r="I55" s="136">
        <v>0</v>
      </c>
      <c r="J55" s="136">
        <v>0</v>
      </c>
      <c r="K55" s="136">
        <v>0</v>
      </c>
      <c r="L55" s="136">
        <v>0</v>
      </c>
      <c r="M55" s="136">
        <v>874693.25192747451</v>
      </c>
      <c r="N55" s="136">
        <v>0</v>
      </c>
      <c r="O55" s="136">
        <v>0</v>
      </c>
      <c r="P55" s="136">
        <v>0</v>
      </c>
      <c r="Q55" s="136">
        <v>1734804.6360736417</v>
      </c>
      <c r="R55" s="136">
        <v>0</v>
      </c>
      <c r="S55" s="136">
        <v>0</v>
      </c>
      <c r="T55" s="136">
        <v>0</v>
      </c>
    </row>
    <row r="56" spans="1:20" s="71" customFormat="1" ht="12.75">
      <c r="B56" s="135" t="s">
        <v>165</v>
      </c>
      <c r="D56" s="71" t="s">
        <v>138</v>
      </c>
      <c r="G56" s="136">
        <v>0</v>
      </c>
      <c r="H56" s="136">
        <v>0</v>
      </c>
      <c r="I56" s="136">
        <v>0</v>
      </c>
      <c r="J56" s="136">
        <v>0</v>
      </c>
      <c r="K56" s="136">
        <v>0</v>
      </c>
      <c r="L56" s="136">
        <v>0</v>
      </c>
      <c r="M56" s="136">
        <v>6997546.0154198091</v>
      </c>
      <c r="N56" s="136">
        <v>0</v>
      </c>
      <c r="O56" s="136">
        <v>0</v>
      </c>
      <c r="P56" s="136">
        <v>0</v>
      </c>
      <c r="Q56" s="136">
        <v>6939218.5442945771</v>
      </c>
      <c r="R56" s="136">
        <v>0</v>
      </c>
      <c r="S56" s="136">
        <v>0</v>
      </c>
      <c r="T56" s="136">
        <v>0</v>
      </c>
    </row>
    <row r="57" spans="1:20" s="71" customFormat="1" ht="12.75">
      <c r="B57" s="135"/>
      <c r="G57" s="81"/>
      <c r="H57" s="76"/>
      <c r="I57" s="76"/>
      <c r="J57" s="76"/>
      <c r="K57" s="76"/>
      <c r="L57" s="76"/>
      <c r="M57" s="76"/>
      <c r="N57" s="76"/>
      <c r="O57" s="76"/>
    </row>
    <row r="58" spans="1:20" s="71" customFormat="1" ht="12.75">
      <c r="B58" s="120" t="s">
        <v>168</v>
      </c>
      <c r="G58" s="81"/>
      <c r="H58" s="76"/>
      <c r="I58" s="76"/>
      <c r="J58" s="76"/>
      <c r="K58" s="76"/>
      <c r="L58" s="76"/>
      <c r="M58" s="76"/>
      <c r="N58" s="76"/>
      <c r="O58" s="76"/>
    </row>
    <row r="59" spans="1:20" s="71" customFormat="1" ht="12.75">
      <c r="B59" s="135"/>
      <c r="G59" s="81"/>
      <c r="H59" s="76"/>
      <c r="I59" s="76"/>
      <c r="J59" s="76"/>
      <c r="K59" s="76"/>
      <c r="L59" s="76"/>
      <c r="M59" s="76"/>
      <c r="N59" s="76"/>
      <c r="O59" s="76"/>
    </row>
    <row r="60" spans="1:20" s="72" customFormat="1" ht="12.75">
      <c r="A60" s="71"/>
      <c r="B60" s="120" t="s">
        <v>158</v>
      </c>
      <c r="G60" s="122"/>
      <c r="H60" s="122"/>
      <c r="I60" s="122"/>
      <c r="J60" s="122"/>
      <c r="K60" s="122"/>
      <c r="L60" s="122"/>
      <c r="M60" s="122"/>
      <c r="N60" s="122"/>
      <c r="O60" s="122"/>
    </row>
    <row r="61" spans="1:20" s="72" customFormat="1" ht="12.75">
      <c r="A61" s="71"/>
      <c r="B61" s="116" t="s">
        <v>136</v>
      </c>
      <c r="G61" s="60" t="s">
        <v>0</v>
      </c>
      <c r="H61" s="60" t="s">
        <v>1</v>
      </c>
      <c r="I61" s="60" t="s">
        <v>2</v>
      </c>
      <c r="J61" s="60" t="s">
        <v>3</v>
      </c>
      <c r="K61" s="60" t="s">
        <v>4</v>
      </c>
      <c r="L61" s="60" t="s">
        <v>5</v>
      </c>
      <c r="M61" s="60" t="s">
        <v>6</v>
      </c>
      <c r="N61" s="60" t="s">
        <v>7</v>
      </c>
      <c r="O61" s="60" t="s">
        <v>8</v>
      </c>
    </row>
    <row r="62" spans="1:20" s="72" customFormat="1" ht="12.75">
      <c r="A62" s="71"/>
      <c r="B62" s="120"/>
      <c r="G62" s="122"/>
      <c r="H62" s="122"/>
      <c r="I62" s="122"/>
      <c r="J62" s="122"/>
      <c r="K62" s="122"/>
      <c r="L62" s="122"/>
      <c r="M62" s="122"/>
      <c r="N62" s="122"/>
      <c r="O62" s="122"/>
    </row>
    <row r="63" spans="1:20" s="72" customFormat="1" ht="12.75">
      <c r="A63" s="71"/>
      <c r="B63" s="117" t="s">
        <v>101</v>
      </c>
      <c r="D63" s="72" t="s">
        <v>138</v>
      </c>
      <c r="G63" s="132">
        <v>20990388.304991439</v>
      </c>
      <c r="H63" s="132">
        <v>29418987.158533704</v>
      </c>
      <c r="I63" s="132">
        <v>59791602.501701988</v>
      </c>
      <c r="J63" s="132">
        <v>307681547.80996424</v>
      </c>
      <c r="K63" s="132">
        <v>336014193.92937016</v>
      </c>
      <c r="L63" s="132">
        <v>17517521.208039686</v>
      </c>
      <c r="M63" s="132">
        <v>286589998.98039615</v>
      </c>
      <c r="N63" s="132">
        <v>17863570.958053868</v>
      </c>
      <c r="O63" s="9">
        <v>5934473.0550437467</v>
      </c>
      <c r="Q63" s="72" t="s">
        <v>169</v>
      </c>
    </row>
    <row r="64" spans="1:20" s="72" customFormat="1" ht="12.75">
      <c r="B64" s="76"/>
      <c r="G64" s="122"/>
      <c r="H64" s="122"/>
      <c r="I64" s="122"/>
      <c r="J64" s="122"/>
      <c r="K64" s="122"/>
      <c r="L64" s="122"/>
      <c r="M64" s="122"/>
      <c r="N64" s="122"/>
      <c r="O64" s="122"/>
    </row>
    <row r="65" spans="1:17" s="71" customFormat="1" ht="12.75">
      <c r="B65" s="120"/>
      <c r="G65" s="81"/>
      <c r="H65" s="76"/>
      <c r="I65" s="76"/>
      <c r="J65" s="76"/>
      <c r="K65" s="76"/>
      <c r="L65" s="76"/>
      <c r="M65" s="76"/>
      <c r="N65" s="76"/>
      <c r="O65" s="76"/>
    </row>
    <row r="66" spans="1:17" s="12" customFormat="1" ht="12.75">
      <c r="B66" s="11" t="s">
        <v>171</v>
      </c>
    </row>
    <row r="67" spans="1:17" s="76" customFormat="1" ht="12.75">
      <c r="G67" s="78"/>
      <c r="H67" s="78"/>
      <c r="I67" s="78"/>
      <c r="J67" s="78"/>
      <c r="K67" s="78"/>
      <c r="L67" s="78"/>
      <c r="M67" s="78"/>
      <c r="N67" s="78"/>
      <c r="O67" s="78"/>
      <c r="Q67" s="79"/>
    </row>
    <row r="68" spans="1:17" s="72" customFormat="1" ht="12.75">
      <c r="A68" s="71"/>
      <c r="B68" s="72" t="s">
        <v>172</v>
      </c>
      <c r="D68" s="72" t="s">
        <v>138</v>
      </c>
      <c r="G68" s="13">
        <f>G63-G33</f>
        <v>-110778.91231259704</v>
      </c>
      <c r="H68" s="13">
        <f t="shared" ref="H68:O68" si="0">H63-H33</f>
        <v>24482.6690178141</v>
      </c>
      <c r="I68" s="13">
        <f t="shared" si="0"/>
        <v>0</v>
      </c>
      <c r="J68" s="13">
        <f t="shared" si="0"/>
        <v>0</v>
      </c>
      <c r="K68" s="13">
        <f>K63-K33</f>
        <v>4832517.476952374</v>
      </c>
      <c r="L68" s="13">
        <f t="shared" si="0"/>
        <v>-71582.494458671659</v>
      </c>
      <c r="M68" s="13">
        <f t="shared" si="0"/>
        <v>-178579.29108756781</v>
      </c>
      <c r="N68" s="13">
        <f t="shared" si="0"/>
        <v>3677.9021943695843</v>
      </c>
      <c r="O68" s="13">
        <f t="shared" si="0"/>
        <v>1288.0028334334493</v>
      </c>
    </row>
    <row r="69" spans="1:17" s="72" customFormat="1" ht="12.75">
      <c r="B69" s="114"/>
      <c r="G69" s="115"/>
      <c r="H69" s="115"/>
      <c r="I69" s="115"/>
      <c r="J69" s="115"/>
      <c r="K69" s="115"/>
      <c r="L69" s="115"/>
      <c r="M69" s="115"/>
      <c r="N69" s="115"/>
    </row>
    <row r="70" spans="1:17" s="71" customFormat="1" ht="12.75">
      <c r="B70" s="120"/>
      <c r="G70" s="81"/>
      <c r="H70" s="76"/>
      <c r="I70" s="76"/>
      <c r="J70" s="76"/>
      <c r="K70" s="76"/>
      <c r="L70" s="76"/>
      <c r="M70" s="76"/>
      <c r="N70" s="76"/>
      <c r="O70" s="76"/>
    </row>
    <row r="71" spans="1:17" s="71" customFormat="1" ht="12.75">
      <c r="B71" s="120"/>
      <c r="G71" s="81"/>
      <c r="H71" s="76"/>
      <c r="I71" s="76"/>
      <c r="J71" s="76"/>
      <c r="K71" s="76"/>
      <c r="L71" s="76"/>
      <c r="M71" s="76"/>
      <c r="N71" s="76"/>
      <c r="O71" s="76"/>
    </row>
    <row r="72" spans="1:17" s="71" customFormat="1" ht="12.75">
      <c r="B72" s="120"/>
      <c r="G72" s="81"/>
      <c r="H72" s="76"/>
      <c r="I72" s="76"/>
      <c r="J72" s="76"/>
      <c r="K72" s="76"/>
      <c r="L72" s="76"/>
      <c r="M72" s="76"/>
      <c r="N72" s="76"/>
      <c r="O72" s="7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Q126"/>
  <sheetViews>
    <sheetView showGridLines="0" zoomScale="80" zoomScaleNormal="80" workbookViewId="0">
      <pane xSplit="4" ySplit="2" topLeftCell="E3" activePane="bottomRight" state="frozen"/>
      <selection pane="topRight" activeCell="E1" sqref="E1"/>
      <selection pane="bottomLeft" activeCell="A3" sqref="A3"/>
      <selection pane="bottomRight"/>
    </sheetView>
  </sheetViews>
  <sheetFormatPr defaultRowHeight="15"/>
  <cols>
    <col min="1" max="1" width="4.85546875" style="123" customWidth="1"/>
    <col min="2" max="2" width="62.140625" style="123" customWidth="1"/>
    <col min="3" max="3" width="4.5703125" style="123" customWidth="1"/>
    <col min="4" max="4" width="21.140625" style="123" customWidth="1"/>
    <col min="5" max="5" width="16.140625" style="123" customWidth="1"/>
    <col min="6" max="6" width="2.7109375" style="123" customWidth="1"/>
    <col min="7" max="15" width="17.140625" style="123" customWidth="1"/>
    <col min="16" max="16384" width="9.140625" style="123"/>
  </cols>
  <sheetData>
    <row r="2" spans="2:15" s="58" customFormat="1" ht="15.75">
      <c r="B2" s="148" t="s">
        <v>174</v>
      </c>
      <c r="C2" s="148"/>
      <c r="D2" s="148"/>
      <c r="E2" s="148"/>
      <c r="G2" s="14" t="s">
        <v>0</v>
      </c>
      <c r="H2" s="14" t="s">
        <v>1</v>
      </c>
      <c r="I2" s="14" t="s">
        <v>2</v>
      </c>
      <c r="J2" s="14" t="s">
        <v>3</v>
      </c>
      <c r="K2" s="14" t="s">
        <v>4</v>
      </c>
      <c r="L2" s="14" t="s">
        <v>5</v>
      </c>
      <c r="M2" s="14" t="s">
        <v>6</v>
      </c>
      <c r="N2" s="14" t="s">
        <v>7</v>
      </c>
      <c r="O2" s="14" t="s">
        <v>8</v>
      </c>
    </row>
    <row r="4" spans="2:15" s="19" customFormat="1" ht="12.75">
      <c r="B4" s="34" t="s">
        <v>33</v>
      </c>
    </row>
    <row r="5" spans="2:15" s="35" customFormat="1" ht="12.75"/>
    <row r="6" spans="2:15" s="35" customFormat="1" ht="30.75" customHeight="1">
      <c r="B6" s="180" t="s">
        <v>236</v>
      </c>
      <c r="C6" s="180"/>
      <c r="D6" s="180"/>
      <c r="E6" s="180"/>
      <c r="F6" s="180"/>
      <c r="G6" s="180"/>
      <c r="H6" s="180"/>
      <c r="I6" s="180"/>
      <c r="J6" s="180"/>
      <c r="K6" s="180"/>
      <c r="L6" s="180"/>
    </row>
    <row r="7" spans="2:15" s="35" customFormat="1" ht="12.75">
      <c r="B7" s="174"/>
      <c r="C7" s="138"/>
      <c r="D7" s="138"/>
      <c r="E7" s="138"/>
      <c r="F7" s="175"/>
      <c r="G7" s="175"/>
      <c r="H7" s="175"/>
      <c r="I7" s="175"/>
      <c r="J7" s="175"/>
      <c r="K7" s="175"/>
      <c r="L7" s="175"/>
    </row>
    <row r="8" spans="2:15" s="35" customFormat="1" ht="12.75">
      <c r="B8" s="180" t="s">
        <v>231</v>
      </c>
      <c r="C8" s="180"/>
      <c r="D8" s="180"/>
      <c r="E8" s="180"/>
      <c r="F8" s="180"/>
      <c r="G8" s="180"/>
      <c r="H8" s="180"/>
      <c r="I8" s="180"/>
      <c r="J8" s="180"/>
      <c r="K8" s="180"/>
      <c r="L8" s="180"/>
    </row>
    <row r="9" spans="2:15" s="35" customFormat="1" ht="12.75">
      <c r="B9" s="174"/>
      <c r="C9" s="138"/>
      <c r="D9" s="138"/>
      <c r="E9" s="138"/>
      <c r="F9" s="175"/>
      <c r="G9" s="175"/>
      <c r="H9" s="175"/>
      <c r="I9" s="175"/>
      <c r="J9" s="175"/>
      <c r="K9" s="175"/>
      <c r="L9" s="175"/>
    </row>
    <row r="10" spans="2:15" s="35" customFormat="1" ht="42.75" customHeight="1">
      <c r="B10" s="181" t="s">
        <v>232</v>
      </c>
      <c r="C10" s="181"/>
      <c r="D10" s="181"/>
      <c r="E10" s="181"/>
      <c r="F10" s="181"/>
      <c r="G10" s="181"/>
      <c r="H10" s="181"/>
      <c r="I10" s="181"/>
      <c r="J10" s="181"/>
      <c r="K10" s="181"/>
      <c r="L10" s="181"/>
    </row>
    <row r="11" spans="2:15" s="35" customFormat="1" ht="12.75">
      <c r="B11" s="141"/>
      <c r="C11" s="142"/>
    </row>
    <row r="12" spans="2:15" s="19" customFormat="1" ht="12.75">
      <c r="B12" s="34" t="s">
        <v>54</v>
      </c>
    </row>
    <row r="13" spans="2:15" s="35" customFormat="1" ht="12.75">
      <c r="B13" s="143"/>
      <c r="C13" s="144"/>
    </row>
    <row r="14" spans="2:15" s="35" customFormat="1" ht="12.75">
      <c r="B14" s="145" t="s">
        <v>175</v>
      </c>
    </row>
    <row r="15" spans="2:15" s="35" customFormat="1" ht="12.75">
      <c r="B15" s="145"/>
    </row>
    <row r="16" spans="2:15" s="35" customFormat="1" ht="12.75">
      <c r="B16" s="145" t="s">
        <v>176</v>
      </c>
    </row>
    <row r="17" spans="2:17" s="35" customFormat="1" ht="12.75">
      <c r="B17" s="145"/>
    </row>
    <row r="18" spans="2:17" s="35" customFormat="1" ht="12.75">
      <c r="B18" s="149" t="s">
        <v>55</v>
      </c>
      <c r="D18" s="146"/>
      <c r="E18" s="146"/>
    </row>
    <row r="19" spans="2:17" s="35" customFormat="1" ht="12.75">
      <c r="B19" s="18" t="s">
        <v>56</v>
      </c>
      <c r="D19" s="35" t="s">
        <v>117</v>
      </c>
      <c r="G19" s="132">
        <v>0</v>
      </c>
      <c r="H19" s="132">
        <v>7.333333333333333</v>
      </c>
      <c r="I19" s="132">
        <v>28.666666666666668</v>
      </c>
      <c r="J19" s="132">
        <v>18</v>
      </c>
      <c r="K19" s="132">
        <v>51.333333333333336</v>
      </c>
      <c r="L19" s="132">
        <v>1</v>
      </c>
      <c r="M19" s="132">
        <v>54.333333333333336</v>
      </c>
      <c r="N19" s="132">
        <v>0</v>
      </c>
      <c r="O19" s="132">
        <v>0</v>
      </c>
      <c r="Q19" s="35" t="s">
        <v>230</v>
      </c>
    </row>
    <row r="20" spans="2:17" s="35" customFormat="1" ht="12.75">
      <c r="B20" s="18" t="s">
        <v>57</v>
      </c>
      <c r="D20" s="35" t="s">
        <v>117</v>
      </c>
      <c r="G20" s="132">
        <v>0</v>
      </c>
      <c r="H20" s="132">
        <v>31.666666666666668</v>
      </c>
      <c r="I20" s="132">
        <v>509.66666666666669</v>
      </c>
      <c r="J20" s="132">
        <v>578.33333333333337</v>
      </c>
      <c r="K20" s="132">
        <v>926.33333333333337</v>
      </c>
      <c r="L20" s="132">
        <v>23</v>
      </c>
      <c r="M20" s="132">
        <v>901.66666666666663</v>
      </c>
      <c r="N20" s="132">
        <v>21.333333333333332</v>
      </c>
      <c r="O20" s="132">
        <v>0</v>
      </c>
    </row>
    <row r="21" spans="2:17" s="35" customFormat="1" ht="12.75">
      <c r="B21" s="18" t="s">
        <v>58</v>
      </c>
      <c r="D21" s="35" t="s">
        <v>117</v>
      </c>
      <c r="G21" s="132">
        <v>22.666666666666668</v>
      </c>
      <c r="H21" s="132">
        <v>22</v>
      </c>
      <c r="I21" s="132">
        <v>248.33333333333334</v>
      </c>
      <c r="J21" s="132">
        <v>475.33333333333331</v>
      </c>
      <c r="K21" s="132">
        <v>-2022.6666666666667</v>
      </c>
      <c r="L21" s="132">
        <v>39</v>
      </c>
      <c r="M21" s="132">
        <v>1163</v>
      </c>
      <c r="N21" s="132">
        <v>0</v>
      </c>
      <c r="O21" s="132">
        <v>0</v>
      </c>
    </row>
    <row r="22" spans="2:17" s="35" customFormat="1" ht="12.75">
      <c r="B22" s="18" t="s">
        <v>59</v>
      </c>
      <c r="D22" s="35" t="s">
        <v>117</v>
      </c>
      <c r="G22" s="132">
        <v>13.666666666666666</v>
      </c>
      <c r="H22" s="132">
        <v>12.666666666666666</v>
      </c>
      <c r="I22" s="132">
        <v>-88.666666666666671</v>
      </c>
      <c r="J22" s="132">
        <v>-7.333333333333333</v>
      </c>
      <c r="K22" s="132">
        <v>872.66666666666663</v>
      </c>
      <c r="L22" s="132">
        <v>5</v>
      </c>
      <c r="M22" s="132">
        <v>-90.666666666666671</v>
      </c>
      <c r="N22" s="132">
        <v>-17.333333333333332</v>
      </c>
      <c r="O22" s="132">
        <v>0</v>
      </c>
    </row>
    <row r="23" spans="2:17" s="35" customFormat="1" ht="12.75">
      <c r="B23" s="18" t="s">
        <v>60</v>
      </c>
      <c r="D23" s="35" t="s">
        <v>117</v>
      </c>
      <c r="G23" s="132">
        <v>-36.333333333333336</v>
      </c>
      <c r="H23" s="132">
        <v>-63</v>
      </c>
      <c r="I23" s="132">
        <v>-541.33333333333337</v>
      </c>
      <c r="J23" s="132">
        <v>-1050</v>
      </c>
      <c r="K23" s="132">
        <v>-732.66666666666663</v>
      </c>
      <c r="L23" s="132">
        <v>-44</v>
      </c>
      <c r="M23" s="132">
        <v>-1529.6666666666667</v>
      </c>
      <c r="N23" s="132">
        <v>-3.3333333333333335</v>
      </c>
      <c r="O23" s="132">
        <v>0</v>
      </c>
    </row>
    <row r="24" spans="2:17" s="35" customFormat="1" ht="12.75">
      <c r="B24" s="18" t="s">
        <v>61</v>
      </c>
      <c r="D24" s="35" t="s">
        <v>117</v>
      </c>
      <c r="G24" s="132">
        <v>0</v>
      </c>
      <c r="H24" s="132">
        <v>-10.666666666666666</v>
      </c>
      <c r="I24" s="132">
        <v>-156.66666666666666</v>
      </c>
      <c r="J24" s="132">
        <v>-14.333333333333334</v>
      </c>
      <c r="K24" s="132">
        <v>905</v>
      </c>
      <c r="L24" s="132">
        <v>-24</v>
      </c>
      <c r="M24" s="132">
        <v>-498.66666666666669</v>
      </c>
      <c r="N24" s="132">
        <v>-0.66666666666666663</v>
      </c>
      <c r="O24" s="132">
        <v>0</v>
      </c>
    </row>
    <row r="25" spans="2:17" s="35" customFormat="1" ht="12.75">
      <c r="B25" s="18"/>
      <c r="G25" s="57"/>
      <c r="H25" s="57"/>
      <c r="I25" s="57"/>
      <c r="J25" s="57"/>
      <c r="K25" s="57"/>
      <c r="L25" s="57"/>
      <c r="M25" s="57"/>
      <c r="N25" s="57"/>
      <c r="O25" s="57"/>
    </row>
    <row r="26" spans="2:17" s="35" customFormat="1" ht="12.75">
      <c r="B26" s="149" t="s">
        <v>62</v>
      </c>
    </row>
    <row r="27" spans="2:17" s="35" customFormat="1" ht="12.75">
      <c r="B27" s="18" t="s">
        <v>63</v>
      </c>
      <c r="D27" s="35" t="s">
        <v>117</v>
      </c>
      <c r="G27" s="154">
        <v>0</v>
      </c>
      <c r="H27" s="154">
        <v>0</v>
      </c>
      <c r="I27" s="154">
        <v>0</v>
      </c>
      <c r="J27" s="154">
        <v>0</v>
      </c>
      <c r="K27" s="154">
        <v>0</v>
      </c>
      <c r="L27" s="154">
        <v>0</v>
      </c>
      <c r="M27" s="154">
        <v>0</v>
      </c>
      <c r="N27" s="154">
        <v>0</v>
      </c>
      <c r="O27" s="154">
        <v>0</v>
      </c>
    </row>
    <row r="28" spans="2:17" s="35" customFormat="1" ht="12.75">
      <c r="B28" s="18"/>
    </row>
    <row r="29" spans="2:17" s="35" customFormat="1" ht="12.75">
      <c r="B29" s="149" t="s">
        <v>177</v>
      </c>
      <c r="D29" s="146"/>
      <c r="E29" s="146"/>
    </row>
    <row r="30" spans="2:17" s="35" customFormat="1" ht="12.75">
      <c r="B30" s="18" t="s">
        <v>64</v>
      </c>
      <c r="D30" s="35" t="s">
        <v>117</v>
      </c>
      <c r="G30" s="132">
        <v>22.666666666666668</v>
      </c>
      <c r="H30" s="132">
        <v>61</v>
      </c>
      <c r="I30" s="132">
        <v>786.66666666666663</v>
      </c>
      <c r="J30" s="132">
        <v>906.33333333333337</v>
      </c>
      <c r="K30" s="132">
        <v>-1045</v>
      </c>
      <c r="L30" s="132">
        <v>63</v>
      </c>
      <c r="M30" s="132">
        <v>2119</v>
      </c>
      <c r="N30" s="132">
        <v>21.333333333333332</v>
      </c>
      <c r="O30" s="132">
        <v>0</v>
      </c>
    </row>
    <row r="31" spans="2:17" s="35" customFormat="1" ht="12.75">
      <c r="B31" s="18" t="s">
        <v>65</v>
      </c>
      <c r="D31" s="35" t="s">
        <v>117</v>
      </c>
      <c r="G31" s="154">
        <v>13.666666666666666</v>
      </c>
      <c r="H31" s="154">
        <v>12.666666666666666</v>
      </c>
      <c r="I31" s="154">
        <v>-88.666666666666671</v>
      </c>
      <c r="J31" s="154">
        <v>-7.333333333333333</v>
      </c>
      <c r="K31" s="154">
        <v>872.66666666666663</v>
      </c>
      <c r="L31" s="154">
        <v>5</v>
      </c>
      <c r="M31" s="154">
        <v>-90.666666666666671</v>
      </c>
      <c r="N31" s="154">
        <v>-17.333333333333332</v>
      </c>
      <c r="O31" s="154">
        <v>0</v>
      </c>
    </row>
    <row r="32" spans="2:17" s="35" customFormat="1" ht="12.75">
      <c r="B32" s="18" t="s">
        <v>66</v>
      </c>
      <c r="D32" s="35" t="s">
        <v>117</v>
      </c>
      <c r="G32" s="132">
        <v>-36.333333333333336</v>
      </c>
      <c r="H32" s="132">
        <v>-63</v>
      </c>
      <c r="I32" s="132">
        <v>-541.33333333333337</v>
      </c>
      <c r="J32" s="132">
        <v>-1050</v>
      </c>
      <c r="K32" s="132">
        <v>-732.66666666666663</v>
      </c>
      <c r="L32" s="132">
        <v>-44</v>
      </c>
      <c r="M32" s="132">
        <v>-1529.6666666666667</v>
      </c>
      <c r="N32" s="132">
        <v>-3.3333333333333335</v>
      </c>
      <c r="O32" s="132">
        <v>0</v>
      </c>
    </row>
    <row r="33" spans="2:17" s="35" customFormat="1" ht="12.75">
      <c r="B33" s="18" t="s">
        <v>67</v>
      </c>
      <c r="D33" s="35" t="s">
        <v>117</v>
      </c>
      <c r="G33" s="132">
        <v>0</v>
      </c>
      <c r="H33" s="132">
        <v>-10.666666666666666</v>
      </c>
      <c r="I33" s="132">
        <v>-156.66666666666666</v>
      </c>
      <c r="J33" s="132">
        <v>-14.333333333333334</v>
      </c>
      <c r="K33" s="132">
        <v>905</v>
      </c>
      <c r="L33" s="132">
        <v>-24</v>
      </c>
      <c r="M33" s="132">
        <v>-498.66666666666669</v>
      </c>
      <c r="N33" s="132">
        <v>-0.66666666666666663</v>
      </c>
      <c r="O33" s="132">
        <v>0</v>
      </c>
    </row>
    <row r="34" spans="2:17" s="35" customFormat="1" ht="12.75"/>
    <row r="35" spans="2:17" s="35" customFormat="1" ht="12.75">
      <c r="B35" s="146" t="s">
        <v>69</v>
      </c>
    </row>
    <row r="36" spans="2:17" s="35" customFormat="1" ht="12.75"/>
    <row r="37" spans="2:17" s="35" customFormat="1" ht="12.75">
      <c r="B37" s="149" t="s">
        <v>55</v>
      </c>
      <c r="D37" s="146"/>
      <c r="E37" s="151" t="s">
        <v>68</v>
      </c>
    </row>
    <row r="38" spans="2:17" s="35" customFormat="1" ht="12.75">
      <c r="B38" s="119" t="s">
        <v>178</v>
      </c>
      <c r="D38" s="146"/>
      <c r="E38" s="151"/>
      <c r="G38" s="133">
        <v>21.98</v>
      </c>
      <c r="H38" s="133">
        <v>23.76</v>
      </c>
      <c r="I38" s="133">
        <v>21.972999999999999</v>
      </c>
      <c r="J38" s="133">
        <v>24.3489</v>
      </c>
      <c r="K38" s="133">
        <v>24.8565</v>
      </c>
      <c r="L38" s="133">
        <v>33.130000000000003</v>
      </c>
      <c r="M38" s="133">
        <v>25.351300000000002</v>
      </c>
      <c r="N38" s="133">
        <v>19.310099999999998</v>
      </c>
      <c r="O38" s="133">
        <v>0</v>
      </c>
      <c r="Q38" s="35" t="s">
        <v>189</v>
      </c>
    </row>
    <row r="39" spans="2:17" s="35" customFormat="1" ht="12.75">
      <c r="B39" s="18" t="s">
        <v>56</v>
      </c>
      <c r="D39" s="35" t="s">
        <v>180</v>
      </c>
      <c r="E39" s="152">
        <v>1.5</v>
      </c>
      <c r="G39" s="153">
        <f>$E39*G$38</f>
        <v>32.97</v>
      </c>
      <c r="H39" s="153">
        <f t="shared" ref="H39:O39" si="0">$E39*H$38</f>
        <v>35.64</v>
      </c>
      <c r="I39" s="153">
        <f t="shared" si="0"/>
        <v>32.959499999999998</v>
      </c>
      <c r="J39" s="153">
        <f t="shared" si="0"/>
        <v>36.523350000000001</v>
      </c>
      <c r="K39" s="153">
        <f t="shared" si="0"/>
        <v>37.284750000000003</v>
      </c>
      <c r="L39" s="153">
        <f t="shared" si="0"/>
        <v>49.695000000000007</v>
      </c>
      <c r="M39" s="153">
        <f t="shared" si="0"/>
        <v>38.026949999999999</v>
      </c>
      <c r="N39" s="153">
        <f t="shared" si="0"/>
        <v>28.965149999999998</v>
      </c>
      <c r="O39" s="153">
        <f t="shared" si="0"/>
        <v>0</v>
      </c>
    </row>
    <row r="40" spans="2:17" s="35" customFormat="1" ht="12.75">
      <c r="B40" s="18" t="s">
        <v>57</v>
      </c>
      <c r="D40" s="35" t="s">
        <v>180</v>
      </c>
      <c r="E40" s="152">
        <v>3</v>
      </c>
      <c r="G40" s="153">
        <f t="shared" ref="G40:O44" si="1">$E40*G$38</f>
        <v>65.94</v>
      </c>
      <c r="H40" s="153">
        <f t="shared" si="1"/>
        <v>71.28</v>
      </c>
      <c r="I40" s="153">
        <f t="shared" si="1"/>
        <v>65.918999999999997</v>
      </c>
      <c r="J40" s="153">
        <f t="shared" si="1"/>
        <v>73.046700000000001</v>
      </c>
      <c r="K40" s="153">
        <f t="shared" si="1"/>
        <v>74.569500000000005</v>
      </c>
      <c r="L40" s="153">
        <f t="shared" si="1"/>
        <v>99.390000000000015</v>
      </c>
      <c r="M40" s="153">
        <f t="shared" si="1"/>
        <v>76.053899999999999</v>
      </c>
      <c r="N40" s="153">
        <f t="shared" si="1"/>
        <v>57.930299999999995</v>
      </c>
      <c r="O40" s="153">
        <f t="shared" si="1"/>
        <v>0</v>
      </c>
    </row>
    <row r="41" spans="2:17" s="35" customFormat="1" ht="12.75">
      <c r="B41" s="18" t="s">
        <v>58</v>
      </c>
      <c r="D41" s="35" t="s">
        <v>180</v>
      </c>
      <c r="E41" s="152">
        <v>6</v>
      </c>
      <c r="G41" s="153">
        <f t="shared" si="1"/>
        <v>131.88</v>
      </c>
      <c r="H41" s="153">
        <f t="shared" si="1"/>
        <v>142.56</v>
      </c>
      <c r="I41" s="153">
        <f t="shared" si="1"/>
        <v>131.83799999999999</v>
      </c>
      <c r="J41" s="153">
        <f t="shared" si="1"/>
        <v>146.0934</v>
      </c>
      <c r="K41" s="153">
        <f t="shared" si="1"/>
        <v>149.13900000000001</v>
      </c>
      <c r="L41" s="153">
        <f t="shared" si="1"/>
        <v>198.78000000000003</v>
      </c>
      <c r="M41" s="153">
        <f t="shared" si="1"/>
        <v>152.1078</v>
      </c>
      <c r="N41" s="153">
        <f t="shared" si="1"/>
        <v>115.86059999999999</v>
      </c>
      <c r="O41" s="153">
        <f t="shared" si="1"/>
        <v>0</v>
      </c>
    </row>
    <row r="42" spans="2:17" s="35" customFormat="1" ht="12.75">
      <c r="B42" s="18" t="s">
        <v>59</v>
      </c>
      <c r="D42" s="35" t="s">
        <v>180</v>
      </c>
      <c r="E42" s="152">
        <v>10</v>
      </c>
      <c r="G42" s="153">
        <f t="shared" si="1"/>
        <v>219.8</v>
      </c>
      <c r="H42" s="153">
        <f t="shared" si="1"/>
        <v>237.60000000000002</v>
      </c>
      <c r="I42" s="153">
        <f t="shared" si="1"/>
        <v>219.73</v>
      </c>
      <c r="J42" s="153">
        <f t="shared" si="1"/>
        <v>243.489</v>
      </c>
      <c r="K42" s="153">
        <f t="shared" si="1"/>
        <v>248.565</v>
      </c>
      <c r="L42" s="153">
        <f t="shared" si="1"/>
        <v>331.3</v>
      </c>
      <c r="M42" s="153">
        <f t="shared" si="1"/>
        <v>253.51300000000003</v>
      </c>
      <c r="N42" s="153">
        <f t="shared" si="1"/>
        <v>193.101</v>
      </c>
      <c r="O42" s="153">
        <f t="shared" si="1"/>
        <v>0</v>
      </c>
    </row>
    <row r="43" spans="2:17" s="35" customFormat="1" ht="12.75">
      <c r="B43" s="18" t="s">
        <v>60</v>
      </c>
      <c r="D43" s="35" t="s">
        <v>180</v>
      </c>
      <c r="E43" s="152">
        <v>16</v>
      </c>
      <c r="G43" s="153">
        <f t="shared" si="1"/>
        <v>351.68</v>
      </c>
      <c r="H43" s="153">
        <f t="shared" si="1"/>
        <v>380.16</v>
      </c>
      <c r="I43" s="153">
        <f t="shared" si="1"/>
        <v>351.56799999999998</v>
      </c>
      <c r="J43" s="153">
        <f t="shared" si="1"/>
        <v>389.58240000000001</v>
      </c>
      <c r="K43" s="153">
        <f t="shared" si="1"/>
        <v>397.70400000000001</v>
      </c>
      <c r="L43" s="153">
        <f t="shared" si="1"/>
        <v>530.08000000000004</v>
      </c>
      <c r="M43" s="153">
        <f t="shared" si="1"/>
        <v>405.62080000000003</v>
      </c>
      <c r="N43" s="153">
        <f t="shared" si="1"/>
        <v>308.96159999999998</v>
      </c>
      <c r="O43" s="153">
        <f t="shared" si="1"/>
        <v>0</v>
      </c>
    </row>
    <row r="44" spans="2:17" s="35" customFormat="1" ht="12.75">
      <c r="B44" s="18" t="s">
        <v>61</v>
      </c>
      <c r="D44" s="35" t="s">
        <v>180</v>
      </c>
      <c r="E44" s="152">
        <v>25</v>
      </c>
      <c r="G44" s="153">
        <f t="shared" si="1"/>
        <v>549.5</v>
      </c>
      <c r="H44" s="153">
        <f t="shared" si="1"/>
        <v>594</v>
      </c>
      <c r="I44" s="153">
        <f t="shared" si="1"/>
        <v>549.32499999999993</v>
      </c>
      <c r="J44" s="153">
        <f t="shared" si="1"/>
        <v>608.72249999999997</v>
      </c>
      <c r="K44" s="153">
        <f t="shared" si="1"/>
        <v>621.41250000000002</v>
      </c>
      <c r="L44" s="153">
        <f t="shared" si="1"/>
        <v>828.25000000000011</v>
      </c>
      <c r="M44" s="153">
        <f t="shared" si="1"/>
        <v>633.78250000000003</v>
      </c>
      <c r="N44" s="153">
        <f t="shared" si="1"/>
        <v>482.75249999999994</v>
      </c>
      <c r="O44" s="153">
        <f t="shared" si="1"/>
        <v>0</v>
      </c>
    </row>
    <row r="45" spans="2:17" s="35" customFormat="1" ht="12.75">
      <c r="B45" s="18"/>
      <c r="G45" s="150"/>
      <c r="H45" s="150"/>
      <c r="I45" s="150"/>
      <c r="J45" s="150"/>
      <c r="K45" s="150"/>
      <c r="L45" s="150"/>
      <c r="M45" s="150"/>
      <c r="N45" s="150"/>
      <c r="O45" s="150"/>
    </row>
    <row r="46" spans="2:17" s="35" customFormat="1" ht="12.75">
      <c r="B46" s="149" t="s">
        <v>62</v>
      </c>
      <c r="G46" s="155"/>
      <c r="H46" s="155"/>
      <c r="I46" s="155"/>
      <c r="J46" s="155"/>
      <c r="K46" s="155"/>
      <c r="L46" s="155"/>
      <c r="M46" s="155"/>
      <c r="N46" s="155"/>
      <c r="O46" s="155"/>
    </row>
    <row r="47" spans="2:17" s="35" customFormat="1" ht="12.75">
      <c r="B47" s="18" t="s">
        <v>63</v>
      </c>
      <c r="D47" s="35" t="s">
        <v>180</v>
      </c>
      <c r="G47" s="156">
        <v>18</v>
      </c>
      <c r="H47" s="156">
        <v>18</v>
      </c>
      <c r="I47" s="156">
        <v>17.994499999999999</v>
      </c>
      <c r="J47" s="156">
        <v>18</v>
      </c>
      <c r="K47" s="156">
        <v>17.994499999999999</v>
      </c>
      <c r="L47" s="156">
        <v>18</v>
      </c>
      <c r="M47" s="156">
        <v>18</v>
      </c>
      <c r="N47" s="156">
        <v>18</v>
      </c>
      <c r="O47" s="156">
        <v>0</v>
      </c>
      <c r="Q47" s="35" t="s">
        <v>189</v>
      </c>
    </row>
    <row r="48" spans="2:17" s="35" customFormat="1" ht="12.75">
      <c r="B48" s="18"/>
      <c r="G48" s="155"/>
      <c r="H48" s="155"/>
      <c r="I48" s="155"/>
      <c r="J48" s="155"/>
      <c r="K48" s="155"/>
      <c r="L48" s="155"/>
      <c r="M48" s="155"/>
      <c r="N48" s="155"/>
      <c r="O48" s="155"/>
    </row>
    <row r="49" spans="2:17" s="35" customFormat="1" ht="12.75">
      <c r="B49" s="149" t="s">
        <v>177</v>
      </c>
      <c r="D49" s="146"/>
      <c r="E49" s="146"/>
      <c r="G49" s="155"/>
      <c r="H49" s="155"/>
      <c r="I49" s="155"/>
      <c r="J49" s="155"/>
      <c r="K49" s="155"/>
      <c r="L49" s="155"/>
      <c r="M49" s="155"/>
      <c r="N49" s="155"/>
      <c r="O49" s="155"/>
    </row>
    <row r="50" spans="2:17" s="35" customFormat="1" ht="12.75">
      <c r="B50" s="18" t="s">
        <v>64</v>
      </c>
      <c r="D50" s="35" t="s">
        <v>180</v>
      </c>
      <c r="G50" s="133">
        <v>16.23</v>
      </c>
      <c r="H50" s="133">
        <v>16.68</v>
      </c>
      <c r="I50" s="133">
        <v>19.673500000000001</v>
      </c>
      <c r="J50" s="133">
        <v>16.16</v>
      </c>
      <c r="K50" s="133">
        <v>19.783000000000001</v>
      </c>
      <c r="L50" s="133">
        <v>16.5</v>
      </c>
      <c r="M50" s="133">
        <v>19.9009</v>
      </c>
      <c r="N50" s="133">
        <v>9.9499999999999993</v>
      </c>
      <c r="O50" s="133">
        <v>0</v>
      </c>
      <c r="Q50" s="35" t="s">
        <v>189</v>
      </c>
    </row>
    <row r="51" spans="2:17" s="35" customFormat="1" ht="12.75">
      <c r="B51" s="18" t="s">
        <v>65</v>
      </c>
      <c r="D51" s="35" t="s">
        <v>180</v>
      </c>
      <c r="G51" s="156">
        <v>36.68</v>
      </c>
      <c r="H51" s="156">
        <v>33.36</v>
      </c>
      <c r="I51" s="156">
        <v>44.274500000000003</v>
      </c>
      <c r="J51" s="156">
        <v>27.83</v>
      </c>
      <c r="K51" s="156">
        <v>36.974499999999999</v>
      </c>
      <c r="L51" s="156">
        <v>38.799999999999997</v>
      </c>
      <c r="M51" s="156">
        <v>41.245899999999999</v>
      </c>
      <c r="N51" s="156">
        <v>9.9499999999999993</v>
      </c>
      <c r="O51" s="156">
        <v>0</v>
      </c>
    </row>
    <row r="52" spans="2:17" s="35" customFormat="1" ht="12.75">
      <c r="B52" s="18" t="s">
        <v>66</v>
      </c>
      <c r="D52" s="35" t="s">
        <v>180</v>
      </c>
      <c r="G52" s="133">
        <v>36.76</v>
      </c>
      <c r="H52" s="133">
        <v>36.119999999999997</v>
      </c>
      <c r="I52" s="133">
        <v>44.274500000000003</v>
      </c>
      <c r="J52" s="133">
        <v>27.83</v>
      </c>
      <c r="K52" s="133">
        <v>38.4345</v>
      </c>
      <c r="L52" s="133">
        <v>38.799999999999997</v>
      </c>
      <c r="M52" s="133">
        <v>41.245899999999999</v>
      </c>
      <c r="N52" s="133">
        <v>9.9499999999999993</v>
      </c>
      <c r="O52" s="133">
        <v>0</v>
      </c>
    </row>
    <row r="53" spans="2:17" s="35" customFormat="1" ht="12.75">
      <c r="B53" s="18" t="s">
        <v>67</v>
      </c>
      <c r="D53" s="35" t="s">
        <v>180</v>
      </c>
      <c r="G53" s="133">
        <v>45.89</v>
      </c>
      <c r="H53" s="133">
        <v>59.88</v>
      </c>
      <c r="I53" s="133">
        <v>59.933000000000007</v>
      </c>
      <c r="J53" s="133">
        <v>34.81</v>
      </c>
      <c r="K53" s="133">
        <v>65.626999999999995</v>
      </c>
      <c r="L53" s="133">
        <v>52</v>
      </c>
      <c r="M53" s="133">
        <v>64.964799999999997</v>
      </c>
      <c r="N53" s="133">
        <v>9.9499999999999993</v>
      </c>
      <c r="O53" s="133">
        <v>0</v>
      </c>
    </row>
    <row r="54" spans="2:17" s="35" customFormat="1" ht="12.75"/>
    <row r="55" spans="2:17" s="35" customFormat="1" ht="12.75">
      <c r="B55" s="146" t="s">
        <v>179</v>
      </c>
      <c r="D55" s="35" t="s">
        <v>180</v>
      </c>
      <c r="G55" s="140">
        <f>SUMPRODUCT(G19:G33,G39:G53)</f>
        <v>-7250.9333333333343</v>
      </c>
      <c r="H55" s="140">
        <f>SUMPRODUCT(H19:H33,H39:H53)</f>
        <v>-23095.84</v>
      </c>
      <c r="I55" s="140">
        <f t="shared" ref="I55:O55" si="2">SUMPRODUCT(I19:I33,I39:I53)</f>
        <v>-250383.74633333334</v>
      </c>
      <c r="J55" s="140">
        <f t="shared" si="2"/>
        <v>-322504.48723333341</v>
      </c>
      <c r="K55" s="140">
        <f t="shared" si="2"/>
        <v>300065.85516666668</v>
      </c>
      <c r="L55" s="140">
        <f t="shared" si="2"/>
        <v>-33178.635000000009</v>
      </c>
      <c r="M55" s="140">
        <f t="shared" si="2"/>
        <v>-769011.11335</v>
      </c>
      <c r="N55" s="140">
        <f t="shared" si="2"/>
        <v>-3462.9445999999998</v>
      </c>
      <c r="O55" s="139">
        <f t="shared" si="2"/>
        <v>0</v>
      </c>
    </row>
    <row r="56" spans="2:17" s="35" customFormat="1" ht="12.75"/>
    <row r="57" spans="2:17" s="35" customFormat="1" ht="12.75">
      <c r="B57" s="42" t="s">
        <v>181</v>
      </c>
      <c r="D57" s="35" t="s">
        <v>180</v>
      </c>
      <c r="G57" s="157">
        <f>-1*G55</f>
        <v>7250.9333333333343</v>
      </c>
      <c r="H57" s="157">
        <f t="shared" ref="H57:O57" si="3">-1*H55</f>
        <v>23095.84</v>
      </c>
      <c r="I57" s="157">
        <f t="shared" si="3"/>
        <v>250383.74633333334</v>
      </c>
      <c r="J57" s="157">
        <f t="shared" si="3"/>
        <v>322504.48723333341</v>
      </c>
      <c r="K57" s="157">
        <f t="shared" si="3"/>
        <v>-300065.85516666668</v>
      </c>
      <c r="L57" s="157">
        <f t="shared" si="3"/>
        <v>33178.635000000009</v>
      </c>
      <c r="M57" s="157">
        <f t="shared" si="3"/>
        <v>769011.11335</v>
      </c>
      <c r="N57" s="157">
        <f t="shared" si="3"/>
        <v>3462.9445999999998</v>
      </c>
      <c r="O57" s="157">
        <f t="shared" si="3"/>
        <v>0</v>
      </c>
    </row>
    <row r="58" spans="2:17" s="35" customFormat="1" ht="12.75"/>
    <row r="59" spans="2:17" s="35" customFormat="1" ht="12.75"/>
    <row r="60" spans="2:17" s="35" customFormat="1" ht="12.75"/>
    <row r="61" spans="2:17" s="35" customFormat="1" ht="12.75"/>
    <row r="62" spans="2:17" s="35" customFormat="1" ht="12.75"/>
    <row r="63" spans="2:17" s="35" customFormat="1" ht="12.75"/>
    <row r="64" spans="2:17" s="35" customFormat="1" ht="12.75"/>
    <row r="65" s="35" customFormat="1" ht="12.75"/>
    <row r="66" s="35" customFormat="1" ht="12.75"/>
    <row r="67" s="35" customFormat="1" ht="12.75"/>
    <row r="68" s="35" customFormat="1" ht="12.75"/>
    <row r="69" s="35" customFormat="1" ht="12.75"/>
    <row r="70" s="35" customFormat="1" ht="12.75"/>
    <row r="71" s="35" customFormat="1" ht="12.75"/>
    <row r="72" s="35" customFormat="1" ht="12.75"/>
    <row r="73" s="35" customFormat="1" ht="12.75"/>
    <row r="74" s="35" customFormat="1" ht="12.75"/>
    <row r="75" s="35" customFormat="1" ht="12.75"/>
    <row r="76" s="35" customFormat="1" ht="12.75"/>
    <row r="77" s="35" customFormat="1" ht="12.75"/>
    <row r="78" s="35" customFormat="1" ht="12.75"/>
    <row r="79" s="35" customFormat="1" ht="12.75"/>
    <row r="80" s="35" customFormat="1" ht="12.75"/>
    <row r="81" s="35" customFormat="1" ht="12.75"/>
    <row r="82" s="35" customFormat="1" ht="12.75"/>
    <row r="83" s="35" customFormat="1" ht="12.75"/>
    <row r="84" s="35" customFormat="1" ht="12.75"/>
    <row r="85" s="35" customFormat="1" ht="12.75"/>
    <row r="86" s="35" customFormat="1" ht="12.75"/>
    <row r="87" s="35" customFormat="1" ht="12.75"/>
    <row r="88" s="35" customFormat="1" ht="12.75"/>
    <row r="89" s="35" customFormat="1" ht="12.75"/>
    <row r="90" s="35" customFormat="1" ht="12.75"/>
    <row r="91" s="35" customFormat="1" ht="12.75"/>
    <row r="92" s="35" customFormat="1" ht="12.75"/>
    <row r="93" s="35" customFormat="1" ht="12.75"/>
    <row r="94" s="35" customFormat="1" ht="12.75"/>
    <row r="95" s="35" customFormat="1" ht="12.75"/>
    <row r="96" s="35" customFormat="1" ht="12.75"/>
    <row r="97" s="35" customFormat="1" ht="12.75"/>
    <row r="98" s="35" customFormat="1" ht="12.75"/>
    <row r="99" s="35" customFormat="1" ht="12.75"/>
    <row r="100" s="35" customFormat="1" ht="12.75"/>
    <row r="101" s="35" customFormat="1" ht="12.75"/>
    <row r="102" s="35" customFormat="1" ht="12.75"/>
    <row r="103" s="35" customFormat="1" ht="12.75"/>
    <row r="104" s="35" customFormat="1" ht="12.75"/>
    <row r="105" s="35" customFormat="1" ht="12.75"/>
    <row r="106" s="35" customFormat="1" ht="12.75"/>
    <row r="107" s="35" customFormat="1" ht="12.75"/>
    <row r="108" s="35" customFormat="1" ht="12.75"/>
    <row r="109" s="35" customFormat="1" ht="12.75"/>
    <row r="110" s="35" customFormat="1" ht="12.75"/>
    <row r="111" s="35" customFormat="1" ht="12.75"/>
    <row r="112" s="35" customFormat="1" ht="12.75"/>
    <row r="113" s="35" customFormat="1" ht="12.75"/>
    <row r="114" s="35" customFormat="1" ht="12.75"/>
    <row r="115" s="35" customFormat="1" ht="12.75"/>
    <row r="116" s="35" customFormat="1" ht="12.75"/>
    <row r="117" s="35" customFormat="1" ht="12.75"/>
    <row r="118" s="35" customFormat="1" ht="12.75"/>
    <row r="119" s="35" customFormat="1" ht="12.75"/>
    <row r="120" s="35" customFormat="1" ht="12.75"/>
    <row r="121" s="35" customFormat="1" ht="12.75"/>
    <row r="122" s="35" customFormat="1" ht="12.75"/>
    <row r="123" s="35" customFormat="1" ht="12.75"/>
    <row r="124" s="35" customFormat="1" ht="12.75"/>
    <row r="125" s="35" customFormat="1" ht="12.75"/>
    <row r="126" s="35" customFormat="1" ht="12.75"/>
  </sheetData>
  <mergeCells count="3">
    <mergeCell ref="B6:L6"/>
    <mergeCell ref="B10:L10"/>
    <mergeCell ref="B8:L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Q140"/>
  <sheetViews>
    <sheetView showGridLines="0" zoomScale="80" zoomScaleNormal="80" workbookViewId="0">
      <pane xSplit="5" topLeftCell="F1" activePane="topRight" state="frozen"/>
      <selection pane="topRight"/>
    </sheetView>
  </sheetViews>
  <sheetFormatPr defaultRowHeight="15"/>
  <cols>
    <col min="1" max="1" width="4.85546875" style="123" customWidth="1"/>
    <col min="2" max="2" width="67.7109375" style="123" customWidth="1"/>
    <col min="3" max="3" width="4.5703125" style="123" customWidth="1"/>
    <col min="4" max="4" width="21.140625" style="123" customWidth="1"/>
    <col min="5" max="5" width="16.140625" style="123" customWidth="1"/>
    <col min="6" max="6" width="2.7109375" style="123" customWidth="1"/>
    <col min="7" max="15" width="17.140625" style="123" customWidth="1"/>
    <col min="16" max="16" width="6.42578125" style="123" customWidth="1"/>
    <col min="17" max="16384" width="9.140625" style="123"/>
  </cols>
  <sheetData>
    <row r="2" spans="2:15" s="58" customFormat="1" ht="15.75">
      <c r="B2" s="10" t="s">
        <v>173</v>
      </c>
      <c r="C2" s="148"/>
      <c r="D2" s="148"/>
      <c r="E2" s="148"/>
      <c r="G2" s="14" t="s">
        <v>0</v>
      </c>
      <c r="H2" s="14" t="s">
        <v>1</v>
      </c>
      <c r="I2" s="14" t="s">
        <v>2</v>
      </c>
      <c r="J2" s="14" t="s">
        <v>3</v>
      </c>
      <c r="K2" s="14" t="s">
        <v>4</v>
      </c>
      <c r="L2" s="14" t="s">
        <v>5</v>
      </c>
      <c r="M2" s="14" t="s">
        <v>6</v>
      </c>
      <c r="N2" s="14" t="s">
        <v>7</v>
      </c>
      <c r="O2" s="14" t="s">
        <v>8</v>
      </c>
    </row>
    <row r="4" spans="2:15" s="19" customFormat="1" ht="12.75">
      <c r="B4" s="34" t="s">
        <v>33</v>
      </c>
    </row>
    <row r="5" spans="2:15" s="35" customFormat="1" ht="12.75"/>
    <row r="6" spans="2:15" s="35" customFormat="1" ht="56.25" customHeight="1">
      <c r="B6" s="181" t="s">
        <v>234</v>
      </c>
      <c r="C6" s="181"/>
      <c r="D6" s="181"/>
      <c r="E6" s="181"/>
      <c r="F6" s="181"/>
      <c r="G6" s="181"/>
    </row>
    <row r="7" spans="2:15" s="35" customFormat="1" ht="12.75">
      <c r="B7" s="173"/>
      <c r="C7" s="172"/>
      <c r="D7" s="172"/>
      <c r="E7" s="172"/>
      <c r="F7" s="172"/>
      <c r="G7" s="172"/>
    </row>
    <row r="8" spans="2:15" s="35" customFormat="1" ht="12.75">
      <c r="B8" s="180" t="s">
        <v>231</v>
      </c>
      <c r="C8" s="180"/>
      <c r="D8" s="180"/>
      <c r="E8" s="180"/>
      <c r="F8" s="180"/>
      <c r="G8" s="180"/>
    </row>
    <row r="9" spans="2:15" s="35" customFormat="1" ht="12.75">
      <c r="B9" s="173"/>
      <c r="C9" s="172"/>
      <c r="D9" s="172"/>
      <c r="E9" s="172"/>
      <c r="F9" s="172"/>
      <c r="G9" s="172"/>
    </row>
    <row r="10" spans="2:15" s="35" customFormat="1" ht="69" customHeight="1">
      <c r="B10" s="181" t="s">
        <v>235</v>
      </c>
      <c r="C10" s="181"/>
      <c r="D10" s="181"/>
      <c r="E10" s="181"/>
      <c r="F10" s="181"/>
      <c r="G10" s="181"/>
    </row>
    <row r="11" spans="2:15" s="35" customFormat="1" ht="12.75">
      <c r="B11" s="141"/>
      <c r="C11" s="142"/>
    </row>
    <row r="12" spans="2:15" s="19" customFormat="1" ht="12.75">
      <c r="B12" s="34" t="s">
        <v>182</v>
      </c>
    </row>
    <row r="13" spans="2:15" s="35" customFormat="1" ht="12.75">
      <c r="B13" s="143"/>
      <c r="C13" s="144"/>
    </row>
    <row r="14" spans="2:15" s="35" customFormat="1" ht="12.75">
      <c r="B14" s="145" t="s">
        <v>183</v>
      </c>
    </row>
    <row r="15" spans="2:15" s="35" customFormat="1" ht="12.75">
      <c r="B15" s="145"/>
    </row>
    <row r="16" spans="2:15" s="35" customFormat="1" ht="12.75">
      <c r="B16" s="145" t="s">
        <v>184</v>
      </c>
    </row>
    <row r="17" spans="2:17" s="35" customFormat="1" ht="12.75">
      <c r="B17" s="145"/>
    </row>
    <row r="18" spans="2:17" s="35" customFormat="1" ht="12.75">
      <c r="B18" s="149" t="s">
        <v>55</v>
      </c>
      <c r="D18" s="146"/>
      <c r="E18" s="146"/>
    </row>
    <row r="19" spans="2:17" s="35" customFormat="1" ht="12.75">
      <c r="B19" s="18" t="s">
        <v>56</v>
      </c>
      <c r="D19" s="35" t="s">
        <v>117</v>
      </c>
      <c r="G19" s="132">
        <v>97</v>
      </c>
      <c r="H19" s="132">
        <v>237</v>
      </c>
      <c r="I19" s="132">
        <v>639</v>
      </c>
      <c r="J19" s="158">
        <v>2943</v>
      </c>
      <c r="K19" s="132">
        <v>3129</v>
      </c>
      <c r="L19" s="132">
        <v>113</v>
      </c>
      <c r="M19" s="132">
        <v>4044.2759629947118</v>
      </c>
      <c r="N19" s="132">
        <v>84</v>
      </c>
      <c r="O19" s="132">
        <v>0</v>
      </c>
      <c r="Q19" s="35" t="s">
        <v>188</v>
      </c>
    </row>
    <row r="20" spans="2:17" s="35" customFormat="1" ht="12.75">
      <c r="B20" s="18" t="s">
        <v>57</v>
      </c>
      <c r="D20" s="35" t="s">
        <v>117</v>
      </c>
      <c r="G20" s="132">
        <v>226</v>
      </c>
      <c r="H20" s="132">
        <v>45</v>
      </c>
      <c r="I20" s="132">
        <v>472</v>
      </c>
      <c r="J20" s="132">
        <v>2032</v>
      </c>
      <c r="K20" s="132">
        <v>16</v>
      </c>
      <c r="L20" s="132">
        <v>197</v>
      </c>
      <c r="M20" s="132">
        <v>-1758.3377347694027</v>
      </c>
      <c r="N20" s="132">
        <v>-8</v>
      </c>
      <c r="O20" s="132">
        <v>0</v>
      </c>
    </row>
    <row r="21" spans="2:17" s="35" customFormat="1" ht="12.75">
      <c r="B21" s="18" t="s">
        <v>58</v>
      </c>
      <c r="D21" s="35" t="s">
        <v>117</v>
      </c>
      <c r="G21" s="132">
        <v>-323</v>
      </c>
      <c r="H21" s="132">
        <v>-282</v>
      </c>
      <c r="I21" s="132">
        <v>-1111</v>
      </c>
      <c r="J21" s="132">
        <v>-4975</v>
      </c>
      <c r="K21" s="132">
        <v>-3145</v>
      </c>
      <c r="L21" s="132">
        <v>-310</v>
      </c>
      <c r="M21" s="132">
        <v>-2285.9382282253091</v>
      </c>
      <c r="N21" s="132">
        <v>-76</v>
      </c>
      <c r="O21" s="132">
        <v>0</v>
      </c>
    </row>
    <row r="22" spans="2:17" s="35" customFormat="1" ht="12.75">
      <c r="B22" s="18" t="s">
        <v>59</v>
      </c>
      <c r="D22" s="35" t="s">
        <v>117</v>
      </c>
      <c r="G22" s="132">
        <v>0</v>
      </c>
      <c r="H22" s="132">
        <v>0</v>
      </c>
      <c r="I22" s="132">
        <v>0</v>
      </c>
      <c r="J22" s="132">
        <v>0</v>
      </c>
      <c r="K22" s="132">
        <v>0</v>
      </c>
      <c r="L22" s="132">
        <v>0</v>
      </c>
      <c r="M22" s="132">
        <v>0</v>
      </c>
      <c r="N22" s="132">
        <v>0</v>
      </c>
      <c r="O22" s="132">
        <v>0</v>
      </c>
    </row>
    <row r="23" spans="2:17" s="35" customFormat="1" ht="12.75">
      <c r="B23" s="18" t="s">
        <v>60</v>
      </c>
      <c r="D23" s="35" t="s">
        <v>117</v>
      </c>
      <c r="G23" s="132">
        <v>0</v>
      </c>
      <c r="H23" s="132">
        <v>0</v>
      </c>
      <c r="I23" s="132">
        <v>0</v>
      </c>
      <c r="J23" s="132">
        <v>0</v>
      </c>
      <c r="K23" s="132">
        <v>0</v>
      </c>
      <c r="L23" s="132">
        <v>0</v>
      </c>
      <c r="M23" s="132">
        <v>0</v>
      </c>
      <c r="N23" s="132">
        <v>0</v>
      </c>
      <c r="O23" s="132">
        <v>0</v>
      </c>
    </row>
    <row r="24" spans="2:17" s="35" customFormat="1" ht="12.75">
      <c r="B24" s="18" t="s">
        <v>61</v>
      </c>
      <c r="D24" s="35" t="s">
        <v>117</v>
      </c>
      <c r="G24" s="132">
        <v>0</v>
      </c>
      <c r="H24" s="132">
        <v>0</v>
      </c>
      <c r="I24" s="132">
        <v>0</v>
      </c>
      <c r="J24" s="132">
        <v>0</v>
      </c>
      <c r="K24" s="132">
        <v>0</v>
      </c>
      <c r="L24" s="132">
        <v>0</v>
      </c>
      <c r="M24" s="132">
        <v>0</v>
      </c>
      <c r="N24" s="132">
        <v>0</v>
      </c>
      <c r="O24" s="132">
        <v>0</v>
      </c>
    </row>
    <row r="25" spans="2:17" s="35" customFormat="1" ht="12.75">
      <c r="B25" s="18"/>
      <c r="G25" s="57"/>
      <c r="H25" s="57"/>
      <c r="I25" s="57"/>
      <c r="J25" s="57"/>
      <c r="K25" s="57"/>
      <c r="L25" s="57"/>
      <c r="M25" s="57"/>
      <c r="N25" s="57"/>
      <c r="O25" s="57"/>
    </row>
    <row r="26" spans="2:17" s="35" customFormat="1" ht="12.75">
      <c r="B26" s="145" t="s">
        <v>186</v>
      </c>
    </row>
    <row r="27" spans="2:17" s="35" customFormat="1" ht="12.75">
      <c r="B27" s="145"/>
    </row>
    <row r="28" spans="2:17" s="35" customFormat="1" ht="12.75">
      <c r="B28" s="149" t="s">
        <v>55</v>
      </c>
      <c r="D28" s="146"/>
      <c r="E28" s="146"/>
    </row>
    <row r="29" spans="2:17" s="35" customFormat="1" ht="12.75">
      <c r="B29" s="18" t="s">
        <v>56</v>
      </c>
      <c r="D29" s="35" t="s">
        <v>117</v>
      </c>
      <c r="G29" s="132">
        <v>80</v>
      </c>
      <c r="H29" s="132">
        <v>243</v>
      </c>
      <c r="I29" s="132">
        <v>855</v>
      </c>
      <c r="J29" s="132">
        <v>2998</v>
      </c>
      <c r="K29" s="132">
        <v>3403</v>
      </c>
      <c r="L29" s="132">
        <v>122</v>
      </c>
      <c r="M29" s="132">
        <v>4061.1029754356678</v>
      </c>
      <c r="N29" s="132">
        <v>97</v>
      </c>
      <c r="O29" s="132">
        <v>0</v>
      </c>
    </row>
    <row r="30" spans="2:17" s="35" customFormat="1" ht="12.75">
      <c r="B30" s="18" t="s">
        <v>57</v>
      </c>
      <c r="D30" s="35" t="s">
        <v>117</v>
      </c>
      <c r="G30" s="132">
        <v>306</v>
      </c>
      <c r="H30" s="132">
        <v>-14</v>
      </c>
      <c r="I30" s="132">
        <v>246</v>
      </c>
      <c r="J30" s="132">
        <v>1689</v>
      </c>
      <c r="K30" s="132">
        <v>370</v>
      </c>
      <c r="L30" s="132">
        <v>195</v>
      </c>
      <c r="M30" s="132">
        <v>-1765.6536477311033</v>
      </c>
      <c r="N30" s="132">
        <v>-16</v>
      </c>
      <c r="O30" s="132">
        <v>0</v>
      </c>
    </row>
    <row r="31" spans="2:17" s="35" customFormat="1" ht="12.75">
      <c r="B31" s="18" t="s">
        <v>58</v>
      </c>
      <c r="D31" s="35" t="s">
        <v>117</v>
      </c>
      <c r="G31" s="132">
        <v>-386</v>
      </c>
      <c r="H31" s="132">
        <v>-229</v>
      </c>
      <c r="I31" s="132">
        <v>-1101</v>
      </c>
      <c r="J31" s="132">
        <v>-4687</v>
      </c>
      <c r="K31" s="132">
        <v>-3773</v>
      </c>
      <c r="L31" s="132">
        <v>-317</v>
      </c>
      <c r="M31" s="132">
        <v>-2295.4493277045644</v>
      </c>
      <c r="N31" s="132">
        <v>-81</v>
      </c>
      <c r="O31" s="132">
        <v>0</v>
      </c>
    </row>
    <row r="32" spans="2:17" s="35" customFormat="1" ht="12.75">
      <c r="B32" s="18" t="s">
        <v>59</v>
      </c>
      <c r="D32" s="35" t="s">
        <v>117</v>
      </c>
      <c r="G32" s="132">
        <v>0</v>
      </c>
      <c r="H32" s="132">
        <v>0</v>
      </c>
      <c r="I32" s="132">
        <v>0</v>
      </c>
      <c r="J32" s="132">
        <v>0</v>
      </c>
      <c r="K32" s="132">
        <v>0</v>
      </c>
      <c r="L32" s="132">
        <v>0</v>
      </c>
      <c r="M32" s="132">
        <v>0</v>
      </c>
      <c r="N32" s="132">
        <v>0</v>
      </c>
      <c r="O32" s="132">
        <v>0</v>
      </c>
    </row>
    <row r="33" spans="2:15" s="35" customFormat="1" ht="12.75">
      <c r="B33" s="18" t="s">
        <v>60</v>
      </c>
      <c r="D33" s="35" t="s">
        <v>117</v>
      </c>
      <c r="G33" s="132">
        <v>0</v>
      </c>
      <c r="H33" s="132">
        <v>0</v>
      </c>
      <c r="I33" s="132">
        <v>0</v>
      </c>
      <c r="J33" s="132">
        <v>0</v>
      </c>
      <c r="K33" s="132">
        <v>0</v>
      </c>
      <c r="L33" s="132">
        <v>0</v>
      </c>
      <c r="M33" s="132">
        <v>0</v>
      </c>
      <c r="N33" s="132">
        <v>0</v>
      </c>
      <c r="O33" s="132">
        <v>0</v>
      </c>
    </row>
    <row r="34" spans="2:15" s="35" customFormat="1" ht="12.75">
      <c r="B34" s="18" t="s">
        <v>61</v>
      </c>
      <c r="D34" s="35" t="s">
        <v>117</v>
      </c>
      <c r="G34" s="132">
        <v>0</v>
      </c>
      <c r="H34" s="132">
        <v>0</v>
      </c>
      <c r="I34" s="132">
        <v>0</v>
      </c>
      <c r="J34" s="132">
        <v>0</v>
      </c>
      <c r="K34" s="132">
        <v>0</v>
      </c>
      <c r="L34" s="132">
        <v>0</v>
      </c>
      <c r="M34" s="132">
        <v>0</v>
      </c>
      <c r="N34" s="132">
        <v>0</v>
      </c>
      <c r="O34" s="132">
        <v>0</v>
      </c>
    </row>
    <row r="35" spans="2:15" s="35" customFormat="1" ht="12.75">
      <c r="B35" s="18"/>
      <c r="G35" s="57"/>
      <c r="H35" s="57"/>
      <c r="I35" s="57"/>
      <c r="J35" s="57"/>
      <c r="K35" s="57"/>
      <c r="L35" s="57"/>
      <c r="M35" s="57"/>
      <c r="N35" s="57"/>
      <c r="O35" s="57"/>
    </row>
    <row r="36" spans="2:15" s="35" customFormat="1" ht="12.75">
      <c r="B36" s="145" t="s">
        <v>185</v>
      </c>
    </row>
    <row r="37" spans="2:15" s="35" customFormat="1" ht="12.75">
      <c r="B37" s="145"/>
    </row>
    <row r="38" spans="2:15" s="35" customFormat="1" ht="12.75">
      <c r="B38" s="149" t="s">
        <v>55</v>
      </c>
      <c r="D38" s="146"/>
      <c r="E38" s="146"/>
    </row>
    <row r="39" spans="2:15" s="35" customFormat="1" ht="12.75">
      <c r="B39" s="18" t="s">
        <v>56</v>
      </c>
      <c r="D39" s="35" t="s">
        <v>117</v>
      </c>
      <c r="G39" s="132">
        <v>112</v>
      </c>
      <c r="H39" s="132">
        <v>313</v>
      </c>
      <c r="I39" s="132">
        <v>809</v>
      </c>
      <c r="J39" s="132">
        <v>3215</v>
      </c>
      <c r="K39" s="132">
        <v>3788</v>
      </c>
      <c r="L39" s="132">
        <v>118</v>
      </c>
      <c r="M39" s="132">
        <v>4078</v>
      </c>
      <c r="N39" s="132">
        <v>101</v>
      </c>
      <c r="O39" s="132">
        <v>0</v>
      </c>
    </row>
    <row r="40" spans="2:15" s="35" customFormat="1" ht="12.75">
      <c r="B40" s="18" t="s">
        <v>57</v>
      </c>
      <c r="D40" s="35" t="s">
        <v>117</v>
      </c>
      <c r="G40" s="132">
        <v>306</v>
      </c>
      <c r="H40" s="132">
        <v>-85</v>
      </c>
      <c r="I40" s="132">
        <v>227</v>
      </c>
      <c r="J40" s="132">
        <v>1078</v>
      </c>
      <c r="K40" s="132">
        <v>78</v>
      </c>
      <c r="L40" s="132">
        <v>179</v>
      </c>
      <c r="M40" s="132">
        <v>-1773</v>
      </c>
      <c r="N40" s="132">
        <v>-30</v>
      </c>
      <c r="O40" s="132">
        <v>0</v>
      </c>
    </row>
    <row r="41" spans="2:15" s="35" customFormat="1" ht="12.75">
      <c r="B41" s="18" t="s">
        <v>58</v>
      </c>
      <c r="D41" s="35" t="s">
        <v>117</v>
      </c>
      <c r="G41" s="132">
        <v>-418</v>
      </c>
      <c r="H41" s="132">
        <v>-228</v>
      </c>
      <c r="I41" s="132">
        <v>-1036</v>
      </c>
      <c r="J41" s="132">
        <v>-4293</v>
      </c>
      <c r="K41" s="132">
        <v>-3866</v>
      </c>
      <c r="L41" s="132">
        <v>-297</v>
      </c>
      <c r="M41" s="132">
        <v>-2305</v>
      </c>
      <c r="N41" s="132">
        <v>-71</v>
      </c>
      <c r="O41" s="132">
        <v>0</v>
      </c>
    </row>
    <row r="42" spans="2:15" s="35" customFormat="1" ht="12.75">
      <c r="B42" s="18" t="s">
        <v>59</v>
      </c>
      <c r="D42" s="35" t="s">
        <v>117</v>
      </c>
      <c r="G42" s="132">
        <v>0</v>
      </c>
      <c r="H42" s="132">
        <v>0</v>
      </c>
      <c r="I42" s="132">
        <v>0</v>
      </c>
      <c r="J42" s="132">
        <v>0</v>
      </c>
      <c r="K42" s="132">
        <v>0</v>
      </c>
      <c r="L42" s="132">
        <v>0</v>
      </c>
      <c r="M42" s="132">
        <v>0</v>
      </c>
      <c r="N42" s="132">
        <v>0</v>
      </c>
      <c r="O42" s="132">
        <v>0</v>
      </c>
    </row>
    <row r="43" spans="2:15" s="35" customFormat="1" ht="12.75">
      <c r="B43" s="18" t="s">
        <v>60</v>
      </c>
      <c r="D43" s="35" t="s">
        <v>117</v>
      </c>
      <c r="G43" s="132">
        <v>0</v>
      </c>
      <c r="H43" s="132">
        <v>0</v>
      </c>
      <c r="I43" s="132">
        <v>0</v>
      </c>
      <c r="J43" s="132">
        <v>0</v>
      </c>
      <c r="K43" s="132">
        <v>0</v>
      </c>
      <c r="L43" s="132">
        <v>0</v>
      </c>
      <c r="M43" s="132">
        <v>0</v>
      </c>
      <c r="N43" s="132">
        <v>0</v>
      </c>
      <c r="O43" s="132">
        <v>0</v>
      </c>
    </row>
    <row r="44" spans="2:15" s="35" customFormat="1" ht="12.75">
      <c r="B44" s="18" t="s">
        <v>61</v>
      </c>
      <c r="D44" s="35" t="s">
        <v>117</v>
      </c>
      <c r="G44" s="132">
        <v>0</v>
      </c>
      <c r="H44" s="132">
        <v>0</v>
      </c>
      <c r="I44" s="132">
        <v>0</v>
      </c>
      <c r="J44" s="132">
        <v>0</v>
      </c>
      <c r="K44" s="132">
        <v>0</v>
      </c>
      <c r="L44" s="132">
        <v>0</v>
      </c>
      <c r="M44" s="132">
        <v>0</v>
      </c>
      <c r="N44" s="132">
        <v>0</v>
      </c>
      <c r="O44" s="132">
        <v>0</v>
      </c>
    </row>
    <row r="45" spans="2:15" s="35" customFormat="1" ht="12.75">
      <c r="B45" s="18"/>
      <c r="G45" s="57"/>
      <c r="H45" s="57"/>
      <c r="I45" s="57"/>
      <c r="J45" s="57"/>
      <c r="K45" s="57"/>
      <c r="L45" s="57"/>
      <c r="M45" s="57"/>
      <c r="N45" s="57"/>
      <c r="O45" s="57"/>
    </row>
    <row r="46" spans="2:15" s="35" customFormat="1" ht="12.75">
      <c r="B46" s="145" t="s">
        <v>219</v>
      </c>
    </row>
    <row r="47" spans="2:15" s="35" customFormat="1" ht="12.75">
      <c r="B47" s="145"/>
    </row>
    <row r="48" spans="2:15" s="35" customFormat="1" ht="12.75">
      <c r="B48" s="149" t="s">
        <v>55</v>
      </c>
      <c r="D48" s="146"/>
      <c r="E48" s="146"/>
    </row>
    <row r="49" spans="2:15" s="35" customFormat="1" ht="12.75">
      <c r="B49" s="18" t="s">
        <v>56</v>
      </c>
      <c r="D49" s="35" t="s">
        <v>117</v>
      </c>
      <c r="G49" s="67">
        <f t="shared" ref="G49:O49" si="0">AVERAGE(G19,G29,G39)</f>
        <v>96.333333333333329</v>
      </c>
      <c r="H49" s="67">
        <f t="shared" si="0"/>
        <v>264.33333333333331</v>
      </c>
      <c r="I49" s="67">
        <f t="shared" si="0"/>
        <v>767.66666666666663</v>
      </c>
      <c r="J49" s="67">
        <f t="shared" si="0"/>
        <v>3052</v>
      </c>
      <c r="K49" s="67">
        <f t="shared" si="0"/>
        <v>3440</v>
      </c>
      <c r="L49" s="67">
        <f t="shared" si="0"/>
        <v>117.66666666666667</v>
      </c>
      <c r="M49" s="67">
        <f t="shared" si="0"/>
        <v>4061.1263128101268</v>
      </c>
      <c r="N49" s="67">
        <f t="shared" si="0"/>
        <v>94</v>
      </c>
      <c r="O49" s="67">
        <f t="shared" si="0"/>
        <v>0</v>
      </c>
    </row>
    <row r="50" spans="2:15" s="35" customFormat="1" ht="12.75">
      <c r="B50" s="18" t="s">
        <v>57</v>
      </c>
      <c r="D50" s="35" t="s">
        <v>117</v>
      </c>
      <c r="G50" s="67">
        <f t="shared" ref="G50:O50" si="1">AVERAGE(G20,G30,G40)</f>
        <v>279.33333333333331</v>
      </c>
      <c r="H50" s="67">
        <f t="shared" si="1"/>
        <v>-18</v>
      </c>
      <c r="I50" s="67">
        <f t="shared" si="1"/>
        <v>315</v>
      </c>
      <c r="J50" s="67">
        <f t="shared" si="1"/>
        <v>1599.6666666666667</v>
      </c>
      <c r="K50" s="67">
        <f t="shared" si="1"/>
        <v>154.66666666666666</v>
      </c>
      <c r="L50" s="67">
        <f t="shared" si="1"/>
        <v>190.33333333333334</v>
      </c>
      <c r="M50" s="67">
        <f t="shared" si="1"/>
        <v>-1765.6637941668353</v>
      </c>
      <c r="N50" s="67">
        <f t="shared" si="1"/>
        <v>-18</v>
      </c>
      <c r="O50" s="67">
        <f t="shared" si="1"/>
        <v>0</v>
      </c>
    </row>
    <row r="51" spans="2:15" s="35" customFormat="1" ht="12.75">
      <c r="B51" s="18" t="s">
        <v>58</v>
      </c>
      <c r="D51" s="35" t="s">
        <v>117</v>
      </c>
      <c r="G51" s="67">
        <f t="shared" ref="G51:O51" si="2">AVERAGE(G21,G31,G41)</f>
        <v>-375.66666666666669</v>
      </c>
      <c r="H51" s="67">
        <f t="shared" si="2"/>
        <v>-246.33333333333334</v>
      </c>
      <c r="I51" s="67">
        <f t="shared" si="2"/>
        <v>-1082.6666666666667</v>
      </c>
      <c r="J51" s="67">
        <f t="shared" si="2"/>
        <v>-4651.666666666667</v>
      </c>
      <c r="K51" s="67">
        <f t="shared" si="2"/>
        <v>-3594.6666666666665</v>
      </c>
      <c r="L51" s="67">
        <f t="shared" si="2"/>
        <v>-308</v>
      </c>
      <c r="M51" s="67">
        <f t="shared" si="2"/>
        <v>-2295.4625186432913</v>
      </c>
      <c r="N51" s="67">
        <f t="shared" si="2"/>
        <v>-76</v>
      </c>
      <c r="O51" s="67">
        <f t="shared" si="2"/>
        <v>0</v>
      </c>
    </row>
    <row r="52" spans="2:15" s="35" customFormat="1" ht="12.75">
      <c r="B52" s="18" t="s">
        <v>59</v>
      </c>
      <c r="D52" s="35" t="s">
        <v>117</v>
      </c>
      <c r="G52" s="67">
        <f t="shared" ref="G52:O52" si="3">AVERAGE(G22,G32,G42)</f>
        <v>0</v>
      </c>
      <c r="H52" s="67">
        <f t="shared" si="3"/>
        <v>0</v>
      </c>
      <c r="I52" s="67">
        <f t="shared" si="3"/>
        <v>0</v>
      </c>
      <c r="J52" s="67">
        <f t="shared" si="3"/>
        <v>0</v>
      </c>
      <c r="K52" s="67">
        <f t="shared" si="3"/>
        <v>0</v>
      </c>
      <c r="L52" s="67">
        <f t="shared" si="3"/>
        <v>0</v>
      </c>
      <c r="M52" s="67">
        <f t="shared" si="3"/>
        <v>0</v>
      </c>
      <c r="N52" s="67">
        <f t="shared" si="3"/>
        <v>0</v>
      </c>
      <c r="O52" s="67">
        <f t="shared" si="3"/>
        <v>0</v>
      </c>
    </row>
    <row r="53" spans="2:15" s="35" customFormat="1" ht="12.75">
      <c r="B53" s="18" t="s">
        <v>60</v>
      </c>
      <c r="D53" s="35" t="s">
        <v>117</v>
      </c>
      <c r="G53" s="67">
        <f t="shared" ref="G53:O53" si="4">AVERAGE(G23,G33,G43)</f>
        <v>0</v>
      </c>
      <c r="H53" s="67">
        <f t="shared" si="4"/>
        <v>0</v>
      </c>
      <c r="I53" s="67">
        <f t="shared" si="4"/>
        <v>0</v>
      </c>
      <c r="J53" s="67">
        <f t="shared" si="4"/>
        <v>0</v>
      </c>
      <c r="K53" s="67">
        <f t="shared" si="4"/>
        <v>0</v>
      </c>
      <c r="L53" s="67">
        <f t="shared" si="4"/>
        <v>0</v>
      </c>
      <c r="M53" s="67">
        <f t="shared" si="4"/>
        <v>0</v>
      </c>
      <c r="N53" s="67">
        <f t="shared" si="4"/>
        <v>0</v>
      </c>
      <c r="O53" s="67">
        <f t="shared" si="4"/>
        <v>0</v>
      </c>
    </row>
    <row r="54" spans="2:15" s="35" customFormat="1" ht="12.75">
      <c r="B54" s="18" t="s">
        <v>61</v>
      </c>
      <c r="D54" s="35" t="s">
        <v>117</v>
      </c>
      <c r="G54" s="67">
        <f t="shared" ref="G54:O54" si="5">AVERAGE(G24,G34,G44)</f>
        <v>0</v>
      </c>
      <c r="H54" s="67">
        <f t="shared" si="5"/>
        <v>0</v>
      </c>
      <c r="I54" s="67">
        <f t="shared" si="5"/>
        <v>0</v>
      </c>
      <c r="J54" s="67">
        <f t="shared" si="5"/>
        <v>0</v>
      </c>
      <c r="K54" s="67">
        <f t="shared" si="5"/>
        <v>0</v>
      </c>
      <c r="L54" s="67">
        <f t="shared" si="5"/>
        <v>0</v>
      </c>
      <c r="M54" s="67">
        <f t="shared" si="5"/>
        <v>0</v>
      </c>
      <c r="N54" s="67">
        <f t="shared" si="5"/>
        <v>0</v>
      </c>
      <c r="O54" s="67">
        <f t="shared" si="5"/>
        <v>0</v>
      </c>
    </row>
    <row r="55" spans="2:15" s="35" customFormat="1" ht="12.75">
      <c r="B55" s="18"/>
      <c r="G55" s="57"/>
      <c r="H55" s="57"/>
      <c r="I55" s="57"/>
      <c r="J55" s="57"/>
      <c r="K55" s="57"/>
      <c r="L55" s="57"/>
      <c r="M55" s="57"/>
      <c r="N55" s="57"/>
      <c r="O55" s="57"/>
    </row>
    <row r="56" spans="2:15" s="35" customFormat="1" ht="12.75"/>
    <row r="57" spans="2:15" s="19" customFormat="1" ht="12.75">
      <c r="B57" s="34" t="s">
        <v>187</v>
      </c>
    </row>
    <row r="58" spans="2:15" s="35" customFormat="1" ht="12.75"/>
    <row r="59" spans="2:15" s="35" customFormat="1" ht="12.75">
      <c r="B59" s="146" t="s">
        <v>69</v>
      </c>
    </row>
    <row r="60" spans="2:15" s="35" customFormat="1" ht="12.75"/>
    <row r="61" spans="2:15" s="35" customFormat="1" ht="12.75">
      <c r="B61" s="149" t="s">
        <v>55</v>
      </c>
      <c r="D61" s="146"/>
      <c r="E61" s="147"/>
    </row>
    <row r="62" spans="2:15" s="35" customFormat="1" ht="12.75">
      <c r="B62" s="18" t="s">
        <v>56</v>
      </c>
      <c r="D62" s="35" t="s">
        <v>180</v>
      </c>
      <c r="E62" s="160"/>
      <c r="G62" s="159">
        <f>'VolVerschuiving Adm. 2015'!G39</f>
        <v>32.97</v>
      </c>
      <c r="H62" s="159">
        <f>'VolVerschuiving Adm. 2015'!H39</f>
        <v>35.64</v>
      </c>
      <c r="I62" s="159">
        <f>'VolVerschuiving Adm. 2015'!I39</f>
        <v>32.959499999999998</v>
      </c>
      <c r="J62" s="159">
        <f>'VolVerschuiving Adm. 2015'!J39</f>
        <v>36.523350000000001</v>
      </c>
      <c r="K62" s="159">
        <f>'VolVerschuiving Adm. 2015'!K39</f>
        <v>37.284750000000003</v>
      </c>
      <c r="L62" s="159">
        <f>'VolVerschuiving Adm. 2015'!L39</f>
        <v>49.695000000000007</v>
      </c>
      <c r="M62" s="159">
        <f>'VolVerschuiving Adm. 2015'!M39</f>
        <v>38.026949999999999</v>
      </c>
      <c r="N62" s="159">
        <f>'VolVerschuiving Adm. 2015'!N39</f>
        <v>28.965149999999998</v>
      </c>
      <c r="O62" s="159">
        <f>'VolVerschuiving Adm. 2015'!O39</f>
        <v>0</v>
      </c>
    </row>
    <row r="63" spans="2:15" s="35" customFormat="1" ht="12.75">
      <c r="B63" s="18" t="s">
        <v>57</v>
      </c>
      <c r="D63" s="35" t="s">
        <v>180</v>
      </c>
      <c r="E63" s="160"/>
      <c r="G63" s="159">
        <f>'VolVerschuiving Adm. 2015'!G40</f>
        <v>65.94</v>
      </c>
      <c r="H63" s="159">
        <f>'VolVerschuiving Adm. 2015'!H40</f>
        <v>71.28</v>
      </c>
      <c r="I63" s="159">
        <f>'VolVerschuiving Adm. 2015'!I40</f>
        <v>65.918999999999997</v>
      </c>
      <c r="J63" s="159">
        <f>'VolVerschuiving Adm. 2015'!J40</f>
        <v>73.046700000000001</v>
      </c>
      <c r="K63" s="159">
        <f>'VolVerschuiving Adm. 2015'!K40</f>
        <v>74.569500000000005</v>
      </c>
      <c r="L63" s="159">
        <f>'VolVerschuiving Adm. 2015'!L40</f>
        <v>99.390000000000015</v>
      </c>
      <c r="M63" s="159">
        <f>'VolVerschuiving Adm. 2015'!M40</f>
        <v>76.053899999999999</v>
      </c>
      <c r="N63" s="159">
        <f>'VolVerschuiving Adm. 2015'!N40</f>
        <v>57.930299999999995</v>
      </c>
      <c r="O63" s="159">
        <f>'VolVerschuiving Adm. 2015'!O40</f>
        <v>0</v>
      </c>
    </row>
    <row r="64" spans="2:15" s="35" customFormat="1" ht="12.75">
      <c r="B64" s="18" t="s">
        <v>58</v>
      </c>
      <c r="D64" s="35" t="s">
        <v>180</v>
      </c>
      <c r="E64" s="160"/>
      <c r="G64" s="159">
        <f>'VolVerschuiving Adm. 2015'!G41</f>
        <v>131.88</v>
      </c>
      <c r="H64" s="159">
        <f>'VolVerschuiving Adm. 2015'!H41</f>
        <v>142.56</v>
      </c>
      <c r="I64" s="159">
        <f>'VolVerschuiving Adm. 2015'!I41</f>
        <v>131.83799999999999</v>
      </c>
      <c r="J64" s="159">
        <f>'VolVerschuiving Adm. 2015'!J41</f>
        <v>146.0934</v>
      </c>
      <c r="K64" s="159">
        <f>'VolVerschuiving Adm. 2015'!K41</f>
        <v>149.13900000000001</v>
      </c>
      <c r="L64" s="159">
        <f>'VolVerschuiving Adm. 2015'!L41</f>
        <v>198.78000000000003</v>
      </c>
      <c r="M64" s="159">
        <f>'VolVerschuiving Adm. 2015'!M41</f>
        <v>152.1078</v>
      </c>
      <c r="N64" s="159">
        <f>'VolVerschuiving Adm. 2015'!N41</f>
        <v>115.86059999999999</v>
      </c>
      <c r="O64" s="159">
        <f>'VolVerschuiving Adm. 2015'!O41</f>
        <v>0</v>
      </c>
    </row>
    <row r="65" spans="2:15" s="35" customFormat="1" ht="12.75">
      <c r="B65" s="18" t="s">
        <v>59</v>
      </c>
      <c r="D65" s="35" t="s">
        <v>180</v>
      </c>
      <c r="E65" s="160"/>
      <c r="G65" s="159">
        <f>'VolVerschuiving Adm. 2015'!G42</f>
        <v>219.8</v>
      </c>
      <c r="H65" s="159">
        <f>'VolVerschuiving Adm. 2015'!H42</f>
        <v>237.60000000000002</v>
      </c>
      <c r="I65" s="159">
        <f>'VolVerschuiving Adm. 2015'!I42</f>
        <v>219.73</v>
      </c>
      <c r="J65" s="159">
        <f>'VolVerschuiving Adm. 2015'!J42</f>
        <v>243.489</v>
      </c>
      <c r="K65" s="159">
        <f>'VolVerschuiving Adm. 2015'!K42</f>
        <v>248.565</v>
      </c>
      <c r="L65" s="159">
        <f>'VolVerschuiving Adm. 2015'!L42</f>
        <v>331.3</v>
      </c>
      <c r="M65" s="159">
        <f>'VolVerschuiving Adm. 2015'!M42</f>
        <v>253.51300000000003</v>
      </c>
      <c r="N65" s="159">
        <f>'VolVerschuiving Adm. 2015'!N42</f>
        <v>193.101</v>
      </c>
      <c r="O65" s="159">
        <f>'VolVerschuiving Adm. 2015'!O42</f>
        <v>0</v>
      </c>
    </row>
    <row r="66" spans="2:15" s="35" customFormat="1" ht="12.75">
      <c r="B66" s="18" t="s">
        <v>60</v>
      </c>
      <c r="D66" s="35" t="s">
        <v>180</v>
      </c>
      <c r="E66" s="160"/>
      <c r="G66" s="159">
        <f>'VolVerschuiving Adm. 2015'!G43</f>
        <v>351.68</v>
      </c>
      <c r="H66" s="159">
        <f>'VolVerschuiving Adm. 2015'!H43</f>
        <v>380.16</v>
      </c>
      <c r="I66" s="159">
        <f>'VolVerschuiving Adm. 2015'!I43</f>
        <v>351.56799999999998</v>
      </c>
      <c r="J66" s="159">
        <f>'VolVerschuiving Adm. 2015'!J43</f>
        <v>389.58240000000001</v>
      </c>
      <c r="K66" s="159">
        <f>'VolVerschuiving Adm. 2015'!K43</f>
        <v>397.70400000000001</v>
      </c>
      <c r="L66" s="159">
        <f>'VolVerschuiving Adm. 2015'!L43</f>
        <v>530.08000000000004</v>
      </c>
      <c r="M66" s="159">
        <f>'VolVerschuiving Adm. 2015'!M43</f>
        <v>405.62080000000003</v>
      </c>
      <c r="N66" s="159">
        <f>'VolVerschuiving Adm. 2015'!N43</f>
        <v>308.96159999999998</v>
      </c>
      <c r="O66" s="159">
        <f>'VolVerschuiving Adm. 2015'!O43</f>
        <v>0</v>
      </c>
    </row>
    <row r="67" spans="2:15" s="35" customFormat="1" ht="12.75">
      <c r="B67" s="18" t="s">
        <v>61</v>
      </c>
      <c r="D67" s="35" t="s">
        <v>180</v>
      </c>
      <c r="E67" s="160"/>
      <c r="G67" s="159">
        <f>'VolVerschuiving Adm. 2015'!G44</f>
        <v>549.5</v>
      </c>
      <c r="H67" s="159">
        <f>'VolVerschuiving Adm. 2015'!H44</f>
        <v>594</v>
      </c>
      <c r="I67" s="159">
        <f>'VolVerschuiving Adm. 2015'!I44</f>
        <v>549.32499999999993</v>
      </c>
      <c r="J67" s="159">
        <f>'VolVerschuiving Adm. 2015'!J44</f>
        <v>608.72249999999997</v>
      </c>
      <c r="K67" s="159">
        <f>'VolVerschuiving Adm. 2015'!K44</f>
        <v>621.41250000000002</v>
      </c>
      <c r="L67" s="159">
        <f>'VolVerschuiving Adm. 2015'!L44</f>
        <v>828.25000000000011</v>
      </c>
      <c r="M67" s="159">
        <f>'VolVerschuiving Adm. 2015'!M44</f>
        <v>633.78250000000003</v>
      </c>
      <c r="N67" s="159">
        <f>'VolVerschuiving Adm. 2015'!N44</f>
        <v>482.75249999999994</v>
      </c>
      <c r="O67" s="159">
        <f>'VolVerschuiving Adm. 2015'!O44</f>
        <v>0</v>
      </c>
    </row>
    <row r="68" spans="2:15" s="35" customFormat="1" ht="12.75">
      <c r="B68" s="18"/>
      <c r="G68" s="150"/>
      <c r="H68" s="150"/>
      <c r="I68" s="150"/>
      <c r="J68" s="150"/>
      <c r="K68" s="150"/>
      <c r="L68" s="150"/>
      <c r="M68" s="150"/>
      <c r="N68" s="150"/>
      <c r="O68" s="150"/>
    </row>
    <row r="69" spans="2:15" s="35" customFormat="1" ht="12.75">
      <c r="B69" s="146" t="s">
        <v>179</v>
      </c>
      <c r="D69" s="35" t="s">
        <v>180</v>
      </c>
      <c r="G69" s="140">
        <f>SUMPRODUCT(G49:G54,G62:G67)</f>
        <v>-27947.57</v>
      </c>
      <c r="H69" s="140">
        <f t="shared" ref="H69:O69" si="6">SUMPRODUCT(H49:H54,H62:H67)</f>
        <v>-26979.48</v>
      </c>
      <c r="I69" s="140">
        <f>SUMPRODUCT(I49:I54,I62:I67)</f>
        <v>-96670.213500000013</v>
      </c>
      <c r="J69" s="140">
        <f t="shared" si="6"/>
        <v>-451258.16369999998</v>
      </c>
      <c r="K69" s="140">
        <f t="shared" si="6"/>
        <v>-396312.03599999996</v>
      </c>
      <c r="L69" s="140">
        <f t="shared" si="6"/>
        <v>-36459.56500000001</v>
      </c>
      <c r="M69" s="140">
        <f t="shared" si="6"/>
        <v>-329011.12408755999</v>
      </c>
      <c r="N69" s="140">
        <f t="shared" si="6"/>
        <v>-7125.4269000000004</v>
      </c>
      <c r="O69" s="140">
        <f t="shared" si="6"/>
        <v>0</v>
      </c>
    </row>
    <row r="70" spans="2:15" s="35" customFormat="1" ht="12.75"/>
    <row r="71" spans="2:15" s="35" customFormat="1" ht="12.75">
      <c r="B71" s="42" t="s">
        <v>181</v>
      </c>
      <c r="D71" s="35" t="s">
        <v>180</v>
      </c>
      <c r="G71" s="157">
        <f>-1*G69</f>
        <v>27947.57</v>
      </c>
      <c r="H71" s="157">
        <f t="shared" ref="H71:O71" si="7">-1*H69</f>
        <v>26979.48</v>
      </c>
      <c r="I71" s="157">
        <f t="shared" si="7"/>
        <v>96670.213500000013</v>
      </c>
      <c r="J71" s="157">
        <f t="shared" si="7"/>
        <v>451258.16369999998</v>
      </c>
      <c r="K71" s="157">
        <f t="shared" si="7"/>
        <v>396312.03599999996</v>
      </c>
      <c r="L71" s="157">
        <f t="shared" si="7"/>
        <v>36459.56500000001</v>
      </c>
      <c r="M71" s="157">
        <f t="shared" si="7"/>
        <v>329011.12408755999</v>
      </c>
      <c r="N71" s="157">
        <f t="shared" si="7"/>
        <v>7125.4269000000004</v>
      </c>
      <c r="O71" s="157">
        <f t="shared" si="7"/>
        <v>0</v>
      </c>
    </row>
    <row r="72" spans="2:15" s="35" customFormat="1" ht="12.75"/>
    <row r="73" spans="2:15" s="35" customFormat="1" ht="12.75"/>
    <row r="74" spans="2:15" s="35" customFormat="1" ht="12.75"/>
    <row r="75" spans="2:15" s="35" customFormat="1" ht="12.75"/>
    <row r="76" spans="2:15" s="35" customFormat="1" ht="12.75"/>
    <row r="77" spans="2:15" s="35" customFormat="1" ht="12.75"/>
    <row r="78" spans="2:15" s="35" customFormat="1" ht="12.75"/>
    <row r="79" spans="2:15" s="35" customFormat="1" ht="12.75"/>
    <row r="80" spans="2:15" s="35" customFormat="1" ht="12.75"/>
    <row r="81" s="35" customFormat="1" ht="12.75"/>
    <row r="82" s="35" customFormat="1" ht="12.75"/>
    <row r="83" s="35" customFormat="1" ht="12.75"/>
    <row r="84" s="35" customFormat="1" ht="12.75"/>
    <row r="85" s="35" customFormat="1" ht="12.75"/>
    <row r="86" s="35" customFormat="1" ht="12.75"/>
    <row r="87" s="35" customFormat="1" ht="12.75"/>
    <row r="88" s="35" customFormat="1" ht="12.75"/>
    <row r="89" s="35" customFormat="1" ht="12.75"/>
    <row r="90" s="35" customFormat="1" ht="12.75"/>
    <row r="91" s="35" customFormat="1" ht="12.75"/>
    <row r="92" s="35" customFormat="1" ht="12.75"/>
    <row r="93" s="35" customFormat="1" ht="12.75"/>
    <row r="94" s="35" customFormat="1" ht="12.75"/>
    <row r="95" s="35" customFormat="1" ht="12.75"/>
    <row r="96" s="35" customFormat="1" ht="12.75"/>
    <row r="97" s="35" customFormat="1" ht="12.75"/>
    <row r="98" s="35" customFormat="1" ht="12.75"/>
    <row r="99" s="35" customFormat="1" ht="12.75"/>
    <row r="100" s="35" customFormat="1" ht="12.75"/>
    <row r="101" s="35" customFormat="1" ht="12.75"/>
    <row r="102" s="35" customFormat="1" ht="12.75"/>
    <row r="103" s="35" customFormat="1" ht="12.75"/>
    <row r="104" s="35" customFormat="1" ht="12.75"/>
    <row r="105" s="35" customFormat="1" ht="12.75"/>
    <row r="106" s="35" customFormat="1" ht="12.75"/>
    <row r="107" s="35" customFormat="1" ht="12.75"/>
    <row r="108" s="35" customFormat="1" ht="12.75"/>
    <row r="109" s="35" customFormat="1" ht="12.75"/>
    <row r="110" s="35" customFormat="1" ht="12.75"/>
    <row r="111" s="35" customFormat="1" ht="12.75"/>
    <row r="112" s="35" customFormat="1" ht="12.75"/>
    <row r="113" s="35" customFormat="1" ht="12.75"/>
    <row r="114" s="35" customFormat="1" ht="12.75"/>
    <row r="115" s="35" customFormat="1" ht="12.75"/>
    <row r="116" s="35" customFormat="1" ht="12.75"/>
    <row r="117" s="35" customFormat="1" ht="12.75"/>
    <row r="118" s="35" customFormat="1" ht="12.75"/>
    <row r="119" s="35" customFormat="1" ht="12.75"/>
    <row r="120" s="35" customFormat="1" ht="12.75"/>
    <row r="121" s="35" customFormat="1" ht="12.75"/>
    <row r="122" s="35" customFormat="1" ht="12.75"/>
    <row r="123" s="35" customFormat="1" ht="12.75"/>
    <row r="124" s="35" customFormat="1" ht="12.75"/>
    <row r="125" s="35" customFormat="1" ht="12.75"/>
    <row r="126" s="35" customFormat="1" ht="12.75"/>
    <row r="127" s="35" customFormat="1" ht="12.75"/>
    <row r="128" s="35" customFormat="1" ht="12.75"/>
    <row r="129" s="35" customFormat="1" ht="12.75"/>
    <row r="130" s="35" customFormat="1" ht="12.75"/>
    <row r="131" s="35" customFormat="1" ht="12.75"/>
    <row r="132" s="35" customFormat="1" ht="12.75"/>
    <row r="133" s="35" customFormat="1" ht="12.75"/>
    <row r="134" s="35" customFormat="1" ht="12.75"/>
    <row r="135" s="35" customFormat="1" ht="12.75"/>
    <row r="136" s="35" customFormat="1" ht="12.75"/>
    <row r="137" s="35" customFormat="1" ht="12.75"/>
    <row r="138" s="35" customFormat="1" ht="12.75"/>
    <row r="139" s="35" customFormat="1" ht="12.75"/>
    <row r="140" s="35" customFormat="1" ht="12.75"/>
  </sheetData>
  <mergeCells count="3">
    <mergeCell ref="B10:G10"/>
    <mergeCell ref="B8:G8"/>
    <mergeCell ref="B6:G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2:AB51"/>
  <sheetViews>
    <sheetView showGridLines="0" zoomScale="85" zoomScaleNormal="85" workbookViewId="0">
      <pane xSplit="5" ySplit="3" topLeftCell="F4" activePane="bottomRight" state="frozen"/>
      <selection pane="topRight" activeCell="F1" sqref="F1"/>
      <selection pane="bottomLeft" activeCell="A4" sqref="A4"/>
      <selection pane="bottomRight" activeCell="F29" sqref="F29"/>
    </sheetView>
  </sheetViews>
  <sheetFormatPr defaultRowHeight="12.75"/>
  <cols>
    <col min="1" max="1" width="3.42578125" style="72" customWidth="1"/>
    <col min="2" max="2" width="62.5703125" style="72" customWidth="1"/>
    <col min="3" max="3" width="5.5703125" style="72" customWidth="1"/>
    <col min="4" max="4" width="17.7109375" style="72" customWidth="1"/>
    <col min="5" max="5" width="3.5703125" style="72" customWidth="1"/>
    <col min="6" max="6" width="18" style="72" customWidth="1"/>
    <col min="7" max="9" width="14.7109375" style="72" customWidth="1"/>
    <col min="10" max="10" width="9.5703125" style="72" customWidth="1"/>
    <col min="11" max="16" width="14.7109375" style="72" customWidth="1"/>
    <col min="17" max="17" width="7.5703125" style="72" customWidth="1"/>
    <col min="18" max="18" width="21.28515625" style="72" customWidth="1"/>
    <col min="19" max="256" width="9.140625" style="72"/>
    <col min="257" max="257" width="3.42578125" style="72" customWidth="1"/>
    <col min="258" max="258" width="44.28515625" style="72" customWidth="1"/>
    <col min="259" max="259" width="5.5703125" style="72" customWidth="1"/>
    <col min="260" max="260" width="17.7109375" style="72" customWidth="1"/>
    <col min="261" max="261" width="3.5703125" style="72" customWidth="1"/>
    <col min="262" max="262" width="18" style="72" customWidth="1"/>
    <col min="263" max="263" width="3.28515625" style="72" customWidth="1"/>
    <col min="264" max="265" width="12.5703125" style="72" customWidth="1"/>
    <col min="266" max="266" width="15.140625" style="72" customWidth="1"/>
    <col min="267" max="271" width="12.5703125" style="72" customWidth="1"/>
    <col min="272" max="272" width="16" style="72" customWidth="1"/>
    <col min="273" max="273" width="7.5703125" style="72" customWidth="1"/>
    <col min="274" max="274" width="21.28515625" style="72" customWidth="1"/>
    <col min="275" max="512" width="9.140625" style="72"/>
    <col min="513" max="513" width="3.42578125" style="72" customWidth="1"/>
    <col min="514" max="514" width="44.28515625" style="72" customWidth="1"/>
    <col min="515" max="515" width="5.5703125" style="72" customWidth="1"/>
    <col min="516" max="516" width="17.7109375" style="72" customWidth="1"/>
    <col min="517" max="517" width="3.5703125" style="72" customWidth="1"/>
    <col min="518" max="518" width="18" style="72" customWidth="1"/>
    <col min="519" max="519" width="3.28515625" style="72" customWidth="1"/>
    <col min="520" max="521" width="12.5703125" style="72" customWidth="1"/>
    <col min="522" max="522" width="15.140625" style="72" customWidth="1"/>
    <col min="523" max="527" width="12.5703125" style="72" customWidth="1"/>
    <col min="528" max="528" width="16" style="72" customWidth="1"/>
    <col min="529" max="529" width="7.5703125" style="72" customWidth="1"/>
    <col min="530" max="530" width="21.28515625" style="72" customWidth="1"/>
    <col min="531" max="768" width="9.140625" style="72"/>
    <col min="769" max="769" width="3.42578125" style="72" customWidth="1"/>
    <col min="770" max="770" width="44.28515625" style="72" customWidth="1"/>
    <col min="771" max="771" width="5.5703125" style="72" customWidth="1"/>
    <col min="772" max="772" width="17.7109375" style="72" customWidth="1"/>
    <col min="773" max="773" width="3.5703125" style="72" customWidth="1"/>
    <col min="774" max="774" width="18" style="72" customWidth="1"/>
    <col min="775" max="775" width="3.28515625" style="72" customWidth="1"/>
    <col min="776" max="777" width="12.5703125" style="72" customWidth="1"/>
    <col min="778" max="778" width="15.140625" style="72" customWidth="1"/>
    <col min="779" max="783" width="12.5703125" style="72" customWidth="1"/>
    <col min="784" max="784" width="16" style="72" customWidth="1"/>
    <col min="785" max="785" width="7.5703125" style="72" customWidth="1"/>
    <col min="786" max="786" width="21.28515625" style="72" customWidth="1"/>
    <col min="787" max="1024" width="9.140625" style="72"/>
    <col min="1025" max="1025" width="3.42578125" style="72" customWidth="1"/>
    <col min="1026" max="1026" width="44.28515625" style="72" customWidth="1"/>
    <col min="1027" max="1027" width="5.5703125" style="72" customWidth="1"/>
    <col min="1028" max="1028" width="17.7109375" style="72" customWidth="1"/>
    <col min="1029" max="1029" width="3.5703125" style="72" customWidth="1"/>
    <col min="1030" max="1030" width="18" style="72" customWidth="1"/>
    <col min="1031" max="1031" width="3.28515625" style="72" customWidth="1"/>
    <col min="1032" max="1033" width="12.5703125" style="72" customWidth="1"/>
    <col min="1034" max="1034" width="15.140625" style="72" customWidth="1"/>
    <col min="1035" max="1039" width="12.5703125" style="72" customWidth="1"/>
    <col min="1040" max="1040" width="16" style="72" customWidth="1"/>
    <col min="1041" max="1041" width="7.5703125" style="72" customWidth="1"/>
    <col min="1042" max="1042" width="21.28515625" style="72" customWidth="1"/>
    <col min="1043" max="1280" width="9.140625" style="72"/>
    <col min="1281" max="1281" width="3.42578125" style="72" customWidth="1"/>
    <col min="1282" max="1282" width="44.28515625" style="72" customWidth="1"/>
    <col min="1283" max="1283" width="5.5703125" style="72" customWidth="1"/>
    <col min="1284" max="1284" width="17.7109375" style="72" customWidth="1"/>
    <col min="1285" max="1285" width="3.5703125" style="72" customWidth="1"/>
    <col min="1286" max="1286" width="18" style="72" customWidth="1"/>
    <col min="1287" max="1287" width="3.28515625" style="72" customWidth="1"/>
    <col min="1288" max="1289" width="12.5703125" style="72" customWidth="1"/>
    <col min="1290" max="1290" width="15.140625" style="72" customWidth="1"/>
    <col min="1291" max="1295" width="12.5703125" style="72" customWidth="1"/>
    <col min="1296" max="1296" width="16" style="72" customWidth="1"/>
    <col min="1297" max="1297" width="7.5703125" style="72" customWidth="1"/>
    <col min="1298" max="1298" width="21.28515625" style="72" customWidth="1"/>
    <col min="1299" max="1536" width="9.140625" style="72"/>
    <col min="1537" max="1537" width="3.42578125" style="72" customWidth="1"/>
    <col min="1538" max="1538" width="44.28515625" style="72" customWidth="1"/>
    <col min="1539" max="1539" width="5.5703125" style="72" customWidth="1"/>
    <col min="1540" max="1540" width="17.7109375" style="72" customWidth="1"/>
    <col min="1541" max="1541" width="3.5703125" style="72" customWidth="1"/>
    <col min="1542" max="1542" width="18" style="72" customWidth="1"/>
    <col min="1543" max="1543" width="3.28515625" style="72" customWidth="1"/>
    <col min="1544" max="1545" width="12.5703125" style="72" customWidth="1"/>
    <col min="1546" max="1546" width="15.140625" style="72" customWidth="1"/>
    <col min="1547" max="1551" width="12.5703125" style="72" customWidth="1"/>
    <col min="1552" max="1552" width="16" style="72" customWidth="1"/>
    <col min="1553" max="1553" width="7.5703125" style="72" customWidth="1"/>
    <col min="1554" max="1554" width="21.28515625" style="72" customWidth="1"/>
    <col min="1555" max="1792" width="9.140625" style="72"/>
    <col min="1793" max="1793" width="3.42578125" style="72" customWidth="1"/>
    <col min="1794" max="1794" width="44.28515625" style="72" customWidth="1"/>
    <col min="1795" max="1795" width="5.5703125" style="72" customWidth="1"/>
    <col min="1796" max="1796" width="17.7109375" style="72" customWidth="1"/>
    <col min="1797" max="1797" width="3.5703125" style="72" customWidth="1"/>
    <col min="1798" max="1798" width="18" style="72" customWidth="1"/>
    <col min="1799" max="1799" width="3.28515625" style="72" customWidth="1"/>
    <col min="1800" max="1801" width="12.5703125" style="72" customWidth="1"/>
    <col min="1802" max="1802" width="15.140625" style="72" customWidth="1"/>
    <col min="1803" max="1807" width="12.5703125" style="72" customWidth="1"/>
    <col min="1808" max="1808" width="16" style="72" customWidth="1"/>
    <col min="1809" max="1809" width="7.5703125" style="72" customWidth="1"/>
    <col min="1810" max="1810" width="21.28515625" style="72" customWidth="1"/>
    <col min="1811" max="2048" width="9.140625" style="72"/>
    <col min="2049" max="2049" width="3.42578125" style="72" customWidth="1"/>
    <col min="2050" max="2050" width="44.28515625" style="72" customWidth="1"/>
    <col min="2051" max="2051" width="5.5703125" style="72" customWidth="1"/>
    <col min="2052" max="2052" width="17.7109375" style="72" customWidth="1"/>
    <col min="2053" max="2053" width="3.5703125" style="72" customWidth="1"/>
    <col min="2054" max="2054" width="18" style="72" customWidth="1"/>
    <col min="2055" max="2055" width="3.28515625" style="72" customWidth="1"/>
    <col min="2056" max="2057" width="12.5703125" style="72" customWidth="1"/>
    <col min="2058" max="2058" width="15.140625" style="72" customWidth="1"/>
    <col min="2059" max="2063" width="12.5703125" style="72" customWidth="1"/>
    <col min="2064" max="2064" width="16" style="72" customWidth="1"/>
    <col min="2065" max="2065" width="7.5703125" style="72" customWidth="1"/>
    <col min="2066" max="2066" width="21.28515625" style="72" customWidth="1"/>
    <col min="2067" max="2304" width="9.140625" style="72"/>
    <col min="2305" max="2305" width="3.42578125" style="72" customWidth="1"/>
    <col min="2306" max="2306" width="44.28515625" style="72" customWidth="1"/>
    <col min="2307" max="2307" width="5.5703125" style="72" customWidth="1"/>
    <col min="2308" max="2308" width="17.7109375" style="72" customWidth="1"/>
    <col min="2309" max="2309" width="3.5703125" style="72" customWidth="1"/>
    <col min="2310" max="2310" width="18" style="72" customWidth="1"/>
    <col min="2311" max="2311" width="3.28515625" style="72" customWidth="1"/>
    <col min="2312" max="2313" width="12.5703125" style="72" customWidth="1"/>
    <col min="2314" max="2314" width="15.140625" style="72" customWidth="1"/>
    <col min="2315" max="2319" width="12.5703125" style="72" customWidth="1"/>
    <col min="2320" max="2320" width="16" style="72" customWidth="1"/>
    <col min="2321" max="2321" width="7.5703125" style="72" customWidth="1"/>
    <col min="2322" max="2322" width="21.28515625" style="72" customWidth="1"/>
    <col min="2323" max="2560" width="9.140625" style="72"/>
    <col min="2561" max="2561" width="3.42578125" style="72" customWidth="1"/>
    <col min="2562" max="2562" width="44.28515625" style="72" customWidth="1"/>
    <col min="2563" max="2563" width="5.5703125" style="72" customWidth="1"/>
    <col min="2564" max="2564" width="17.7109375" style="72" customWidth="1"/>
    <col min="2565" max="2565" width="3.5703125" style="72" customWidth="1"/>
    <col min="2566" max="2566" width="18" style="72" customWidth="1"/>
    <col min="2567" max="2567" width="3.28515625" style="72" customWidth="1"/>
    <col min="2568" max="2569" width="12.5703125" style="72" customWidth="1"/>
    <col min="2570" max="2570" width="15.140625" style="72" customWidth="1"/>
    <col min="2571" max="2575" width="12.5703125" style="72" customWidth="1"/>
    <col min="2576" max="2576" width="16" style="72" customWidth="1"/>
    <col min="2577" max="2577" width="7.5703125" style="72" customWidth="1"/>
    <col min="2578" max="2578" width="21.28515625" style="72" customWidth="1"/>
    <col min="2579" max="2816" width="9.140625" style="72"/>
    <col min="2817" max="2817" width="3.42578125" style="72" customWidth="1"/>
    <col min="2818" max="2818" width="44.28515625" style="72" customWidth="1"/>
    <col min="2819" max="2819" width="5.5703125" style="72" customWidth="1"/>
    <col min="2820" max="2820" width="17.7109375" style="72" customWidth="1"/>
    <col min="2821" max="2821" width="3.5703125" style="72" customWidth="1"/>
    <col min="2822" max="2822" width="18" style="72" customWidth="1"/>
    <col min="2823" max="2823" width="3.28515625" style="72" customWidth="1"/>
    <col min="2824" max="2825" width="12.5703125" style="72" customWidth="1"/>
    <col min="2826" max="2826" width="15.140625" style="72" customWidth="1"/>
    <col min="2827" max="2831" width="12.5703125" style="72" customWidth="1"/>
    <col min="2832" max="2832" width="16" style="72" customWidth="1"/>
    <col min="2833" max="2833" width="7.5703125" style="72" customWidth="1"/>
    <col min="2834" max="2834" width="21.28515625" style="72" customWidth="1"/>
    <col min="2835" max="3072" width="9.140625" style="72"/>
    <col min="3073" max="3073" width="3.42578125" style="72" customWidth="1"/>
    <col min="3074" max="3074" width="44.28515625" style="72" customWidth="1"/>
    <col min="3075" max="3075" width="5.5703125" style="72" customWidth="1"/>
    <col min="3076" max="3076" width="17.7109375" style="72" customWidth="1"/>
    <col min="3077" max="3077" width="3.5703125" style="72" customWidth="1"/>
    <col min="3078" max="3078" width="18" style="72" customWidth="1"/>
    <col min="3079" max="3079" width="3.28515625" style="72" customWidth="1"/>
    <col min="3080" max="3081" width="12.5703125" style="72" customWidth="1"/>
    <col min="3082" max="3082" width="15.140625" style="72" customWidth="1"/>
    <col min="3083" max="3087" width="12.5703125" style="72" customWidth="1"/>
    <col min="3088" max="3088" width="16" style="72" customWidth="1"/>
    <col min="3089" max="3089" width="7.5703125" style="72" customWidth="1"/>
    <col min="3090" max="3090" width="21.28515625" style="72" customWidth="1"/>
    <col min="3091" max="3328" width="9.140625" style="72"/>
    <col min="3329" max="3329" width="3.42578125" style="72" customWidth="1"/>
    <col min="3330" max="3330" width="44.28515625" style="72" customWidth="1"/>
    <col min="3331" max="3331" width="5.5703125" style="72" customWidth="1"/>
    <col min="3332" max="3332" width="17.7109375" style="72" customWidth="1"/>
    <col min="3333" max="3333" width="3.5703125" style="72" customWidth="1"/>
    <col min="3334" max="3334" width="18" style="72" customWidth="1"/>
    <col min="3335" max="3335" width="3.28515625" style="72" customWidth="1"/>
    <col min="3336" max="3337" width="12.5703125" style="72" customWidth="1"/>
    <col min="3338" max="3338" width="15.140625" style="72" customWidth="1"/>
    <col min="3339" max="3343" width="12.5703125" style="72" customWidth="1"/>
    <col min="3344" max="3344" width="16" style="72" customWidth="1"/>
    <col min="3345" max="3345" width="7.5703125" style="72" customWidth="1"/>
    <col min="3346" max="3346" width="21.28515625" style="72" customWidth="1"/>
    <col min="3347" max="3584" width="9.140625" style="72"/>
    <col min="3585" max="3585" width="3.42578125" style="72" customWidth="1"/>
    <col min="3586" max="3586" width="44.28515625" style="72" customWidth="1"/>
    <col min="3587" max="3587" width="5.5703125" style="72" customWidth="1"/>
    <col min="3588" max="3588" width="17.7109375" style="72" customWidth="1"/>
    <col min="3589" max="3589" width="3.5703125" style="72" customWidth="1"/>
    <col min="3590" max="3590" width="18" style="72" customWidth="1"/>
    <col min="3591" max="3591" width="3.28515625" style="72" customWidth="1"/>
    <col min="3592" max="3593" width="12.5703125" style="72" customWidth="1"/>
    <col min="3594" max="3594" width="15.140625" style="72" customWidth="1"/>
    <col min="3595" max="3599" width="12.5703125" style="72" customWidth="1"/>
    <col min="3600" max="3600" width="16" style="72" customWidth="1"/>
    <col min="3601" max="3601" width="7.5703125" style="72" customWidth="1"/>
    <col min="3602" max="3602" width="21.28515625" style="72" customWidth="1"/>
    <col min="3603" max="3840" width="9.140625" style="72"/>
    <col min="3841" max="3841" width="3.42578125" style="72" customWidth="1"/>
    <col min="3842" max="3842" width="44.28515625" style="72" customWidth="1"/>
    <col min="3843" max="3843" width="5.5703125" style="72" customWidth="1"/>
    <col min="3844" max="3844" width="17.7109375" style="72" customWidth="1"/>
    <col min="3845" max="3845" width="3.5703125" style="72" customWidth="1"/>
    <col min="3846" max="3846" width="18" style="72" customWidth="1"/>
    <col min="3847" max="3847" width="3.28515625" style="72" customWidth="1"/>
    <col min="3848" max="3849" width="12.5703125" style="72" customWidth="1"/>
    <col min="3850" max="3850" width="15.140625" style="72" customWidth="1"/>
    <col min="3851" max="3855" width="12.5703125" style="72" customWidth="1"/>
    <col min="3856" max="3856" width="16" style="72" customWidth="1"/>
    <col min="3857" max="3857" width="7.5703125" style="72" customWidth="1"/>
    <col min="3858" max="3858" width="21.28515625" style="72" customWidth="1"/>
    <col min="3859" max="4096" width="9.140625" style="72"/>
    <col min="4097" max="4097" width="3.42578125" style="72" customWidth="1"/>
    <col min="4098" max="4098" width="44.28515625" style="72" customWidth="1"/>
    <col min="4099" max="4099" width="5.5703125" style="72" customWidth="1"/>
    <col min="4100" max="4100" width="17.7109375" style="72" customWidth="1"/>
    <col min="4101" max="4101" width="3.5703125" style="72" customWidth="1"/>
    <col min="4102" max="4102" width="18" style="72" customWidth="1"/>
    <col min="4103" max="4103" width="3.28515625" style="72" customWidth="1"/>
    <col min="4104" max="4105" width="12.5703125" style="72" customWidth="1"/>
    <col min="4106" max="4106" width="15.140625" style="72" customWidth="1"/>
    <col min="4107" max="4111" width="12.5703125" style="72" customWidth="1"/>
    <col min="4112" max="4112" width="16" style="72" customWidth="1"/>
    <col min="4113" max="4113" width="7.5703125" style="72" customWidth="1"/>
    <col min="4114" max="4114" width="21.28515625" style="72" customWidth="1"/>
    <col min="4115" max="4352" width="9.140625" style="72"/>
    <col min="4353" max="4353" width="3.42578125" style="72" customWidth="1"/>
    <col min="4354" max="4354" width="44.28515625" style="72" customWidth="1"/>
    <col min="4355" max="4355" width="5.5703125" style="72" customWidth="1"/>
    <col min="4356" max="4356" width="17.7109375" style="72" customWidth="1"/>
    <col min="4357" max="4357" width="3.5703125" style="72" customWidth="1"/>
    <col min="4358" max="4358" width="18" style="72" customWidth="1"/>
    <col min="4359" max="4359" width="3.28515625" style="72" customWidth="1"/>
    <col min="4360" max="4361" width="12.5703125" style="72" customWidth="1"/>
    <col min="4362" max="4362" width="15.140625" style="72" customWidth="1"/>
    <col min="4363" max="4367" width="12.5703125" style="72" customWidth="1"/>
    <col min="4368" max="4368" width="16" style="72" customWidth="1"/>
    <col min="4369" max="4369" width="7.5703125" style="72" customWidth="1"/>
    <col min="4370" max="4370" width="21.28515625" style="72" customWidth="1"/>
    <col min="4371" max="4608" width="9.140625" style="72"/>
    <col min="4609" max="4609" width="3.42578125" style="72" customWidth="1"/>
    <col min="4610" max="4610" width="44.28515625" style="72" customWidth="1"/>
    <col min="4611" max="4611" width="5.5703125" style="72" customWidth="1"/>
    <col min="4612" max="4612" width="17.7109375" style="72" customWidth="1"/>
    <col min="4613" max="4613" width="3.5703125" style="72" customWidth="1"/>
    <col min="4614" max="4614" width="18" style="72" customWidth="1"/>
    <col min="4615" max="4615" width="3.28515625" style="72" customWidth="1"/>
    <col min="4616" max="4617" width="12.5703125" style="72" customWidth="1"/>
    <col min="4618" max="4618" width="15.140625" style="72" customWidth="1"/>
    <col min="4619" max="4623" width="12.5703125" style="72" customWidth="1"/>
    <col min="4624" max="4624" width="16" style="72" customWidth="1"/>
    <col min="4625" max="4625" width="7.5703125" style="72" customWidth="1"/>
    <col min="4626" max="4626" width="21.28515625" style="72" customWidth="1"/>
    <col min="4627" max="4864" width="9.140625" style="72"/>
    <col min="4865" max="4865" width="3.42578125" style="72" customWidth="1"/>
    <col min="4866" max="4866" width="44.28515625" style="72" customWidth="1"/>
    <col min="4867" max="4867" width="5.5703125" style="72" customWidth="1"/>
    <col min="4868" max="4868" width="17.7109375" style="72" customWidth="1"/>
    <col min="4869" max="4869" width="3.5703125" style="72" customWidth="1"/>
    <col min="4870" max="4870" width="18" style="72" customWidth="1"/>
    <col min="4871" max="4871" width="3.28515625" style="72" customWidth="1"/>
    <col min="4872" max="4873" width="12.5703125" style="72" customWidth="1"/>
    <col min="4874" max="4874" width="15.140625" style="72" customWidth="1"/>
    <col min="4875" max="4879" width="12.5703125" style="72" customWidth="1"/>
    <col min="4880" max="4880" width="16" style="72" customWidth="1"/>
    <col min="4881" max="4881" width="7.5703125" style="72" customWidth="1"/>
    <col min="4882" max="4882" width="21.28515625" style="72" customWidth="1"/>
    <col min="4883" max="5120" width="9.140625" style="72"/>
    <col min="5121" max="5121" width="3.42578125" style="72" customWidth="1"/>
    <col min="5122" max="5122" width="44.28515625" style="72" customWidth="1"/>
    <col min="5123" max="5123" width="5.5703125" style="72" customWidth="1"/>
    <col min="5124" max="5124" width="17.7109375" style="72" customWidth="1"/>
    <col min="5125" max="5125" width="3.5703125" style="72" customWidth="1"/>
    <col min="5126" max="5126" width="18" style="72" customWidth="1"/>
    <col min="5127" max="5127" width="3.28515625" style="72" customWidth="1"/>
    <col min="5128" max="5129" width="12.5703125" style="72" customWidth="1"/>
    <col min="5130" max="5130" width="15.140625" style="72" customWidth="1"/>
    <col min="5131" max="5135" width="12.5703125" style="72" customWidth="1"/>
    <col min="5136" max="5136" width="16" style="72" customWidth="1"/>
    <col min="5137" max="5137" width="7.5703125" style="72" customWidth="1"/>
    <col min="5138" max="5138" width="21.28515625" style="72" customWidth="1"/>
    <col min="5139" max="5376" width="9.140625" style="72"/>
    <col min="5377" max="5377" width="3.42578125" style="72" customWidth="1"/>
    <col min="5378" max="5378" width="44.28515625" style="72" customWidth="1"/>
    <col min="5379" max="5379" width="5.5703125" style="72" customWidth="1"/>
    <col min="5380" max="5380" width="17.7109375" style="72" customWidth="1"/>
    <col min="5381" max="5381" width="3.5703125" style="72" customWidth="1"/>
    <col min="5382" max="5382" width="18" style="72" customWidth="1"/>
    <col min="5383" max="5383" width="3.28515625" style="72" customWidth="1"/>
    <col min="5384" max="5385" width="12.5703125" style="72" customWidth="1"/>
    <col min="5386" max="5386" width="15.140625" style="72" customWidth="1"/>
    <col min="5387" max="5391" width="12.5703125" style="72" customWidth="1"/>
    <col min="5392" max="5392" width="16" style="72" customWidth="1"/>
    <col min="5393" max="5393" width="7.5703125" style="72" customWidth="1"/>
    <col min="5394" max="5394" width="21.28515625" style="72" customWidth="1"/>
    <col min="5395" max="5632" width="9.140625" style="72"/>
    <col min="5633" max="5633" width="3.42578125" style="72" customWidth="1"/>
    <col min="5634" max="5634" width="44.28515625" style="72" customWidth="1"/>
    <col min="5635" max="5635" width="5.5703125" style="72" customWidth="1"/>
    <col min="5636" max="5636" width="17.7109375" style="72" customWidth="1"/>
    <col min="5637" max="5637" width="3.5703125" style="72" customWidth="1"/>
    <col min="5638" max="5638" width="18" style="72" customWidth="1"/>
    <col min="5639" max="5639" width="3.28515625" style="72" customWidth="1"/>
    <col min="5640" max="5641" width="12.5703125" style="72" customWidth="1"/>
    <col min="5642" max="5642" width="15.140625" style="72" customWidth="1"/>
    <col min="5643" max="5647" width="12.5703125" style="72" customWidth="1"/>
    <col min="5648" max="5648" width="16" style="72" customWidth="1"/>
    <col min="5649" max="5649" width="7.5703125" style="72" customWidth="1"/>
    <col min="5650" max="5650" width="21.28515625" style="72" customWidth="1"/>
    <col min="5651" max="5888" width="9.140625" style="72"/>
    <col min="5889" max="5889" width="3.42578125" style="72" customWidth="1"/>
    <col min="5890" max="5890" width="44.28515625" style="72" customWidth="1"/>
    <col min="5891" max="5891" width="5.5703125" style="72" customWidth="1"/>
    <col min="5892" max="5892" width="17.7109375" style="72" customWidth="1"/>
    <col min="5893" max="5893" width="3.5703125" style="72" customWidth="1"/>
    <col min="5894" max="5894" width="18" style="72" customWidth="1"/>
    <col min="5895" max="5895" width="3.28515625" style="72" customWidth="1"/>
    <col min="5896" max="5897" width="12.5703125" style="72" customWidth="1"/>
    <col min="5898" max="5898" width="15.140625" style="72" customWidth="1"/>
    <col min="5899" max="5903" width="12.5703125" style="72" customWidth="1"/>
    <col min="5904" max="5904" width="16" style="72" customWidth="1"/>
    <col min="5905" max="5905" width="7.5703125" style="72" customWidth="1"/>
    <col min="5906" max="5906" width="21.28515625" style="72" customWidth="1"/>
    <col min="5907" max="6144" width="9.140625" style="72"/>
    <col min="6145" max="6145" width="3.42578125" style="72" customWidth="1"/>
    <col min="6146" max="6146" width="44.28515625" style="72" customWidth="1"/>
    <col min="6147" max="6147" width="5.5703125" style="72" customWidth="1"/>
    <col min="6148" max="6148" width="17.7109375" style="72" customWidth="1"/>
    <col min="6149" max="6149" width="3.5703125" style="72" customWidth="1"/>
    <col min="6150" max="6150" width="18" style="72" customWidth="1"/>
    <col min="6151" max="6151" width="3.28515625" style="72" customWidth="1"/>
    <col min="6152" max="6153" width="12.5703125" style="72" customWidth="1"/>
    <col min="6154" max="6154" width="15.140625" style="72" customWidth="1"/>
    <col min="6155" max="6159" width="12.5703125" style="72" customWidth="1"/>
    <col min="6160" max="6160" width="16" style="72" customWidth="1"/>
    <col min="6161" max="6161" width="7.5703125" style="72" customWidth="1"/>
    <col min="6162" max="6162" width="21.28515625" style="72" customWidth="1"/>
    <col min="6163" max="6400" width="9.140625" style="72"/>
    <col min="6401" max="6401" width="3.42578125" style="72" customWidth="1"/>
    <col min="6402" max="6402" width="44.28515625" style="72" customWidth="1"/>
    <col min="6403" max="6403" width="5.5703125" style="72" customWidth="1"/>
    <col min="6404" max="6404" width="17.7109375" style="72" customWidth="1"/>
    <col min="6405" max="6405" width="3.5703125" style="72" customWidth="1"/>
    <col min="6406" max="6406" width="18" style="72" customWidth="1"/>
    <col min="6407" max="6407" width="3.28515625" style="72" customWidth="1"/>
    <col min="6408" max="6409" width="12.5703125" style="72" customWidth="1"/>
    <col min="6410" max="6410" width="15.140625" style="72" customWidth="1"/>
    <col min="6411" max="6415" width="12.5703125" style="72" customWidth="1"/>
    <col min="6416" max="6416" width="16" style="72" customWidth="1"/>
    <col min="6417" max="6417" width="7.5703125" style="72" customWidth="1"/>
    <col min="6418" max="6418" width="21.28515625" style="72" customWidth="1"/>
    <col min="6419" max="6656" width="9.140625" style="72"/>
    <col min="6657" max="6657" width="3.42578125" style="72" customWidth="1"/>
    <col min="6658" max="6658" width="44.28515625" style="72" customWidth="1"/>
    <col min="6659" max="6659" width="5.5703125" style="72" customWidth="1"/>
    <col min="6660" max="6660" width="17.7109375" style="72" customWidth="1"/>
    <col min="6661" max="6661" width="3.5703125" style="72" customWidth="1"/>
    <col min="6662" max="6662" width="18" style="72" customWidth="1"/>
    <col min="6663" max="6663" width="3.28515625" style="72" customWidth="1"/>
    <col min="6664" max="6665" width="12.5703125" style="72" customWidth="1"/>
    <col min="6666" max="6666" width="15.140625" style="72" customWidth="1"/>
    <col min="6667" max="6671" width="12.5703125" style="72" customWidth="1"/>
    <col min="6672" max="6672" width="16" style="72" customWidth="1"/>
    <col min="6673" max="6673" width="7.5703125" style="72" customWidth="1"/>
    <col min="6674" max="6674" width="21.28515625" style="72" customWidth="1"/>
    <col min="6675" max="6912" width="9.140625" style="72"/>
    <col min="6913" max="6913" width="3.42578125" style="72" customWidth="1"/>
    <col min="6914" max="6914" width="44.28515625" style="72" customWidth="1"/>
    <col min="6915" max="6915" width="5.5703125" style="72" customWidth="1"/>
    <col min="6916" max="6916" width="17.7109375" style="72" customWidth="1"/>
    <col min="6917" max="6917" width="3.5703125" style="72" customWidth="1"/>
    <col min="6918" max="6918" width="18" style="72" customWidth="1"/>
    <col min="6919" max="6919" width="3.28515625" style="72" customWidth="1"/>
    <col min="6920" max="6921" width="12.5703125" style="72" customWidth="1"/>
    <col min="6922" max="6922" width="15.140625" style="72" customWidth="1"/>
    <col min="6923" max="6927" width="12.5703125" style="72" customWidth="1"/>
    <col min="6928" max="6928" width="16" style="72" customWidth="1"/>
    <col min="6929" max="6929" width="7.5703125" style="72" customWidth="1"/>
    <col min="6930" max="6930" width="21.28515625" style="72" customWidth="1"/>
    <col min="6931" max="7168" width="9.140625" style="72"/>
    <col min="7169" max="7169" width="3.42578125" style="72" customWidth="1"/>
    <col min="7170" max="7170" width="44.28515625" style="72" customWidth="1"/>
    <col min="7171" max="7171" width="5.5703125" style="72" customWidth="1"/>
    <col min="7172" max="7172" width="17.7109375" style="72" customWidth="1"/>
    <col min="7173" max="7173" width="3.5703125" style="72" customWidth="1"/>
    <col min="7174" max="7174" width="18" style="72" customWidth="1"/>
    <col min="7175" max="7175" width="3.28515625" style="72" customWidth="1"/>
    <col min="7176" max="7177" width="12.5703125" style="72" customWidth="1"/>
    <col min="7178" max="7178" width="15.140625" style="72" customWidth="1"/>
    <col min="7179" max="7183" width="12.5703125" style="72" customWidth="1"/>
    <col min="7184" max="7184" width="16" style="72" customWidth="1"/>
    <col min="7185" max="7185" width="7.5703125" style="72" customWidth="1"/>
    <col min="7186" max="7186" width="21.28515625" style="72" customWidth="1"/>
    <col min="7187" max="7424" width="9.140625" style="72"/>
    <col min="7425" max="7425" width="3.42578125" style="72" customWidth="1"/>
    <col min="7426" max="7426" width="44.28515625" style="72" customWidth="1"/>
    <col min="7427" max="7427" width="5.5703125" style="72" customWidth="1"/>
    <col min="7428" max="7428" width="17.7109375" style="72" customWidth="1"/>
    <col min="7429" max="7429" width="3.5703125" style="72" customWidth="1"/>
    <col min="7430" max="7430" width="18" style="72" customWidth="1"/>
    <col min="7431" max="7431" width="3.28515625" style="72" customWidth="1"/>
    <col min="7432" max="7433" width="12.5703125" style="72" customWidth="1"/>
    <col min="7434" max="7434" width="15.140625" style="72" customWidth="1"/>
    <col min="7435" max="7439" width="12.5703125" style="72" customWidth="1"/>
    <col min="7440" max="7440" width="16" style="72" customWidth="1"/>
    <col min="7441" max="7441" width="7.5703125" style="72" customWidth="1"/>
    <col min="7442" max="7442" width="21.28515625" style="72" customWidth="1"/>
    <col min="7443" max="7680" width="9.140625" style="72"/>
    <col min="7681" max="7681" width="3.42578125" style="72" customWidth="1"/>
    <col min="7682" max="7682" width="44.28515625" style="72" customWidth="1"/>
    <col min="7683" max="7683" width="5.5703125" style="72" customWidth="1"/>
    <col min="7684" max="7684" width="17.7109375" style="72" customWidth="1"/>
    <col min="7685" max="7685" width="3.5703125" style="72" customWidth="1"/>
    <col min="7686" max="7686" width="18" style="72" customWidth="1"/>
    <col min="7687" max="7687" width="3.28515625" style="72" customWidth="1"/>
    <col min="7688" max="7689" width="12.5703125" style="72" customWidth="1"/>
    <col min="7690" max="7690" width="15.140625" style="72" customWidth="1"/>
    <col min="7691" max="7695" width="12.5703125" style="72" customWidth="1"/>
    <col min="7696" max="7696" width="16" style="72" customWidth="1"/>
    <col min="7697" max="7697" width="7.5703125" style="72" customWidth="1"/>
    <col min="7698" max="7698" width="21.28515625" style="72" customWidth="1"/>
    <col min="7699" max="7936" width="9.140625" style="72"/>
    <col min="7937" max="7937" width="3.42578125" style="72" customWidth="1"/>
    <col min="7938" max="7938" width="44.28515625" style="72" customWidth="1"/>
    <col min="7939" max="7939" width="5.5703125" style="72" customWidth="1"/>
    <col min="7940" max="7940" width="17.7109375" style="72" customWidth="1"/>
    <col min="7941" max="7941" width="3.5703125" style="72" customWidth="1"/>
    <col min="7942" max="7942" width="18" style="72" customWidth="1"/>
    <col min="7943" max="7943" width="3.28515625" style="72" customWidth="1"/>
    <col min="7944" max="7945" width="12.5703125" style="72" customWidth="1"/>
    <col min="7946" max="7946" width="15.140625" style="72" customWidth="1"/>
    <col min="7947" max="7951" width="12.5703125" style="72" customWidth="1"/>
    <col min="7952" max="7952" width="16" style="72" customWidth="1"/>
    <col min="7953" max="7953" width="7.5703125" style="72" customWidth="1"/>
    <col min="7954" max="7954" width="21.28515625" style="72" customWidth="1"/>
    <col min="7955" max="8192" width="9.140625" style="72"/>
    <col min="8193" max="8193" width="3.42578125" style="72" customWidth="1"/>
    <col min="8194" max="8194" width="44.28515625" style="72" customWidth="1"/>
    <col min="8195" max="8195" width="5.5703125" style="72" customWidth="1"/>
    <col min="8196" max="8196" width="17.7109375" style="72" customWidth="1"/>
    <col min="8197" max="8197" width="3.5703125" style="72" customWidth="1"/>
    <col min="8198" max="8198" width="18" style="72" customWidth="1"/>
    <col min="8199" max="8199" width="3.28515625" style="72" customWidth="1"/>
    <col min="8200" max="8201" width="12.5703125" style="72" customWidth="1"/>
    <col min="8202" max="8202" width="15.140625" style="72" customWidth="1"/>
    <col min="8203" max="8207" width="12.5703125" style="72" customWidth="1"/>
    <col min="8208" max="8208" width="16" style="72" customWidth="1"/>
    <col min="8209" max="8209" width="7.5703125" style="72" customWidth="1"/>
    <col min="8210" max="8210" width="21.28515625" style="72" customWidth="1"/>
    <col min="8211" max="8448" width="9.140625" style="72"/>
    <col min="8449" max="8449" width="3.42578125" style="72" customWidth="1"/>
    <col min="8450" max="8450" width="44.28515625" style="72" customWidth="1"/>
    <col min="8451" max="8451" width="5.5703125" style="72" customWidth="1"/>
    <col min="8452" max="8452" width="17.7109375" style="72" customWidth="1"/>
    <col min="8453" max="8453" width="3.5703125" style="72" customWidth="1"/>
    <col min="8454" max="8454" width="18" style="72" customWidth="1"/>
    <col min="8455" max="8455" width="3.28515625" style="72" customWidth="1"/>
    <col min="8456" max="8457" width="12.5703125" style="72" customWidth="1"/>
    <col min="8458" max="8458" width="15.140625" style="72" customWidth="1"/>
    <col min="8459" max="8463" width="12.5703125" style="72" customWidth="1"/>
    <col min="8464" max="8464" width="16" style="72" customWidth="1"/>
    <col min="8465" max="8465" width="7.5703125" style="72" customWidth="1"/>
    <col min="8466" max="8466" width="21.28515625" style="72" customWidth="1"/>
    <col min="8467" max="8704" width="9.140625" style="72"/>
    <col min="8705" max="8705" width="3.42578125" style="72" customWidth="1"/>
    <col min="8706" max="8706" width="44.28515625" style="72" customWidth="1"/>
    <col min="8707" max="8707" width="5.5703125" style="72" customWidth="1"/>
    <col min="8708" max="8708" width="17.7109375" style="72" customWidth="1"/>
    <col min="8709" max="8709" width="3.5703125" style="72" customWidth="1"/>
    <col min="8710" max="8710" width="18" style="72" customWidth="1"/>
    <col min="8711" max="8711" width="3.28515625" style="72" customWidth="1"/>
    <col min="8712" max="8713" width="12.5703125" style="72" customWidth="1"/>
    <col min="8714" max="8714" width="15.140625" style="72" customWidth="1"/>
    <col min="8715" max="8719" width="12.5703125" style="72" customWidth="1"/>
    <col min="8720" max="8720" width="16" style="72" customWidth="1"/>
    <col min="8721" max="8721" width="7.5703125" style="72" customWidth="1"/>
    <col min="8722" max="8722" width="21.28515625" style="72" customWidth="1"/>
    <col min="8723" max="8960" width="9.140625" style="72"/>
    <col min="8961" max="8961" width="3.42578125" style="72" customWidth="1"/>
    <col min="8962" max="8962" width="44.28515625" style="72" customWidth="1"/>
    <col min="8963" max="8963" width="5.5703125" style="72" customWidth="1"/>
    <col min="8964" max="8964" width="17.7109375" style="72" customWidth="1"/>
    <col min="8965" max="8965" width="3.5703125" style="72" customWidth="1"/>
    <col min="8966" max="8966" width="18" style="72" customWidth="1"/>
    <col min="8967" max="8967" width="3.28515625" style="72" customWidth="1"/>
    <col min="8968" max="8969" width="12.5703125" style="72" customWidth="1"/>
    <col min="8970" max="8970" width="15.140625" style="72" customWidth="1"/>
    <col min="8971" max="8975" width="12.5703125" style="72" customWidth="1"/>
    <col min="8976" max="8976" width="16" style="72" customWidth="1"/>
    <col min="8977" max="8977" width="7.5703125" style="72" customWidth="1"/>
    <col min="8978" max="8978" width="21.28515625" style="72" customWidth="1"/>
    <col min="8979" max="9216" width="9.140625" style="72"/>
    <col min="9217" max="9217" width="3.42578125" style="72" customWidth="1"/>
    <col min="9218" max="9218" width="44.28515625" style="72" customWidth="1"/>
    <col min="9219" max="9219" width="5.5703125" style="72" customWidth="1"/>
    <col min="9220" max="9220" width="17.7109375" style="72" customWidth="1"/>
    <col min="9221" max="9221" width="3.5703125" style="72" customWidth="1"/>
    <col min="9222" max="9222" width="18" style="72" customWidth="1"/>
    <col min="9223" max="9223" width="3.28515625" style="72" customWidth="1"/>
    <col min="9224" max="9225" width="12.5703125" style="72" customWidth="1"/>
    <col min="9226" max="9226" width="15.140625" style="72" customWidth="1"/>
    <col min="9227" max="9231" width="12.5703125" style="72" customWidth="1"/>
    <col min="9232" max="9232" width="16" style="72" customWidth="1"/>
    <col min="9233" max="9233" width="7.5703125" style="72" customWidth="1"/>
    <col min="9234" max="9234" width="21.28515625" style="72" customWidth="1"/>
    <col min="9235" max="9472" width="9.140625" style="72"/>
    <col min="9473" max="9473" width="3.42578125" style="72" customWidth="1"/>
    <col min="9474" max="9474" width="44.28515625" style="72" customWidth="1"/>
    <col min="9475" max="9475" width="5.5703125" style="72" customWidth="1"/>
    <col min="9476" max="9476" width="17.7109375" style="72" customWidth="1"/>
    <col min="9477" max="9477" width="3.5703125" style="72" customWidth="1"/>
    <col min="9478" max="9478" width="18" style="72" customWidth="1"/>
    <col min="9479" max="9479" width="3.28515625" style="72" customWidth="1"/>
    <col min="9480" max="9481" width="12.5703125" style="72" customWidth="1"/>
    <col min="9482" max="9482" width="15.140625" style="72" customWidth="1"/>
    <col min="9483" max="9487" width="12.5703125" style="72" customWidth="1"/>
    <col min="9488" max="9488" width="16" style="72" customWidth="1"/>
    <col min="9489" max="9489" width="7.5703125" style="72" customWidth="1"/>
    <col min="9490" max="9490" width="21.28515625" style="72" customWidth="1"/>
    <col min="9491" max="9728" width="9.140625" style="72"/>
    <col min="9729" max="9729" width="3.42578125" style="72" customWidth="1"/>
    <col min="9730" max="9730" width="44.28515625" style="72" customWidth="1"/>
    <col min="9731" max="9731" width="5.5703125" style="72" customWidth="1"/>
    <col min="9732" max="9732" width="17.7109375" style="72" customWidth="1"/>
    <col min="9733" max="9733" width="3.5703125" style="72" customWidth="1"/>
    <col min="9734" max="9734" width="18" style="72" customWidth="1"/>
    <col min="9735" max="9735" width="3.28515625" style="72" customWidth="1"/>
    <col min="9736" max="9737" width="12.5703125" style="72" customWidth="1"/>
    <col min="9738" max="9738" width="15.140625" style="72" customWidth="1"/>
    <col min="9739" max="9743" width="12.5703125" style="72" customWidth="1"/>
    <col min="9744" max="9744" width="16" style="72" customWidth="1"/>
    <col min="9745" max="9745" width="7.5703125" style="72" customWidth="1"/>
    <col min="9746" max="9746" width="21.28515625" style="72" customWidth="1"/>
    <col min="9747" max="9984" width="9.140625" style="72"/>
    <col min="9985" max="9985" width="3.42578125" style="72" customWidth="1"/>
    <col min="9986" max="9986" width="44.28515625" style="72" customWidth="1"/>
    <col min="9987" max="9987" width="5.5703125" style="72" customWidth="1"/>
    <col min="9988" max="9988" width="17.7109375" style="72" customWidth="1"/>
    <col min="9989" max="9989" width="3.5703125" style="72" customWidth="1"/>
    <col min="9990" max="9990" width="18" style="72" customWidth="1"/>
    <col min="9991" max="9991" width="3.28515625" style="72" customWidth="1"/>
    <col min="9992" max="9993" width="12.5703125" style="72" customWidth="1"/>
    <col min="9994" max="9994" width="15.140625" style="72" customWidth="1"/>
    <col min="9995" max="9999" width="12.5703125" style="72" customWidth="1"/>
    <col min="10000" max="10000" width="16" style="72" customWidth="1"/>
    <col min="10001" max="10001" width="7.5703125" style="72" customWidth="1"/>
    <col min="10002" max="10002" width="21.28515625" style="72" customWidth="1"/>
    <col min="10003" max="10240" width="9.140625" style="72"/>
    <col min="10241" max="10241" width="3.42578125" style="72" customWidth="1"/>
    <col min="10242" max="10242" width="44.28515625" style="72" customWidth="1"/>
    <col min="10243" max="10243" width="5.5703125" style="72" customWidth="1"/>
    <col min="10244" max="10244" width="17.7109375" style="72" customWidth="1"/>
    <col min="10245" max="10245" width="3.5703125" style="72" customWidth="1"/>
    <col min="10246" max="10246" width="18" style="72" customWidth="1"/>
    <col min="10247" max="10247" width="3.28515625" style="72" customWidth="1"/>
    <col min="10248" max="10249" width="12.5703125" style="72" customWidth="1"/>
    <col min="10250" max="10250" width="15.140625" style="72" customWidth="1"/>
    <col min="10251" max="10255" width="12.5703125" style="72" customWidth="1"/>
    <col min="10256" max="10256" width="16" style="72" customWidth="1"/>
    <col min="10257" max="10257" width="7.5703125" style="72" customWidth="1"/>
    <col min="10258" max="10258" width="21.28515625" style="72" customWidth="1"/>
    <col min="10259" max="10496" width="9.140625" style="72"/>
    <col min="10497" max="10497" width="3.42578125" style="72" customWidth="1"/>
    <col min="10498" max="10498" width="44.28515625" style="72" customWidth="1"/>
    <col min="10499" max="10499" width="5.5703125" style="72" customWidth="1"/>
    <col min="10500" max="10500" width="17.7109375" style="72" customWidth="1"/>
    <col min="10501" max="10501" width="3.5703125" style="72" customWidth="1"/>
    <col min="10502" max="10502" width="18" style="72" customWidth="1"/>
    <col min="10503" max="10503" width="3.28515625" style="72" customWidth="1"/>
    <col min="10504" max="10505" width="12.5703125" style="72" customWidth="1"/>
    <col min="10506" max="10506" width="15.140625" style="72" customWidth="1"/>
    <col min="10507" max="10511" width="12.5703125" style="72" customWidth="1"/>
    <col min="10512" max="10512" width="16" style="72" customWidth="1"/>
    <col min="10513" max="10513" width="7.5703125" style="72" customWidth="1"/>
    <col min="10514" max="10514" width="21.28515625" style="72" customWidth="1"/>
    <col min="10515" max="10752" width="9.140625" style="72"/>
    <col min="10753" max="10753" width="3.42578125" style="72" customWidth="1"/>
    <col min="10754" max="10754" width="44.28515625" style="72" customWidth="1"/>
    <col min="10755" max="10755" width="5.5703125" style="72" customWidth="1"/>
    <col min="10756" max="10756" width="17.7109375" style="72" customWidth="1"/>
    <col min="10757" max="10757" width="3.5703125" style="72" customWidth="1"/>
    <col min="10758" max="10758" width="18" style="72" customWidth="1"/>
    <col min="10759" max="10759" width="3.28515625" style="72" customWidth="1"/>
    <col min="10760" max="10761" width="12.5703125" style="72" customWidth="1"/>
    <col min="10762" max="10762" width="15.140625" style="72" customWidth="1"/>
    <col min="10763" max="10767" width="12.5703125" style="72" customWidth="1"/>
    <col min="10768" max="10768" width="16" style="72" customWidth="1"/>
    <col min="10769" max="10769" width="7.5703125" style="72" customWidth="1"/>
    <col min="10770" max="10770" width="21.28515625" style="72" customWidth="1"/>
    <col min="10771" max="11008" width="9.140625" style="72"/>
    <col min="11009" max="11009" width="3.42578125" style="72" customWidth="1"/>
    <col min="11010" max="11010" width="44.28515625" style="72" customWidth="1"/>
    <col min="11011" max="11011" width="5.5703125" style="72" customWidth="1"/>
    <col min="11012" max="11012" width="17.7109375" style="72" customWidth="1"/>
    <col min="11013" max="11013" width="3.5703125" style="72" customWidth="1"/>
    <col min="11014" max="11014" width="18" style="72" customWidth="1"/>
    <col min="11015" max="11015" width="3.28515625" style="72" customWidth="1"/>
    <col min="11016" max="11017" width="12.5703125" style="72" customWidth="1"/>
    <col min="11018" max="11018" width="15.140625" style="72" customWidth="1"/>
    <col min="11019" max="11023" width="12.5703125" style="72" customWidth="1"/>
    <col min="11024" max="11024" width="16" style="72" customWidth="1"/>
    <col min="11025" max="11025" width="7.5703125" style="72" customWidth="1"/>
    <col min="11026" max="11026" width="21.28515625" style="72" customWidth="1"/>
    <col min="11027" max="11264" width="9.140625" style="72"/>
    <col min="11265" max="11265" width="3.42578125" style="72" customWidth="1"/>
    <col min="11266" max="11266" width="44.28515625" style="72" customWidth="1"/>
    <col min="11267" max="11267" width="5.5703125" style="72" customWidth="1"/>
    <col min="11268" max="11268" width="17.7109375" style="72" customWidth="1"/>
    <col min="11269" max="11269" width="3.5703125" style="72" customWidth="1"/>
    <col min="11270" max="11270" width="18" style="72" customWidth="1"/>
    <col min="11271" max="11271" width="3.28515625" style="72" customWidth="1"/>
    <col min="11272" max="11273" width="12.5703125" style="72" customWidth="1"/>
    <col min="11274" max="11274" width="15.140625" style="72" customWidth="1"/>
    <col min="11275" max="11279" width="12.5703125" style="72" customWidth="1"/>
    <col min="11280" max="11280" width="16" style="72" customWidth="1"/>
    <col min="11281" max="11281" width="7.5703125" style="72" customWidth="1"/>
    <col min="11282" max="11282" width="21.28515625" style="72" customWidth="1"/>
    <col min="11283" max="11520" width="9.140625" style="72"/>
    <col min="11521" max="11521" width="3.42578125" style="72" customWidth="1"/>
    <col min="11522" max="11522" width="44.28515625" style="72" customWidth="1"/>
    <col min="11523" max="11523" width="5.5703125" style="72" customWidth="1"/>
    <col min="11524" max="11524" width="17.7109375" style="72" customWidth="1"/>
    <col min="11525" max="11525" width="3.5703125" style="72" customWidth="1"/>
    <col min="11526" max="11526" width="18" style="72" customWidth="1"/>
    <col min="11527" max="11527" width="3.28515625" style="72" customWidth="1"/>
    <col min="11528" max="11529" width="12.5703125" style="72" customWidth="1"/>
    <col min="11530" max="11530" width="15.140625" style="72" customWidth="1"/>
    <col min="11531" max="11535" width="12.5703125" style="72" customWidth="1"/>
    <col min="11536" max="11536" width="16" style="72" customWidth="1"/>
    <col min="11537" max="11537" width="7.5703125" style="72" customWidth="1"/>
    <col min="11538" max="11538" width="21.28515625" style="72" customWidth="1"/>
    <col min="11539" max="11776" width="9.140625" style="72"/>
    <col min="11777" max="11777" width="3.42578125" style="72" customWidth="1"/>
    <col min="11778" max="11778" width="44.28515625" style="72" customWidth="1"/>
    <col min="11779" max="11779" width="5.5703125" style="72" customWidth="1"/>
    <col min="11780" max="11780" width="17.7109375" style="72" customWidth="1"/>
    <col min="11781" max="11781" width="3.5703125" style="72" customWidth="1"/>
    <col min="11782" max="11782" width="18" style="72" customWidth="1"/>
    <col min="11783" max="11783" width="3.28515625" style="72" customWidth="1"/>
    <col min="11784" max="11785" width="12.5703125" style="72" customWidth="1"/>
    <col min="11786" max="11786" width="15.140625" style="72" customWidth="1"/>
    <col min="11787" max="11791" width="12.5703125" style="72" customWidth="1"/>
    <col min="11792" max="11792" width="16" style="72" customWidth="1"/>
    <col min="11793" max="11793" width="7.5703125" style="72" customWidth="1"/>
    <col min="11794" max="11794" width="21.28515625" style="72" customWidth="1"/>
    <col min="11795" max="12032" width="9.140625" style="72"/>
    <col min="12033" max="12033" width="3.42578125" style="72" customWidth="1"/>
    <col min="12034" max="12034" width="44.28515625" style="72" customWidth="1"/>
    <col min="12035" max="12035" width="5.5703125" style="72" customWidth="1"/>
    <col min="12036" max="12036" width="17.7109375" style="72" customWidth="1"/>
    <col min="12037" max="12037" width="3.5703125" style="72" customWidth="1"/>
    <col min="12038" max="12038" width="18" style="72" customWidth="1"/>
    <col min="12039" max="12039" width="3.28515625" style="72" customWidth="1"/>
    <col min="12040" max="12041" width="12.5703125" style="72" customWidth="1"/>
    <col min="12042" max="12042" width="15.140625" style="72" customWidth="1"/>
    <col min="12043" max="12047" width="12.5703125" style="72" customWidth="1"/>
    <col min="12048" max="12048" width="16" style="72" customWidth="1"/>
    <col min="12049" max="12049" width="7.5703125" style="72" customWidth="1"/>
    <col min="12050" max="12050" width="21.28515625" style="72" customWidth="1"/>
    <col min="12051" max="12288" width="9.140625" style="72"/>
    <col min="12289" max="12289" width="3.42578125" style="72" customWidth="1"/>
    <col min="12290" max="12290" width="44.28515625" style="72" customWidth="1"/>
    <col min="12291" max="12291" width="5.5703125" style="72" customWidth="1"/>
    <col min="12292" max="12292" width="17.7109375" style="72" customWidth="1"/>
    <col min="12293" max="12293" width="3.5703125" style="72" customWidth="1"/>
    <col min="12294" max="12294" width="18" style="72" customWidth="1"/>
    <col min="12295" max="12295" width="3.28515625" style="72" customWidth="1"/>
    <col min="12296" max="12297" width="12.5703125" style="72" customWidth="1"/>
    <col min="12298" max="12298" width="15.140625" style="72" customWidth="1"/>
    <col min="12299" max="12303" width="12.5703125" style="72" customWidth="1"/>
    <col min="12304" max="12304" width="16" style="72" customWidth="1"/>
    <col min="12305" max="12305" width="7.5703125" style="72" customWidth="1"/>
    <col min="12306" max="12306" width="21.28515625" style="72" customWidth="1"/>
    <col min="12307" max="12544" width="9.140625" style="72"/>
    <col min="12545" max="12545" width="3.42578125" style="72" customWidth="1"/>
    <col min="12546" max="12546" width="44.28515625" style="72" customWidth="1"/>
    <col min="12547" max="12547" width="5.5703125" style="72" customWidth="1"/>
    <col min="12548" max="12548" width="17.7109375" style="72" customWidth="1"/>
    <col min="12549" max="12549" width="3.5703125" style="72" customWidth="1"/>
    <col min="12550" max="12550" width="18" style="72" customWidth="1"/>
    <col min="12551" max="12551" width="3.28515625" style="72" customWidth="1"/>
    <col min="12552" max="12553" width="12.5703125" style="72" customWidth="1"/>
    <col min="12554" max="12554" width="15.140625" style="72" customWidth="1"/>
    <col min="12555" max="12559" width="12.5703125" style="72" customWidth="1"/>
    <col min="12560" max="12560" width="16" style="72" customWidth="1"/>
    <col min="12561" max="12561" width="7.5703125" style="72" customWidth="1"/>
    <col min="12562" max="12562" width="21.28515625" style="72" customWidth="1"/>
    <col min="12563" max="12800" width="9.140625" style="72"/>
    <col min="12801" max="12801" width="3.42578125" style="72" customWidth="1"/>
    <col min="12802" max="12802" width="44.28515625" style="72" customWidth="1"/>
    <col min="12803" max="12803" width="5.5703125" style="72" customWidth="1"/>
    <col min="12804" max="12804" width="17.7109375" style="72" customWidth="1"/>
    <col min="12805" max="12805" width="3.5703125" style="72" customWidth="1"/>
    <col min="12806" max="12806" width="18" style="72" customWidth="1"/>
    <col min="12807" max="12807" width="3.28515625" style="72" customWidth="1"/>
    <col min="12808" max="12809" width="12.5703125" style="72" customWidth="1"/>
    <col min="12810" max="12810" width="15.140625" style="72" customWidth="1"/>
    <col min="12811" max="12815" width="12.5703125" style="72" customWidth="1"/>
    <col min="12816" max="12816" width="16" style="72" customWidth="1"/>
    <col min="12817" max="12817" width="7.5703125" style="72" customWidth="1"/>
    <col min="12818" max="12818" width="21.28515625" style="72" customWidth="1"/>
    <col min="12819" max="13056" width="9.140625" style="72"/>
    <col min="13057" max="13057" width="3.42578125" style="72" customWidth="1"/>
    <col min="13058" max="13058" width="44.28515625" style="72" customWidth="1"/>
    <col min="13059" max="13059" width="5.5703125" style="72" customWidth="1"/>
    <col min="13060" max="13060" width="17.7109375" style="72" customWidth="1"/>
    <col min="13061" max="13061" width="3.5703125" style="72" customWidth="1"/>
    <col min="13062" max="13062" width="18" style="72" customWidth="1"/>
    <col min="13063" max="13063" width="3.28515625" style="72" customWidth="1"/>
    <col min="13064" max="13065" width="12.5703125" style="72" customWidth="1"/>
    <col min="13066" max="13066" width="15.140625" style="72" customWidth="1"/>
    <col min="13067" max="13071" width="12.5703125" style="72" customWidth="1"/>
    <col min="13072" max="13072" width="16" style="72" customWidth="1"/>
    <col min="13073" max="13073" width="7.5703125" style="72" customWidth="1"/>
    <col min="13074" max="13074" width="21.28515625" style="72" customWidth="1"/>
    <col min="13075" max="13312" width="9.140625" style="72"/>
    <col min="13313" max="13313" width="3.42578125" style="72" customWidth="1"/>
    <col min="13314" max="13314" width="44.28515625" style="72" customWidth="1"/>
    <col min="13315" max="13315" width="5.5703125" style="72" customWidth="1"/>
    <col min="13316" max="13316" width="17.7109375" style="72" customWidth="1"/>
    <col min="13317" max="13317" width="3.5703125" style="72" customWidth="1"/>
    <col min="13318" max="13318" width="18" style="72" customWidth="1"/>
    <col min="13319" max="13319" width="3.28515625" style="72" customWidth="1"/>
    <col min="13320" max="13321" width="12.5703125" style="72" customWidth="1"/>
    <col min="13322" max="13322" width="15.140625" style="72" customWidth="1"/>
    <col min="13323" max="13327" width="12.5703125" style="72" customWidth="1"/>
    <col min="13328" max="13328" width="16" style="72" customWidth="1"/>
    <col min="13329" max="13329" width="7.5703125" style="72" customWidth="1"/>
    <col min="13330" max="13330" width="21.28515625" style="72" customWidth="1"/>
    <col min="13331" max="13568" width="9.140625" style="72"/>
    <col min="13569" max="13569" width="3.42578125" style="72" customWidth="1"/>
    <col min="13570" max="13570" width="44.28515625" style="72" customWidth="1"/>
    <col min="13571" max="13571" width="5.5703125" style="72" customWidth="1"/>
    <col min="13572" max="13572" width="17.7109375" style="72" customWidth="1"/>
    <col min="13573" max="13573" width="3.5703125" style="72" customWidth="1"/>
    <col min="13574" max="13574" width="18" style="72" customWidth="1"/>
    <col min="13575" max="13575" width="3.28515625" style="72" customWidth="1"/>
    <col min="13576" max="13577" width="12.5703125" style="72" customWidth="1"/>
    <col min="13578" max="13578" width="15.140625" style="72" customWidth="1"/>
    <col min="13579" max="13583" width="12.5703125" style="72" customWidth="1"/>
    <col min="13584" max="13584" width="16" style="72" customWidth="1"/>
    <col min="13585" max="13585" width="7.5703125" style="72" customWidth="1"/>
    <col min="13586" max="13586" width="21.28515625" style="72" customWidth="1"/>
    <col min="13587" max="13824" width="9.140625" style="72"/>
    <col min="13825" max="13825" width="3.42578125" style="72" customWidth="1"/>
    <col min="13826" max="13826" width="44.28515625" style="72" customWidth="1"/>
    <col min="13827" max="13827" width="5.5703125" style="72" customWidth="1"/>
    <col min="13828" max="13828" width="17.7109375" style="72" customWidth="1"/>
    <col min="13829" max="13829" width="3.5703125" style="72" customWidth="1"/>
    <col min="13830" max="13830" width="18" style="72" customWidth="1"/>
    <col min="13831" max="13831" width="3.28515625" style="72" customWidth="1"/>
    <col min="13832" max="13833" width="12.5703125" style="72" customWidth="1"/>
    <col min="13834" max="13834" width="15.140625" style="72" customWidth="1"/>
    <col min="13835" max="13839" width="12.5703125" style="72" customWidth="1"/>
    <col min="13840" max="13840" width="16" style="72" customWidth="1"/>
    <col min="13841" max="13841" width="7.5703125" style="72" customWidth="1"/>
    <col min="13842" max="13842" width="21.28515625" style="72" customWidth="1"/>
    <col min="13843" max="14080" width="9.140625" style="72"/>
    <col min="14081" max="14081" width="3.42578125" style="72" customWidth="1"/>
    <col min="14082" max="14082" width="44.28515625" style="72" customWidth="1"/>
    <col min="14083" max="14083" width="5.5703125" style="72" customWidth="1"/>
    <col min="14084" max="14084" width="17.7109375" style="72" customWidth="1"/>
    <col min="14085" max="14085" width="3.5703125" style="72" customWidth="1"/>
    <col min="14086" max="14086" width="18" style="72" customWidth="1"/>
    <col min="14087" max="14087" width="3.28515625" style="72" customWidth="1"/>
    <col min="14088" max="14089" width="12.5703125" style="72" customWidth="1"/>
    <col min="14090" max="14090" width="15.140625" style="72" customWidth="1"/>
    <col min="14091" max="14095" width="12.5703125" style="72" customWidth="1"/>
    <col min="14096" max="14096" width="16" style="72" customWidth="1"/>
    <col min="14097" max="14097" width="7.5703125" style="72" customWidth="1"/>
    <col min="14098" max="14098" width="21.28515625" style="72" customWidth="1"/>
    <col min="14099" max="14336" width="9.140625" style="72"/>
    <col min="14337" max="14337" width="3.42578125" style="72" customWidth="1"/>
    <col min="14338" max="14338" width="44.28515625" style="72" customWidth="1"/>
    <col min="14339" max="14339" width="5.5703125" style="72" customWidth="1"/>
    <col min="14340" max="14340" width="17.7109375" style="72" customWidth="1"/>
    <col min="14341" max="14341" width="3.5703125" style="72" customWidth="1"/>
    <col min="14342" max="14342" width="18" style="72" customWidth="1"/>
    <col min="14343" max="14343" width="3.28515625" style="72" customWidth="1"/>
    <col min="14344" max="14345" width="12.5703125" style="72" customWidth="1"/>
    <col min="14346" max="14346" width="15.140625" style="72" customWidth="1"/>
    <col min="14347" max="14351" width="12.5703125" style="72" customWidth="1"/>
    <col min="14352" max="14352" width="16" style="72" customWidth="1"/>
    <col min="14353" max="14353" width="7.5703125" style="72" customWidth="1"/>
    <col min="14354" max="14354" width="21.28515625" style="72" customWidth="1"/>
    <col min="14355" max="14592" width="9.140625" style="72"/>
    <col min="14593" max="14593" width="3.42578125" style="72" customWidth="1"/>
    <col min="14594" max="14594" width="44.28515625" style="72" customWidth="1"/>
    <col min="14595" max="14595" width="5.5703125" style="72" customWidth="1"/>
    <col min="14596" max="14596" width="17.7109375" style="72" customWidth="1"/>
    <col min="14597" max="14597" width="3.5703125" style="72" customWidth="1"/>
    <col min="14598" max="14598" width="18" style="72" customWidth="1"/>
    <col min="14599" max="14599" width="3.28515625" style="72" customWidth="1"/>
    <col min="14600" max="14601" width="12.5703125" style="72" customWidth="1"/>
    <col min="14602" max="14602" width="15.140625" style="72" customWidth="1"/>
    <col min="14603" max="14607" width="12.5703125" style="72" customWidth="1"/>
    <col min="14608" max="14608" width="16" style="72" customWidth="1"/>
    <col min="14609" max="14609" width="7.5703125" style="72" customWidth="1"/>
    <col min="14610" max="14610" width="21.28515625" style="72" customWidth="1"/>
    <col min="14611" max="14848" width="9.140625" style="72"/>
    <col min="14849" max="14849" width="3.42578125" style="72" customWidth="1"/>
    <col min="14850" max="14850" width="44.28515625" style="72" customWidth="1"/>
    <col min="14851" max="14851" width="5.5703125" style="72" customWidth="1"/>
    <col min="14852" max="14852" width="17.7109375" style="72" customWidth="1"/>
    <col min="14853" max="14853" width="3.5703125" style="72" customWidth="1"/>
    <col min="14854" max="14854" width="18" style="72" customWidth="1"/>
    <col min="14855" max="14855" width="3.28515625" style="72" customWidth="1"/>
    <col min="14856" max="14857" width="12.5703125" style="72" customWidth="1"/>
    <col min="14858" max="14858" width="15.140625" style="72" customWidth="1"/>
    <col min="14859" max="14863" width="12.5703125" style="72" customWidth="1"/>
    <col min="14864" max="14864" width="16" style="72" customWidth="1"/>
    <col min="14865" max="14865" width="7.5703125" style="72" customWidth="1"/>
    <col min="14866" max="14866" width="21.28515625" style="72" customWidth="1"/>
    <col min="14867" max="15104" width="9.140625" style="72"/>
    <col min="15105" max="15105" width="3.42578125" style="72" customWidth="1"/>
    <col min="15106" max="15106" width="44.28515625" style="72" customWidth="1"/>
    <col min="15107" max="15107" width="5.5703125" style="72" customWidth="1"/>
    <col min="15108" max="15108" width="17.7109375" style="72" customWidth="1"/>
    <col min="15109" max="15109" width="3.5703125" style="72" customWidth="1"/>
    <col min="15110" max="15110" width="18" style="72" customWidth="1"/>
    <col min="15111" max="15111" width="3.28515625" style="72" customWidth="1"/>
    <col min="15112" max="15113" width="12.5703125" style="72" customWidth="1"/>
    <col min="15114" max="15114" width="15.140625" style="72" customWidth="1"/>
    <col min="15115" max="15119" width="12.5703125" style="72" customWidth="1"/>
    <col min="15120" max="15120" width="16" style="72" customWidth="1"/>
    <col min="15121" max="15121" width="7.5703125" style="72" customWidth="1"/>
    <col min="15122" max="15122" width="21.28515625" style="72" customWidth="1"/>
    <col min="15123" max="15360" width="9.140625" style="72"/>
    <col min="15361" max="15361" width="3.42578125" style="72" customWidth="1"/>
    <col min="15362" max="15362" width="44.28515625" style="72" customWidth="1"/>
    <col min="15363" max="15363" width="5.5703125" style="72" customWidth="1"/>
    <col min="15364" max="15364" width="17.7109375" style="72" customWidth="1"/>
    <col min="15365" max="15365" width="3.5703125" style="72" customWidth="1"/>
    <col min="15366" max="15366" width="18" style="72" customWidth="1"/>
    <col min="15367" max="15367" width="3.28515625" style="72" customWidth="1"/>
    <col min="15368" max="15369" width="12.5703125" style="72" customWidth="1"/>
    <col min="15370" max="15370" width="15.140625" style="72" customWidth="1"/>
    <col min="15371" max="15375" width="12.5703125" style="72" customWidth="1"/>
    <col min="15376" max="15376" width="16" style="72" customWidth="1"/>
    <col min="15377" max="15377" width="7.5703125" style="72" customWidth="1"/>
    <col min="15378" max="15378" width="21.28515625" style="72" customWidth="1"/>
    <col min="15379" max="15616" width="9.140625" style="72"/>
    <col min="15617" max="15617" width="3.42578125" style="72" customWidth="1"/>
    <col min="15618" max="15618" width="44.28515625" style="72" customWidth="1"/>
    <col min="15619" max="15619" width="5.5703125" style="72" customWidth="1"/>
    <col min="15620" max="15620" width="17.7109375" style="72" customWidth="1"/>
    <col min="15621" max="15621" width="3.5703125" style="72" customWidth="1"/>
    <col min="15622" max="15622" width="18" style="72" customWidth="1"/>
    <col min="15623" max="15623" width="3.28515625" style="72" customWidth="1"/>
    <col min="15624" max="15625" width="12.5703125" style="72" customWidth="1"/>
    <col min="15626" max="15626" width="15.140625" style="72" customWidth="1"/>
    <col min="15627" max="15631" width="12.5703125" style="72" customWidth="1"/>
    <col min="15632" max="15632" width="16" style="72" customWidth="1"/>
    <col min="15633" max="15633" width="7.5703125" style="72" customWidth="1"/>
    <col min="15634" max="15634" width="21.28515625" style="72" customWidth="1"/>
    <col min="15635" max="15872" width="9.140625" style="72"/>
    <col min="15873" max="15873" width="3.42578125" style="72" customWidth="1"/>
    <col min="15874" max="15874" width="44.28515625" style="72" customWidth="1"/>
    <col min="15875" max="15875" width="5.5703125" style="72" customWidth="1"/>
    <col min="15876" max="15876" width="17.7109375" style="72" customWidth="1"/>
    <col min="15877" max="15877" width="3.5703125" style="72" customWidth="1"/>
    <col min="15878" max="15878" width="18" style="72" customWidth="1"/>
    <col min="15879" max="15879" width="3.28515625" style="72" customWidth="1"/>
    <col min="15880" max="15881" width="12.5703125" style="72" customWidth="1"/>
    <col min="15882" max="15882" width="15.140625" style="72" customWidth="1"/>
    <col min="15883" max="15887" width="12.5703125" style="72" customWidth="1"/>
    <col min="15888" max="15888" width="16" style="72" customWidth="1"/>
    <col min="15889" max="15889" width="7.5703125" style="72" customWidth="1"/>
    <col min="15890" max="15890" width="21.28515625" style="72" customWidth="1"/>
    <col min="15891" max="16128" width="9.140625" style="72"/>
    <col min="16129" max="16129" width="3.42578125" style="72" customWidth="1"/>
    <col min="16130" max="16130" width="44.28515625" style="72" customWidth="1"/>
    <col min="16131" max="16131" width="5.5703125" style="72" customWidth="1"/>
    <col min="16132" max="16132" width="17.7109375" style="72" customWidth="1"/>
    <col min="16133" max="16133" width="3.5703125" style="72" customWidth="1"/>
    <col min="16134" max="16134" width="18" style="72" customWidth="1"/>
    <col min="16135" max="16135" width="3.28515625" style="72" customWidth="1"/>
    <col min="16136" max="16137" width="12.5703125" style="72" customWidth="1"/>
    <col min="16138" max="16138" width="15.140625" style="72" customWidth="1"/>
    <col min="16139" max="16143" width="12.5703125" style="72" customWidth="1"/>
    <col min="16144" max="16144" width="16" style="72" customWidth="1"/>
    <col min="16145" max="16145" width="7.5703125" style="72" customWidth="1"/>
    <col min="16146" max="16146" width="21.28515625" style="72" customWidth="1"/>
    <col min="16147" max="16384" width="9.140625" style="72"/>
  </cols>
  <sheetData>
    <row r="2" spans="1:18" s="70" customFormat="1" ht="15.75">
      <c r="B2" s="70" t="s">
        <v>114</v>
      </c>
      <c r="G2" s="14" t="s">
        <v>3</v>
      </c>
      <c r="H2" s="14" t="s">
        <v>4</v>
      </c>
      <c r="I2" s="5" t="s">
        <v>205</v>
      </c>
      <c r="J2" s="5"/>
      <c r="K2" s="5"/>
      <c r="L2" s="5"/>
      <c r="M2" s="5"/>
      <c r="N2" s="5"/>
      <c r="O2" s="5"/>
      <c r="P2" s="5"/>
      <c r="R2" s="5"/>
    </row>
    <row r="3" spans="1:18">
      <c r="B3" s="71"/>
    </row>
    <row r="4" spans="1:18" s="74" customFormat="1">
      <c r="B4" s="73" t="s">
        <v>33</v>
      </c>
    </row>
    <row r="5" spans="1:18">
      <c r="B5" s="71"/>
    </row>
    <row r="6" spans="1:18">
      <c r="A6" s="71"/>
      <c r="B6" s="71" t="s">
        <v>115</v>
      </c>
    </row>
    <row r="7" spans="1:18">
      <c r="A7" s="71"/>
      <c r="B7" s="71" t="s">
        <v>221</v>
      </c>
    </row>
    <row r="8" spans="1:18">
      <c r="A8" s="71"/>
      <c r="B8" s="71" t="s">
        <v>116</v>
      </c>
    </row>
    <row r="9" spans="1:18">
      <c r="A9" s="71"/>
      <c r="B9" s="71" t="s">
        <v>226</v>
      </c>
    </row>
    <row r="10" spans="1:18">
      <c r="B10" s="71"/>
    </row>
    <row r="11" spans="1:18">
      <c r="A11" s="71"/>
      <c r="B11" s="71" t="s">
        <v>190</v>
      </c>
    </row>
    <row r="12" spans="1:18">
      <c r="A12" s="71"/>
      <c r="B12" s="71" t="s">
        <v>191</v>
      </c>
    </row>
    <row r="13" spans="1:18">
      <c r="A13" s="71"/>
      <c r="B13" s="71" t="s">
        <v>227</v>
      </c>
    </row>
    <row r="14" spans="1:18">
      <c r="A14" s="71"/>
      <c r="B14" s="71" t="s">
        <v>192</v>
      </c>
    </row>
    <row r="15" spans="1:18">
      <c r="A15" s="71"/>
      <c r="B15" s="71" t="s">
        <v>220</v>
      </c>
    </row>
    <row r="16" spans="1:18">
      <c r="B16" s="71"/>
    </row>
    <row r="18" spans="1:18" s="12" customFormat="1">
      <c r="B18" s="11" t="s">
        <v>193</v>
      </c>
    </row>
    <row r="19" spans="1:18" s="76" customFormat="1">
      <c r="G19" s="77"/>
      <c r="H19" s="77"/>
      <c r="I19" s="77"/>
      <c r="J19" s="77"/>
      <c r="K19" s="77"/>
      <c r="L19" s="77"/>
      <c r="M19" s="77"/>
      <c r="N19" s="77"/>
      <c r="O19" s="77"/>
      <c r="P19" s="78"/>
      <c r="R19" s="79"/>
    </row>
    <row r="20" spans="1:18" s="76" customFormat="1">
      <c r="B20" s="126" t="s">
        <v>194</v>
      </c>
      <c r="G20" s="77"/>
      <c r="H20" s="77"/>
      <c r="I20" s="77"/>
      <c r="J20" s="77"/>
      <c r="K20" s="77"/>
      <c r="L20" s="77"/>
      <c r="M20" s="77"/>
      <c r="N20" s="77"/>
      <c r="O20" s="77"/>
      <c r="P20" s="78"/>
      <c r="R20" s="79"/>
    </row>
    <row r="21" spans="1:18" s="76" customFormat="1">
      <c r="G21" s="77"/>
      <c r="H21" s="77"/>
      <c r="I21" s="77"/>
      <c r="J21" s="77"/>
      <c r="K21" s="77"/>
      <c r="L21" s="77"/>
      <c r="M21" s="77"/>
      <c r="N21" s="77"/>
      <c r="O21" s="77"/>
      <c r="P21" s="78"/>
      <c r="R21" s="79"/>
    </row>
    <row r="22" spans="1:18" s="76" customFormat="1">
      <c r="B22" s="76" t="s">
        <v>195</v>
      </c>
      <c r="D22" s="76" t="s">
        <v>121</v>
      </c>
      <c r="G22" s="165">
        <f>'TI-berekening 2016'!J13</f>
        <v>272735462.21164322</v>
      </c>
      <c r="H22" s="165">
        <f>'TI-berekening 2016'!K13</f>
        <v>297194584.13085103</v>
      </c>
      <c r="I22" s="164">
        <f>SUM(G22:H22)</f>
        <v>569930046.34249425</v>
      </c>
      <c r="J22" s="77"/>
      <c r="K22" s="77"/>
      <c r="L22" s="77"/>
      <c r="M22" s="77"/>
      <c r="N22" s="77"/>
      <c r="O22" s="77"/>
      <c r="P22" s="78"/>
      <c r="R22" s="79"/>
    </row>
    <row r="23" spans="1:18" s="76" customFormat="1">
      <c r="G23" s="77"/>
      <c r="H23" s="77"/>
      <c r="I23" s="77"/>
      <c r="J23" s="77"/>
      <c r="K23" s="77"/>
      <c r="L23" s="77"/>
      <c r="M23" s="77"/>
      <c r="N23" s="77"/>
      <c r="O23" s="77"/>
      <c r="P23" s="78"/>
      <c r="R23" s="79"/>
    </row>
    <row r="24" spans="1:18" s="76" customFormat="1">
      <c r="B24" s="120" t="s">
        <v>196</v>
      </c>
      <c r="G24" s="77"/>
      <c r="H24" s="77"/>
      <c r="I24" s="77"/>
      <c r="J24" s="77"/>
      <c r="K24" s="77"/>
      <c r="L24" s="77"/>
      <c r="M24" s="77"/>
      <c r="N24" s="77"/>
      <c r="O24" s="77"/>
      <c r="P24" s="78"/>
      <c r="R24" s="79"/>
    </row>
    <row r="25" spans="1:18" s="76" customFormat="1">
      <c r="B25" s="76" t="s">
        <v>197</v>
      </c>
      <c r="D25" s="76" t="s">
        <v>200</v>
      </c>
      <c r="G25" s="161">
        <v>286285007.53018445</v>
      </c>
      <c r="H25" s="161">
        <v>376781499.69922566</v>
      </c>
      <c r="I25" s="164">
        <f>SUM(G25:H25)</f>
        <v>663066507.22941017</v>
      </c>
      <c r="J25" s="77"/>
      <c r="K25" s="166" t="s">
        <v>203</v>
      </c>
      <c r="L25" s="77"/>
      <c r="M25" s="77"/>
      <c r="N25" s="77"/>
      <c r="O25" s="77"/>
      <c r="P25" s="78"/>
      <c r="R25" s="79"/>
    </row>
    <row r="26" spans="1:18" s="76" customFormat="1">
      <c r="B26" s="76" t="s">
        <v>198</v>
      </c>
      <c r="G26" s="162">
        <v>6.73</v>
      </c>
      <c r="H26" s="162">
        <v>6.24</v>
      </c>
      <c r="I26" s="77"/>
      <c r="J26" s="77"/>
      <c r="K26" s="166" t="s">
        <v>204</v>
      </c>
      <c r="L26" s="77"/>
      <c r="M26" s="77"/>
      <c r="N26" s="77"/>
      <c r="O26" s="77"/>
      <c r="P26" s="78"/>
      <c r="R26" s="79"/>
    </row>
    <row r="27" spans="1:18" s="76" customFormat="1">
      <c r="B27" s="76" t="s">
        <v>199</v>
      </c>
      <c r="D27" s="76" t="s">
        <v>31</v>
      </c>
      <c r="F27" s="163">
        <f>CPI!C17</f>
        <v>2.8000000000000001E-2</v>
      </c>
      <c r="G27" s="77"/>
      <c r="H27" s="77"/>
      <c r="I27" s="77"/>
      <c r="J27" s="77"/>
      <c r="K27" s="77"/>
      <c r="L27" s="77"/>
      <c r="M27" s="77"/>
      <c r="N27" s="77"/>
      <c r="O27" s="77"/>
      <c r="P27" s="78"/>
      <c r="R27" s="79"/>
    </row>
    <row r="28" spans="1:18" s="76" customFormat="1">
      <c r="B28" s="76" t="s">
        <v>50</v>
      </c>
      <c r="D28" s="76" t="s">
        <v>31</v>
      </c>
      <c r="F28" s="163">
        <f>CPI!C18</f>
        <v>0.01</v>
      </c>
      <c r="G28" s="77"/>
      <c r="H28" s="77"/>
      <c r="I28" s="77"/>
      <c r="J28" s="77"/>
      <c r="K28" s="77"/>
      <c r="L28" s="77"/>
      <c r="M28" s="77"/>
      <c r="N28" s="77"/>
      <c r="O28" s="77"/>
      <c r="P28" s="78"/>
      <c r="R28" s="79"/>
    </row>
    <row r="29" spans="1:18" s="76" customFormat="1">
      <c r="B29" s="76" t="s">
        <v>201</v>
      </c>
      <c r="D29" s="76" t="s">
        <v>31</v>
      </c>
      <c r="F29" s="163">
        <f>CPI!C19</f>
        <v>8.0000000000000002E-3</v>
      </c>
      <c r="G29" s="77"/>
      <c r="H29" s="77"/>
      <c r="I29" s="77"/>
      <c r="J29" s="77"/>
      <c r="K29" s="77"/>
      <c r="L29" s="77"/>
      <c r="M29" s="77"/>
      <c r="N29" s="77"/>
      <c r="O29" s="77"/>
      <c r="P29" s="78"/>
      <c r="R29" s="79"/>
    </row>
    <row r="30" spans="1:18" s="76" customFormat="1">
      <c r="B30" s="76" t="s">
        <v>202</v>
      </c>
      <c r="D30" s="76" t="s">
        <v>121</v>
      </c>
      <c r="G30" s="164">
        <f>G25*(1-G26/100+$F$27)*(1-G26/100+$F$28)*(1-G26/100+$F$29)</f>
        <v>243899576.85017708</v>
      </c>
      <c r="H30" s="164">
        <f>H25*(1-H26/100+$F$27)*(1-H26/100+$F$28)*(1-H26/100+$F$29)</f>
        <v>326001308.38430327</v>
      </c>
      <c r="I30" s="164">
        <f>SUM(G30:H30)</f>
        <v>569900885.23448038</v>
      </c>
      <c r="J30" s="77"/>
      <c r="K30" s="77"/>
      <c r="L30" s="77"/>
      <c r="M30" s="77"/>
      <c r="N30" s="77"/>
      <c r="O30" s="77"/>
      <c r="P30" s="78"/>
      <c r="R30" s="79"/>
    </row>
    <row r="31" spans="1:18" s="76" customFormat="1">
      <c r="G31" s="77"/>
      <c r="H31" s="77"/>
      <c r="I31" s="77"/>
      <c r="J31" s="77"/>
      <c r="K31" s="77"/>
      <c r="L31" s="77"/>
      <c r="M31" s="77"/>
      <c r="N31" s="77"/>
      <c r="O31" s="77"/>
      <c r="P31" s="78"/>
      <c r="R31" s="79"/>
    </row>
    <row r="32" spans="1:18">
      <c r="A32" s="71"/>
      <c r="B32" s="72" t="s">
        <v>206</v>
      </c>
      <c r="D32" s="76" t="s">
        <v>121</v>
      </c>
      <c r="G32" s="168">
        <f>G30-G22</f>
        <v>-28835885.36146614</v>
      </c>
      <c r="H32" s="168">
        <f>H30-H22</f>
        <v>28806724.253452241</v>
      </c>
      <c r="I32" s="168">
        <f>SUM(G32:H32)</f>
        <v>-29161.108013898134</v>
      </c>
    </row>
    <row r="33" spans="1:28">
      <c r="A33" s="71"/>
    </row>
    <row r="35" spans="1:28" s="12" customFormat="1">
      <c r="B35" s="11" t="s">
        <v>207</v>
      </c>
    </row>
    <row r="36" spans="1:28" s="76" customFormat="1">
      <c r="G36" s="77"/>
      <c r="H36" s="77"/>
      <c r="I36" s="77"/>
      <c r="J36" s="77"/>
      <c r="K36" s="77"/>
      <c r="L36" s="77"/>
      <c r="M36" s="77"/>
      <c r="N36" s="77"/>
      <c r="O36" s="77"/>
      <c r="P36" s="78"/>
      <c r="R36" s="79"/>
    </row>
    <row r="37" spans="1:28">
      <c r="A37" s="71"/>
      <c r="B37" s="72" t="s">
        <v>228</v>
      </c>
      <c r="D37" s="76" t="s">
        <v>121</v>
      </c>
      <c r="E37" s="76"/>
      <c r="F37" s="76"/>
      <c r="G37" s="165">
        <f>'Netverliezen gas'!J25</f>
        <v>-7950314.2479274273</v>
      </c>
      <c r="H37" s="165">
        <f>'Netverliezen gas'!K25</f>
        <v>-7877004.9937384129</v>
      </c>
      <c r="I37" s="164">
        <f>SUM(G37:H37)</f>
        <v>-15827319.24166584</v>
      </c>
    </row>
    <row r="38" spans="1:28">
      <c r="A38" s="71"/>
    </row>
    <row r="39" spans="1:28">
      <c r="A39" s="71"/>
      <c r="B39" s="120" t="s">
        <v>214</v>
      </c>
    </row>
    <row r="40" spans="1:28">
      <c r="A40" s="71"/>
      <c r="B40" s="72" t="s">
        <v>209</v>
      </c>
      <c r="G40" s="133">
        <v>7.66</v>
      </c>
      <c r="H40" s="133">
        <v>7.09</v>
      </c>
      <c r="K40" s="166" t="s">
        <v>208</v>
      </c>
    </row>
    <row r="41" spans="1:28">
      <c r="A41" s="71"/>
      <c r="B41" s="76" t="s">
        <v>210</v>
      </c>
      <c r="D41" s="76" t="s">
        <v>121</v>
      </c>
      <c r="G41" s="167">
        <f>G25*(1-G40/100+$F$27)*(1-G40/100+$F$28)*(1-G40/100+$F$29)</f>
        <v>236791322.04175612</v>
      </c>
      <c r="H41" s="167">
        <f>H25*(1-H40/100+$F$27)*(1-H40/100+$F$28)*(1-H40/100+$F$29)</f>
        <v>317354503.06259406</v>
      </c>
      <c r="I41" s="164">
        <f>SUM(G41:H41)</f>
        <v>554145825.10435021</v>
      </c>
    </row>
    <row r="42" spans="1:28">
      <c r="A42" s="71"/>
      <c r="B42" s="72" t="s">
        <v>211</v>
      </c>
      <c r="D42" s="76" t="s">
        <v>121</v>
      </c>
      <c r="G42" s="168">
        <f>G41-G30</f>
        <v>-7108254.8084209561</v>
      </c>
      <c r="H42" s="168">
        <f>H41-H30</f>
        <v>-8646805.3217092156</v>
      </c>
      <c r="I42" s="168">
        <f>SUM(G42:H42)</f>
        <v>-15755060.130130172</v>
      </c>
    </row>
    <row r="43" spans="1:28">
      <c r="A43" s="71"/>
    </row>
    <row r="44" spans="1:28">
      <c r="A44" s="71"/>
      <c r="B44" s="72" t="s">
        <v>212</v>
      </c>
      <c r="D44" s="76" t="s">
        <v>121</v>
      </c>
      <c r="G44" s="168">
        <f>G42-G37</f>
        <v>842059.43950647116</v>
      </c>
      <c r="H44" s="168">
        <f>H42-H37</f>
        <v>-769800.32797080278</v>
      </c>
      <c r="I44" s="168">
        <f>SUM(G44:H44)</f>
        <v>72259.111535668373</v>
      </c>
    </row>
    <row r="47" spans="1:28" s="18" customFormat="1">
      <c r="A47" s="7"/>
      <c r="B47" s="8" t="s">
        <v>118</v>
      </c>
      <c r="C47" s="7"/>
      <c r="D47" s="7"/>
      <c r="E47" s="7"/>
      <c r="F47" s="8"/>
      <c r="G47" s="7"/>
      <c r="H47" s="73"/>
      <c r="I47" s="74"/>
      <c r="J47" s="74"/>
      <c r="K47" s="74"/>
      <c r="L47" s="74"/>
      <c r="M47" s="74"/>
      <c r="N47" s="74"/>
      <c r="O47" s="74"/>
      <c r="P47" s="74"/>
      <c r="Q47" s="74"/>
      <c r="R47" s="74"/>
      <c r="S47" s="74"/>
      <c r="T47" s="74"/>
      <c r="U47" s="74"/>
      <c r="V47" s="74"/>
      <c r="W47" s="74"/>
      <c r="X47" s="74"/>
      <c r="Y47" s="74"/>
      <c r="Z47" s="74"/>
      <c r="AA47" s="74"/>
      <c r="AB47" s="74"/>
    </row>
    <row r="48" spans="1:28" s="18" customFormat="1">
      <c r="A48" s="82"/>
      <c r="B48" s="82"/>
      <c r="C48" s="82"/>
      <c r="D48" s="82"/>
      <c r="E48" s="82"/>
      <c r="F48" s="82"/>
      <c r="G48" s="83"/>
      <c r="H48" s="83"/>
    </row>
    <row r="49" spans="1:8" s="18" customFormat="1">
      <c r="A49" s="171"/>
      <c r="B49" s="84" t="s">
        <v>213</v>
      </c>
      <c r="C49" s="84"/>
      <c r="D49" s="84" t="s">
        <v>121</v>
      </c>
      <c r="E49" s="84"/>
      <c r="G49" s="85">
        <f>G32+G44</f>
        <v>-27993825.921959668</v>
      </c>
      <c r="H49" s="85">
        <f>H32+H44</f>
        <v>28036923.925481439</v>
      </c>
    </row>
    <row r="50" spans="1:8" s="18" customFormat="1">
      <c r="A50" s="84"/>
      <c r="B50" s="84"/>
      <c r="C50" s="86"/>
      <c r="D50" s="84"/>
      <c r="E50" s="84"/>
      <c r="F50" s="86"/>
      <c r="G50" s="84"/>
      <c r="H50" s="86"/>
    </row>
    <row r="51" spans="1:8" s="18" customFormat="1">
      <c r="A51" s="84"/>
      <c r="B51" s="84"/>
      <c r="C51" s="86"/>
      <c r="D51" s="84"/>
      <c r="E51" s="84"/>
      <c r="F51" s="84"/>
      <c r="G51" s="84"/>
      <c r="H51" s="84"/>
    </row>
  </sheetData>
  <pageMargins left="0.75" right="0.75" top="1" bottom="1" header="0.5" footer="0.5"/>
  <pageSetup paperSize="8" scale="3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2</vt:i4>
      </vt:variant>
    </vt:vector>
  </HeadingPairs>
  <TitlesOfParts>
    <vt:vector size="14" baseType="lpstr">
      <vt:lpstr>Toelichting</vt:lpstr>
      <vt:lpstr>TI-berekening 2016</vt:lpstr>
      <vt:lpstr>Nacalculaties en correcties</vt:lpstr>
      <vt:lpstr>Nacalculaties --&gt;</vt:lpstr>
      <vt:lpstr>Netverliezen gas</vt:lpstr>
      <vt:lpstr>Lokale heffingen 2014</vt:lpstr>
      <vt:lpstr>VolVerschuiving Adm. 2015</vt:lpstr>
      <vt:lpstr>VolVerschuiving Codewijz. 2015</vt:lpstr>
      <vt:lpstr>Ruilverkaveling FNOP 2016</vt:lpstr>
      <vt:lpstr>Parameters --&gt;</vt:lpstr>
      <vt:lpstr>Heffingsrente</vt:lpstr>
      <vt:lpstr>CPI</vt:lpstr>
      <vt:lpstr>'VolVerschuiving Codewijz. 2015'!_ftn1</vt:lpstr>
      <vt:lpstr>'VolVerschuiving Codewijz. 2015'!_ftn2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Inkomsten 2016 netbeheerders gas</dc:title>
  <dc:creator>Autoriteit Consument &amp; Markt (ACM)</dc:creator>
  <cp:keywords>besluit;energie;gas;regulering;tarieven</cp:keywords>
  <cp:lastModifiedBy>Hoogdorp, Sergio</cp:lastModifiedBy>
  <dcterms:created xsi:type="dcterms:W3CDTF">2015-07-01T09:55:51Z</dcterms:created>
  <dcterms:modified xsi:type="dcterms:W3CDTF">2015-12-02T09:01:43Z</dcterms:modified>
</cp:coreProperties>
</file>