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810" yWindow="1035" windowWidth="13080" windowHeight="13455" tabRatio="859" activeTab="7"/>
  </bookViews>
  <sheets>
    <sheet name="Toelichting" sheetId="46" r:id="rId1"/>
    <sheet name="TI-berekening 2015" sheetId="50" r:id="rId2"/>
    <sheet name="Nacalculaties en correcties" sheetId="40" r:id="rId3"/>
    <sheet name="Nacalculaties --&gt;" sheetId="82" r:id="rId4"/>
    <sheet name="Overname private netten" sheetId="68" r:id="rId5"/>
    <sheet name="corrNVG" sheetId="86" r:id="rId6"/>
    <sheet name="corrIMM" sheetId="67" r:id="rId7"/>
    <sheet name="LH 2013" sheetId="72" r:id="rId8"/>
    <sheet name="Volumeverschuivingen" sheetId="74" r:id="rId9"/>
    <sheet name="TI2011-2014" sheetId="75" r:id="rId10"/>
    <sheet name="BOB Rendo_2013 - deel 1" sheetId="69" r:id="rId11"/>
    <sheet name="BOB Rendo_2013 - deel 2" sheetId="70" r:id="rId12"/>
    <sheet name="BOB Rendo_2013 - deel 3" sheetId="71" r:id="rId13"/>
    <sheet name="Lagere tarieven Enexis" sheetId="85" r:id="rId14"/>
    <sheet name="Input --&gt;" sheetId="84" r:id="rId15"/>
    <sheet name="Heffingsrente" sheetId="53" r:id="rId16"/>
    <sheet name="CPI" sheetId="54" r:id="rId17"/>
  </sheets>
  <externalReferences>
    <externalReference r:id="rId18"/>
    <externalReference r:id="rId19"/>
    <externalReference r:id="rId20"/>
    <externalReference r:id="rId21"/>
  </externalReferences>
  <definedNames>
    <definedName name="__CPI2001" localSheetId="14">#REF!</definedName>
    <definedName name="__CPI2001" localSheetId="13">#REF!</definedName>
    <definedName name="__CPI2001" localSheetId="3">#REF!</definedName>
    <definedName name="__CPI2001">#REF!</definedName>
    <definedName name="__CPI2002" localSheetId="13">#REF!</definedName>
    <definedName name="__CPI2002" localSheetId="3">#REF!</definedName>
    <definedName name="__CPI2002">#REF!</definedName>
    <definedName name="__CPI2003" localSheetId="13">#REF!</definedName>
    <definedName name="__CPI2003">#REF!</definedName>
    <definedName name="__CPI2004" localSheetId="13">#REF!</definedName>
    <definedName name="__CPI2004">#REF!</definedName>
    <definedName name="__CPI2005" localSheetId="13">#REF!</definedName>
    <definedName name="__CPI2005">#REF!</definedName>
    <definedName name="__CPI2006" localSheetId="13">#REF!</definedName>
    <definedName name="__CPI2006">#REF!</definedName>
    <definedName name="__CPI2007" localSheetId="13">#REF!</definedName>
    <definedName name="__CPI2007">#REF!</definedName>
    <definedName name="__CPI2008" localSheetId="13">#REF!</definedName>
    <definedName name="__CPI2008">#REF!</definedName>
    <definedName name="__CPI2009" localSheetId="13">#REF!</definedName>
    <definedName name="__CPI2009">#REF!</definedName>
    <definedName name="__CPI2010" localSheetId="13">#REF!</definedName>
    <definedName name="__CPI2010">#REF!</definedName>
    <definedName name="__CPI2011" localSheetId="13">#REF!</definedName>
    <definedName name="__CPI2011">#REF!</definedName>
    <definedName name="__CPI2012" localSheetId="13">#REF!</definedName>
    <definedName name="__CPI2012">#REF!</definedName>
    <definedName name="__CPI2013" localSheetId="13">#REF!</definedName>
    <definedName name="__CPI2013">#REF!</definedName>
    <definedName name="__CPI2014" localSheetId="13">#REF!</definedName>
    <definedName name="__CPI2014">#REF!</definedName>
    <definedName name="_CPI2001" localSheetId="14">#REF!</definedName>
    <definedName name="_CPI2001" localSheetId="13">#REF!</definedName>
    <definedName name="_CPI2001">#REF!</definedName>
    <definedName name="_CPI2002" localSheetId="14">#REF!</definedName>
    <definedName name="_CPI2002" localSheetId="13">#REF!</definedName>
    <definedName name="_CPI2002">#REF!</definedName>
    <definedName name="_CPI2003" localSheetId="14">#REF!</definedName>
    <definedName name="_CPI2003" localSheetId="13">#REF!</definedName>
    <definedName name="_CPI2003">#REF!</definedName>
    <definedName name="_CPI2004" localSheetId="14">#REF!</definedName>
    <definedName name="_CPI2004" localSheetId="13">#REF!</definedName>
    <definedName name="_CPI2004">#REF!</definedName>
    <definedName name="_CPI2005" localSheetId="14">#REF!</definedName>
    <definedName name="_CPI2005" localSheetId="13">#REF!</definedName>
    <definedName name="_CPI2005">#REF!</definedName>
    <definedName name="_CPI2006" localSheetId="14">#REF!</definedName>
    <definedName name="_CPI2006" localSheetId="13">#REF!</definedName>
    <definedName name="_CPI2006">#REF!</definedName>
    <definedName name="_CPI2007" localSheetId="14">#REF!</definedName>
    <definedName name="_CPI2007" localSheetId="13">#REF!</definedName>
    <definedName name="_CPI2007">#REF!</definedName>
    <definedName name="_CPI2008" localSheetId="14">#REF!</definedName>
    <definedName name="_CPI2008" localSheetId="13">#REF!</definedName>
    <definedName name="_CPI2008">#REF!</definedName>
    <definedName name="_CPI2009" localSheetId="14">#REF!</definedName>
    <definedName name="_CPI2009" localSheetId="13">#REF!</definedName>
    <definedName name="_CPI2009">#REF!</definedName>
    <definedName name="_CPI2010" localSheetId="14">#REF!</definedName>
    <definedName name="_CPI2010" localSheetId="13">#REF!</definedName>
    <definedName name="_CPI2010">#REF!</definedName>
    <definedName name="_CPI2011" localSheetId="14">#REF!</definedName>
    <definedName name="_CPI2011" localSheetId="13">#REF!</definedName>
    <definedName name="_CPI2011">#REF!</definedName>
    <definedName name="_CPI2012" localSheetId="14">#REF!</definedName>
    <definedName name="_CPI2012" localSheetId="13">#REF!</definedName>
    <definedName name="_CPI2012">#REF!</definedName>
    <definedName name="_CPI2013" localSheetId="14">#REF!</definedName>
    <definedName name="_CPI2013" localSheetId="13">#REF!</definedName>
    <definedName name="_CPI2013">#REF!</definedName>
    <definedName name="_CPI2014" localSheetId="14">#REF!</definedName>
    <definedName name="_CPI2014" localSheetId="13">#REF!</definedName>
    <definedName name="_CPI2014">#REF!</definedName>
    <definedName name="_xlnm.Print_Area" localSheetId="12">'BOB Rendo_2013 - deel 3'!$A$1:$N$93</definedName>
    <definedName name="_xlnm.Print_Area" localSheetId="5">corrNVG!$A$1:$W$28</definedName>
    <definedName name="_xlnm.Print_Area" localSheetId="7">'LH 2013'!$A$1:$U$96</definedName>
    <definedName name="_xlnm.Print_Area" localSheetId="9">'TI2011-2014'!$A$1:$R$50</definedName>
    <definedName name="CPIv2000n2001" localSheetId="14">#REF!</definedName>
    <definedName name="CPIv2000n2001" localSheetId="13">#REF!</definedName>
    <definedName name="CPIv2000n2001" localSheetId="3">#REF!</definedName>
    <definedName name="CPIv2000n2001">#REF!</definedName>
    <definedName name="CPIv2000n2002" localSheetId="14">#REF!</definedName>
    <definedName name="CPIv2000n2002" localSheetId="13">#REF!</definedName>
    <definedName name="CPIv2000n2002">#REF!</definedName>
    <definedName name="CPIv2000n2003" localSheetId="14">#REF!</definedName>
    <definedName name="CPIv2000n2003" localSheetId="13">#REF!</definedName>
    <definedName name="CPIv2000n2003">#REF!</definedName>
    <definedName name="CPIv2000n2004" localSheetId="14">#REF!</definedName>
    <definedName name="CPIv2000n2004" localSheetId="13">#REF!</definedName>
    <definedName name="CPIv2000n2004">#REF!</definedName>
    <definedName name="CPIv2000n2005" localSheetId="14">#REF!</definedName>
    <definedName name="CPIv2000n2005" localSheetId="13">#REF!</definedName>
    <definedName name="CPIv2000n2005">#REF!</definedName>
    <definedName name="CPIv2000n2006" localSheetId="14">#REF!</definedName>
    <definedName name="CPIv2000n2006" localSheetId="13">#REF!</definedName>
    <definedName name="CPIv2000n2006">#REF!</definedName>
    <definedName name="CPIv2000n2007" localSheetId="14">#REF!</definedName>
    <definedName name="CPIv2000n2007" localSheetId="13">#REF!</definedName>
    <definedName name="CPIv2000n2007">#REF!</definedName>
    <definedName name="CPIv2000n2008" localSheetId="14">#REF!</definedName>
    <definedName name="CPIv2000n2008" localSheetId="13">#REF!</definedName>
    <definedName name="CPIv2000n2008">#REF!</definedName>
    <definedName name="CPIv2000n2009" localSheetId="14">#REF!</definedName>
    <definedName name="CPIv2000n2009" localSheetId="13">#REF!</definedName>
    <definedName name="CPIv2000n2009">#REF!</definedName>
    <definedName name="CPIv2000n2010" localSheetId="14">#REF!</definedName>
    <definedName name="CPIv2000n2010" localSheetId="13">#REF!</definedName>
    <definedName name="CPIv2000n2010">#REF!</definedName>
    <definedName name="CPIv2000n2011" localSheetId="14">#REF!</definedName>
    <definedName name="CPIv2000n2011" localSheetId="13">#REF!</definedName>
    <definedName name="CPIv2000n2011">#REF!</definedName>
    <definedName name="CPIv2000n2012" localSheetId="14">#REF!</definedName>
    <definedName name="CPIv2000n2012" localSheetId="13">#REF!</definedName>
    <definedName name="CPIv2000n2012">#REF!</definedName>
    <definedName name="CPIv2000n2013" localSheetId="14">#REF!</definedName>
    <definedName name="CPIv2000n2013" localSheetId="13">#REF!</definedName>
    <definedName name="CPIv2000n2013">#REF!</definedName>
    <definedName name="CPIv2001n2002" localSheetId="14">#REF!</definedName>
    <definedName name="CPIv2001n2002" localSheetId="13">#REF!</definedName>
    <definedName name="CPIv2001n2002">#REF!</definedName>
    <definedName name="CPIv2001n2003" localSheetId="14">#REF!</definedName>
    <definedName name="CPIv2001n2003" localSheetId="13">#REF!</definedName>
    <definedName name="CPIv2001n2003">#REF!</definedName>
    <definedName name="CPIv2001n2004" localSheetId="14">#REF!</definedName>
    <definedName name="CPIv2001n2004" localSheetId="13">#REF!</definedName>
    <definedName name="CPIv2001n2004">#REF!</definedName>
    <definedName name="CPIv2001n2005" localSheetId="14">#REF!</definedName>
    <definedName name="CPIv2001n2005" localSheetId="13">#REF!</definedName>
    <definedName name="CPIv2001n2005">#REF!</definedName>
    <definedName name="CPIv2001n2006" localSheetId="14">#REF!</definedName>
    <definedName name="CPIv2001n2006" localSheetId="13">#REF!</definedName>
    <definedName name="CPIv2001n2006">#REF!</definedName>
    <definedName name="CPIv2001n2007" localSheetId="14">#REF!</definedName>
    <definedName name="CPIv2001n2007" localSheetId="13">#REF!</definedName>
    <definedName name="CPIv2001n2007">#REF!</definedName>
    <definedName name="CPIv2001n2008" localSheetId="14">#REF!</definedName>
    <definedName name="CPIv2001n2008" localSheetId="13">#REF!</definedName>
    <definedName name="CPIv2001n2008">#REF!</definedName>
    <definedName name="CPIv2001n2009" localSheetId="14">#REF!</definedName>
    <definedName name="CPIv2001n2009" localSheetId="13">#REF!</definedName>
    <definedName name="CPIv2001n2009">#REF!</definedName>
    <definedName name="CPIv2001n2010" localSheetId="14">#REF!</definedName>
    <definedName name="CPIv2001n2010" localSheetId="13">#REF!</definedName>
    <definedName name="CPIv2001n2010">#REF!</definedName>
    <definedName name="CPIv2001n2011" localSheetId="14">#REF!</definedName>
    <definedName name="CPIv2001n2011" localSheetId="13">#REF!</definedName>
    <definedName name="CPIv2001n2011">#REF!</definedName>
    <definedName name="CPIv2001n2012" localSheetId="14">#REF!</definedName>
    <definedName name="CPIv2001n2012" localSheetId="13">#REF!</definedName>
    <definedName name="CPIv2001n2012">#REF!</definedName>
    <definedName name="CPIv2001n2013" localSheetId="14">#REF!</definedName>
    <definedName name="CPIv2001n2013" localSheetId="13">#REF!</definedName>
    <definedName name="CPIv2001n2013">#REF!</definedName>
    <definedName name="CPIv2002n2003" localSheetId="14">#REF!</definedName>
    <definedName name="CPIv2002n2003" localSheetId="13">#REF!</definedName>
    <definedName name="CPIv2002n2003">#REF!</definedName>
    <definedName name="CPIv2002n2004" localSheetId="14">#REF!</definedName>
    <definedName name="CPIv2002n2004" localSheetId="13">#REF!</definedName>
    <definedName name="CPIv2002n2004">#REF!</definedName>
    <definedName name="CPIv2002n2005" localSheetId="14">#REF!</definedName>
    <definedName name="CPIv2002n2005" localSheetId="13">#REF!</definedName>
    <definedName name="CPIv2002n2005">#REF!</definedName>
    <definedName name="CPIv2002n2006" localSheetId="14">#REF!</definedName>
    <definedName name="CPIv2002n2006" localSheetId="13">#REF!</definedName>
    <definedName name="CPIv2002n2006">#REF!</definedName>
    <definedName name="CPIv2002n2007" localSheetId="14">#REF!</definedName>
    <definedName name="CPIv2002n2007" localSheetId="13">#REF!</definedName>
    <definedName name="CPIv2002n2007">#REF!</definedName>
    <definedName name="CPIv2002n2008" localSheetId="14">#REF!</definedName>
    <definedName name="CPIv2002n2008" localSheetId="13">#REF!</definedName>
    <definedName name="CPIv2002n2008">#REF!</definedName>
    <definedName name="CPIv2002n2009" localSheetId="14">#REF!</definedName>
    <definedName name="CPIv2002n2009" localSheetId="13">#REF!</definedName>
    <definedName name="CPIv2002n2009">#REF!</definedName>
    <definedName name="CPIv2002n2010" localSheetId="14">#REF!</definedName>
    <definedName name="CPIv2002n2010" localSheetId="13">#REF!</definedName>
    <definedName name="CPIv2002n2010">#REF!</definedName>
    <definedName name="CPIv2002n2011" localSheetId="14">#REF!</definedName>
    <definedName name="CPIv2002n2011" localSheetId="13">#REF!</definedName>
    <definedName name="CPIv2002n2011">#REF!</definedName>
    <definedName name="CPIv2002n2012" localSheetId="14">#REF!</definedName>
    <definedName name="CPIv2002n2012" localSheetId="13">#REF!</definedName>
    <definedName name="CPIv2002n2012">#REF!</definedName>
    <definedName name="CPIv2002n2013" localSheetId="14">#REF!</definedName>
    <definedName name="CPIv2002n2013" localSheetId="13">#REF!</definedName>
    <definedName name="CPIv2002n2013">#REF!</definedName>
    <definedName name="CPIv2003n2004" localSheetId="14">#REF!</definedName>
    <definedName name="CPIv2003n2004" localSheetId="13">#REF!</definedName>
    <definedName name="CPIv2003n2004">#REF!</definedName>
    <definedName name="CPIv2003n2005" localSheetId="14">#REF!</definedName>
    <definedName name="CPIv2003n2005" localSheetId="13">#REF!</definedName>
    <definedName name="CPIv2003n2005">#REF!</definedName>
    <definedName name="CPIv2003n2006" localSheetId="14">#REF!</definedName>
    <definedName name="CPIv2003n2006" localSheetId="13">#REF!</definedName>
    <definedName name="CPIv2003n2006">#REF!</definedName>
    <definedName name="CPIv2003n2007" localSheetId="14">#REF!</definedName>
    <definedName name="CPIv2003n2007" localSheetId="13">#REF!</definedName>
    <definedName name="CPIv2003n2007">#REF!</definedName>
    <definedName name="CPIv2003n2008" localSheetId="14">#REF!</definedName>
    <definedName name="CPIv2003n2008" localSheetId="13">#REF!</definedName>
    <definedName name="CPIv2003n2008">#REF!</definedName>
    <definedName name="CPIv2003n2009" localSheetId="14">#REF!</definedName>
    <definedName name="CPIv2003n2009" localSheetId="13">#REF!</definedName>
    <definedName name="CPIv2003n2009">#REF!</definedName>
    <definedName name="CPIv2003n2010" localSheetId="14">#REF!</definedName>
    <definedName name="CPIv2003n2010" localSheetId="13">#REF!</definedName>
    <definedName name="CPIv2003n2010">#REF!</definedName>
    <definedName name="CPIv2003n2011" localSheetId="14">#REF!</definedName>
    <definedName name="CPIv2003n2011" localSheetId="13">#REF!</definedName>
    <definedName name="CPIv2003n2011">#REF!</definedName>
    <definedName name="CPIv2003n2012" localSheetId="14">#REF!</definedName>
    <definedName name="CPIv2003n2012" localSheetId="13">#REF!</definedName>
    <definedName name="CPIv2003n2012">#REF!</definedName>
    <definedName name="CPIv2003n2013" localSheetId="14">#REF!</definedName>
    <definedName name="CPIv2003n2013" localSheetId="13">#REF!</definedName>
    <definedName name="CPIv2003n2013">#REF!</definedName>
    <definedName name="CPIv2004n2005" localSheetId="14">#REF!</definedName>
    <definedName name="CPIv2004n2005" localSheetId="13">#REF!</definedName>
    <definedName name="CPIv2004n2005">#REF!</definedName>
    <definedName name="CPIv2004n2006" localSheetId="14">#REF!</definedName>
    <definedName name="CPIv2004n2006" localSheetId="13">#REF!</definedName>
    <definedName name="CPIv2004n2006">#REF!</definedName>
    <definedName name="CPIv2004n2007" localSheetId="14">#REF!</definedName>
    <definedName name="CPIv2004n2007" localSheetId="13">#REF!</definedName>
    <definedName name="CPIv2004n2007">#REF!</definedName>
    <definedName name="CPIv2004n2008" localSheetId="14">#REF!</definedName>
    <definedName name="CPIv2004n2008" localSheetId="13">#REF!</definedName>
    <definedName name="CPIv2004n2008">#REF!</definedName>
    <definedName name="CPIv2004n2009" localSheetId="14">#REF!</definedName>
    <definedName name="CPIv2004n2009" localSheetId="13">#REF!</definedName>
    <definedName name="CPIv2004n2009">#REF!</definedName>
    <definedName name="CPIv2004n2010" localSheetId="14">#REF!</definedName>
    <definedName name="CPIv2004n2010" localSheetId="13">#REF!</definedName>
    <definedName name="CPIv2004n2010">#REF!</definedName>
    <definedName name="CPIv2004n2011" localSheetId="14">#REF!</definedName>
    <definedName name="CPIv2004n2011" localSheetId="13">#REF!</definedName>
    <definedName name="CPIv2004n2011">#REF!</definedName>
    <definedName name="CPIv2004n2012" localSheetId="14">#REF!</definedName>
    <definedName name="CPIv2004n2012" localSheetId="13">#REF!</definedName>
    <definedName name="CPIv2004n2012">#REF!</definedName>
    <definedName name="CPIv2004n2013" localSheetId="14">#REF!</definedName>
    <definedName name="CPIv2004n2013" localSheetId="13">#REF!</definedName>
    <definedName name="CPIv2004n2013">#REF!</definedName>
    <definedName name="CPIv2005n2006" localSheetId="14">#REF!</definedName>
    <definedName name="CPIv2005n2006" localSheetId="13">#REF!</definedName>
    <definedName name="CPIv2005n2006">#REF!</definedName>
    <definedName name="CPIv2005n2007" localSheetId="14">#REF!</definedName>
    <definedName name="CPIv2005n2007" localSheetId="13">#REF!</definedName>
    <definedName name="CPIv2005n2007">#REF!</definedName>
    <definedName name="CPIv2005n2008" localSheetId="14">#REF!</definedName>
    <definedName name="CPIv2005n2008" localSheetId="13">#REF!</definedName>
    <definedName name="CPIv2005n2008">#REF!</definedName>
    <definedName name="CPIv2005n2009" localSheetId="14">#REF!</definedName>
    <definedName name="CPIv2005n2009" localSheetId="13">#REF!</definedName>
    <definedName name="CPIv2005n2009">#REF!</definedName>
    <definedName name="CPIv2005n2010" localSheetId="14">#REF!</definedName>
    <definedName name="CPIv2005n2010" localSheetId="13">#REF!</definedName>
    <definedName name="CPIv2005n2010">#REF!</definedName>
    <definedName name="CPIv2005n2011" localSheetId="14">#REF!</definedName>
    <definedName name="CPIv2005n2011" localSheetId="13">#REF!</definedName>
    <definedName name="CPIv2005n2011">#REF!</definedName>
    <definedName name="CPIv2005n2012" localSheetId="14">#REF!</definedName>
    <definedName name="CPIv2005n2012" localSheetId="13">#REF!</definedName>
    <definedName name="CPIv2005n2012">#REF!</definedName>
    <definedName name="CPIv2005n2013" localSheetId="14">#REF!</definedName>
    <definedName name="CPIv2005n2013" localSheetId="13">#REF!</definedName>
    <definedName name="CPIv2005n2013">#REF!</definedName>
    <definedName name="CPIv2006n2007" localSheetId="14">#REF!</definedName>
    <definedName name="CPIv2006n2007" localSheetId="13">#REF!</definedName>
    <definedName name="CPIv2006n2007">#REF!</definedName>
    <definedName name="CPIv2006n2008" localSheetId="14">#REF!</definedName>
    <definedName name="CPIv2006n2008" localSheetId="13">#REF!</definedName>
    <definedName name="CPIv2006n2008">#REF!</definedName>
    <definedName name="CPIv2006n2009" localSheetId="14">#REF!</definedName>
    <definedName name="CPIv2006n2009" localSheetId="13">#REF!</definedName>
    <definedName name="CPIv2006n2009">#REF!</definedName>
    <definedName name="CPIv2006n2010" localSheetId="14">#REF!</definedName>
    <definedName name="CPIv2006n2010" localSheetId="13">#REF!</definedName>
    <definedName name="CPIv2006n2010">#REF!</definedName>
    <definedName name="CPIv2006n2011" localSheetId="14">#REF!</definedName>
    <definedName name="CPIv2006n2011" localSheetId="13">#REF!</definedName>
    <definedName name="CPIv2006n2011">#REF!</definedName>
    <definedName name="CPIv2006n2012" localSheetId="14">#REF!</definedName>
    <definedName name="CPIv2006n2012" localSheetId="13">#REF!</definedName>
    <definedName name="CPIv2006n2012">#REF!</definedName>
    <definedName name="CPIv2006n2013" localSheetId="14">#REF!</definedName>
    <definedName name="CPIv2006n2013" localSheetId="13">#REF!</definedName>
    <definedName name="CPIv2006n2013">#REF!</definedName>
    <definedName name="CPIv2007n2008" localSheetId="14">#REF!</definedName>
    <definedName name="CPIv2007n2008" localSheetId="13">#REF!</definedName>
    <definedName name="CPIv2007n2008">#REF!</definedName>
    <definedName name="CPIv2007n2009" localSheetId="14">#REF!</definedName>
    <definedName name="CPIv2007n2009" localSheetId="13">#REF!</definedName>
    <definedName name="CPIv2007n2009">#REF!</definedName>
    <definedName name="CPIv2007n2010" localSheetId="14">#REF!</definedName>
    <definedName name="CPIv2007n2010" localSheetId="13">#REF!</definedName>
    <definedName name="CPIv2007n2010">#REF!</definedName>
    <definedName name="CPIv2007n2011" localSheetId="14">#REF!</definedName>
    <definedName name="CPIv2007n2011" localSheetId="13">#REF!</definedName>
    <definedName name="CPIv2007n2011">#REF!</definedName>
    <definedName name="CPIv2007n2012" localSheetId="14">#REF!</definedName>
    <definedName name="CPIv2007n2012" localSheetId="13">#REF!</definedName>
    <definedName name="CPIv2007n2012">#REF!</definedName>
    <definedName name="CPIv2007n2013" localSheetId="14">#REF!</definedName>
    <definedName name="CPIv2007n2013" localSheetId="13">#REF!</definedName>
    <definedName name="CPIv2007n2013">#REF!</definedName>
    <definedName name="CPIv2008n2009" localSheetId="14">#REF!</definedName>
    <definedName name="CPIv2008n2009" localSheetId="13">#REF!</definedName>
    <definedName name="CPIv2008n2009">#REF!</definedName>
    <definedName name="CPIv2008n2010" localSheetId="14">#REF!</definedName>
    <definedName name="CPIv2008n2010" localSheetId="13">#REF!</definedName>
    <definedName name="CPIv2008n2010">#REF!</definedName>
    <definedName name="CPIv2008n2011" localSheetId="14">#REF!</definedName>
    <definedName name="CPIv2008n2011" localSheetId="13">#REF!</definedName>
    <definedName name="CPIv2008n2011">#REF!</definedName>
    <definedName name="CPIv2008n2012" localSheetId="14">#REF!</definedName>
    <definedName name="CPIv2008n2012" localSheetId="13">#REF!</definedName>
    <definedName name="CPIv2008n2012">#REF!</definedName>
    <definedName name="CPIv2008n2013" localSheetId="14">#REF!</definedName>
    <definedName name="CPIv2008n2013" localSheetId="13">#REF!</definedName>
    <definedName name="CPIv2008n2013">#REF!</definedName>
    <definedName name="CPIv2009n2010" localSheetId="14">#REF!</definedName>
    <definedName name="CPIv2009n2010" localSheetId="13">#REF!</definedName>
    <definedName name="CPIv2009n2010">#REF!</definedName>
    <definedName name="CPIv2009n2011" localSheetId="14">#REF!</definedName>
    <definedName name="CPIv2009n2011" localSheetId="13">#REF!</definedName>
    <definedName name="CPIv2009n2011">#REF!</definedName>
    <definedName name="CPIv2009n2012" localSheetId="14">#REF!</definedName>
    <definedName name="CPIv2009n2012" localSheetId="13">#REF!</definedName>
    <definedName name="CPIv2009n2012">#REF!</definedName>
    <definedName name="CPIv2009n2013" localSheetId="14">#REF!</definedName>
    <definedName name="CPIv2009n2013" localSheetId="13">#REF!</definedName>
    <definedName name="CPIv2009n2013">#REF!</definedName>
    <definedName name="CPIv2010n2011" localSheetId="14">#REF!</definedName>
    <definedName name="CPIv2010n2011" localSheetId="13">#REF!</definedName>
    <definedName name="CPIv2010n2011">#REF!</definedName>
    <definedName name="CPIv2010n2012" localSheetId="14">#REF!</definedName>
    <definedName name="CPIv2010n2012" localSheetId="13">#REF!</definedName>
    <definedName name="CPIv2010n2012">#REF!</definedName>
    <definedName name="CPIv2010n2013" localSheetId="14">#REF!</definedName>
    <definedName name="CPIv2010n2013" localSheetId="13">#REF!</definedName>
    <definedName name="CPIv2010n2013">#REF!</definedName>
    <definedName name="CPIv2011n2012" localSheetId="14">#REF!</definedName>
    <definedName name="CPIv2011n2012" localSheetId="13">#REF!</definedName>
    <definedName name="CPIv2011n2012">#REF!</definedName>
    <definedName name="CPIv2011n2013" localSheetId="14">#REF!</definedName>
    <definedName name="CPIv2011n2013" localSheetId="13">#REF!</definedName>
    <definedName name="CPIv2011n2013">#REF!</definedName>
    <definedName name="CPIv2012n2013" localSheetId="14">#REF!</definedName>
    <definedName name="CPIv2012n2013" localSheetId="13">#REF!</definedName>
    <definedName name="CPIv2012n2013">#REF!</definedName>
    <definedName name="EofG" localSheetId="14">'[1]Lokale heffingen (LH)'!#REF!</definedName>
    <definedName name="EofG" localSheetId="13">'[1]Lokale heffingen (LH)'!#REF!</definedName>
    <definedName name="EofG">'[1]Lokale heffingen (LH)'!#REF!</definedName>
    <definedName name="Naam" localSheetId="14">#REF!</definedName>
    <definedName name="Naam" localSheetId="13">#REF!</definedName>
    <definedName name="Naam" localSheetId="3">#REF!</definedName>
    <definedName name="Naam">#REF!</definedName>
    <definedName name="wacc_exc_tax">[2]constants!$E$3</definedName>
    <definedName name="WACC2011_2013">'[3]CPI&amp;WACC'!$D$14</definedName>
    <definedName name="WACCtabel">'[4]CPI en WACC'!$B$6:$D$26</definedName>
  </definedNames>
  <calcPr calcId="145621"/>
</workbook>
</file>

<file path=xl/calcChain.xml><?xml version="1.0" encoding="utf-8"?>
<calcChain xmlns="http://schemas.openxmlformats.org/spreadsheetml/2006/main">
  <c r="G49" i="40" l="1"/>
  <c r="H49" i="40"/>
  <c r="I49" i="40"/>
  <c r="J49" i="40"/>
  <c r="K49" i="40"/>
  <c r="L49" i="40"/>
  <c r="M49" i="40"/>
  <c r="N49" i="40"/>
  <c r="F49" i="40"/>
  <c r="G14" i="40"/>
  <c r="H14" i="40"/>
  <c r="I14" i="40"/>
  <c r="J14" i="40"/>
  <c r="K14" i="40"/>
  <c r="L14" i="40"/>
  <c r="M14" i="40"/>
  <c r="N14" i="40"/>
  <c r="F14" i="40"/>
  <c r="G46" i="40"/>
  <c r="H46" i="40"/>
  <c r="I46" i="40"/>
  <c r="J46" i="40"/>
  <c r="K46" i="40"/>
  <c r="L46" i="40"/>
  <c r="M46" i="40"/>
  <c r="N46" i="40"/>
  <c r="F46" i="40"/>
  <c r="F29" i="67"/>
  <c r="D43" i="85" l="1"/>
  <c r="D19" i="85" l="1"/>
  <c r="D39" i="85"/>
  <c r="J90" i="72"/>
  <c r="H43" i="75" l="1"/>
  <c r="I43" i="75"/>
  <c r="J43" i="75"/>
  <c r="K43" i="75"/>
  <c r="L43" i="75"/>
  <c r="M43" i="75"/>
  <c r="N43" i="75"/>
  <c r="O43" i="75"/>
  <c r="G43" i="75"/>
  <c r="H42" i="75"/>
  <c r="I42" i="75"/>
  <c r="J42" i="75"/>
  <c r="K42" i="75"/>
  <c r="L42" i="75"/>
  <c r="M42" i="75"/>
  <c r="N42" i="75"/>
  <c r="O42" i="75"/>
  <c r="G42" i="75"/>
  <c r="F38" i="72" l="1"/>
  <c r="F39" i="72" s="1"/>
  <c r="E22" i="86" l="1"/>
  <c r="E21" i="86"/>
  <c r="H18" i="86"/>
  <c r="I18" i="86"/>
  <c r="J18" i="86"/>
  <c r="K18" i="86"/>
  <c r="L18" i="86"/>
  <c r="M18" i="86"/>
  <c r="N18" i="86"/>
  <c r="O18" i="86"/>
  <c r="G18" i="86"/>
  <c r="O24" i="86" l="1"/>
  <c r="M24" i="86"/>
  <c r="K24" i="86"/>
  <c r="I24" i="86"/>
  <c r="G24" i="86"/>
  <c r="N24" i="86"/>
  <c r="L24" i="86"/>
  <c r="J24" i="86"/>
  <c r="H24" i="86"/>
  <c r="I117" i="74"/>
  <c r="J117" i="74"/>
  <c r="K117" i="74"/>
  <c r="L117" i="74"/>
  <c r="M117" i="74"/>
  <c r="N117" i="74"/>
  <c r="O117" i="74"/>
  <c r="P117" i="74"/>
  <c r="H117" i="74"/>
  <c r="F40" i="72" l="1"/>
  <c r="G71" i="72" l="1"/>
  <c r="H71" i="72"/>
  <c r="I71" i="72"/>
  <c r="J71" i="72"/>
  <c r="K71" i="72"/>
  <c r="L71" i="72"/>
  <c r="M71" i="72"/>
  <c r="N71" i="72"/>
  <c r="O71" i="72"/>
  <c r="F73" i="72" l="1"/>
  <c r="F72" i="72"/>
  <c r="F71" i="72"/>
  <c r="G72" i="72" l="1"/>
  <c r="H72" i="72"/>
  <c r="I72" i="72"/>
  <c r="J72" i="72"/>
  <c r="K72" i="72"/>
  <c r="L72" i="72"/>
  <c r="M72" i="72"/>
  <c r="N72" i="72"/>
  <c r="O72" i="72"/>
  <c r="G67" i="72"/>
  <c r="H67" i="72"/>
  <c r="I67" i="72"/>
  <c r="J67" i="72"/>
  <c r="K67" i="72"/>
  <c r="L67" i="72"/>
  <c r="M67" i="72"/>
  <c r="N67" i="72"/>
  <c r="O67" i="72"/>
  <c r="F67" i="72"/>
  <c r="E8" i="50" l="1"/>
  <c r="H10" i="50" s="1"/>
  <c r="O10" i="50" l="1"/>
  <c r="M10" i="50"/>
  <c r="K10" i="50"/>
  <c r="I10" i="50"/>
  <c r="G10" i="50"/>
  <c r="N10" i="50"/>
  <c r="L10" i="50"/>
  <c r="J10" i="50"/>
  <c r="K90" i="74" l="1"/>
  <c r="L74" i="74"/>
  <c r="I67" i="74"/>
  <c r="G70" i="68" l="1"/>
  <c r="G48" i="68"/>
  <c r="G58" i="68"/>
  <c r="G51" i="68"/>
  <c r="G52" i="68" s="1"/>
  <c r="G55" i="68" l="1"/>
  <c r="G73" i="68"/>
  <c r="G74" i="68" s="1"/>
  <c r="D24" i="67"/>
  <c r="D25" i="67"/>
  <c r="G77" i="68" l="1"/>
  <c r="G27" i="67"/>
  <c r="F27" i="67"/>
  <c r="M27" i="67"/>
  <c r="I27" i="67"/>
  <c r="K27" i="67"/>
  <c r="N27" i="67"/>
  <c r="L27" i="67"/>
  <c r="J27" i="67"/>
  <c r="H27" i="67"/>
  <c r="E45" i="75"/>
  <c r="E25" i="75"/>
  <c r="E24" i="75"/>
  <c r="E23" i="75"/>
  <c r="I47" i="75" l="1"/>
  <c r="I49" i="75" s="1"/>
  <c r="H18" i="40" s="1"/>
  <c r="K47" i="75"/>
  <c r="M47" i="75"/>
  <c r="O47" i="75"/>
  <c r="H47" i="75"/>
  <c r="J47" i="75"/>
  <c r="L47" i="75"/>
  <c r="N47" i="75"/>
  <c r="G47" i="75"/>
  <c r="G49" i="75" s="1"/>
  <c r="F18" i="40" s="1"/>
  <c r="K49" i="75"/>
  <c r="J18" i="40" s="1"/>
  <c r="M49" i="75"/>
  <c r="L18" i="40" s="1"/>
  <c r="O49" i="75"/>
  <c r="N18" i="40" s="1"/>
  <c r="L49" i="75"/>
  <c r="K18" i="40" s="1"/>
  <c r="N49" i="75"/>
  <c r="M18" i="40" s="1"/>
  <c r="J27" i="75"/>
  <c r="I27" i="75"/>
  <c r="I28" i="75" s="1"/>
  <c r="I29" i="75" s="1"/>
  <c r="K27" i="75"/>
  <c r="K28" i="75" s="1"/>
  <c r="K29" i="75" s="1"/>
  <c r="M27" i="75"/>
  <c r="M28" i="75" s="1"/>
  <c r="M29" i="75" s="1"/>
  <c r="O27" i="75"/>
  <c r="O28" i="75" s="1"/>
  <c r="O29" i="75" s="1"/>
  <c r="G27" i="75"/>
  <c r="G31" i="75" s="1"/>
  <c r="H27" i="75"/>
  <c r="H28" i="75" s="1"/>
  <c r="H29" i="75" s="1"/>
  <c r="L27" i="75"/>
  <c r="L28" i="75" s="1"/>
  <c r="L29" i="75" s="1"/>
  <c r="L33" i="75" s="1"/>
  <c r="J17" i="40" s="1"/>
  <c r="N27" i="75"/>
  <c r="N28" i="75" s="1"/>
  <c r="P27" i="75"/>
  <c r="P28" i="75" s="1"/>
  <c r="O31" i="75"/>
  <c r="M15" i="40" s="1"/>
  <c r="I85" i="74"/>
  <c r="J85" i="74"/>
  <c r="K85" i="74"/>
  <c r="L85" i="74"/>
  <c r="M85" i="74"/>
  <c r="N85" i="74"/>
  <c r="O85" i="74"/>
  <c r="P85" i="74"/>
  <c r="I86" i="74"/>
  <c r="J86" i="74"/>
  <c r="K86" i="74"/>
  <c r="L86" i="74"/>
  <c r="M86" i="74"/>
  <c r="N86" i="74"/>
  <c r="O86" i="74"/>
  <c r="P86" i="74"/>
  <c r="I87" i="74"/>
  <c r="J87" i="74"/>
  <c r="K87" i="74"/>
  <c r="L87" i="74"/>
  <c r="M87" i="74"/>
  <c r="N87" i="74"/>
  <c r="O87" i="74"/>
  <c r="P87" i="74"/>
  <c r="I88" i="74"/>
  <c r="J88" i="74"/>
  <c r="K88" i="74"/>
  <c r="L88" i="74"/>
  <c r="M88" i="74"/>
  <c r="N88" i="74"/>
  <c r="O88" i="74"/>
  <c r="P88" i="74"/>
  <c r="I89" i="74"/>
  <c r="J89" i="74"/>
  <c r="K89" i="74"/>
  <c r="L89" i="74"/>
  <c r="M89" i="74"/>
  <c r="N89" i="74"/>
  <c r="O89" i="74"/>
  <c r="P89" i="74"/>
  <c r="I90" i="74"/>
  <c r="J90" i="74"/>
  <c r="L90" i="74"/>
  <c r="M90" i="74"/>
  <c r="N90" i="74"/>
  <c r="O90" i="74"/>
  <c r="P90" i="74"/>
  <c r="H90" i="74"/>
  <c r="H89" i="74"/>
  <c r="H88" i="74"/>
  <c r="H87" i="74"/>
  <c r="H86" i="74"/>
  <c r="H85" i="74"/>
  <c r="J31" i="75" l="1"/>
  <c r="J49" i="75"/>
  <c r="I18" i="40" s="1"/>
  <c r="G28" i="75"/>
  <c r="G29" i="75" s="1"/>
  <c r="G33" i="75" s="1"/>
  <c r="F17" i="40" s="1"/>
  <c r="F15" i="40"/>
  <c r="H49" i="75"/>
  <c r="G18" i="40" s="1"/>
  <c r="P32" i="75"/>
  <c r="N16" i="40" s="1"/>
  <c r="P29" i="75"/>
  <c r="P33" i="75" s="1"/>
  <c r="N17" i="40" s="1"/>
  <c r="N32" i="75"/>
  <c r="L16" i="40" s="1"/>
  <c r="N29" i="75"/>
  <c r="J28" i="75"/>
  <c r="J32" i="75" s="1"/>
  <c r="I15" i="40"/>
  <c r="P31" i="75"/>
  <c r="N15" i="40" s="1"/>
  <c r="O33" i="75"/>
  <c r="M17" i="40" s="1"/>
  <c r="M31" i="75"/>
  <c r="K15" i="40" s="1"/>
  <c r="H31" i="75"/>
  <c r="G15" i="40" s="1"/>
  <c r="O32" i="75"/>
  <c r="M16" i="40" s="1"/>
  <c r="N31" i="75"/>
  <c r="L15" i="40" s="1"/>
  <c r="L31" i="75"/>
  <c r="J15" i="40" s="1"/>
  <c r="I31" i="75"/>
  <c r="H15" i="40" s="1"/>
  <c r="E9" i="50"/>
  <c r="H11" i="50" l="1"/>
  <c r="I11" i="50"/>
  <c r="L11" i="50"/>
  <c r="K11" i="50"/>
  <c r="N11" i="50"/>
  <c r="J11" i="50"/>
  <c r="M11" i="50"/>
  <c r="G11" i="50"/>
  <c r="O11" i="50"/>
  <c r="G32" i="75"/>
  <c r="F16" i="40" s="1"/>
  <c r="I16" i="40"/>
  <c r="D24" i="85" s="1"/>
  <c r="D26" i="85" s="1"/>
  <c r="D30" i="85" s="1"/>
  <c r="I28" i="40" s="1"/>
  <c r="J29" i="75"/>
  <c r="H32" i="75"/>
  <c r="G16" i="40" s="1"/>
  <c r="H33" i="75"/>
  <c r="G17" i="40" s="1"/>
  <c r="M32" i="75"/>
  <c r="K16" i="40" s="1"/>
  <c r="M33" i="75"/>
  <c r="K17" i="40" s="1"/>
  <c r="I33" i="75"/>
  <c r="H17" i="40" s="1"/>
  <c r="I32" i="75"/>
  <c r="H16" i="40" s="1"/>
  <c r="L32" i="75"/>
  <c r="J16" i="40" s="1"/>
  <c r="N33" i="75"/>
  <c r="L17" i="40" s="1"/>
  <c r="L108" i="74"/>
  <c r="I101" i="74"/>
  <c r="L69" i="74"/>
  <c r="L103" i="74" s="1"/>
  <c r="M79" i="74"/>
  <c r="M113" i="74" s="1"/>
  <c r="P79" i="74"/>
  <c r="P113" i="74" s="1"/>
  <c r="O79" i="74"/>
  <c r="O113" i="74" s="1"/>
  <c r="N79" i="74"/>
  <c r="N113" i="74" s="1"/>
  <c r="L79" i="74"/>
  <c r="L113" i="74" s="1"/>
  <c r="K79" i="74"/>
  <c r="K113" i="74" s="1"/>
  <c r="J79" i="74"/>
  <c r="J113" i="74" s="1"/>
  <c r="I79" i="74"/>
  <c r="I113" i="74" s="1"/>
  <c r="H79" i="74"/>
  <c r="H113" i="74" s="1"/>
  <c r="P78" i="74"/>
  <c r="P112" i="74" s="1"/>
  <c r="O78" i="74"/>
  <c r="O112" i="74" s="1"/>
  <c r="N78" i="74"/>
  <c r="N112" i="74" s="1"/>
  <c r="M78" i="74"/>
  <c r="M112" i="74" s="1"/>
  <c r="L78" i="74"/>
  <c r="L112" i="74" s="1"/>
  <c r="K78" i="74"/>
  <c r="K112" i="74" s="1"/>
  <c r="J78" i="74"/>
  <c r="J112" i="74" s="1"/>
  <c r="I78" i="74"/>
  <c r="I112" i="74" s="1"/>
  <c r="H78" i="74"/>
  <c r="H112" i="74" s="1"/>
  <c r="P77" i="74"/>
  <c r="P111" i="74" s="1"/>
  <c r="O77" i="74"/>
  <c r="O111" i="74" s="1"/>
  <c r="N77" i="74"/>
  <c r="N111" i="74" s="1"/>
  <c r="M77" i="74"/>
  <c r="M111" i="74" s="1"/>
  <c r="L77" i="74"/>
  <c r="L111" i="74" s="1"/>
  <c r="K77" i="74"/>
  <c r="K111" i="74" s="1"/>
  <c r="J77" i="74"/>
  <c r="J111" i="74" s="1"/>
  <c r="I77" i="74"/>
  <c r="I111" i="74" s="1"/>
  <c r="H77" i="74"/>
  <c r="H111" i="74" s="1"/>
  <c r="P76" i="74"/>
  <c r="P110" i="74" s="1"/>
  <c r="O76" i="74"/>
  <c r="O110" i="74" s="1"/>
  <c r="N76" i="74"/>
  <c r="N110" i="74" s="1"/>
  <c r="M76" i="74"/>
  <c r="M110" i="74" s="1"/>
  <c r="L76" i="74"/>
  <c r="L110" i="74" s="1"/>
  <c r="K76" i="74"/>
  <c r="K110" i="74" s="1"/>
  <c r="J76" i="74"/>
  <c r="J110" i="74" s="1"/>
  <c r="I76" i="74"/>
  <c r="I110" i="74" s="1"/>
  <c r="H76" i="74"/>
  <c r="H110" i="74" s="1"/>
  <c r="I74" i="74"/>
  <c r="I108" i="74" s="1"/>
  <c r="J74" i="74"/>
  <c r="J108" i="74" s="1"/>
  <c r="K74" i="74"/>
  <c r="K108" i="74" s="1"/>
  <c r="M74" i="74"/>
  <c r="M108" i="74" s="1"/>
  <c r="N74" i="74"/>
  <c r="N108" i="74" s="1"/>
  <c r="O74" i="74"/>
  <c r="O108" i="74" s="1"/>
  <c r="P74" i="74"/>
  <c r="P108" i="74" s="1"/>
  <c r="H74" i="74"/>
  <c r="H108" i="74" s="1"/>
  <c r="J67" i="74"/>
  <c r="J101" i="74" s="1"/>
  <c r="K67" i="74"/>
  <c r="K101" i="74" s="1"/>
  <c r="L67" i="74"/>
  <c r="L101" i="74" s="1"/>
  <c r="M67" i="74"/>
  <c r="M101" i="74" s="1"/>
  <c r="N67" i="74"/>
  <c r="N101" i="74" s="1"/>
  <c r="O67" i="74"/>
  <c r="O101" i="74" s="1"/>
  <c r="P67" i="74"/>
  <c r="P101" i="74" s="1"/>
  <c r="I68" i="74"/>
  <c r="I102" i="74" s="1"/>
  <c r="J68" i="74"/>
  <c r="J102" i="74" s="1"/>
  <c r="K68" i="74"/>
  <c r="K102" i="74" s="1"/>
  <c r="L68" i="74"/>
  <c r="L102" i="74" s="1"/>
  <c r="M68" i="74"/>
  <c r="M102" i="74" s="1"/>
  <c r="N68" i="74"/>
  <c r="N102" i="74" s="1"/>
  <c r="O68" i="74"/>
  <c r="O102" i="74" s="1"/>
  <c r="P68" i="74"/>
  <c r="P102" i="74" s="1"/>
  <c r="I69" i="74"/>
  <c r="I103" i="74" s="1"/>
  <c r="J69" i="74"/>
  <c r="J103" i="74" s="1"/>
  <c r="K69" i="74"/>
  <c r="K103" i="74" s="1"/>
  <c r="M69" i="74"/>
  <c r="M103" i="74" s="1"/>
  <c r="N69" i="74"/>
  <c r="N103" i="74" s="1"/>
  <c r="O69" i="74"/>
  <c r="O103" i="74" s="1"/>
  <c r="P69" i="74"/>
  <c r="P103" i="74" s="1"/>
  <c r="I70" i="74"/>
  <c r="I104" i="74" s="1"/>
  <c r="J70" i="74"/>
  <c r="J104" i="74" s="1"/>
  <c r="K70" i="74"/>
  <c r="K104" i="74" s="1"/>
  <c r="L70" i="74"/>
  <c r="L104" i="74" s="1"/>
  <c r="M70" i="74"/>
  <c r="M104" i="74" s="1"/>
  <c r="N70" i="74"/>
  <c r="N104" i="74" s="1"/>
  <c r="O70" i="74"/>
  <c r="O104" i="74" s="1"/>
  <c r="P70" i="74"/>
  <c r="P104" i="74" s="1"/>
  <c r="I71" i="74"/>
  <c r="I105" i="74" s="1"/>
  <c r="J71" i="74"/>
  <c r="J105" i="74" s="1"/>
  <c r="K71" i="74"/>
  <c r="K105" i="74" s="1"/>
  <c r="L71" i="74"/>
  <c r="L105" i="74" s="1"/>
  <c r="M71" i="74"/>
  <c r="M105" i="74" s="1"/>
  <c r="N71" i="74"/>
  <c r="N105" i="74" s="1"/>
  <c r="O71" i="74"/>
  <c r="O105" i="74" s="1"/>
  <c r="P71" i="74"/>
  <c r="P105" i="74" s="1"/>
  <c r="I72" i="74"/>
  <c r="I106" i="74" s="1"/>
  <c r="J72" i="74"/>
  <c r="J106" i="74" s="1"/>
  <c r="K72" i="74"/>
  <c r="K106" i="74" s="1"/>
  <c r="L72" i="74"/>
  <c r="L106" i="74" s="1"/>
  <c r="M72" i="74"/>
  <c r="M106" i="74" s="1"/>
  <c r="N72" i="74"/>
  <c r="N106" i="74" s="1"/>
  <c r="O72" i="74"/>
  <c r="O106" i="74" s="1"/>
  <c r="P72" i="74"/>
  <c r="P106" i="74" s="1"/>
  <c r="H68" i="74"/>
  <c r="H102" i="74" s="1"/>
  <c r="H69" i="74"/>
  <c r="H103" i="74" s="1"/>
  <c r="H70" i="74"/>
  <c r="H104" i="74" s="1"/>
  <c r="H71" i="74"/>
  <c r="H105" i="74" s="1"/>
  <c r="H72" i="74"/>
  <c r="H106" i="74" s="1"/>
  <c r="H67" i="74"/>
  <c r="H101" i="74" s="1"/>
  <c r="G16" i="86" l="1"/>
  <c r="G26" i="86" s="1"/>
  <c r="G28" i="86" s="1"/>
  <c r="F12" i="40" s="1"/>
  <c r="K16" i="86"/>
  <c r="K26" i="86" s="1"/>
  <c r="K28" i="86" s="1"/>
  <c r="J12" i="40" s="1"/>
  <c r="I16" i="86"/>
  <c r="I26" i="86" s="1"/>
  <c r="I28" i="86" s="1"/>
  <c r="H12" i="40" s="1"/>
  <c r="J16" i="86"/>
  <c r="J26" i="86" s="1"/>
  <c r="J28" i="86" s="1"/>
  <c r="I12" i="40" s="1"/>
  <c r="O16" i="86"/>
  <c r="O26" i="86" s="1"/>
  <c r="O28" i="86" s="1"/>
  <c r="N12" i="40" s="1"/>
  <c r="M16" i="86"/>
  <c r="M26" i="86" s="1"/>
  <c r="M28" i="86" s="1"/>
  <c r="L12" i="40" s="1"/>
  <c r="N16" i="86"/>
  <c r="N26" i="86" s="1"/>
  <c r="N28" i="86" s="1"/>
  <c r="M12" i="40" s="1"/>
  <c r="L16" i="86"/>
  <c r="L26" i="86" s="1"/>
  <c r="L28" i="86" s="1"/>
  <c r="K12" i="40" s="1"/>
  <c r="H16" i="86"/>
  <c r="H26" i="86" s="1"/>
  <c r="H28" i="86" s="1"/>
  <c r="G12" i="40" s="1"/>
  <c r="H115" i="74"/>
  <c r="J33" i="75"/>
  <c r="I17" i="40" s="1"/>
  <c r="D44" i="85" s="1"/>
  <c r="D46" i="85" s="1"/>
  <c r="D48" i="85" s="1"/>
  <c r="I29" i="40" s="1"/>
  <c r="P115" i="74"/>
  <c r="M115" i="74"/>
  <c r="I115" i="74"/>
  <c r="O115" i="74"/>
  <c r="N115" i="74"/>
  <c r="L115" i="74"/>
  <c r="K115" i="74"/>
  <c r="J115" i="74"/>
  <c r="C16" i="72" l="1"/>
  <c r="O49" i="72" l="1"/>
  <c r="O55" i="72" s="1"/>
  <c r="N49" i="72"/>
  <c r="N55" i="72" s="1"/>
  <c r="M49" i="72"/>
  <c r="M55" i="72" s="1"/>
  <c r="L49" i="72"/>
  <c r="L55" i="72" s="1"/>
  <c r="K49" i="72"/>
  <c r="K55" i="72" s="1"/>
  <c r="J49" i="72"/>
  <c r="J55" i="72" s="1"/>
  <c r="I49" i="72"/>
  <c r="I55" i="72" s="1"/>
  <c r="H49" i="72"/>
  <c r="H55" i="72" s="1"/>
  <c r="G49" i="72"/>
  <c r="G55" i="72" s="1"/>
  <c r="F49" i="72"/>
  <c r="F55" i="72" s="1"/>
  <c r="C15" i="72"/>
  <c r="C14" i="72"/>
  <c r="N38" i="72" s="1"/>
  <c r="C13" i="72"/>
  <c r="C12" i="72"/>
  <c r="J56" i="72" l="1"/>
  <c r="J59" i="72" s="1"/>
  <c r="J73" i="72" s="1"/>
  <c r="J74" i="72" s="1"/>
  <c r="J78" i="72" s="1"/>
  <c r="J79" i="72" s="1"/>
  <c r="J82" i="72" s="1"/>
  <c r="J83" i="72" s="1"/>
  <c r="J84" i="72" s="1"/>
  <c r="N39" i="72"/>
  <c r="N40" i="72" s="1"/>
  <c r="F56" i="72"/>
  <c r="F59" i="72" s="1"/>
  <c r="H56" i="72"/>
  <c r="N56" i="72"/>
  <c r="N59" i="72" s="1"/>
  <c r="N73" i="72" s="1"/>
  <c r="N74" i="72" s="1"/>
  <c r="N78" i="72" s="1"/>
  <c r="N79" i="72" s="1"/>
  <c r="N82" i="72" s="1"/>
  <c r="N83" i="72" s="1"/>
  <c r="G56" i="72"/>
  <c r="I56" i="72"/>
  <c r="I59" i="72" s="1"/>
  <c r="I73" i="72" s="1"/>
  <c r="I74" i="72" s="1"/>
  <c r="I78" i="72" s="1"/>
  <c r="I79" i="72" s="1"/>
  <c r="I82" i="72" s="1"/>
  <c r="I83" i="72" s="1"/>
  <c r="I84" i="72" s="1"/>
  <c r="K56" i="72"/>
  <c r="M56" i="72"/>
  <c r="M59" i="72" s="1"/>
  <c r="M73" i="72" s="1"/>
  <c r="M74" i="72" s="1"/>
  <c r="M78" i="72" s="1"/>
  <c r="M79" i="72" s="1"/>
  <c r="M82" i="72" s="1"/>
  <c r="M83" i="72" s="1"/>
  <c r="O56" i="72"/>
  <c r="M90" i="72"/>
  <c r="G38" i="72"/>
  <c r="G39" i="72" s="1"/>
  <c r="G40" i="72" s="1"/>
  <c r="K38" i="72"/>
  <c r="K39" i="72" s="1"/>
  <c r="K40" i="72" s="1"/>
  <c r="O38" i="72"/>
  <c r="O39" i="72" s="1"/>
  <c r="O40" i="72" s="1"/>
  <c r="H59" i="72"/>
  <c r="H73" i="72" s="1"/>
  <c r="H74" i="72" s="1"/>
  <c r="H78" i="72" s="1"/>
  <c r="H79" i="72" s="1"/>
  <c r="H82" i="72" s="1"/>
  <c r="H83" i="72" s="1"/>
  <c r="I38" i="72"/>
  <c r="I39" i="72" s="1"/>
  <c r="I40" i="72" s="1"/>
  <c r="M38" i="72"/>
  <c r="M39" i="72" s="1"/>
  <c r="M40" i="72" s="1"/>
  <c r="G59" i="72"/>
  <c r="G73" i="72" s="1"/>
  <c r="G74" i="72" s="1"/>
  <c r="G78" i="72" s="1"/>
  <c r="G79" i="72" s="1"/>
  <c r="G82" i="72" s="1"/>
  <c r="G83" i="72" s="1"/>
  <c r="K59" i="72"/>
  <c r="K73" i="72" s="1"/>
  <c r="K74" i="72" s="1"/>
  <c r="K78" i="72" s="1"/>
  <c r="K79" i="72" s="1"/>
  <c r="K82" i="72" s="1"/>
  <c r="K83" i="72" s="1"/>
  <c r="O59" i="72"/>
  <c r="O73" i="72" s="1"/>
  <c r="O74" i="72" s="1"/>
  <c r="O78" i="72" s="1"/>
  <c r="O79" i="72" s="1"/>
  <c r="O82" i="72" s="1"/>
  <c r="O83" i="72" s="1"/>
  <c r="H38" i="72"/>
  <c r="H39" i="72" s="1"/>
  <c r="H40" i="72" s="1"/>
  <c r="J38" i="72"/>
  <c r="J39" i="72" s="1"/>
  <c r="J40" i="72" s="1"/>
  <c r="L38" i="72"/>
  <c r="L39" i="72" s="1"/>
  <c r="L40" i="72" s="1"/>
  <c r="F74" i="72" l="1"/>
  <c r="F78" i="72" s="1"/>
  <c r="F79" i="72" s="1"/>
  <c r="F82" i="72" s="1"/>
  <c r="F83" i="72" s="1"/>
  <c r="F84" i="72" s="1"/>
  <c r="F93" i="72" s="1"/>
  <c r="I93" i="72"/>
  <c r="K84" i="72"/>
  <c r="J93" i="72" s="1"/>
  <c r="J96" i="72" s="1"/>
  <c r="H84" i="72"/>
  <c r="H93" i="72" s="1"/>
  <c r="O84" i="72"/>
  <c r="N93" i="72" s="1"/>
  <c r="G84" i="72"/>
  <c r="G93" i="72" s="1"/>
  <c r="M84" i="72"/>
  <c r="L93" i="72" s="1"/>
  <c r="N84" i="72"/>
  <c r="M93" i="72" s="1"/>
  <c r="M96" i="72" s="1"/>
  <c r="M13" i="40" s="1"/>
  <c r="L56" i="72"/>
  <c r="L59" i="72" s="1"/>
  <c r="L73" i="72" s="1"/>
  <c r="L74" i="72" s="1"/>
  <c r="L78" i="72" s="1"/>
  <c r="L79" i="72" s="1"/>
  <c r="L82" i="72" s="1"/>
  <c r="L83" i="72" s="1"/>
  <c r="F90" i="72"/>
  <c r="I90" i="72"/>
  <c r="K90" i="72"/>
  <c r="H90" i="72"/>
  <c r="L90" i="72"/>
  <c r="N90" i="72"/>
  <c r="G90" i="72"/>
  <c r="G96" i="72" l="1"/>
  <c r="G13" i="40" s="1"/>
  <c r="H96" i="72"/>
  <c r="H13" i="40" s="1"/>
  <c r="I96" i="72"/>
  <c r="I13" i="40" s="1"/>
  <c r="L96" i="72"/>
  <c r="L13" i="40" s="1"/>
  <c r="N96" i="72"/>
  <c r="N13" i="40" s="1"/>
  <c r="J13" i="40"/>
  <c r="F96" i="72"/>
  <c r="F13" i="40" s="1"/>
  <c r="L84" i="72"/>
  <c r="K93" i="72" s="1"/>
  <c r="K96" i="72" s="1"/>
  <c r="K13" i="40" s="1"/>
  <c r="D29" i="53" l="1"/>
  <c r="D17" i="53" s="1"/>
  <c r="L44" i="71"/>
  <c r="L50" i="71" s="1"/>
  <c r="L54" i="71" s="1"/>
  <c r="L67" i="71" s="1"/>
  <c r="L32" i="71"/>
  <c r="L30" i="71"/>
  <c r="L66" i="71" s="1"/>
  <c r="L29" i="71"/>
  <c r="L65" i="71" s="1"/>
  <c r="L27" i="71"/>
  <c r="L61" i="71" s="1"/>
  <c r="L30" i="70"/>
  <c r="L36" i="70" s="1"/>
  <c r="K24" i="40" s="1"/>
  <c r="L29" i="70"/>
  <c r="L35" i="70" s="1"/>
  <c r="K23" i="40" s="1"/>
  <c r="L28" i="70"/>
  <c r="L34" i="70" s="1"/>
  <c r="K22" i="40" s="1"/>
  <c r="L43" i="69"/>
  <c r="E37" i="68"/>
  <c r="O70" i="68"/>
  <c r="N70" i="68"/>
  <c r="M70" i="68"/>
  <c r="L70" i="68"/>
  <c r="K70" i="68"/>
  <c r="J70" i="68"/>
  <c r="I70" i="68"/>
  <c r="I73" i="68" s="1"/>
  <c r="H70" i="68"/>
  <c r="G80" i="68"/>
  <c r="O48" i="68"/>
  <c r="N48" i="68"/>
  <c r="M48" i="68"/>
  <c r="L48" i="68"/>
  <c r="K48" i="68"/>
  <c r="K51" i="68" s="1"/>
  <c r="J48" i="68"/>
  <c r="I48" i="68"/>
  <c r="H48" i="68"/>
  <c r="O21" i="68"/>
  <c r="N21" i="68"/>
  <c r="N24" i="68" s="1"/>
  <c r="M21" i="68"/>
  <c r="M31" i="68" s="1"/>
  <c r="L21" i="68"/>
  <c r="K21" i="68"/>
  <c r="J21" i="68"/>
  <c r="J24" i="68" s="1"/>
  <c r="I21" i="68"/>
  <c r="I31" i="68" s="1"/>
  <c r="H21" i="68"/>
  <c r="G21" i="68"/>
  <c r="N36" i="54"/>
  <c r="O36" i="54"/>
  <c r="N35" i="54"/>
  <c r="D26" i="54"/>
  <c r="L35" i="54"/>
  <c r="D36" i="54"/>
  <c r="E36" i="54"/>
  <c r="F36" i="54"/>
  <c r="G36" i="54"/>
  <c r="H36" i="54"/>
  <c r="I36" i="54"/>
  <c r="J36" i="54"/>
  <c r="K36" i="54"/>
  <c r="L36" i="54"/>
  <c r="M36" i="54"/>
  <c r="G47" i="40"/>
  <c r="H20" i="50" s="1"/>
  <c r="H47" i="40"/>
  <c r="I20" i="50" s="1"/>
  <c r="J47" i="40"/>
  <c r="K20" i="50" s="1"/>
  <c r="K47" i="40"/>
  <c r="L20" i="50" s="1"/>
  <c r="L47" i="40"/>
  <c r="M20" i="50" s="1"/>
  <c r="N47" i="40"/>
  <c r="O20" i="50" s="1"/>
  <c r="I58" i="68" l="1"/>
  <c r="M58" i="68"/>
  <c r="O58" i="68"/>
  <c r="H80" i="68"/>
  <c r="L80" i="68"/>
  <c r="J58" i="68"/>
  <c r="N58" i="68"/>
  <c r="I80" i="68"/>
  <c r="I84" i="68" s="1"/>
  <c r="H10" i="40" s="1"/>
  <c r="I77" i="68"/>
  <c r="K80" i="68"/>
  <c r="M80" i="68"/>
  <c r="O80" i="68"/>
  <c r="M73" i="68"/>
  <c r="M77" i="68" s="1"/>
  <c r="M84" i="68" s="1"/>
  <c r="L10" i="40" s="1"/>
  <c r="G24" i="68"/>
  <c r="G31" i="68"/>
  <c r="G25" i="68"/>
  <c r="K58" i="68"/>
  <c r="K55" i="68"/>
  <c r="O51" i="68"/>
  <c r="O55" i="68" s="1"/>
  <c r="J80" i="68"/>
  <c r="N80" i="68"/>
  <c r="N44" i="68"/>
  <c r="K44" i="68"/>
  <c r="G44" i="68"/>
  <c r="O44" i="68"/>
  <c r="J44" i="68"/>
  <c r="M44" i="68"/>
  <c r="G38" i="68"/>
  <c r="H44" i="68"/>
  <c r="I44" i="68"/>
  <c r="L44" i="68"/>
  <c r="G39" i="68"/>
  <c r="L38" i="68"/>
  <c r="F39" i="40"/>
  <c r="I22" i="50" s="1"/>
  <c r="M47" i="40"/>
  <c r="N20" i="50" s="1"/>
  <c r="I47" i="40"/>
  <c r="J20" i="50" s="1"/>
  <c r="F47" i="40"/>
  <c r="I51" i="68"/>
  <c r="I55" i="68" s="1"/>
  <c r="M51" i="68"/>
  <c r="M55" i="68" s="1"/>
  <c r="K73" i="68"/>
  <c r="O73" i="68"/>
  <c r="O77" i="68" s="1"/>
  <c r="H38" i="68"/>
  <c r="G84" i="68"/>
  <c r="F10" i="40" s="1"/>
  <c r="L65" i="69"/>
  <c r="L44" i="69"/>
  <c r="L68" i="71"/>
  <c r="L72" i="71" s="1"/>
  <c r="L73" i="71" s="1"/>
  <c r="L76" i="71" s="1"/>
  <c r="L58" i="69"/>
  <c r="L34" i="71"/>
  <c r="H31" i="68"/>
  <c r="J31" i="68"/>
  <c r="J25" i="68"/>
  <c r="L31" i="68"/>
  <c r="N31" i="68"/>
  <c r="N25" i="68"/>
  <c r="H24" i="68"/>
  <c r="H28" i="68" s="1"/>
  <c r="H35" i="68" s="1"/>
  <c r="G8" i="40" s="1"/>
  <c r="L24" i="68"/>
  <c r="L28" i="68" s="1"/>
  <c r="L35" i="68" s="1"/>
  <c r="K8" i="40" s="1"/>
  <c r="J28" i="68"/>
  <c r="N28" i="68"/>
  <c r="J38" i="68"/>
  <c r="N38" i="68"/>
  <c r="H51" i="68"/>
  <c r="H52" i="68" s="1"/>
  <c r="J51" i="68"/>
  <c r="J55" i="68" s="1"/>
  <c r="L51" i="68"/>
  <c r="L52" i="68" s="1"/>
  <c r="N51" i="68"/>
  <c r="N55" i="68" s="1"/>
  <c r="H58" i="68"/>
  <c r="L58" i="68"/>
  <c r="I38" i="68"/>
  <c r="I24" i="68"/>
  <c r="I28" i="68" s="1"/>
  <c r="I35" i="68" s="1"/>
  <c r="H8" i="40" s="1"/>
  <c r="K38" i="68"/>
  <c r="K24" i="68"/>
  <c r="K25" i="68" s="1"/>
  <c r="M38" i="68"/>
  <c r="M24" i="68"/>
  <c r="M28" i="68" s="1"/>
  <c r="M35" i="68" s="1"/>
  <c r="L8" i="40" s="1"/>
  <c r="O38" i="68"/>
  <c r="O24" i="68"/>
  <c r="O25" i="68" s="1"/>
  <c r="I25" i="68"/>
  <c r="K31" i="68"/>
  <c r="O31" i="68"/>
  <c r="K52" i="68"/>
  <c r="M52" i="68"/>
  <c r="O52" i="68"/>
  <c r="H73" i="68"/>
  <c r="J73" i="68"/>
  <c r="L73" i="68"/>
  <c r="L77" i="68" s="1"/>
  <c r="N73" i="68"/>
  <c r="N77" i="68" s="1"/>
  <c r="N84" i="68" s="1"/>
  <c r="M10" i="40" s="1"/>
  <c r="M45" i="40" s="1"/>
  <c r="N18" i="50" s="1"/>
  <c r="I74" i="68"/>
  <c r="K74" i="68"/>
  <c r="M74" i="68"/>
  <c r="O74" i="68"/>
  <c r="N74" i="68" l="1"/>
  <c r="I39" i="68"/>
  <c r="I42" i="68" s="1"/>
  <c r="O28" i="68"/>
  <c r="O35" i="68" s="1"/>
  <c r="N8" i="40" s="1"/>
  <c r="K39" i="68"/>
  <c r="K42" i="68" s="1"/>
  <c r="N35" i="68"/>
  <c r="M8" i="40" s="1"/>
  <c r="G42" i="68"/>
  <c r="G62" i="68" s="1"/>
  <c r="F9" i="40" s="1"/>
  <c r="F44" i="40" s="1"/>
  <c r="G17" i="50" s="1"/>
  <c r="K77" i="68"/>
  <c r="K84" i="68" s="1"/>
  <c r="J10" i="40" s="1"/>
  <c r="J45" i="40" s="1"/>
  <c r="K18" i="50" s="1"/>
  <c r="L55" i="68"/>
  <c r="H77" i="68"/>
  <c r="H84" i="68" s="1"/>
  <c r="G10" i="40" s="1"/>
  <c r="G45" i="40" s="1"/>
  <c r="H18" i="50" s="1"/>
  <c r="L84" i="68"/>
  <c r="K10" i="40" s="1"/>
  <c r="K45" i="40" s="1"/>
  <c r="L18" i="50" s="1"/>
  <c r="L25" i="68"/>
  <c r="L39" i="68" s="1"/>
  <c r="L42" i="68" s="1"/>
  <c r="L62" i="68" s="1"/>
  <c r="K9" i="40" s="1"/>
  <c r="K44" i="40" s="1"/>
  <c r="L17" i="50" s="1"/>
  <c r="O84" i="68"/>
  <c r="N10" i="40" s="1"/>
  <c r="N45" i="40" s="1"/>
  <c r="O18" i="50" s="1"/>
  <c r="J77" i="68"/>
  <c r="J84" i="68" s="1"/>
  <c r="I10" i="40" s="1"/>
  <c r="I45" i="40" s="1"/>
  <c r="J18" i="50" s="1"/>
  <c r="H55" i="68"/>
  <c r="K62" i="68"/>
  <c r="J9" i="40" s="1"/>
  <c r="J44" i="40" s="1"/>
  <c r="K17" i="50" s="1"/>
  <c r="M53" i="40"/>
  <c r="N26" i="50" s="1"/>
  <c r="N22" i="50"/>
  <c r="L45" i="40"/>
  <c r="M18" i="50" s="1"/>
  <c r="O22" i="50"/>
  <c r="J53" i="40"/>
  <c r="K26" i="50" s="1"/>
  <c r="I53" i="40"/>
  <c r="J26" i="50" s="1"/>
  <c r="L53" i="40"/>
  <c r="M26" i="50" s="1"/>
  <c r="J22" i="50"/>
  <c r="K22" i="50"/>
  <c r="H45" i="40"/>
  <c r="I18" i="50" s="1"/>
  <c r="F45" i="40"/>
  <c r="G18" i="50" s="1"/>
  <c r="N53" i="40"/>
  <c r="O26" i="50" s="1"/>
  <c r="H53" i="40"/>
  <c r="I26" i="50" s="1"/>
  <c r="K53" i="40"/>
  <c r="L26" i="50" s="1"/>
  <c r="G53" i="40"/>
  <c r="H26" i="50" s="1"/>
  <c r="F53" i="40"/>
  <c r="G26" i="50" s="1"/>
  <c r="L22" i="50"/>
  <c r="H22" i="50"/>
  <c r="M22" i="50"/>
  <c r="G22" i="50"/>
  <c r="G20" i="50"/>
  <c r="I62" i="68"/>
  <c r="H9" i="40" s="1"/>
  <c r="H44" i="40" s="1"/>
  <c r="I17" i="50" s="1"/>
  <c r="J74" i="68"/>
  <c r="I52" i="68"/>
  <c r="K28" i="68"/>
  <c r="K35" i="68" s="1"/>
  <c r="J8" i="40" s="1"/>
  <c r="N52" i="68"/>
  <c r="G28" i="68"/>
  <c r="L77" i="71"/>
  <c r="L84" i="71"/>
  <c r="L83" i="71"/>
  <c r="L35" i="71"/>
  <c r="L45" i="69"/>
  <c r="L75" i="69" s="1"/>
  <c r="L70" i="69"/>
  <c r="L59" i="69"/>
  <c r="L66" i="69"/>
  <c r="O39" i="68"/>
  <c r="O42" i="68" s="1"/>
  <c r="H25" i="68"/>
  <c r="H39" i="68" s="1"/>
  <c r="H42" i="68" s="1"/>
  <c r="L74" i="68"/>
  <c r="H74" i="68"/>
  <c r="M25" i="68"/>
  <c r="M39" i="68" s="1"/>
  <c r="M42" i="68" s="1"/>
  <c r="J52" i="68"/>
  <c r="J35" i="68"/>
  <c r="I8" i="40" s="1"/>
  <c r="N39" i="68"/>
  <c r="N42" i="68" s="1"/>
  <c r="J39" i="68"/>
  <c r="J42" i="68" s="1"/>
  <c r="F8" i="40" l="1"/>
  <c r="G35" i="68"/>
  <c r="N62" i="68"/>
  <c r="M9" i="40" s="1"/>
  <c r="M44" i="40" s="1"/>
  <c r="N17" i="50" s="1"/>
  <c r="M62" i="68"/>
  <c r="L9" i="40" s="1"/>
  <c r="L44" i="40" s="1"/>
  <c r="M17" i="50" s="1"/>
  <c r="J62" i="68"/>
  <c r="I9" i="40" s="1"/>
  <c r="I44" i="40" s="1"/>
  <c r="J17" i="50" s="1"/>
  <c r="O62" i="68"/>
  <c r="N9" i="40" s="1"/>
  <c r="N44" i="40" s="1"/>
  <c r="O17" i="50" s="1"/>
  <c r="L67" i="69"/>
  <c r="K19" i="40" s="1"/>
  <c r="L87" i="71"/>
  <c r="L36" i="71"/>
  <c r="L91" i="71" s="1"/>
  <c r="L85" i="71"/>
  <c r="K25" i="40" s="1"/>
  <c r="L71" i="69"/>
  <c r="L72" i="69" s="1"/>
  <c r="K20" i="40" s="1"/>
  <c r="L60" i="69"/>
  <c r="L76" i="69" s="1"/>
  <c r="L77" i="69" s="1"/>
  <c r="K21" i="40" s="1"/>
  <c r="L88" i="71"/>
  <c r="L78" i="71"/>
  <c r="L92" i="71" s="1"/>
  <c r="H62" i="68"/>
  <c r="G9" i="40" s="1"/>
  <c r="G44" i="40" s="1"/>
  <c r="H17" i="50" s="1"/>
  <c r="L93" i="71" l="1"/>
  <c r="K27" i="40" s="1"/>
  <c r="L89" i="71"/>
  <c r="K26" i="40" s="1"/>
  <c r="D28" i="53" l="1"/>
  <c r="D16" i="53" s="1"/>
  <c r="D15" i="53" s="1"/>
  <c r="D27" i="53"/>
  <c r="H50" i="50" l="1"/>
  <c r="I50" i="50"/>
  <c r="J50" i="50"/>
  <c r="K50" i="50"/>
  <c r="L50" i="50"/>
  <c r="M50" i="50"/>
  <c r="N50" i="50"/>
  <c r="H51" i="50"/>
  <c r="I51" i="50"/>
  <c r="J51" i="50"/>
  <c r="K51" i="50"/>
  <c r="L51" i="50"/>
  <c r="M51" i="50"/>
  <c r="N51" i="50"/>
  <c r="O51" i="50"/>
  <c r="G51" i="50"/>
  <c r="G50" i="50"/>
  <c r="E28" i="54" l="1"/>
  <c r="E29" i="54" s="1"/>
  <c r="E30" i="54" s="1"/>
  <c r="E31" i="54" s="1"/>
  <c r="E32" i="54" s="1"/>
  <c r="E33" i="54" s="1"/>
  <c r="E34" i="54" s="1"/>
  <c r="E35" i="54" s="1"/>
  <c r="E27" i="54"/>
  <c r="D27" i="54"/>
  <c r="D28" i="54" s="1"/>
  <c r="D29" i="54" s="1"/>
  <c r="D30" i="54" s="1"/>
  <c r="D31" i="54" s="1"/>
  <c r="D32" i="54" s="1"/>
  <c r="D33" i="54" s="1"/>
  <c r="D34" i="54" s="1"/>
  <c r="D35" i="54" s="1"/>
  <c r="F35" i="54"/>
  <c r="F29" i="54"/>
  <c r="F30" i="54" s="1"/>
  <c r="F31" i="54" s="1"/>
  <c r="F32" i="54" s="1"/>
  <c r="F33" i="54" s="1"/>
  <c r="F34" i="54" s="1"/>
  <c r="F28" i="54"/>
  <c r="G29" i="54"/>
  <c r="F27" i="54"/>
  <c r="D25" i="54"/>
  <c r="E26" i="54"/>
  <c r="D23" i="53" l="1"/>
  <c r="D24" i="53"/>
  <c r="D25" i="53"/>
  <c r="D26" i="53"/>
  <c r="D14" i="53" l="1"/>
  <c r="D13" i="53" s="1"/>
  <c r="D12" i="53" s="1"/>
  <c r="D11" i="53" s="1"/>
  <c r="F38" i="40" l="1"/>
  <c r="F34" i="40"/>
  <c r="F33" i="40"/>
  <c r="F37" i="40"/>
  <c r="F35" i="40"/>
  <c r="F36" i="40"/>
  <c r="L50" i="40" l="1"/>
  <c r="M23" i="50" s="1"/>
  <c r="F48" i="40"/>
  <c r="L51" i="40"/>
  <c r="M24" i="50" s="1"/>
  <c r="K51" i="40"/>
  <c r="L24" i="50" s="1"/>
  <c r="I63" i="40"/>
  <c r="J36" i="50" s="1"/>
  <c r="K58" i="40"/>
  <c r="L31" i="50" s="1"/>
  <c r="K55" i="40"/>
  <c r="L28" i="50" s="1"/>
  <c r="K61" i="40"/>
  <c r="L34" i="50" s="1"/>
  <c r="K59" i="40"/>
  <c r="L32" i="50" s="1"/>
  <c r="K56" i="40"/>
  <c r="L29" i="50" s="1"/>
  <c r="K62" i="40"/>
  <c r="L35" i="50" s="1"/>
  <c r="K57" i="40"/>
  <c r="L30" i="50" s="1"/>
  <c r="K54" i="40"/>
  <c r="L27" i="50" s="1"/>
  <c r="K60" i="40"/>
  <c r="L33" i="50" s="1"/>
  <c r="J43" i="40"/>
  <c r="K16" i="50" s="1"/>
  <c r="G43" i="40"/>
  <c r="H16" i="50" s="1"/>
  <c r="I43" i="40"/>
  <c r="J16" i="50" s="1"/>
  <c r="K43" i="40"/>
  <c r="L16" i="50" s="1"/>
  <c r="M43" i="40"/>
  <c r="N16" i="50" s="1"/>
  <c r="F43" i="40"/>
  <c r="G16" i="50" s="1"/>
  <c r="H43" i="40"/>
  <c r="I16" i="50" s="1"/>
  <c r="L43" i="40"/>
  <c r="M16" i="50" s="1"/>
  <c r="N43" i="40"/>
  <c r="O16" i="50" s="1"/>
  <c r="F52" i="40"/>
  <c r="G25" i="50" s="1"/>
  <c r="L52" i="40"/>
  <c r="M25" i="50" s="1"/>
  <c r="G21" i="50"/>
  <c r="N48" i="40"/>
  <c r="O21" i="50" s="1"/>
  <c r="M48" i="40"/>
  <c r="N21" i="50" s="1"/>
  <c r="H48" i="40"/>
  <c r="I21" i="50" s="1"/>
  <c r="I48" i="40"/>
  <c r="J21" i="50" s="1"/>
  <c r="L48" i="40"/>
  <c r="M21" i="50" s="1"/>
  <c r="J48" i="40"/>
  <c r="K21" i="50" s="1"/>
  <c r="G48" i="40"/>
  <c r="H21" i="50" s="1"/>
  <c r="K48" i="40"/>
  <c r="L21" i="50" s="1"/>
  <c r="I64" i="40"/>
  <c r="J37" i="50" s="1"/>
  <c r="G52" i="40"/>
  <c r="H25" i="50" s="1"/>
  <c r="I52" i="40"/>
  <c r="J25" i="50" s="1"/>
  <c r="K52" i="40"/>
  <c r="L25" i="50" s="1"/>
  <c r="M52" i="40"/>
  <c r="N25" i="50" s="1"/>
  <c r="H52" i="40"/>
  <c r="I25" i="50" s="1"/>
  <c r="J52" i="40"/>
  <c r="K25" i="50" s="1"/>
  <c r="N52" i="40"/>
  <c r="O25" i="50" s="1"/>
  <c r="G50" i="40"/>
  <c r="H23" i="50" s="1"/>
  <c r="I50" i="40"/>
  <c r="J23" i="50" s="1"/>
  <c r="K50" i="40"/>
  <c r="L23" i="50" s="1"/>
  <c r="M50" i="40"/>
  <c r="N23" i="50" s="1"/>
  <c r="H50" i="40"/>
  <c r="I23" i="50" s="1"/>
  <c r="J50" i="40"/>
  <c r="K23" i="50" s="1"/>
  <c r="N50" i="40"/>
  <c r="O23" i="50" s="1"/>
  <c r="F50" i="40"/>
  <c r="G23" i="50" s="1"/>
  <c r="G51" i="40"/>
  <c r="H24" i="50" s="1"/>
  <c r="I51" i="40"/>
  <c r="J24" i="50" s="1"/>
  <c r="M51" i="40"/>
  <c r="N24" i="50" s="1"/>
  <c r="F51" i="40"/>
  <c r="G24" i="50" s="1"/>
  <c r="H51" i="40"/>
  <c r="I24" i="50" s="1"/>
  <c r="J51" i="40"/>
  <c r="K24" i="50" s="1"/>
  <c r="N51" i="40"/>
  <c r="O24" i="50" s="1"/>
  <c r="I19" i="67"/>
  <c r="M19" i="67"/>
  <c r="M29" i="67" s="1"/>
  <c r="N19" i="67"/>
  <c r="L19" i="67"/>
  <c r="G19" i="67"/>
  <c r="K19" i="67"/>
  <c r="J19" i="67"/>
  <c r="H19" i="67"/>
  <c r="F19" i="67"/>
  <c r="N29" i="67" l="1"/>
  <c r="N11" i="40" s="1"/>
  <c r="L29" i="67"/>
  <c r="L11" i="40" s="1"/>
  <c r="I29" i="67"/>
  <c r="I11" i="40" s="1"/>
  <c r="M11" i="40"/>
  <c r="K29" i="67"/>
  <c r="K11" i="40" s="1"/>
  <c r="J29" i="67"/>
  <c r="J11" i="40" s="1"/>
  <c r="F11" i="40"/>
  <c r="H29" i="67"/>
  <c r="H11" i="40" s="1"/>
  <c r="G29" i="67"/>
  <c r="G11" i="40" s="1"/>
  <c r="G19" i="50" l="1"/>
  <c r="G39" i="50" s="1"/>
  <c r="G43" i="50" s="1"/>
  <c r="L19" i="50"/>
  <c r="L39" i="50" s="1"/>
  <c r="L43" i="50" s="1"/>
  <c r="J19" i="50"/>
  <c r="J39" i="50" s="1"/>
  <c r="O19" i="50"/>
  <c r="O39" i="50" s="1"/>
  <c r="H19" i="50"/>
  <c r="H39" i="50" s="1"/>
  <c r="I19" i="50"/>
  <c r="I39" i="50" s="1"/>
  <c r="K19" i="50"/>
  <c r="K39" i="50" s="1"/>
  <c r="N19" i="50"/>
  <c r="N39" i="50" s="1"/>
  <c r="M19" i="50"/>
  <c r="M39" i="50" s="1"/>
  <c r="M43" i="50" s="1"/>
  <c r="G28" i="54"/>
  <c r="G30" i="54"/>
  <c r="G31" i="54" s="1"/>
  <c r="G32" i="54" s="1"/>
  <c r="G33" i="54" s="1"/>
  <c r="G34" i="54" s="1"/>
  <c r="G35" i="54" s="1"/>
  <c r="H29" i="54"/>
  <c r="H30" i="54" s="1"/>
  <c r="H31" i="54" s="1"/>
  <c r="I30" i="54"/>
  <c r="I31" i="54" s="1"/>
  <c r="I32" i="54" s="1"/>
  <c r="I33" i="54" s="1"/>
  <c r="I34" i="54" s="1"/>
  <c r="I35" i="54" s="1"/>
  <c r="J31" i="54"/>
  <c r="J32" i="54"/>
  <c r="K32" i="54"/>
  <c r="J33" i="54"/>
  <c r="L33" i="54"/>
  <c r="J34" i="54"/>
  <c r="J35" i="54" s="1"/>
  <c r="L34" i="54"/>
  <c r="M34" i="54"/>
  <c r="M35" i="54" s="1"/>
  <c r="D22" i="53"/>
  <c r="D10" i="53" s="1"/>
  <c r="K33" i="54"/>
  <c r="K34" i="54" s="1"/>
  <c r="K35" i="54" s="1"/>
  <c r="G53" i="50" l="1"/>
  <c r="G54" i="50"/>
  <c r="H32" i="54"/>
  <c r="H33" i="54" s="1"/>
  <c r="H34" i="54" s="1"/>
  <c r="H35" i="54" s="1"/>
  <c r="O43" i="50" l="1"/>
  <c r="N43" i="50" l="1"/>
  <c r="I43" i="50"/>
  <c r="H43" i="50"/>
  <c r="O53" i="50"/>
  <c r="O54" i="50"/>
  <c r="K43" i="50"/>
  <c r="L54" i="50" l="1"/>
  <c r="M53" i="50"/>
  <c r="M54" i="50"/>
  <c r="N53" i="50"/>
  <c r="N54" i="50"/>
  <c r="I53" i="50"/>
  <c r="I54" i="50"/>
  <c r="H53" i="50"/>
  <c r="H54" i="50"/>
  <c r="K53" i="50"/>
  <c r="K54" i="50"/>
  <c r="J43" i="50"/>
  <c r="L53" i="50" l="1"/>
  <c r="J53" i="50"/>
  <c r="J54" i="50"/>
</calcChain>
</file>

<file path=xl/comments1.xml><?xml version="1.0" encoding="utf-8"?>
<comments xmlns="http://schemas.openxmlformats.org/spreadsheetml/2006/main">
  <authors>
    <author>Spee, Luuk</author>
  </authors>
  <commentList>
    <comment ref="I2" authorId="0">
      <text>
        <r>
          <rPr>
            <sz val="8"/>
            <color indexed="81"/>
            <rFont val="Tahoma"/>
            <family val="2"/>
          </rPr>
          <t>Incl. Intergas</t>
        </r>
      </text>
    </comment>
  </commentList>
</comments>
</file>

<file path=xl/comments2.xml><?xml version="1.0" encoding="utf-8"?>
<comments xmlns="http://schemas.openxmlformats.org/spreadsheetml/2006/main">
  <authors>
    <author>Spee, Luuk</author>
  </authors>
  <commentList>
    <comment ref="I88" authorId="0">
      <text>
        <r>
          <rPr>
            <sz val="8"/>
            <color indexed="81"/>
            <rFont val="Tahoma"/>
            <family val="2"/>
          </rPr>
          <t>Incl. Intergas</t>
        </r>
      </text>
    </comment>
  </commentList>
</comments>
</file>

<file path=xl/sharedStrings.xml><?xml version="1.0" encoding="utf-8"?>
<sst xmlns="http://schemas.openxmlformats.org/spreadsheetml/2006/main" count="1019" uniqueCount="409">
  <si>
    <t>CPI</t>
  </si>
  <si>
    <t>Toelichting</t>
  </si>
  <si>
    <t>Legenda celkleuren</t>
  </si>
  <si>
    <t>Berekende waarde</t>
  </si>
  <si>
    <t>Waarde die zonder berekening wordt overgenomen uit een andere cel</t>
  </si>
  <si>
    <t>Berekende of overgenomen waarde en tevens resultaat</t>
  </si>
  <si>
    <t>Heffingsrente</t>
  </si>
  <si>
    <t>DNWB</t>
  </si>
  <si>
    <t>RENDO</t>
  </si>
  <si>
    <t>x-factor onafgerond</t>
  </si>
  <si>
    <t>Data</t>
  </si>
  <si>
    <t>Van jaar - naar jaar</t>
  </si>
  <si>
    <t>Van:</t>
  </si>
  <si>
    <t>Naar:</t>
  </si>
  <si>
    <t>Nacalculaties en correcties</t>
  </si>
  <si>
    <t>Nacalculaties</t>
  </si>
  <si>
    <t>€, pp 2010</t>
  </si>
  <si>
    <t>van 2011 naar 2012</t>
  </si>
  <si>
    <t>Correcties</t>
  </si>
  <si>
    <t>€, pp 2011</t>
  </si>
  <si>
    <t>naar jaar:</t>
  </si>
  <si>
    <t>van 2007</t>
  </si>
  <si>
    <t>van 2008</t>
  </si>
  <si>
    <t>van 2009</t>
  </si>
  <si>
    <t>van 2010</t>
  </si>
  <si>
    <t>van 2011</t>
  </si>
  <si>
    <t>van 2007 naar 2008</t>
  </si>
  <si>
    <t>van 2008 naar 2009</t>
  </si>
  <si>
    <t>van 2009 naar 2010</t>
  </si>
  <si>
    <t>van 2010 naar 2011</t>
  </si>
  <si>
    <t>Data en input</t>
  </si>
  <si>
    <t>Waarde of berekening die speciale aandacht vraagt (toelichting in opmerking)</t>
  </si>
  <si>
    <t>x-factor (virtuele x-factor als rekenstap naar nacalculatiebedrag)</t>
  </si>
  <si>
    <t>Toelichting bij TI-berekening</t>
  </si>
  <si>
    <t>COGAS</t>
  </si>
  <si>
    <t>STEDIN</t>
  </si>
  <si>
    <t>INTERGAS</t>
  </si>
  <si>
    <t>ENDINET</t>
  </si>
  <si>
    <t>LIANDER</t>
  </si>
  <si>
    <t>WESTLAND</t>
  </si>
  <si>
    <t>ENEXIS</t>
  </si>
  <si>
    <t>ZEBRA</t>
  </si>
  <si>
    <t>Eindinkomsten 2013</t>
  </si>
  <si>
    <t>€, pp 2013</t>
  </si>
  <si>
    <t>van 2012</t>
  </si>
  <si>
    <t>van 2012 naar 2013</t>
  </si>
  <si>
    <t>Begininkomsten 2010</t>
  </si>
  <si>
    <t>WACC NG4R</t>
  </si>
  <si>
    <t>OPEX</t>
  </si>
  <si>
    <t>CAPEX</t>
  </si>
  <si>
    <t>x-factor vierde reguleringsperiode (virtuele x-factor als rekenstap naar nacalculatiebedrag)</t>
  </si>
  <si>
    <t>%</t>
  </si>
  <si>
    <r>
      <t xml:space="preserve">De </t>
    </r>
    <r>
      <rPr>
        <sz val="10"/>
        <color indexed="10"/>
        <rFont val="Arial"/>
        <family val="2"/>
      </rPr>
      <t>rode</t>
    </r>
    <r>
      <rPr>
        <sz val="10"/>
        <rFont val="Arial"/>
        <family val="2"/>
      </rPr>
      <t xml:space="preserve"> getallen betreffen een schatting.</t>
    </r>
  </si>
  <si>
    <t>Bron: wijzigingsbesluiten x-factoren NG4R - 31 maart 2011 (103636)</t>
  </si>
  <si>
    <t>Schatting ORV kosten 2013 obv kosten 2009</t>
  </si>
  <si>
    <t>€, pp 2014</t>
  </si>
  <si>
    <t>X-factor 2014-2016</t>
  </si>
  <si>
    <t>cpi 2014</t>
  </si>
  <si>
    <t>Voor de operationele kosten wordt uitgegaan van 1% forfaitair over de nominale investeringswaarde van het net (geen indexatie), naar rato van het jaar. In het geval van de particuliere net hanteert ACM daarvoor de overnamesom en investeringen samen.</t>
  </si>
  <si>
    <t>ACM benadrukt dat onderstaand een generieke berekeningswijze is. Mogelijk wordt deze nog anders opgezet wanneer het vanuit bijvoorbeeld kapitaalkostenmodellen handiger is in te delen.</t>
  </si>
  <si>
    <t>Bron / opmerking</t>
  </si>
  <si>
    <t>€, pp 2012</t>
  </si>
  <si>
    <t>Afschrijftermijn private net</t>
  </si>
  <si>
    <t>Forfaitair percentage operationele kosten overgenomen particulier net</t>
  </si>
  <si>
    <t>Afschrijvingen private net in 2013</t>
  </si>
  <si>
    <t>Boekwaarde overgenomen private net ultimo 2013</t>
  </si>
  <si>
    <t>Kapitaalkosten private net in 2013</t>
  </si>
  <si>
    <t>Operationele kosten private net in 2013</t>
  </si>
  <si>
    <t>Opbrengsten van afnemers op het net in 2013</t>
  </si>
  <si>
    <t>Te verrekenen over 2013</t>
  </si>
  <si>
    <t>Opgave kosten, investeringen en opbrengsten overgenomen private netten 2013</t>
  </si>
  <si>
    <t>Overnamesom private net in 2013</t>
  </si>
  <si>
    <t>Investeringen in private net in 2013</t>
  </si>
  <si>
    <t>Boekwaarde overgenomen private net per 1 juli 2013</t>
  </si>
  <si>
    <t>Algemene gegevens</t>
  </si>
  <si>
    <t>CPI 2009</t>
  </si>
  <si>
    <t>CPI 2010</t>
  </si>
  <si>
    <t>CPI 2011</t>
  </si>
  <si>
    <t>CPI 2012</t>
  </si>
  <si>
    <t>x-factor</t>
  </si>
  <si>
    <t>Begininkomsten 2010 Totaal</t>
  </si>
  <si>
    <t xml:space="preserve">   waarvan inschatting ORV 2013:</t>
  </si>
  <si>
    <t>TI-bedrag 2011 op basis van oorspronkelijke x-factorberekening</t>
  </si>
  <si>
    <t>TI-bedrag 2012 op basis van oorspronkelijke x-factorberekening</t>
  </si>
  <si>
    <t>Aanpassing gegevens voor nacalculatie lokale heffingen</t>
  </si>
  <si>
    <t>Vermogenskostenvergoeding (WACC * GAW)</t>
  </si>
  <si>
    <t>Inschatting ORV 2013 na aanpassing gegevens</t>
  </si>
  <si>
    <t>ORV 2013 (op te nemen in eindinkomsten)</t>
  </si>
  <si>
    <t>(op basis van de geschatte kosten voor de ORV Lokale Heffingen)</t>
  </si>
  <si>
    <t>(op basis van de daadwerkelijke kosten voor de ORV Lokale Heffingen)</t>
  </si>
  <si>
    <t>Totale Inkomsten exclusief correcties</t>
  </si>
  <si>
    <t>TI 2014 (exclusief correcties)</t>
  </si>
  <si>
    <t>van 2013</t>
  </si>
  <si>
    <t>van 2013 naar 2014</t>
  </si>
  <si>
    <t>Nacalc. Overname private netten 2013 in 2013</t>
  </si>
  <si>
    <t>€, pp 2008</t>
  </si>
  <si>
    <t>€, pp 2009</t>
  </si>
  <si>
    <t>Bijzonderheid: nacalc.saldo verrekenen i.v.m. lagere tarieven Enexis over 2012</t>
  </si>
  <si>
    <t>Bijzonderheid: nacalc.saldo verrekenen i.v.m. lagere tarieven Enexis over 2013</t>
  </si>
  <si>
    <t>De wijze waarop ACM dit doet is conform de eerdere werkwijze voor deze nacalculatie (zie bijvoorbeeld Tarievenbesluit gas 2013): via een virtuele aanpassing van de x-factor</t>
  </si>
  <si>
    <t>Bron: Methodebesluit NG4R</t>
  </si>
  <si>
    <t>WACC NG4R (2011-2013)</t>
  </si>
  <si>
    <t>x-factor vierde reguleringsperiode</t>
  </si>
  <si>
    <t>Oorspronkelijke x-factorberekening NG3R (per 4 november 2010)</t>
  </si>
  <si>
    <t>Begininkomsten 2007</t>
  </si>
  <si>
    <t>Eindinkomsten 2010</t>
  </si>
  <si>
    <t>€, pp 2007</t>
  </si>
  <si>
    <t>waarvan inschatting ORV 2010</t>
  </si>
  <si>
    <t>TI-bedrag 2008 op basis van oorspronkelijke x-factorberekening</t>
  </si>
  <si>
    <t>TI-bedrag 2009 op basis van oorspronkelijke x-factorberekening</t>
  </si>
  <si>
    <t>TI-bedrag 2010 op basis van oorspronkelijke x-factorberekening</t>
  </si>
  <si>
    <t>CPI 2007</t>
  </si>
  <si>
    <t>CPI 2008</t>
  </si>
  <si>
    <t>Nieuwe x-factorberekening NG3R (per 26 juni 2013)</t>
  </si>
  <si>
    <t>Deel 1:</t>
  </si>
  <si>
    <t>Deel 2:</t>
  </si>
  <si>
    <t>Deel 3:</t>
  </si>
  <si>
    <t>Tarievenbesluit 2010</t>
  </si>
  <si>
    <t>Tarievenbesluit 2011</t>
  </si>
  <si>
    <t>Tarievenbesluit 2012</t>
  </si>
  <si>
    <t>Nacalculatie Lokale heffingen 2008</t>
  </si>
  <si>
    <t>Nacalculatie lokale heffingen 2009</t>
  </si>
  <si>
    <t>Nacalculatie lokale heffingen 2010</t>
  </si>
  <si>
    <t>Nacalculatie wijziging nacalculatie Lokale heffingen 2009</t>
  </si>
  <si>
    <t>Berekening nacalculatie BOB Rendo_2013 - deel 2</t>
  </si>
  <si>
    <t>WACC NG3R (2008-2010)</t>
  </si>
  <si>
    <t>Nieuwe 'virtuele' x-factorberekening (versie 26 juni 2013) na vervanging schatting door gerealiseerde data (op basis van PRD 2010)</t>
  </si>
  <si>
    <t>Begininkomsten 2007 Totaal</t>
  </si>
  <si>
    <t>Eindinkomsten 2010 in nieuwe x-factorberekening (nieuwe ORV data)</t>
  </si>
  <si>
    <t>Eindinkomsten 2010 in oorspronkelijke x-factorberekening</t>
  </si>
  <si>
    <t>Schatting ORV kosten 2010 obv kosten 2006</t>
  </si>
  <si>
    <t>Schatting ORV kosten 2010 obv kosten 2010</t>
  </si>
  <si>
    <t>Precario 2010</t>
  </si>
  <si>
    <t>Afschrijvingen in 2010</t>
  </si>
  <si>
    <t>Eindstand GAW (ultimo 2010)</t>
  </si>
  <si>
    <t>Gedoogbelasting 2010</t>
  </si>
  <si>
    <t>Totale kosten Lokale heffingen in 2010</t>
  </si>
  <si>
    <t>Totale kosten Lokale heffingen in 2010 in pp 2007</t>
  </si>
  <si>
    <t>Inschatting ORV 2010 na aanpassing gegevens</t>
  </si>
  <si>
    <t>ORV 2010 (op te nemen in eindinkomsten)</t>
  </si>
  <si>
    <t>Bron: PRD 2010</t>
  </si>
  <si>
    <t>Bron: Kapitaalkostenberekening (2010)</t>
  </si>
  <si>
    <t>Hiervoor gebruikt ACM voor alle drie de nacalculaties de PRD data uit 2010 als schatting voor de werkelijke ORV in 2010.</t>
  </si>
  <si>
    <t>Nacalculatiebedragen Lokale heffingen 2008, 2009 en 2010</t>
  </si>
  <si>
    <t>Oorspronkelijke TI-bedrag 2008</t>
  </si>
  <si>
    <t>Nieuwe TI-bedrag 2008 na virtuele aanpassing van de x-factor</t>
  </si>
  <si>
    <t>Oorspronkelijke TI-bedrag 2010</t>
  </si>
  <si>
    <t>Nieuwe TI-bedrag 2010 na virtuele aanpassing van de x-factor</t>
  </si>
  <si>
    <t>Oorspronkelijke TI-bedrag 2009</t>
  </si>
  <si>
    <t>Nieuwe TI-bedrag 2009 na virtuele aanpassing van de x-factor</t>
  </si>
  <si>
    <t>Nacalculatie Lokale heffingen 2008/2009/2010_nieuw</t>
  </si>
  <si>
    <t>Nacalculatiebedrag lokale heffingen 2008 nieuw</t>
  </si>
  <si>
    <t>Nacalculatiebedrag lokale heffingen 2009 nieuw</t>
  </si>
  <si>
    <t>Nacalculatiebedrag lokale heffingen 2010 nieuw</t>
  </si>
  <si>
    <t>Nacalculaties lokale heffingen in oude tarievenbesluiten</t>
  </si>
  <si>
    <t>Inverse oude nacalculaties lokale heffingen</t>
  </si>
  <si>
    <t>Overname en investeringen 2013</t>
  </si>
  <si>
    <t>Analyse correctie tarieven voor besparingen als gevolg van invoering van het marktmodel (corrIMM)</t>
  </si>
  <si>
    <t>Terugdraaien nacalculaties Lokale Heffingen 2008</t>
  </si>
  <si>
    <t>Terugdraaien nacalculaties Lokale Heffingen 2009</t>
  </si>
  <si>
    <t>Terugdraaien nacalculaties Lokale Heffingen 2010</t>
  </si>
  <si>
    <t>Bron: tarievenbesluit 2010</t>
  </si>
  <si>
    <t>Bron: tarievenbesluit 2011</t>
  </si>
  <si>
    <t>Totalen</t>
  </si>
  <si>
    <t>Nacalculaties Lokale Heffingen 2008</t>
  </si>
  <si>
    <t>Nacalculaties Lokale Heffingen 2009</t>
  </si>
  <si>
    <t>Nacalculaties Lokale Heffingen 2010</t>
  </si>
  <si>
    <t>Bron: tarievenbesluit 2012</t>
  </si>
  <si>
    <r>
      <t xml:space="preserve">Deel 2 van de gevolgen van de BOB Rendo_2013 bestaat uit het 'terugdraaien' van alle eerdere nacalculaties </t>
    </r>
    <r>
      <rPr>
        <b/>
        <sz val="10"/>
        <rFont val="Arial"/>
        <family val="2"/>
      </rPr>
      <t>lokale heffingen</t>
    </r>
    <r>
      <rPr>
        <sz val="10"/>
        <rFont val="Arial"/>
        <family val="2"/>
      </rPr>
      <t xml:space="preserve"> voor 2008 t/m 2010 uit de tarievenbesluiten van 2010 tot en met 2013.</t>
    </r>
  </si>
  <si>
    <t>Dit betreffen de 'reguliere' jaarlijkse nacalculaties lokale heffingen, maar eveneens een wijziging van een 'reguliere' nacalculatie in een later jaar.</t>
  </si>
  <si>
    <t>De gevolgen van deze Beslissing op bezwaar verrekent ACM via deze nacalcutie in de tarieven van 2014.</t>
  </si>
  <si>
    <t>Nacalc. RENDO nacalc. LH 2008 (deel 3)</t>
  </si>
  <si>
    <t>Nacalc. RENDO nacalc. LH 2009 (deel 3)</t>
  </si>
  <si>
    <t>Nacalc. RENDO nacalc. LH 2010 (deel 3)</t>
  </si>
  <si>
    <t>Berekening nacalculatie BOB RENDO_2013 - deel 1</t>
  </si>
  <si>
    <t>Naar aanleiding van het bezwaar van N.V. RENDO tegen het x-factorbesluit gas voor RENDO (2008-2010) heeft ACM een Beslissing op bezwaar genomen op 26 juni 2013 (hierna: BOB RENDO_2013)</t>
  </si>
  <si>
    <t>ACM berekent de gevolgen van de BOB RENDO_2013 in drie delen en doet dit als volgt:</t>
  </si>
  <si>
    <t>Eerst berekent ACM wat de totale inkomsten voor RENDO zijn geweest over de jaren 2008, 2009 en 2010 op basis van de oude x-factor NG3R. Dit betreft het bedrag zonder correcties (het kale TI-bedrag).</t>
  </si>
  <si>
    <t>Bron: BOB x-factor NG3R RENDO - 4 november 2011 (102998_6)</t>
  </si>
  <si>
    <t>Bron: BOB RENDO_2013: BOB x-factor NG3R RENDO - 26 juni 2013 (13.0114.37.1.01)</t>
  </si>
  <si>
    <t>Bron: BOB x-factor NG3R RENDO - 26 juni 2013 (13.0114.37.1.01)</t>
  </si>
  <si>
    <t>Berekening nacalculatie als gevolg van BOB RENDO 26 juni 2013</t>
  </si>
  <si>
    <t>Nacalculatie TI2008 (BOB RENDO_2013)</t>
  </si>
  <si>
    <t>Kale TI-bedrag 2008 dat RENDO heeft gekregen</t>
  </si>
  <si>
    <t>Kale TI-bedrag 2008 waar RENDO recht op heeft op basis BOB2013</t>
  </si>
  <si>
    <t>Nog te ontvangen bedrag door RENDO</t>
  </si>
  <si>
    <t>Nacalculatie TI2009 (BOB RENDO_2013)</t>
  </si>
  <si>
    <t>Nacalculatie TI2010 (BOB RENDO_2013)</t>
  </si>
  <si>
    <t>Als laatste berekent ACM de nacalculaties voor lokale heffingen 2008-2010 opnieuw op basis van de met de BOB Rendo_2013 gewijzigde gegevens.</t>
  </si>
  <si>
    <t>Nacalc. RENDO wijziging x-factor NG3R 2008  (deel 1)</t>
  </si>
  <si>
    <t>Nacalc. RENDO wijziging x-factor NG3R 2009  (deel 1)</t>
  </si>
  <si>
    <t>Nacalc. RENDO wijziging x-factor NG3R 2010 (deel 1)</t>
  </si>
  <si>
    <t>Nacalc. RENDO Terugdraaien nacalc. LH 2008 (deel 2)</t>
  </si>
  <si>
    <t>Nacalc. RENDO Terugdraaien nacalc. LH 2009 (deel 2)</t>
  </si>
  <si>
    <t>Nacalc. RENDO Terugdraaien nacalc. LH 2010 (deel 2)</t>
  </si>
  <si>
    <t>In de tarievenbesluiten 2010 tot en met 2012 heeft ACM een aantal nacalculaties voor de ORV lokale heffingen over 2008-2010 opgenomen (zoals is beschreven in de methodebesluiten en tarievenbesluiten met betrekking tot die jaren) welke moeten worden aangepast naar aanleiding van de BOB RENDO_2013.</t>
  </si>
  <si>
    <t>Deel 2 van de gevolgen van de BOB RENDO_2013 bestaat uit het terugdraaien van alle eerdere nacalculatiebedragen uit de tarievenbesluiten van 2010 tot en met 2012.</t>
  </si>
  <si>
    <t>Verdeling inkomsten over transport- en aansluitdienst</t>
  </si>
  <si>
    <t>Aandeel AD</t>
  </si>
  <si>
    <t xml:space="preserve">Aandeel TD </t>
  </si>
  <si>
    <t>Richtbedrag inkomsten AD</t>
  </si>
  <si>
    <t>Richtbedrag inkomsten TD</t>
  </si>
  <si>
    <t>Begininkomsten 2013 na verwijderen van besparingen marktmodel</t>
  </si>
  <si>
    <t>X-factoren 2014-2016 na verwijderen van besparingen marktmodel</t>
  </si>
  <si>
    <t>Totale kosten AD t.b.v. balansfactor (gem. 2010-2012)</t>
  </si>
  <si>
    <t>Totale kosten TD t.b.v. balansfactor (gem. 2010-2012)</t>
  </si>
  <si>
    <t>TI-berekening 2015</t>
  </si>
  <si>
    <t>cpi 2015</t>
  </si>
  <si>
    <t>TI 2015 (exclusief correcties)</t>
  </si>
  <si>
    <t>€, pp 2015</t>
  </si>
  <si>
    <t>Totale Inkomsten 2015 inclusief correcties</t>
  </si>
  <si>
    <t>Totale Inkomsten 2015 (incl. correcties)</t>
  </si>
  <si>
    <t>Totaalbedrag Correcties in TI 2015</t>
  </si>
  <si>
    <t>Volumeverschuivingen - RADAR</t>
  </si>
  <si>
    <t>Nacalc. Overname private netten 2013 in 2014</t>
  </si>
  <si>
    <t>Nacalc. Overname private netten 2014 in 2014</t>
  </si>
  <si>
    <t>Opgave kosten, investeringen en opbrengsten overgenomen private netten 2014</t>
  </si>
  <si>
    <t>Overname en investeringen 2014</t>
  </si>
  <si>
    <t>Overnamesom private net in 2014</t>
  </si>
  <si>
    <t>Investeringen in private net in 2014</t>
  </si>
  <si>
    <t>Boekwaarde overgenomen private net per 1 juli 2014</t>
  </si>
  <si>
    <t>Afschrijvingen private net in 2014</t>
  </si>
  <si>
    <t>Boekwaarde overgenomen private net ultimo 2014</t>
  </si>
  <si>
    <t>Kapitaalkosten private net in 2014</t>
  </si>
  <si>
    <t>Operationele kosten private net in 2014</t>
  </si>
  <si>
    <t>Opbrengsten van afnemers op het net in 2014</t>
  </si>
  <si>
    <t>Te verrekenen over 2014</t>
  </si>
  <si>
    <t>CPI 2014</t>
  </si>
  <si>
    <t>Investeringen 2014</t>
  </si>
  <si>
    <t>Boekwaarde van investeringen 2014 overgenomen private net per 1 juli 2014</t>
  </si>
  <si>
    <t>Nacalculatie overname private netten 2013 en 2014</t>
  </si>
  <si>
    <t>WACC NG5R</t>
  </si>
  <si>
    <t>van 2014</t>
  </si>
  <si>
    <t>van 2014 naar 2015</t>
  </si>
  <si>
    <t>van 2008 naar 2015</t>
  </si>
  <si>
    <t>van 2009 naar 2015</t>
  </si>
  <si>
    <t>van 2010 naar 2015</t>
  </si>
  <si>
    <t>van 2011 naar 2015</t>
  </si>
  <si>
    <t>van 2012 naar 2015</t>
  </si>
  <si>
    <t>TI-bedrag 2013 op basis van oorspronkelijke x-factorberekening</t>
  </si>
  <si>
    <t>CPI 2013</t>
  </si>
  <si>
    <t>=&lt; 10 m3(n)h, jaarverbruik &lt; 500 Nm3</t>
  </si>
  <si>
    <t>=&lt; 10 m3(n)h, jaarverbruik vanaf 500 Nm3 en &lt; 4.000 Nm3</t>
  </si>
  <si>
    <t>=&lt; 10 m3(n)h, jaarverbruik vanaf 4.000 Nm3</t>
  </si>
  <si>
    <t>&gt; 10 en =&lt; 16 m3(n)h</t>
  </si>
  <si>
    <t>&gt; 16 en =&lt; 25 m3(n)h</t>
  </si>
  <si>
    <t>&gt; 25 en =&lt; 40 m3(n)h</t>
  </si>
  <si>
    <t>Tarieven 2014</t>
  </si>
  <si>
    <t>Transportdienst</t>
  </si>
  <si>
    <t>0 t/m 10 m3(n)/h</t>
  </si>
  <si>
    <t>10 t/m 16 m3(n)/h</t>
  </si>
  <si>
    <t>16 t/m 25 m3(n)/h</t>
  </si>
  <si>
    <t>25 t/m 40 m3(n)/h</t>
  </si>
  <si>
    <t>2010</t>
  </si>
  <si>
    <t>Vastrecht kleinverbruik</t>
  </si>
  <si>
    <t>Vastrecht</t>
  </si>
  <si>
    <t>Aansluitdienst (PAV; lage druk)</t>
  </si>
  <si>
    <t>2011</t>
  </si>
  <si>
    <t>2012</t>
  </si>
  <si>
    <t>Gemiddeld over 2010, 2011 &amp; 2012</t>
  </si>
  <si>
    <t>P*Q</t>
  </si>
  <si>
    <t>Volumeverschuivingen</t>
  </si>
  <si>
    <t>Basistarief</t>
  </si>
  <si>
    <t>Rekencapaciteit</t>
  </si>
  <si>
    <t>Nacalculatie TI2014</t>
  </si>
  <si>
    <t>Begininkomsten 2013 (exclusief correcties)</t>
  </si>
  <si>
    <t>Berekening nacalculatie TI 2014</t>
  </si>
  <si>
    <t>Nacalculatie TI2013</t>
  </si>
  <si>
    <t>Nacalculatie TI2012</t>
  </si>
  <si>
    <t>Nacalculatie TI2011</t>
  </si>
  <si>
    <t>X-factor 2011-2013</t>
  </si>
  <si>
    <t>Begininkomsten 2010 (let op: incl. aansluitdienst)</t>
  </si>
  <si>
    <t>Berekening Nacalculaties TI 2011, 2012 en 2013</t>
  </si>
  <si>
    <t>Berekening nacalculatie na wijziging van x-factoren NG4R en NG5R (TI2011, TI2012, TI2013 en TI2014)</t>
  </si>
  <si>
    <t>Berekening nacalculatie ORV Lokale Heffingen 2013 (LH2013)</t>
  </si>
  <si>
    <t>Wijziging x-factorbesluit NG4R - TI 2011</t>
  </si>
  <si>
    <t>Wijziging x-factorbesluit NG4R - TI 2012</t>
  </si>
  <si>
    <t>Wijziging x-factorbesluit NG4R - TI 2013</t>
  </si>
  <si>
    <t>Wijziging x-factorbesluit NG5R - TI 2014</t>
  </si>
  <si>
    <t>TI 2015 (exclusief correcties, inclusief ingroei via x-factor voor marktmodel)</t>
  </si>
  <si>
    <t>ACM corrigeert de tarieven in 2015 voor de verwachte besparingen als gevolg van de invoering van het marktmodel.</t>
  </si>
  <si>
    <t>In het methodebelsuit NG5R heeft ACM deze correctie op de tarieven aangekondigd. ACM corrigeert de tarieven omdat de inkomsten in 2015 via de wettelijke formule niet exact de verwachte besparingen in 2015 bevatten.</t>
  </si>
  <si>
    <t xml:space="preserve">ACM baseert de besparingen over 2015 op het rapport van Ecorys c.s. zoals ook beschreven in het methodebelsuit. </t>
  </si>
  <si>
    <t xml:space="preserve">ACM bepaalt het correctiebedrag door te berekenen wat de totale inkomsten 2015 zijn met behulp van de wettelijke formule en wat de totale inkomsten 2015 zouden zijn wanneer vanaf het begin van de reguleringsperiode al rekening was gehouden met de besparingen als gevolg van het marktmodel. </t>
  </si>
  <si>
    <t xml:space="preserve">Het verschil tussen beide TI-bedragen is het correctiebedrag voor de tarieven 2015 de besparingen voor het jaar 2015, zoals vastgesteld door Ecorys c.s., de al verrekende besparingen via de wettelijke formule af te trekken. </t>
  </si>
  <si>
    <t>Analyse correctie tarieven voor kosten voor netverliezen gas vanwege invoering Codewijziging (corrNVG)</t>
  </si>
  <si>
    <t>Correctie netverliezen gas 2015</t>
  </si>
  <si>
    <t>Als gevolg van een wetswijziging in 2012 mogen netbeheerders de extra (doelmatige) kosten die zij maken voor het overnemen van bestaande netten waarvoor nog niet eerder een netbeheerder was aangewezen door of met instemming van de minister van Economische Zaken, en voor de investeringen tot aanpassing van die verworven netten (waardoor aan de bij of krachtens de Gaswet daaraan gestelde eisen wordt voldaan), verrekenen in de tarieven. Dit volgt uit artikel 81b, eerste lid, aanhef en onder f, van de Gaswet.</t>
  </si>
  <si>
    <t xml:space="preserve">Voor de nacalculatie zal ACM per netbeheerder de gemiddelde volumewijzigingen over de jaren 2010 t/m 2012 berekenen voor de afzonderlijke kleinverbruikerscategorieën binnen de aansluit- en de transportdienst. </t>
  </si>
  <si>
    <t>Vervolgens worden deze gemiddelde wijzigingen vermenigvuldigd met de respectievelijke tarieven uit 2014 en de resultaten hiervan bij elkaar opgeteld.</t>
  </si>
  <si>
    <t>Als laatste berekent ACM de nacalculaties voor lokale heffingen over de jaren 2008-2010 opnieuw op basis van de met de BOB RENDO_2013 gewijzigde gegevens. Hiervan corrigeert ACM de tweede helft in de tarieven voor het jaar 2015, nadat in de tarieven voor 2014 de eerste helft reeds gecorrigeerd is.</t>
  </si>
  <si>
    <t>Bron: opgave netbeheerder in het kader van Tarievenproces 2015</t>
  </si>
  <si>
    <t>TI 2015 (exclusief correcties en exclusief ingroei via x-factor voor marktmodel)</t>
  </si>
  <si>
    <t>Correctie tarieven 2015 voor invoering marktmodel</t>
  </si>
  <si>
    <t>Volumewijzigingen</t>
  </si>
  <si>
    <t>Berekeningswijze nacalculatie volumewijzigingen</t>
  </si>
  <si>
    <t>TI 2011</t>
  </si>
  <si>
    <t>TI 2012</t>
  </si>
  <si>
    <t>TI 2013</t>
  </si>
  <si>
    <t>Bron: TI-berekening 2013 bij Tarievenbesluiten 2013 - tabblad TI-berekening 2013, rij 12, 15 en 18</t>
  </si>
  <si>
    <t>Berekening nieuwe kale TI-bedragen 2011-2013</t>
  </si>
  <si>
    <t>Nieuwe kale TI-bedrag 2011 (zonder correcties)</t>
  </si>
  <si>
    <t>Nieuwe kale TI-bedrag 2012 (zonder correcties)</t>
  </si>
  <si>
    <t>Nieuwe kale TI-bedrag 2013 (zonder correcties)</t>
  </si>
  <si>
    <t>Bron: TI-berekening bij Tarievenbesluiten 2014, tabblad TI-berekening 2014</t>
  </si>
  <si>
    <t>Berekening nieuw kale TI-bedrag 2014 (na wijziging x-factoren NG5R)</t>
  </si>
  <si>
    <t>Nieuwe kale TI-bedrag 2014 (zonder correcties)</t>
  </si>
  <si>
    <t>De bron voor de aangepaste gegevens ten aanzien van de kosten voor Lokale Heffingen is de PRD 2013.</t>
  </si>
  <si>
    <t>Bron: PRD 2013</t>
  </si>
  <si>
    <t>Eindstand GAW (ultimo 2013)</t>
  </si>
  <si>
    <t>Afschrijvingen in 2013</t>
  </si>
  <si>
    <t>Totale kosten Lokale heffingen in 2013</t>
  </si>
  <si>
    <t>Totale kosten Lokale heffingen in 2013 in pp 2010</t>
  </si>
  <si>
    <t>Schatting ORV kosten 2013 obv kosten 2013</t>
  </si>
  <si>
    <t>TI-bedrag na toepassing werkelijke kosten lokale heffingen 2013</t>
  </si>
  <si>
    <t>Oorspronkelijke TI-bedrag 2013</t>
  </si>
  <si>
    <t>Nieuwe TI-bedrag 2013 na virtuele aanpassing van de x-factor</t>
  </si>
  <si>
    <t>Nacalculatie LH2013</t>
  </si>
  <si>
    <t>Conform de toezeggingen hierover in het methodebesluit zal ACM de effecten van verschillen tussen de schattingen van kosten voor lokale heffingen in 2013 en de realisaties hiervan nacalculeren.</t>
  </si>
  <si>
    <t>Precario transportdienst 2013</t>
  </si>
  <si>
    <t>Gedoogbelasting transportdienst 2013</t>
  </si>
  <si>
    <t>TI-bedrag 2011 op basis van nieuwe 'virtuele' x-factorberekening</t>
  </si>
  <si>
    <t>TI-bedrag 2012 op basis van nieuwe 'virtuele' x-factorberekening</t>
  </si>
  <si>
    <t>TI-bedrag 2013 op basis van nieuwe 'virtuele' x-factorberekening</t>
  </si>
  <si>
    <t>Begininkomsten 2013</t>
  </si>
  <si>
    <t>Nacalc. Lokale Heffingen 2013</t>
  </si>
  <si>
    <t>van 2013 naar 2015</t>
  </si>
  <si>
    <t>Correcties in TI 2015</t>
  </si>
  <si>
    <t>Dit Excel-bestand bevat de berekening van de TI-bedragen voor het jaar 2015 voor de regionale netbeheerders gas.</t>
  </si>
  <si>
    <t>In dit bestand worden de berekeningen gepresenteerd zoals ACM die voornemens is te gaan maken voor de vaststelling van de tarieven voor 2015, inclusief de berekening van de nacalculatiebedragen.</t>
  </si>
  <si>
    <t>Nacalc. RENDO wijziging x-factor NG3R 2009 (deel 1)</t>
  </si>
  <si>
    <t>Nacalc. RENDO wijziging x-factor NG3R 2008 (deel 1)</t>
  </si>
  <si>
    <t>ACM verzoekt de netbeheerders gemotiveerd toe te lichten om welke netten het gaat, wat de resterende levensduur is van het net rekening houdend met de afschrijvingstermijnen die ACM voorschrijft, welke kosten zijn gemaakt in het kader van de verwerving van het net, welke aanpassingskosten zijn gemaakt, welke inkomsten worden verwacht uit het net, en dat de gemaakte kosten doelmatig zijn geweest. In dit kader verzoekt ACM de netbeheerders om een verklaring van de accountant te overleggen ter onderbouwing van het gestelde en – voor zover van toepassing – tevens de benodigde onderzoeksrapporten en/of rechterlijke beslissingen waaruit blijkt wat de waarde van het net is en de aanvullende kosten die moesten worden gemaakt om het net te laten voldoen aan de bij of krachtens de Gaswet gestelde eisen.</t>
  </si>
  <si>
    <t>De investeringen en de overnamesom in het jaar van overname van het private net worden gezien als investering op 1 juli van dat jaar. Dit is overeenkomstig de werkwijze van de RAR.</t>
  </si>
  <si>
    <t>De opbrengsten van de afnemers betreffen de ontvangen tarieven of overige inkomsten op het net die dienen ter dekking van de kosten van de gereguleerde activiteiten op het private net.</t>
  </si>
  <si>
    <t>Vervolgens berekent ACM wat de totale inkomsten voor RENDO zouden moeten zijn over de jaren 2008, 2009 en 2010 op basis van de nieuwe (met de BOB RENDO_2013 gewijzigde) x-factor.</t>
  </si>
  <si>
    <t>Naar aanleiding van het bezwaar van N.V. RENDO tegen het x-factorbesluit gas voor RENDO (2008-2010) heeft ACM een Beslissing op bezwaar genomen op 26 juni 2013 (hierna: BOB RENDO_2013).</t>
  </si>
  <si>
    <t>Naar aanleiding van het bezwaar van N.V. Rendo tegen het x-factorbesluit gas voor RENDO (2008-2010) heeft ACM een Beslissing op bezwaar genomen op 26 juni 2013 (hierna: BOB Rendo_2013).</t>
  </si>
  <si>
    <t>De gevolgen van deze Beslissing op bezwaar verrekent ACM via deze nacalcutie in de tarieven van 2014 en 2015.</t>
  </si>
  <si>
    <t>De gevolgen van deze Beslissing op bezwaar verrekent ACM via deze nacalcutie in de tarieven van 2014 en 2015</t>
  </si>
  <si>
    <t>Deze besluiten zijn te vinden op de websites van de rijksoverheid en de belastingdienst.</t>
  </si>
  <si>
    <t>De berekeningen in dit bestand worden pas definitief vastgesteld in het tarievenbesluit voor 2015.</t>
  </si>
  <si>
    <t>Bron: Kapitaalkostenberekening (en PRD 2013)</t>
  </si>
  <si>
    <t>Eindinkomsten 2013 met x-factorberekening oorspronkelijke ORV data</t>
  </si>
  <si>
    <t>Eindinkomsten 2013 met x-factorberekening nieuwe ORV data</t>
  </si>
  <si>
    <t>x-factorberekening oorspronkelijke ORV LH data</t>
  </si>
  <si>
    <t>Nieuwe 'virtuele' x-factorberekening na vervanging schatting door gerealiseerde data</t>
  </si>
  <si>
    <t>Voor de TI 2015 en verder wordt direct gerekend met de gegevens uit de herstelde besluiten, zodoende zijn hiervoor geen nacalculaties nodig.</t>
  </si>
  <si>
    <t>Hieruit volgen nieuwe bedragen voor de TI voor de jaren 2011, 2012, 2013 en 2014. Dit betreft de zgn. 'kale' TI, de TI zonder nacalulaties. Het nacalculatiebedrag is gelijk aan het verschil tussen het oorspronkelijk TI bedrag (op basis van de oorspronkelijke besluiten) en het nieuwe TI-bedrag (op basis van de nieuwe besluiten).</t>
  </si>
  <si>
    <t>Kale TI-bedragen 2011-2013 obv oorspronkelijke x-factor en rekenvolumina NG4R</t>
  </si>
  <si>
    <t>TI 2014</t>
  </si>
  <si>
    <t>Kale TI-bedrag 2014 obv oorspronkelijke x-factor en rekenvolumina NG5R</t>
  </si>
  <si>
    <t>Bijzonderheid: nacalc. saldo verrekenen i.v.m. lagere tarieven Enexis</t>
  </si>
  <si>
    <t>Saldo verrekenen i.v.m. lagere tarieven Enexis 2012</t>
  </si>
  <si>
    <t xml:space="preserve">Bron: Tarievenbesluit 2012 Enexis - somproduct tarieven en rekenvolumina </t>
  </si>
  <si>
    <t xml:space="preserve">Bron: Tarievenblad daadwerkelijke tarieven Enexis - somproduct tarieven en rekenvolumina </t>
  </si>
  <si>
    <t>Nacalculaties over 2012 na tariefjaar 2012</t>
  </si>
  <si>
    <t xml:space="preserve">Bron: Tarievenbesluit 2014 Enexis </t>
  </si>
  <si>
    <t xml:space="preserve">Bron: Tarievenbesluit 2015 Enexis </t>
  </si>
  <si>
    <t>Saldo verrekenen i.v.m. lagere tarieven Enexis 2013</t>
  </si>
  <si>
    <t>Nacalculaties over 2013 na tariefjaar 2013</t>
  </si>
  <si>
    <t>TOTAAL</t>
  </si>
  <si>
    <t>CORRECTIE</t>
  </si>
  <si>
    <t>X-factor 2014-2016 (exclusief netverliezen gas)</t>
  </si>
  <si>
    <t>TI 2015 (exclusief correcties, inclusief ingroei via x-factor voor netverliezen gas)</t>
  </si>
  <si>
    <t>TI 2015 (exclusief correcties en exclusief ingroei via x-factor voor netverliezen gas)</t>
  </si>
  <si>
    <t>In TI 2015 verwerkte vergoeding voor netverliezen gas via wettelijke formule (o.b.v. methodebesluit NG5R)</t>
  </si>
  <si>
    <t>Te verrekenen in de tarieven 2015 voor netverliezen gas (inverse)</t>
  </si>
  <si>
    <t>Nacalc. Faillissement Orro en Trianel</t>
  </si>
  <si>
    <t>Nacalc. Vervanging schatting door data Lokale Heffingen 2012</t>
  </si>
  <si>
    <t>Nacalc. Correctie vervallen vergoeding dubieuze debiteuren 2013</t>
  </si>
  <si>
    <t>TI-bedragen (inclusief correcties) conform tarievenbesluit 2013</t>
  </si>
  <si>
    <t>TI-bedragen (inclusief correcties) met daadwerkelijk gehanteerde tarieven 2013</t>
  </si>
  <si>
    <t>Maximaal te verrekenen i.v.m. lagere tarieven Enexis over 2013</t>
  </si>
  <si>
    <t>TI-bedragen (inclusief correcties) conform tarievenbesluit 2012</t>
  </si>
  <si>
    <t>TI-bedragen (inclusief correcties) met daadwerkelijk gehanteerde tarieven 2012</t>
  </si>
  <si>
    <t>Maximaal te verrekenen i.v.m. lagere tarieven Enexis over 2012</t>
  </si>
  <si>
    <t>Reeds nagecalculeerd in TI 2014</t>
  </si>
  <si>
    <t>Correctie tarieven 2015 invoeringsdatum netverliezen gas</t>
  </si>
  <si>
    <t>Heffingsrentepercentages zoals te gebruiken voor de "TI-berekening 2015"</t>
  </si>
  <si>
    <t>Heffingsrente per jaar</t>
  </si>
  <si>
    <t>Heffingsrente naar jaar van berekening TI</t>
  </si>
  <si>
    <t>Data heffingsrente per kwartaal</t>
  </si>
  <si>
    <t>De heffingsrente wordt ieder kwartaal gepubliceerd door het Ministerie van Financiën.</t>
  </si>
  <si>
    <t>Bron: Gewijzigde x-factorberekening NG5R, 11 september 2014; tabblad Bijlage 1 - Resultaten; regel 31.</t>
  </si>
  <si>
    <t>Bron: Gewijzigde x-factorberekening NG5R, 11 september 2014; tabblad Bijlage 1 - Resultaten; regel 42.</t>
  </si>
  <si>
    <t>Bron: Gewijzigde x-factorberekening NG5R, 11 september 2014; tabblad Bijlage 1 - Resultaten; regel 44.</t>
  </si>
  <si>
    <t>ACM stelt jaarlijks de maximum tarieven vast per netbeheerder. In de jaren 2012 en 2013 heeft Enexis tarieven gehanteerd die onder de maximum tarieven lagen.</t>
  </si>
  <si>
    <t>er rekening mee te houden dat Enexis in de jaren 2012 en 2013 met de daadwerkelijk gehanteerde tarieven minder dan de totale inkomsten op basis van de maximum tarieven heeft behaald.</t>
  </si>
  <si>
    <t>In maximumtarieven kunnen correcties worden gemaakt om rekening te houden met effecten van voorgaande jaren. ACM heeft besloten om, indien het saldo van deze latere correcties over het jaar 2012 of 2013 tot een lager niveau van inkomsten leidt,</t>
  </si>
  <si>
    <r>
      <t xml:space="preserve">Indien er een negatief saldo vanuit de nacalculaties over 2012 of 2013 resulteert, wordt dit met deze correctie </t>
    </r>
    <r>
      <rPr>
        <i/>
        <sz val="10"/>
        <rFont val="Arial"/>
        <family val="2"/>
      </rPr>
      <t>(nacalculatie saldo verrekenen i.v.m. lagere tarieven Enexis)</t>
    </r>
    <r>
      <rPr>
        <sz val="10"/>
        <rFont val="Arial"/>
        <family val="2"/>
      </rPr>
      <t xml:space="preserve"> gecompenseerd, tot aan het bedrag van inkomsten dat Enexis over 2012 of </t>
    </r>
  </si>
  <si>
    <t>2013 met de lagere tarieven niet heeft benut.</t>
  </si>
  <si>
    <t>Bron: Gewijzigde x-factorberekening NG5R, 11 september 2014, tabblad bijlage 1 - resultaten, rij 12</t>
  </si>
  <si>
    <t>Bron: Gewijzigde x-factorberekening NG5R, 11 september 2014, tabblad bijlage 1 - resultaten, rij 9</t>
  </si>
  <si>
    <t>Bron: Herstelde x-factorberekening NG4R van 11 september 2014</t>
  </si>
  <si>
    <t>De x-factorberekening die hiervoor gebruikt is de (herstelde) x-factorberekening NG4R van 11 september 2014.</t>
  </si>
  <si>
    <t>meer dan gebruikelijke aanpassingen van capaciteiten van aansluitingen met een administratieve achtergrond als oorzaak (o.a. RADAR uitzending).</t>
  </si>
  <si>
    <t>Het hieruit voortvloeiende bedrag wordt vervolgens meegenomen in de Totale Inkomsten 2015.</t>
  </si>
  <si>
    <t>Bron: Herstelde x-factorberekening NG5R van 11 september 2014</t>
  </si>
  <si>
    <r>
      <t>Als gevolg van het herstel van de x-factor en rekenvoluminabesluiten voor NG4R en NG5R van 11 september</t>
    </r>
    <r>
      <rPr>
        <sz val="10"/>
        <rFont val="Arial"/>
        <family val="2"/>
      </rPr>
      <t xml:space="preserve"> 2014, zouden netbeheerders andere totale inkomsten hebben gekend voor de jaren 2011, 2012, 2013 en 2014. </t>
    </r>
  </si>
  <si>
    <t>Op 21 augustus 2014 heeft het CBb in het beroep tegen het codebesluit van 18-7-2013 bepaald dat de inkoop van netverliezen gas niet bij de netbeheerders belegd kan worden.</t>
  </si>
  <si>
    <t>In het methodebesluit en de (in september 2014 herziene) x-factorbesluiten is er rekening mee gehouden dat netbeheerders gedurende de reguleringsperiode verantwoordelijk zouden worden voor de inkoop van netverliezen gas.</t>
  </si>
  <si>
    <t>Per mail van 5 september 2014 zijn netbeheerders geïnformeerd dat ACM deze uitspraak zal volgen en hoe ACM in de tariefregulering hiermee om zal gaan.</t>
  </si>
  <si>
    <t>Wat betreft de tarieven van 2015 geldt dat ACM de vergoeding voor de inkoop van netverliezen gas hieruitzal verwijderen.</t>
  </si>
  <si>
    <t>In onderstaande berekening is bepaald welke vergoeding het herziene x-factormodel van september 2014 bevat voor netverliezen gas in 2015. Deze vergoeding zal verrekend worden in de tarieven van 2015.</t>
  </si>
  <si>
    <t>De inputdata ten behoeve van onderstaande berekening zijn vastgelegd in de x-factorbesluiten NG5R van 11 september 2014.</t>
  </si>
  <si>
    <t>ACM corrigeert in de tarieven 2015 de TI aan de hand van volumewijzigingen in de periode 2010 t/m 2013, betrekking hebbend op het jaar 2014, voor zover die verzoorzaakt worden door de</t>
  </si>
  <si>
    <t>Bron: Gewijzigde x-factorberekening NG5R, 11 september 2014</t>
  </si>
  <si>
    <t>Correctie tarieven 2015 invoering marktmodel</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</si>
</sst>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4" formatCode="_ &quot;€&quot;\ * #,##0.00_ ;_ &quot;€&quot;\ * \-#,##0.00_ ;_ &quot;€&quot;\ * &quot;-&quot;??_ ;_ @_ "/>
    <numFmt numFmtId="43" formatCode="_ * #,##0.00_ ;_ * \-#,##0.00_ ;_ * &quot;-&quot;??_ ;_ @_ "/>
    <numFmt numFmtId="164" formatCode="_-* #,##0_-;_-* #,##0\-;_-* &quot;-&quot;_-;_-@_-"/>
    <numFmt numFmtId="165" formatCode="_-* #,##0.00_-;_-* #,##0.00\-;_-* &quot;-&quot;??_-;_-@_-"/>
    <numFmt numFmtId="166" formatCode="0.0"/>
    <numFmt numFmtId="167" formatCode="0.0%"/>
    <numFmt numFmtId="168" formatCode="_-* #,##0_-;_-* #,##0\-;_-* &quot;-&quot;??_-;_-@_-"/>
    <numFmt numFmtId="169" formatCode="0.00000"/>
    <numFmt numFmtId="170" formatCode="_-* #,##0.0_-;_-* #,##0.0\-;_-* &quot;-&quot;??_-;_-@_-"/>
    <numFmt numFmtId="171" formatCode="#,##0_ ;\-#,##0\ "/>
    <numFmt numFmtId="172" formatCode="_ &quot;€&quot;\ * #,##0_ ;_ &quot;€&quot;\ * \-#,##0_ ;_ &quot;€&quot;\ * &quot;-&quot;??_ ;_ @_ "/>
    <numFmt numFmtId="173" formatCode="0.000000"/>
    <numFmt numFmtId="174" formatCode="_-* #,##0.000_-;_-* #,##0.000\-;_-* &quot;-&quot;??_-;_-@_-"/>
    <numFmt numFmtId="175" formatCode="_-* #,##0.0_-;_-* #,##0.0\-;_-* &quot;-&quot;_-;_-@_-"/>
    <numFmt numFmtId="176" formatCode="#,##0.0_ ;\-#,##0.0\ "/>
    <numFmt numFmtId="177" formatCode="0.0000%"/>
    <numFmt numFmtId="178" formatCode="0.000%"/>
    <numFmt numFmtId="179" formatCode="_ * #,##0_ ;_ * \-#,##0_ ;_ * &quot;-&quot;??_ ;_ @_ "/>
    <numFmt numFmtId="180" formatCode="dd/mm/yyyy"/>
  </numFmts>
  <fonts count="46">
    <font>
      <sz val="10"/>
      <name val="Arial"/>
    </font>
    <font>
      <sz val="10"/>
      <name val="Arial"/>
      <family val="2"/>
    </font>
    <font>
      <sz val="8"/>
      <name val="Arial"/>
      <family val="2"/>
    </font>
    <font>
      <b/>
      <sz val="10"/>
      <name val="Arial"/>
      <family val="2"/>
    </font>
    <font>
      <sz val="10"/>
      <name val="Arial"/>
      <family val="2"/>
    </font>
    <font>
      <i/>
      <sz val="10"/>
      <name val="Arial"/>
      <family val="2"/>
    </font>
    <font>
      <sz val="10"/>
      <color indexed="10"/>
      <name val="Arial"/>
      <family val="2"/>
    </font>
    <font>
      <sz val="10"/>
      <color indexed="8"/>
      <name val="MS Sans Serif"/>
      <family val="2"/>
    </font>
    <font>
      <sz val="10"/>
      <color indexed="8"/>
      <name val="Arial"/>
      <family val="2"/>
    </font>
    <font>
      <b/>
      <sz val="14"/>
      <name val="Arial"/>
      <family val="2"/>
    </font>
    <font>
      <sz val="10"/>
      <color indexed="12"/>
      <name val="Arial"/>
      <family val="2"/>
    </font>
    <font>
      <sz val="10"/>
      <color indexed="10"/>
      <name val="Arial"/>
      <family val="2"/>
    </font>
    <font>
      <b/>
      <sz val="12"/>
      <name val="Arial"/>
      <family val="2"/>
    </font>
    <font>
      <sz val="8"/>
      <color indexed="81"/>
      <name val="Tahoma"/>
      <family val="2"/>
    </font>
    <font>
      <sz val="10"/>
      <name val="Arial"/>
      <family val="2"/>
    </font>
    <font>
      <sz val="10"/>
      <color indexed="8"/>
      <name val="MS Sans Serif"/>
      <family val="2"/>
    </font>
    <font>
      <sz val="10"/>
      <name val="DTLArgoT"/>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8"/>
      <name val="Arial"/>
      <family val="2"/>
    </font>
    <font>
      <b/>
      <sz val="8"/>
      <name val="Arial"/>
      <family val="2"/>
    </font>
    <font>
      <i/>
      <sz val="9.5"/>
      <name val="Arial"/>
      <family val="2"/>
    </font>
    <font>
      <sz val="10"/>
      <name val="Arial"/>
      <family val="2"/>
    </font>
    <font>
      <sz val="10"/>
      <color theme="1"/>
      <name val="Calibri"/>
      <family val="2"/>
      <scheme val="minor"/>
    </font>
    <font>
      <sz val="10"/>
      <color rgb="FFFF0000"/>
      <name val="Arial"/>
      <family val="2"/>
    </font>
    <font>
      <sz val="10"/>
      <color theme="1"/>
      <name val="Arial"/>
      <family val="2"/>
    </font>
    <font>
      <sz val="10"/>
      <name val="Arial"/>
      <family val="2"/>
    </font>
    <font>
      <b/>
      <sz val="10"/>
      <name val="Arial"/>
      <family val="2"/>
    </font>
    <font>
      <sz val="8"/>
      <name val="Arial"/>
      <family val="2"/>
    </font>
    <font>
      <sz val="12"/>
      <name val="Arial"/>
      <family val="2"/>
    </font>
    <font>
      <i/>
      <sz val="10"/>
      <color rgb="FFFF0000"/>
      <name val="Arial"/>
      <family val="2"/>
    </font>
  </fonts>
  <fills count="41">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indexed="47"/>
        <bgColor indexed="64"/>
      </patternFill>
    </fill>
    <fill>
      <patternFill patternType="solid">
        <fgColor indexed="41"/>
        <bgColor indexed="64"/>
      </patternFill>
    </fill>
    <fill>
      <patternFill patternType="solid">
        <fgColor indexed="22"/>
        <bgColor indexed="64"/>
      </patternFill>
    </fill>
    <fill>
      <patternFill patternType="solid">
        <fgColor indexed="44"/>
        <bgColor indexed="64"/>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CCFFCC"/>
        <bgColor indexed="64"/>
      </patternFill>
    </fill>
    <fill>
      <patternFill patternType="solid">
        <fgColor theme="9" tint="0.59999389629810485"/>
        <bgColor indexed="64"/>
      </patternFill>
    </fill>
    <fill>
      <patternFill patternType="solid">
        <fgColor rgb="FFCCFFFF"/>
        <bgColor indexed="64"/>
      </patternFill>
    </fill>
    <fill>
      <patternFill patternType="solid">
        <fgColor rgb="FFFFFF99"/>
        <bgColor indexed="64"/>
      </patternFill>
    </fill>
    <fill>
      <patternFill patternType="solid">
        <fgColor theme="0"/>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rgb="FFFFCC99"/>
        <bgColor indexed="64"/>
      </patternFill>
    </fill>
    <fill>
      <patternFill patternType="solid">
        <fgColor rgb="FFFFFFCC"/>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s>
  <cellStyleXfs count="82">
    <xf numFmtId="0" fontId="0" fillId="0" borderId="0"/>
    <xf numFmtId="0" fontId="14" fillId="0" borderId="0"/>
    <xf numFmtId="0" fontId="1" fillId="0" borderId="0"/>
    <xf numFmtId="0" fontId="1" fillId="0" borderId="0"/>
    <xf numFmtId="165" fontId="1" fillId="0" borderId="0" applyFont="0" applyFill="0" applyBorder="0" applyAlignment="0" applyProtection="0"/>
    <xf numFmtId="37" fontId="1" fillId="0" borderId="0" applyFill="0" applyBorder="0" applyProtection="0">
      <protection locked="0"/>
    </xf>
    <xf numFmtId="9" fontId="1" fillId="0" borderId="0" applyFont="0" applyFill="0" applyBorder="0" applyAlignment="0" applyProtection="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6" fillId="0" borderId="0"/>
    <xf numFmtId="0" fontId="4" fillId="0" borderId="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6" borderId="0" applyNumberFormat="0" applyBorder="0" applyAlignment="0" applyProtection="0"/>
    <xf numFmtId="0" fontId="17" fillId="19" borderId="0" applyNumberFormat="0" applyBorder="0" applyAlignment="0" applyProtection="0"/>
    <xf numFmtId="0" fontId="18" fillId="20"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7" borderId="0" applyNumberFormat="0" applyBorder="0" applyAlignment="0" applyProtection="0"/>
    <xf numFmtId="0" fontId="19" fillId="28" borderId="3" applyNumberFormat="0" applyAlignment="0" applyProtection="0"/>
    <xf numFmtId="0" fontId="20" fillId="29" borderId="4" applyNumberFormat="0" applyAlignment="0" applyProtection="0"/>
    <xf numFmtId="0" fontId="21" fillId="0" borderId="5" applyNumberFormat="0" applyFill="0" applyAlignment="0" applyProtection="0"/>
    <xf numFmtId="0" fontId="22" fillId="12" borderId="0" applyNumberFormat="0" applyBorder="0" applyAlignment="0" applyProtection="0"/>
    <xf numFmtId="0" fontId="23" fillId="15" borderId="3" applyNumberFormat="0" applyAlignment="0" applyProtection="0"/>
    <xf numFmtId="165" fontId="4" fillId="0" borderId="0" applyFont="0" applyFill="0" applyBorder="0" applyAlignment="0" applyProtection="0"/>
    <xf numFmtId="0" fontId="24" fillId="0" borderId="6" applyNumberFormat="0" applyFill="0" applyAlignment="0" applyProtection="0"/>
    <xf numFmtId="0" fontId="25" fillId="0" borderId="7" applyNumberFormat="0" applyFill="0" applyAlignment="0" applyProtection="0"/>
    <xf numFmtId="0" fontId="26" fillId="0" borderId="8" applyNumberFormat="0" applyFill="0" applyAlignment="0" applyProtection="0"/>
    <xf numFmtId="0" fontId="26" fillId="0" borderId="0" applyNumberFormat="0" applyFill="0" applyBorder="0" applyAlignment="0" applyProtection="0"/>
    <xf numFmtId="0" fontId="27" fillId="30" borderId="0" applyNumberFormat="0" applyBorder="0" applyAlignment="0" applyProtection="0"/>
    <xf numFmtId="0" fontId="16" fillId="31" borderId="9" applyNumberFormat="0" applyFont="0" applyAlignment="0" applyProtection="0"/>
    <xf numFmtId="0" fontId="28" fillId="11" borderId="0" applyNumberFormat="0" applyBorder="0" applyAlignment="0" applyProtection="0"/>
    <xf numFmtId="9" fontId="4" fillId="0" borderId="0" applyFont="0" applyFill="0" applyBorder="0" applyAlignment="0" applyProtection="0"/>
    <xf numFmtId="0" fontId="4" fillId="0" borderId="0"/>
    <xf numFmtId="0" fontId="15" fillId="0" borderId="0"/>
    <xf numFmtId="0" fontId="15" fillId="0" borderId="0"/>
    <xf numFmtId="0" fontId="29" fillId="0" borderId="0" applyNumberFormat="0" applyFill="0" applyBorder="0" applyAlignment="0" applyProtection="0"/>
    <xf numFmtId="0" fontId="30" fillId="0" borderId="10" applyNumberFormat="0" applyFill="0" applyAlignment="0" applyProtection="0"/>
    <xf numFmtId="0" fontId="31" fillId="28" borderId="11"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44" fontId="4" fillId="0" borderId="0" applyFont="0" applyFill="0" applyBorder="0" applyAlignment="0" applyProtection="0"/>
    <xf numFmtId="165" fontId="37" fillId="0" borderId="0" applyFont="0" applyFill="0" applyBorder="0" applyAlignment="0" applyProtection="0"/>
    <xf numFmtId="9" fontId="37" fillId="0" borderId="0" applyFont="0" applyFill="0" applyBorder="0" applyAlignment="0" applyProtection="0"/>
    <xf numFmtId="0" fontId="7" fillId="0" borderId="0"/>
    <xf numFmtId="0" fontId="1" fillId="0" borderId="0"/>
    <xf numFmtId="0" fontId="7" fillId="0" borderId="0"/>
    <xf numFmtId="44"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7" fillId="0" borderId="0"/>
    <xf numFmtId="0" fontId="1" fillId="0" borderId="0"/>
    <xf numFmtId="0" fontId="1" fillId="0" borderId="0"/>
    <xf numFmtId="0" fontId="41" fillId="0" borderId="0"/>
    <xf numFmtId="165" fontId="41" fillId="0" borderId="0" applyFont="0" applyFill="0" applyBorder="0" applyAlignment="0" applyProtection="0"/>
    <xf numFmtId="0" fontId="7"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cellStyleXfs>
  <cellXfs count="452">
    <xf numFmtId="0" fontId="0" fillId="0" borderId="0" xfId="0"/>
    <xf numFmtId="0" fontId="4" fillId="3" borderId="1" xfId="7" applyFont="1" applyFill="1" applyBorder="1"/>
    <xf numFmtId="0" fontId="4" fillId="2" borderId="0" xfId="7" applyFont="1" applyFill="1" applyBorder="1"/>
    <xf numFmtId="0" fontId="4" fillId="4" borderId="1" xfId="7" applyFont="1" applyFill="1" applyBorder="1"/>
    <xf numFmtId="0" fontId="4" fillId="5" borderId="1" xfId="7" applyFont="1" applyFill="1" applyBorder="1"/>
    <xf numFmtId="0" fontId="4" fillId="6" borderId="1" xfId="7" applyFont="1" applyFill="1" applyBorder="1"/>
    <xf numFmtId="168" fontId="1" fillId="5" borderId="0" xfId="4" applyNumberFormat="1" applyFill="1"/>
    <xf numFmtId="168" fontId="2" fillId="0" borderId="0" xfId="4" applyNumberFormat="1" applyFont="1" applyFill="1"/>
    <xf numFmtId="0" fontId="9" fillId="7" borderId="2" xfId="8" applyFont="1" applyFill="1" applyBorder="1"/>
    <xf numFmtId="0" fontId="1" fillId="7" borderId="2" xfId="8" applyFill="1" applyBorder="1"/>
    <xf numFmtId="0" fontId="3" fillId="8" borderId="2" xfId="8" applyFont="1" applyFill="1" applyBorder="1"/>
    <xf numFmtId="0" fontId="1" fillId="8" borderId="2" xfId="8" applyFill="1" applyBorder="1"/>
    <xf numFmtId="0" fontId="1" fillId="0" borderId="0" xfId="8"/>
    <xf numFmtId="0" fontId="10" fillId="0" borderId="0" xfId="8" applyFont="1"/>
    <xf numFmtId="0" fontId="1" fillId="0" borderId="0" xfId="8" applyFill="1" applyBorder="1"/>
    <xf numFmtId="0" fontId="1" fillId="0" borderId="0" xfId="8" applyFill="1"/>
    <xf numFmtId="0" fontId="1" fillId="2" borderId="0" xfId="8" applyFill="1"/>
    <xf numFmtId="0" fontId="1" fillId="2" borderId="0" xfId="8" applyFont="1" applyFill="1"/>
    <xf numFmtId="10" fontId="1" fillId="3" borderId="0" xfId="6" applyNumberFormat="1" applyFill="1"/>
    <xf numFmtId="168" fontId="1" fillId="0" borderId="0" xfId="4" applyNumberFormat="1" applyFill="1"/>
    <xf numFmtId="0" fontId="3" fillId="0" borderId="2" xfId="8" applyFont="1" applyFill="1" applyBorder="1" applyAlignment="1">
      <alignment horizontal="left"/>
    </xf>
    <xf numFmtId="164" fontId="2" fillId="0" borderId="0" xfId="8" applyNumberFormat="1" applyFont="1" applyFill="1" applyBorder="1"/>
    <xf numFmtId="0" fontId="3" fillId="2" borderId="2" xfId="8" applyFont="1" applyFill="1" applyBorder="1"/>
    <xf numFmtId="0" fontId="9" fillId="7" borderId="2" xfId="9" applyFont="1" applyFill="1" applyBorder="1" applyAlignment="1">
      <alignment wrapText="1"/>
    </xf>
    <xf numFmtId="0" fontId="1" fillId="7" borderId="2" xfId="9" applyFill="1" applyBorder="1"/>
    <xf numFmtId="0" fontId="3" fillId="7" borderId="2" xfId="2" applyFont="1" applyFill="1" applyBorder="1" applyAlignment="1">
      <alignment horizontal="center" textRotation="90"/>
    </xf>
    <xf numFmtId="0" fontId="3" fillId="8" borderId="2" xfId="9" applyFont="1" applyFill="1" applyBorder="1"/>
    <xf numFmtId="0" fontId="1" fillId="8" borderId="2" xfId="9" applyFill="1" applyBorder="1"/>
    <xf numFmtId="0" fontId="1" fillId="0" borderId="0" xfId="9"/>
    <xf numFmtId="168" fontId="1" fillId="8" borderId="2" xfId="4" applyNumberFormat="1" applyFill="1" applyBorder="1"/>
    <xf numFmtId="0" fontId="1" fillId="0" borderId="0" xfId="9" applyFill="1"/>
    <xf numFmtId="10" fontId="6" fillId="0" borderId="0" xfId="6" applyNumberFormat="1" applyFont="1" applyFill="1"/>
    <xf numFmtId="0" fontId="1" fillId="0" borderId="0" xfId="9" applyFont="1"/>
    <xf numFmtId="0" fontId="1" fillId="0" borderId="0" xfId="8" applyFont="1" applyFill="1"/>
    <xf numFmtId="169" fontId="2" fillId="0" borderId="0" xfId="8" applyNumberFormat="1" applyFont="1" applyFill="1" applyBorder="1"/>
    <xf numFmtId="0" fontId="8" fillId="2" borderId="0" xfId="7" applyFont="1" applyFill="1" applyBorder="1"/>
    <xf numFmtId="0" fontId="4" fillId="9" borderId="1" xfId="7" applyFont="1" applyFill="1" applyBorder="1"/>
    <xf numFmtId="0" fontId="9" fillId="7" borderId="2" xfId="11" applyFont="1" applyFill="1" applyBorder="1" applyAlignment="1">
      <alignment wrapText="1"/>
    </xf>
    <xf numFmtId="0" fontId="1" fillId="7" borderId="2" xfId="11" applyFill="1" applyBorder="1"/>
    <xf numFmtId="0" fontId="3" fillId="7" borderId="2" xfId="3" applyFont="1" applyFill="1" applyBorder="1" applyAlignment="1">
      <alignment horizontal="center" textRotation="90"/>
    </xf>
    <xf numFmtId="0" fontId="3" fillId="8" borderId="2" xfId="11" applyFont="1" applyFill="1" applyBorder="1"/>
    <xf numFmtId="0" fontId="1" fillId="8" borderId="2" xfId="11" applyFill="1" applyBorder="1"/>
    <xf numFmtId="0" fontId="1" fillId="0" borderId="0" xfId="11"/>
    <xf numFmtId="1" fontId="1" fillId="0" borderId="0" xfId="11" applyNumberFormat="1"/>
    <xf numFmtId="168" fontId="1" fillId="0" borderId="0" xfId="4" applyNumberFormat="1" applyFont="1" applyFill="1"/>
    <xf numFmtId="0" fontId="3" fillId="8" borderId="2" xfId="3" applyFont="1" applyFill="1" applyBorder="1"/>
    <xf numFmtId="0" fontId="1" fillId="8" borderId="2" xfId="3" applyFill="1" applyBorder="1"/>
    <xf numFmtId="0" fontId="1" fillId="0" borderId="0" xfId="3"/>
    <xf numFmtId="0" fontId="1" fillId="0" borderId="0" xfId="11" applyFill="1"/>
    <xf numFmtId="0" fontId="1" fillId="0" borderId="0" xfId="12"/>
    <xf numFmtId="0" fontId="3" fillId="8" borderId="2" xfId="12" applyFont="1" applyFill="1" applyBorder="1"/>
    <xf numFmtId="0" fontId="1" fillId="8" borderId="2" xfId="12" applyFill="1" applyBorder="1"/>
    <xf numFmtId="1" fontId="1" fillId="0" borderId="0" xfId="12" applyNumberFormat="1"/>
    <xf numFmtId="170" fontId="2" fillId="0" borderId="0" xfId="4" applyNumberFormat="1" applyFont="1" applyFill="1"/>
    <xf numFmtId="0" fontId="1" fillId="0" borderId="0" xfId="12" applyFill="1"/>
    <xf numFmtId="168" fontId="2" fillId="0" borderId="0" xfId="12" applyNumberFormat="1" applyFont="1" applyFill="1"/>
    <xf numFmtId="168" fontId="1" fillId="4" borderId="0" xfId="4" applyNumberFormat="1" applyFont="1" applyFill="1"/>
    <xf numFmtId="0" fontId="1" fillId="0" borderId="0" xfId="10" applyFont="1"/>
    <xf numFmtId="10" fontId="1" fillId="0" borderId="0" xfId="12" applyNumberFormat="1" applyFill="1"/>
    <xf numFmtId="0" fontId="3" fillId="0" borderId="0" xfId="12" applyFont="1"/>
    <xf numFmtId="168" fontId="1" fillId="4" borderId="0" xfId="12" applyNumberFormat="1" applyFill="1"/>
    <xf numFmtId="168" fontId="1" fillId="6" borderId="0" xfId="12" applyNumberFormat="1" applyFill="1"/>
    <xf numFmtId="10" fontId="1" fillId="0" borderId="0" xfId="6" applyNumberFormat="1" applyFill="1"/>
    <xf numFmtId="0" fontId="9" fillId="7" borderId="2" xfId="13" applyFont="1" applyFill="1" applyBorder="1"/>
    <xf numFmtId="0" fontId="1" fillId="7" borderId="2" xfId="13" applyFill="1" applyBorder="1"/>
    <xf numFmtId="0" fontId="3" fillId="8" borderId="2" xfId="13" applyFont="1" applyFill="1" applyBorder="1"/>
    <xf numFmtId="0" fontId="1" fillId="8" borderId="2" xfId="13" applyFill="1" applyBorder="1"/>
    <xf numFmtId="0" fontId="3" fillId="0" borderId="0" xfId="13" applyFont="1"/>
    <xf numFmtId="0" fontId="1" fillId="0" borderId="0" xfId="13"/>
    <xf numFmtId="0" fontId="1" fillId="0" borderId="0" xfId="13" applyAlignment="1">
      <alignment horizontal="right"/>
    </xf>
    <xf numFmtId="0" fontId="1" fillId="0" borderId="0" xfId="13" applyFill="1"/>
    <xf numFmtId="10" fontId="1" fillId="0" borderId="0" xfId="6" applyNumberFormat="1"/>
    <xf numFmtId="16" fontId="1" fillId="0" borderId="0" xfId="13" applyNumberFormat="1"/>
    <xf numFmtId="14" fontId="1" fillId="0" borderId="0" xfId="13" applyNumberFormat="1"/>
    <xf numFmtId="10" fontId="1" fillId="3" borderId="0" xfId="13" applyNumberFormat="1" applyFill="1"/>
    <xf numFmtId="10" fontId="1" fillId="4" borderId="0" xfId="13" applyNumberFormat="1" applyFill="1"/>
    <xf numFmtId="0" fontId="1" fillId="7" borderId="0" xfId="13" applyFill="1"/>
    <xf numFmtId="10" fontId="1" fillId="7" borderId="0" xfId="13" applyNumberFormat="1" applyFill="1"/>
    <xf numFmtId="0" fontId="0" fillId="0" borderId="0" xfId="12" applyFont="1"/>
    <xf numFmtId="1" fontId="0" fillId="0" borderId="0" xfId="0" applyNumberFormat="1"/>
    <xf numFmtId="0" fontId="11" fillId="0" borderId="0" xfId="57" applyFont="1"/>
    <xf numFmtId="0" fontId="4" fillId="0" borderId="0" xfId="57" applyFont="1"/>
    <xf numFmtId="0" fontId="3" fillId="8" borderId="2" xfId="0" applyFont="1" applyFill="1" applyBorder="1"/>
    <xf numFmtId="0" fontId="0" fillId="8" borderId="2" xfId="0" applyFill="1" applyBorder="1"/>
    <xf numFmtId="0" fontId="0" fillId="0" borderId="0" xfId="0" applyFill="1"/>
    <xf numFmtId="0" fontId="4" fillId="0" borderId="0" xfId="57" applyFont="1" applyFill="1"/>
    <xf numFmtId="0" fontId="3" fillId="8" borderId="2" xfId="57" applyFont="1" applyFill="1" applyBorder="1"/>
    <xf numFmtId="0" fontId="4" fillId="8" borderId="2" xfId="57" applyFont="1" applyFill="1" applyBorder="1"/>
    <xf numFmtId="0" fontId="3" fillId="0" borderId="0" xfId="57" applyFont="1" applyFill="1" applyBorder="1" applyAlignment="1">
      <alignment horizontal="left"/>
    </xf>
    <xf numFmtId="0" fontId="4" fillId="0" borderId="0" xfId="0" applyFont="1"/>
    <xf numFmtId="168" fontId="4" fillId="0" borderId="0" xfId="46" applyNumberFormat="1" applyFill="1"/>
    <xf numFmtId="168" fontId="4" fillId="6" borderId="0" xfId="46" applyNumberFormat="1" applyFill="1"/>
    <xf numFmtId="0" fontId="3" fillId="8" borderId="2" xfId="55" applyFont="1" applyFill="1" applyBorder="1"/>
    <xf numFmtId="0" fontId="3" fillId="0" borderId="0" xfId="14" applyFont="1" applyAlignment="1"/>
    <xf numFmtId="0" fontId="5" fillId="0" borderId="0" xfId="14" applyFont="1"/>
    <xf numFmtId="0" fontId="3" fillId="8" borderId="2" xfId="14" applyFont="1" applyFill="1" applyBorder="1"/>
    <xf numFmtId="0" fontId="5" fillId="0" borderId="0" xfId="55" applyFont="1"/>
    <xf numFmtId="0" fontId="3" fillId="0" borderId="0" xfId="14" applyFont="1"/>
    <xf numFmtId="168" fontId="34" fillId="0" borderId="0" xfId="46" applyNumberFormat="1" applyFont="1" applyFill="1"/>
    <xf numFmtId="0" fontId="3" fillId="0" borderId="0" xfId="55" applyFont="1" applyFill="1" applyBorder="1" applyAlignment="1">
      <alignment wrapText="1"/>
    </xf>
    <xf numFmtId="0" fontId="3" fillId="0" borderId="0" xfId="14" applyFont="1" applyFill="1" applyBorder="1" applyAlignment="1">
      <alignment horizontal="center" textRotation="90"/>
    </xf>
    <xf numFmtId="168" fontId="4" fillId="32" borderId="0" xfId="46" applyNumberFormat="1" applyFont="1" applyFill="1"/>
    <xf numFmtId="10" fontId="0" fillId="33" borderId="0" xfId="0" applyNumberFormat="1" applyFill="1"/>
    <xf numFmtId="168" fontId="0" fillId="32" borderId="0" xfId="46" applyNumberFormat="1" applyFont="1" applyFill="1"/>
    <xf numFmtId="10" fontId="4" fillId="34" borderId="0" xfId="54" applyNumberFormat="1" applyFill="1"/>
    <xf numFmtId="10" fontId="0" fillId="0" borderId="0" xfId="54" applyNumberFormat="1" applyFont="1"/>
    <xf numFmtId="10" fontId="4" fillId="0" borderId="0" xfId="54" applyNumberFormat="1" applyFill="1"/>
    <xf numFmtId="10" fontId="4" fillId="35" borderId="0" xfId="54" applyNumberFormat="1" applyFont="1" applyFill="1"/>
    <xf numFmtId="10" fontId="4" fillId="4" borderId="0" xfId="6" applyNumberFormat="1" applyFont="1" applyFill="1"/>
    <xf numFmtId="10" fontId="4" fillId="32" borderId="0" xfId="0" applyNumberFormat="1" applyFont="1" applyFill="1"/>
    <xf numFmtId="10" fontId="4" fillId="6" borderId="0" xfId="54" applyNumberFormat="1" applyFill="1"/>
    <xf numFmtId="0" fontId="0" fillId="7" borderId="0" xfId="0" applyFill="1"/>
    <xf numFmtId="10" fontId="0" fillId="7" borderId="0" xfId="0" applyNumberFormat="1" applyFill="1"/>
    <xf numFmtId="10" fontId="0" fillId="4" borderId="0" xfId="0" applyNumberFormat="1" applyFill="1"/>
    <xf numFmtId="2" fontId="0" fillId="3" borderId="0" xfId="1" applyNumberFormat="1" applyFont="1" applyFill="1" applyBorder="1"/>
    <xf numFmtId="0" fontId="36" fillId="0" borderId="0" xfId="0" applyFont="1" applyBorder="1" applyAlignment="1">
      <alignment vertical="center"/>
    </xf>
    <xf numFmtId="10" fontId="4" fillId="5" borderId="0" xfId="54" applyNumberFormat="1" applyFont="1" applyFill="1"/>
    <xf numFmtId="0" fontId="4" fillId="0" borderId="0" xfId="0" applyFont="1" applyFill="1" applyAlignment="1">
      <alignment horizontal="center"/>
    </xf>
    <xf numFmtId="10" fontId="11" fillId="0" borderId="0" xfId="54" applyNumberFormat="1" applyFont="1" applyFill="1"/>
    <xf numFmtId="10" fontId="4" fillId="0" borderId="0" xfId="54" applyNumberFormat="1" applyFont="1" applyFill="1"/>
    <xf numFmtId="168" fontId="4" fillId="5" borderId="0" xfId="4" applyNumberFormat="1" applyFont="1" applyFill="1"/>
    <xf numFmtId="0" fontId="4" fillId="36" borderId="0" xfId="0" applyFont="1" applyFill="1" applyBorder="1"/>
    <xf numFmtId="0" fontId="4" fillId="0" borderId="0" xfId="0" applyFont="1" applyAlignment="1">
      <alignment horizontal="center"/>
    </xf>
    <xf numFmtId="168" fontId="4" fillId="35" borderId="0" xfId="7" applyNumberFormat="1" applyFont="1" applyFill="1" applyBorder="1"/>
    <xf numFmtId="0" fontId="3" fillId="0" borderId="2" xfId="14" applyFont="1" applyFill="1" applyBorder="1" applyAlignment="1">
      <alignment horizontal="left"/>
    </xf>
    <xf numFmtId="0" fontId="1" fillId="0" borderId="0" xfId="0" applyFont="1" applyFill="1"/>
    <xf numFmtId="0" fontId="0" fillId="0" borderId="0" xfId="0"/>
    <xf numFmtId="0" fontId="1" fillId="0" borderId="0" xfId="0" applyFont="1"/>
    <xf numFmtId="10" fontId="1" fillId="0" borderId="0" xfId="13" applyNumberFormat="1"/>
    <xf numFmtId="0" fontId="1" fillId="0" borderId="0" xfId="66" applyFont="1"/>
    <xf numFmtId="0" fontId="5" fillId="0" borderId="0" xfId="66" applyFont="1"/>
    <xf numFmtId="168" fontId="1" fillId="4" borderId="0" xfId="4" applyNumberFormat="1" applyFill="1"/>
    <xf numFmtId="0" fontId="1" fillId="0" borderId="0" xfId="66" applyFont="1" applyFill="1"/>
    <xf numFmtId="167" fontId="1" fillId="3" borderId="0" xfId="6" applyNumberFormat="1" applyFont="1" applyFill="1"/>
    <xf numFmtId="0" fontId="1" fillId="0" borderId="0" xfId="4" applyNumberFormat="1" applyFill="1"/>
    <xf numFmtId="9" fontId="1" fillId="32" borderId="0" xfId="66" applyNumberFormat="1" applyFont="1" applyFill="1"/>
    <xf numFmtId="0" fontId="1" fillId="0" borderId="0" xfId="57" applyFont="1"/>
    <xf numFmtId="0" fontId="1" fillId="0" borderId="0" xfId="12" applyFont="1"/>
    <xf numFmtId="0" fontId="1" fillId="0" borderId="0" xfId="0" applyNumberFormat="1" applyFont="1" applyFill="1" applyBorder="1" applyAlignment="1">
      <alignment vertical="top"/>
    </xf>
    <xf numFmtId="0" fontId="1" fillId="0" borderId="0" xfId="57" applyFont="1" applyFill="1"/>
    <xf numFmtId="0" fontId="1" fillId="0" borderId="0" xfId="12" applyFont="1" applyFill="1"/>
    <xf numFmtId="9" fontId="1" fillId="4" borderId="0" xfId="6" applyFill="1"/>
    <xf numFmtId="168" fontId="0" fillId="0" borderId="0" xfId="46" applyNumberFormat="1" applyFont="1" applyFill="1"/>
    <xf numFmtId="168" fontId="1" fillId="0" borderId="0" xfId="4" applyNumberFormat="1"/>
    <xf numFmtId="177" fontId="1" fillId="0" borderId="0" xfId="6" applyNumberFormat="1" applyFill="1"/>
    <xf numFmtId="3" fontId="0" fillId="33" borderId="0" xfId="0" applyNumberFormat="1" applyFill="1"/>
    <xf numFmtId="168" fontId="1" fillId="32" borderId="0" xfId="4" applyNumberFormat="1" applyFont="1" applyFill="1"/>
    <xf numFmtId="165" fontId="1" fillId="32" borderId="0" xfId="4" applyNumberFormat="1" applyFont="1" applyFill="1"/>
    <xf numFmtId="179" fontId="38" fillId="0" borderId="0" xfId="4" applyNumberFormat="1" applyFont="1"/>
    <xf numFmtId="178" fontId="1" fillId="0" borderId="0" xfId="6" applyNumberFormat="1" applyFill="1"/>
    <xf numFmtId="165" fontId="1" fillId="0" borderId="0" xfId="4" applyNumberFormat="1" applyFont="1" applyFill="1"/>
    <xf numFmtId="0" fontId="0" fillId="0" borderId="0" xfId="12" applyFont="1" applyFill="1"/>
    <xf numFmtId="9" fontId="1" fillId="4" borderId="0" xfId="6" applyNumberFormat="1" applyFill="1"/>
    <xf numFmtId="0" fontId="1" fillId="2" borderId="0" xfId="12" applyNumberFormat="1" applyFont="1" applyFill="1" applyBorder="1" applyAlignment="1">
      <alignment vertical="top"/>
    </xf>
    <xf numFmtId="10" fontId="1" fillId="4" borderId="0" xfId="0" applyNumberFormat="1" applyFont="1" applyFill="1"/>
    <xf numFmtId="0" fontId="12" fillId="7" borderId="2" xfId="68" applyFont="1" applyFill="1" applyBorder="1"/>
    <xf numFmtId="0" fontId="1" fillId="7" borderId="2" xfId="68" applyFont="1" applyFill="1" applyBorder="1"/>
    <xf numFmtId="0" fontId="6" fillId="0" borderId="0" xfId="68" applyFont="1"/>
    <xf numFmtId="0" fontId="1" fillId="0" borderId="0" xfId="68" applyFont="1"/>
    <xf numFmtId="0" fontId="3" fillId="8" borderId="2" xfId="67" applyFont="1" applyFill="1" applyBorder="1"/>
    <xf numFmtId="0" fontId="1" fillId="8" borderId="2" xfId="67" applyFill="1" applyBorder="1"/>
    <xf numFmtId="0" fontId="1" fillId="0" borderId="0" xfId="67" applyFill="1"/>
    <xf numFmtId="0" fontId="1" fillId="0" borderId="0" xfId="67"/>
    <xf numFmtId="0" fontId="1" fillId="0" borderId="0" xfId="67" applyAlignment="1">
      <alignment wrapText="1"/>
    </xf>
    <xf numFmtId="0" fontId="1" fillId="0" borderId="0" xfId="67" applyAlignment="1">
      <alignment readingOrder="1"/>
    </xf>
    <xf numFmtId="0" fontId="1" fillId="0" borderId="0" xfId="68" applyFont="1" applyFill="1"/>
    <xf numFmtId="0" fontId="3" fillId="8" borderId="2" xfId="68" applyFont="1" applyFill="1" applyBorder="1"/>
    <xf numFmtId="0" fontId="1" fillId="8" borderId="2" xfId="68" applyFont="1" applyFill="1" applyBorder="1"/>
    <xf numFmtId="0" fontId="3" fillId="0" borderId="0" xfId="68" applyFont="1" applyFill="1" applyBorder="1" applyAlignment="1">
      <alignment horizontal="left"/>
    </xf>
    <xf numFmtId="0" fontId="1" fillId="0" borderId="0" xfId="67" applyFont="1"/>
    <xf numFmtId="0" fontId="5" fillId="0" borderId="0" xfId="67" applyFont="1"/>
    <xf numFmtId="171" fontId="1" fillId="3" borderId="0" xfId="69" applyNumberFormat="1" applyFont="1" applyFill="1"/>
    <xf numFmtId="0" fontId="5" fillId="0" borderId="0" xfId="68" applyFont="1"/>
    <xf numFmtId="168" fontId="1" fillId="4" borderId="0" xfId="70" applyNumberFormat="1" applyFill="1"/>
    <xf numFmtId="0" fontId="1" fillId="0" borderId="0" xfId="67" applyFont="1" applyFill="1"/>
    <xf numFmtId="172" fontId="1" fillId="0" borderId="0" xfId="69" applyNumberFormat="1" applyFont="1" applyFill="1"/>
    <xf numFmtId="168" fontId="1" fillId="0" borderId="0" xfId="70" applyNumberFormat="1" applyFill="1"/>
    <xf numFmtId="167" fontId="1" fillId="3" borderId="0" xfId="71" applyNumberFormat="1" applyFont="1" applyFill="1"/>
    <xf numFmtId="0" fontId="1" fillId="0" borderId="0" xfId="70" applyNumberFormat="1" applyFill="1"/>
    <xf numFmtId="9" fontId="1" fillId="32" borderId="0" xfId="68" applyNumberFormat="1" applyFont="1" applyFill="1"/>
    <xf numFmtId="168" fontId="1" fillId="6" borderId="0" xfId="67" applyNumberFormat="1" applyFill="1"/>
    <xf numFmtId="10" fontId="1" fillId="33" borderId="0" xfId="68" applyNumberFormat="1" applyFont="1" applyFill="1"/>
    <xf numFmtId="168" fontId="1" fillId="0" borderId="0" xfId="70" applyNumberFormat="1"/>
    <xf numFmtId="0" fontId="1" fillId="0" borderId="0" xfId="72" applyFont="1" applyFill="1"/>
    <xf numFmtId="0" fontId="3" fillId="0" borderId="0" xfId="72" applyFont="1" applyFill="1"/>
    <xf numFmtId="0" fontId="3" fillId="8" borderId="2" xfId="73" applyFont="1" applyFill="1" applyBorder="1"/>
    <xf numFmtId="0" fontId="1" fillId="8" borderId="2" xfId="73" applyFill="1" applyBorder="1"/>
    <xf numFmtId="0" fontId="1" fillId="0" borderId="0" xfId="73" applyFill="1" applyBorder="1"/>
    <xf numFmtId="0" fontId="1" fillId="0" borderId="0" xfId="73" applyAlignment="1"/>
    <xf numFmtId="0" fontId="1" fillId="0" borderId="0" xfId="73" applyAlignment="1">
      <alignment wrapText="1"/>
    </xf>
    <xf numFmtId="0" fontId="1" fillId="0" borderId="0" xfId="73"/>
    <xf numFmtId="0" fontId="3" fillId="0" borderId="0" xfId="73" applyFont="1" applyAlignment="1"/>
    <xf numFmtId="0" fontId="1" fillId="0" borderId="0" xfId="73" applyFont="1" applyAlignment="1"/>
    <xf numFmtId="0" fontId="5" fillId="0" borderId="0" xfId="73" applyFont="1" applyFill="1" applyBorder="1"/>
    <xf numFmtId="0" fontId="2" fillId="0" borderId="0" xfId="73" applyFont="1"/>
    <xf numFmtId="0" fontId="2" fillId="0" borderId="0" xfId="73" applyFont="1" applyFill="1" applyBorder="1"/>
    <xf numFmtId="0" fontId="35" fillId="0" borderId="0" xfId="73" applyFont="1" applyFill="1" applyBorder="1"/>
    <xf numFmtId="0" fontId="3" fillId="0" borderId="0" xfId="73" applyFont="1" applyFill="1" applyBorder="1" applyAlignment="1">
      <alignment horizontal="center" textRotation="90"/>
    </xf>
    <xf numFmtId="0" fontId="2" fillId="0" borderId="0" xfId="73" applyFont="1" applyFill="1"/>
    <xf numFmtId="0" fontId="2" fillId="2" borderId="0" xfId="73" applyFont="1" applyFill="1"/>
    <xf numFmtId="0" fontId="1" fillId="0" borderId="0" xfId="73" applyFont="1"/>
    <xf numFmtId="168" fontId="2" fillId="0" borderId="0" xfId="70" applyNumberFormat="1" applyFont="1" applyFill="1" applyBorder="1"/>
    <xf numFmtId="10" fontId="2" fillId="0" borderId="0" xfId="71" applyNumberFormat="1" applyFont="1"/>
    <xf numFmtId="164" fontId="2" fillId="0" borderId="0" xfId="73" applyNumberFormat="1" applyFont="1" applyFill="1" applyBorder="1"/>
    <xf numFmtId="0" fontId="35" fillId="2" borderId="0" xfId="73" applyFont="1" applyFill="1" applyBorder="1"/>
    <xf numFmtId="166" fontId="35" fillId="0" borderId="0" xfId="73" applyNumberFormat="1" applyFont="1" applyFill="1" applyBorder="1"/>
    <xf numFmtId="0" fontId="5" fillId="0" borderId="0" xfId="67" applyFont="1" applyBorder="1"/>
    <xf numFmtId="0" fontId="2" fillId="0" borderId="0" xfId="73" applyFont="1" applyBorder="1"/>
    <xf numFmtId="0" fontId="3" fillId="0" borderId="0" xfId="73" applyFont="1"/>
    <xf numFmtId="0" fontId="3" fillId="0" borderId="0" xfId="73" applyFont="1" applyFill="1" applyBorder="1"/>
    <xf numFmtId="0" fontId="5" fillId="0" borderId="0" xfId="67" applyFont="1" applyFill="1" applyBorder="1"/>
    <xf numFmtId="0" fontId="1" fillId="0" borderId="0" xfId="73" applyFont="1" applyFill="1" applyBorder="1"/>
    <xf numFmtId="0" fontId="0" fillId="0" borderId="0" xfId="73" applyFont="1" applyFill="1"/>
    <xf numFmtId="0" fontId="3" fillId="0" borderId="0" xfId="67" applyFont="1"/>
    <xf numFmtId="0" fontId="1" fillId="0" borderId="0" xfId="67" applyFont="1" applyFill="1" applyBorder="1"/>
    <xf numFmtId="0" fontId="1" fillId="2" borderId="0" xfId="74" applyFill="1"/>
    <xf numFmtId="0" fontId="1" fillId="2" borderId="0" xfId="74" applyFont="1" applyFill="1"/>
    <xf numFmtId="0" fontId="1" fillId="2" borderId="0" xfId="67" applyFill="1"/>
    <xf numFmtId="0" fontId="2" fillId="0" borderId="2" xfId="73" applyFont="1" applyFill="1" applyBorder="1"/>
    <xf numFmtId="0" fontId="3" fillId="0" borderId="2" xfId="73" applyFont="1" applyFill="1" applyBorder="1" applyAlignment="1">
      <alignment horizontal="left"/>
    </xf>
    <xf numFmtId="0" fontId="35" fillId="0" borderId="2" xfId="73" applyFont="1" applyFill="1" applyBorder="1" applyAlignment="1">
      <alignment horizontal="left"/>
    </xf>
    <xf numFmtId="0" fontId="1" fillId="2" borderId="0" xfId="73" applyFont="1" applyFill="1"/>
    <xf numFmtId="0" fontId="1" fillId="0" borderId="2" xfId="8" applyFont="1" applyFill="1" applyBorder="1"/>
    <xf numFmtId="0" fontId="1" fillId="0" borderId="0" xfId="8" applyFont="1" applyFill="1" applyBorder="1"/>
    <xf numFmtId="0" fontId="1" fillId="2" borderId="2" xfId="8" applyFont="1" applyFill="1" applyBorder="1"/>
    <xf numFmtId="166" fontId="1" fillId="0" borderId="0" xfId="8" applyNumberFormat="1" applyFont="1" applyFill="1" applyBorder="1"/>
    <xf numFmtId="0" fontId="1" fillId="0" borderId="0" xfId="8" applyFont="1"/>
    <xf numFmtId="0" fontId="3" fillId="0" borderId="0" xfId="67" applyFont="1" applyFill="1" applyBorder="1" applyAlignment="1">
      <alignment wrapText="1"/>
    </xf>
    <xf numFmtId="0" fontId="1" fillId="0" borderId="0" xfId="67" applyFill="1" applyBorder="1"/>
    <xf numFmtId="168" fontId="1" fillId="0" borderId="0" xfId="67" applyNumberFormat="1" applyFill="1" applyBorder="1"/>
    <xf numFmtId="168" fontId="2" fillId="0" borderId="0" xfId="67" applyNumberFormat="1" applyFont="1" applyFill="1" applyBorder="1"/>
    <xf numFmtId="168" fontId="2" fillId="0" borderId="0" xfId="67" applyNumberFormat="1" applyFont="1" applyFill="1"/>
    <xf numFmtId="10" fontId="39" fillId="35" borderId="0" xfId="54" applyNumberFormat="1" applyFont="1" applyFill="1"/>
    <xf numFmtId="180" fontId="1" fillId="0" borderId="0" xfId="13" applyNumberFormat="1"/>
    <xf numFmtId="180" fontId="0" fillId="0" borderId="0" xfId="0" applyNumberFormat="1"/>
    <xf numFmtId="10" fontId="1" fillId="3" borderId="0" xfId="13" applyNumberFormat="1" applyFont="1" applyFill="1"/>
    <xf numFmtId="10" fontId="1" fillId="3" borderId="0" xfId="0" applyNumberFormat="1" applyFont="1" applyFill="1"/>
    <xf numFmtId="10" fontId="39" fillId="32" borderId="0" xfId="0" applyNumberFormat="1" applyFont="1" applyFill="1"/>
    <xf numFmtId="165" fontId="1" fillId="0" borderId="0" xfId="4"/>
    <xf numFmtId="0" fontId="3" fillId="7" borderId="2" xfId="14" applyFont="1" applyFill="1" applyBorder="1" applyAlignment="1">
      <alignment horizontal="right"/>
    </xf>
    <xf numFmtId="0" fontId="3" fillId="7" borderId="2" xfId="8" applyFont="1" applyFill="1" applyBorder="1"/>
    <xf numFmtId="0" fontId="1" fillId="7" borderId="2" xfId="8" applyFont="1" applyFill="1" applyBorder="1"/>
    <xf numFmtId="0" fontId="1" fillId="8" borderId="2" xfId="8" applyFont="1" applyFill="1" applyBorder="1"/>
    <xf numFmtId="0" fontId="1" fillId="0" borderId="0" xfId="55" applyFont="1" applyFill="1"/>
    <xf numFmtId="0" fontId="1" fillId="0" borderId="0" xfId="56" applyFont="1" applyFill="1"/>
    <xf numFmtId="0" fontId="1" fillId="0" borderId="0" xfId="14" applyFont="1" applyAlignment="1"/>
    <xf numFmtId="0" fontId="1" fillId="0" borderId="0" xfId="14" applyFont="1" applyAlignment="1">
      <alignment wrapText="1"/>
    </xf>
    <xf numFmtId="0" fontId="1" fillId="0" borderId="0" xfId="14" applyFont="1"/>
    <xf numFmtId="167" fontId="1" fillId="5" borderId="0" xfId="54" applyNumberFormat="1" applyFont="1" applyFill="1"/>
    <xf numFmtId="167" fontId="1" fillId="3" borderId="0" xfId="14" applyNumberFormat="1" applyFont="1" applyFill="1"/>
    <xf numFmtId="0" fontId="1" fillId="8" borderId="2" xfId="14" applyFont="1" applyFill="1" applyBorder="1"/>
    <xf numFmtId="0" fontId="1" fillId="0" borderId="0" xfId="14" applyFont="1" applyFill="1"/>
    <xf numFmtId="0" fontId="1" fillId="2" borderId="0" xfId="14" applyFont="1" applyFill="1"/>
    <xf numFmtId="0" fontId="1" fillId="0" borderId="2" xfId="14" applyFont="1" applyFill="1" applyBorder="1"/>
    <xf numFmtId="0" fontId="1" fillId="0" borderId="0" xfId="55" applyFont="1"/>
    <xf numFmtId="168" fontId="1" fillId="3" borderId="0" xfId="46" applyNumberFormat="1" applyFont="1" applyFill="1"/>
    <xf numFmtId="0" fontId="1" fillId="0" borderId="0" xfId="1" applyFont="1"/>
    <xf numFmtId="10" fontId="1" fillId="0" borderId="0" xfId="54" applyNumberFormat="1" applyFont="1"/>
    <xf numFmtId="10" fontId="1" fillId="0" borderId="0" xfId="54" applyNumberFormat="1" applyFont="1" applyFill="1"/>
    <xf numFmtId="164" fontId="1" fillId="0" borderId="0" xfId="14" applyNumberFormat="1" applyFont="1" applyFill="1" applyBorder="1"/>
    <xf numFmtId="164" fontId="1" fillId="2" borderId="0" xfId="14" applyNumberFormat="1" applyFont="1" applyFill="1"/>
    <xf numFmtId="0" fontId="3" fillId="2" borderId="2" xfId="14" applyFont="1" applyFill="1" applyBorder="1"/>
    <xf numFmtId="168" fontId="1" fillId="4" borderId="0" xfId="46" applyNumberFormat="1" applyFont="1" applyFill="1"/>
    <xf numFmtId="0" fontId="1" fillId="32" borderId="0" xfId="14" applyFont="1" applyFill="1"/>
    <xf numFmtId="168" fontId="1" fillId="32" borderId="0" xfId="46" applyNumberFormat="1" applyFont="1" applyFill="1"/>
    <xf numFmtId="168" fontId="1" fillId="32" borderId="0" xfId="14" applyNumberFormat="1" applyFont="1" applyFill="1"/>
    <xf numFmtId="173" fontId="1" fillId="0" borderId="0" xfId="14" applyNumberFormat="1" applyFont="1"/>
    <xf numFmtId="168" fontId="1" fillId="4" borderId="0" xfId="14" applyNumberFormat="1" applyFont="1" applyFill="1"/>
    <xf numFmtId="168" fontId="1" fillId="6" borderId="0" xfId="46" applyNumberFormat="1" applyFont="1" applyFill="1"/>
    <xf numFmtId="168" fontId="1" fillId="0" borderId="0" xfId="46" applyNumberFormat="1" applyFont="1" applyFill="1"/>
    <xf numFmtId="168" fontId="1" fillId="5" borderId="0" xfId="14" applyNumberFormat="1" applyFont="1" applyFill="1"/>
    <xf numFmtId="168" fontId="1" fillId="0" borderId="0" xfId="14" applyNumberFormat="1" applyFont="1"/>
    <xf numFmtId="0" fontId="1" fillId="2" borderId="0" xfId="8" applyFont="1" applyFill="1" applyBorder="1"/>
    <xf numFmtId="164" fontId="1" fillId="5" borderId="0" xfId="8" applyNumberFormat="1" applyFont="1" applyFill="1" applyBorder="1"/>
    <xf numFmtId="164" fontId="1" fillId="0" borderId="0" xfId="8" applyNumberFormat="1" applyFont="1" applyFill="1" applyBorder="1"/>
    <xf numFmtId="169" fontId="1" fillId="0" borderId="0" xfId="8" applyNumberFormat="1" applyFont="1" applyFill="1" applyBorder="1"/>
    <xf numFmtId="166" fontId="1" fillId="6" borderId="2" xfId="8" applyNumberFormat="1" applyFont="1" applyFill="1" applyBorder="1"/>
    <xf numFmtId="0" fontId="1" fillId="0" borderId="0" xfId="8" applyFont="1" applyBorder="1"/>
    <xf numFmtId="0" fontId="1" fillId="0" borderId="0" xfId="55" applyFont="1" applyFill="1" applyBorder="1"/>
    <xf numFmtId="168" fontId="1" fillId="5" borderId="0" xfId="46" applyNumberFormat="1" applyFont="1" applyFill="1"/>
    <xf numFmtId="168" fontId="1" fillId="0" borderId="0" xfId="46" applyNumberFormat="1" applyFont="1" applyFill="1" applyBorder="1"/>
    <xf numFmtId="0" fontId="1" fillId="0" borderId="0" xfId="55" applyFont="1" applyFill="1" applyBorder="1" applyAlignment="1">
      <alignment wrapText="1"/>
    </xf>
    <xf numFmtId="168" fontId="3" fillId="0" borderId="0" xfId="46" applyNumberFormat="1" applyFont="1" applyFill="1" applyBorder="1" applyAlignment="1">
      <alignment horizontal="center" textRotation="90"/>
    </xf>
    <xf numFmtId="168" fontId="1" fillId="0" borderId="0" xfId="55" applyNumberFormat="1" applyFont="1" applyFill="1" applyBorder="1"/>
    <xf numFmtId="168" fontId="1" fillId="6" borderId="0" xfId="55" applyNumberFormat="1" applyFont="1" applyFill="1"/>
    <xf numFmtId="165" fontId="1" fillId="0" borderId="0" xfId="4" applyFont="1"/>
    <xf numFmtId="0" fontId="0" fillId="0" borderId="0" xfId="0" applyAlignment="1">
      <alignment horizontal="right"/>
    </xf>
    <xf numFmtId="0" fontId="3" fillId="0" borderId="0" xfId="0" applyFont="1"/>
    <xf numFmtId="0" fontId="3" fillId="0" borderId="0" xfId="0" applyFont="1" applyAlignment="1">
      <alignment horizontal="left"/>
    </xf>
    <xf numFmtId="0" fontId="5" fillId="0" borderId="0" xfId="0" applyFont="1"/>
    <xf numFmtId="0" fontId="3" fillId="0" borderId="0" xfId="0" quotePrefix="1" applyFont="1" applyAlignment="1">
      <alignment horizontal="left"/>
    </xf>
    <xf numFmtId="0" fontId="0" fillId="0" borderId="0" xfId="0" applyFont="1"/>
    <xf numFmtId="165" fontId="1" fillId="32" borderId="0" xfId="4" applyFont="1" applyFill="1"/>
    <xf numFmtId="165" fontId="0" fillId="0" borderId="0" xfId="4" applyFont="1"/>
    <xf numFmtId="168" fontId="40" fillId="5" borderId="0" xfId="4" applyNumberFormat="1" applyFont="1" applyFill="1"/>
    <xf numFmtId="168" fontId="40" fillId="5" borderId="0" xfId="4" quotePrefix="1" applyNumberFormat="1" applyFont="1" applyFill="1"/>
    <xf numFmtId="0" fontId="3" fillId="7" borderId="2" xfId="1" applyFont="1" applyFill="1" applyBorder="1" applyAlignment="1">
      <alignment horizontal="center"/>
    </xf>
    <xf numFmtId="0" fontId="9" fillId="7" borderId="2" xfId="9" applyFont="1" applyFill="1" applyBorder="1" applyAlignment="1">
      <alignment horizontal="center" vertical="center" wrapText="1"/>
    </xf>
    <xf numFmtId="0" fontId="1" fillId="7" borderId="2" xfId="9" applyFill="1" applyBorder="1" applyAlignment="1">
      <alignment horizontal="center" vertical="center"/>
    </xf>
    <xf numFmtId="0" fontId="3" fillId="7" borderId="2" xfId="2" applyFont="1" applyFill="1" applyBorder="1" applyAlignment="1">
      <alignment horizontal="center" vertical="center" textRotation="90"/>
    </xf>
    <xf numFmtId="0" fontId="3" fillId="7" borderId="2" xfId="1" applyFont="1" applyFill="1" applyBorder="1" applyAlignment="1">
      <alignment horizontal="center" vertical="center"/>
    </xf>
    <xf numFmtId="0" fontId="3" fillId="7" borderId="2" xfId="2" applyFont="1" applyFill="1" applyBorder="1" applyAlignment="1">
      <alignment horizontal="center" vertical="center"/>
    </xf>
    <xf numFmtId="0" fontId="3" fillId="7" borderId="2" xfId="68" applyFont="1" applyFill="1" applyBorder="1" applyAlignment="1">
      <alignment horizontal="center"/>
    </xf>
    <xf numFmtId="0" fontId="3" fillId="7" borderId="2" xfId="57" applyFont="1" applyFill="1" applyBorder="1" applyAlignment="1">
      <alignment horizontal="center"/>
    </xf>
    <xf numFmtId="0" fontId="3" fillId="7" borderId="2" xfId="73" applyFont="1" applyFill="1" applyBorder="1" applyAlignment="1">
      <alignment horizontal="center"/>
    </xf>
    <xf numFmtId="0" fontId="12" fillId="7" borderId="2" xfId="8" applyFont="1" applyFill="1" applyBorder="1"/>
    <xf numFmtId="0" fontId="12" fillId="7" borderId="2" xfId="8" applyFont="1" applyFill="1" applyBorder="1" applyAlignment="1">
      <alignment horizontal="left" vertical="center"/>
    </xf>
    <xf numFmtId="0" fontId="12" fillId="7" borderId="2" xfId="74" applyFont="1" applyFill="1" applyBorder="1" applyAlignment="1">
      <alignment vertical="center"/>
    </xf>
    <xf numFmtId="0" fontId="12" fillId="7" borderId="2" xfId="13" applyFont="1" applyFill="1" applyBorder="1" applyAlignment="1">
      <alignment vertical="center"/>
    </xf>
    <xf numFmtId="0" fontId="12" fillId="7" borderId="2" xfId="13" applyFont="1" applyFill="1" applyBorder="1" applyAlignment="1">
      <alignment horizontal="left"/>
    </xf>
    <xf numFmtId="0" fontId="12" fillId="7" borderId="2" xfId="11" applyFont="1" applyFill="1" applyBorder="1" applyAlignment="1">
      <alignment vertical="center" wrapText="1"/>
    </xf>
    <xf numFmtId="0" fontId="12" fillId="7" borderId="2" xfId="9" applyFont="1" applyFill="1" applyBorder="1" applyAlignment="1">
      <alignment horizontal="left" wrapText="1"/>
    </xf>
    <xf numFmtId="0" fontId="12" fillId="7" borderId="2" xfId="9" applyFont="1" applyFill="1" applyBorder="1" applyAlignment="1">
      <alignment vertical="center" wrapText="1"/>
    </xf>
    <xf numFmtId="165" fontId="1" fillId="4" borderId="0" xfId="4" applyFont="1" applyFill="1"/>
    <xf numFmtId="0" fontId="5" fillId="0" borderId="0" xfId="0" applyFont="1" applyAlignment="1">
      <alignment horizontal="center" vertical="center"/>
    </xf>
    <xf numFmtId="0" fontId="0" fillId="0" borderId="0" xfId="0" applyFill="1" applyBorder="1"/>
    <xf numFmtId="168" fontId="0" fillId="0" borderId="0" xfId="0" applyNumberFormat="1" applyFill="1" applyBorder="1"/>
    <xf numFmtId="168" fontId="0" fillId="6" borderId="0" xfId="0" applyNumberFormat="1" applyFill="1"/>
    <xf numFmtId="168" fontId="2" fillId="0" borderId="0" xfId="0" applyNumberFormat="1" applyFont="1" applyFill="1"/>
    <xf numFmtId="168" fontId="0" fillId="0" borderId="0" xfId="0" applyNumberFormat="1" applyFill="1"/>
    <xf numFmtId="10" fontId="0" fillId="0" borderId="0" xfId="0" applyNumberFormat="1" applyFill="1"/>
    <xf numFmtId="10" fontId="0" fillId="33" borderId="0" xfId="6" applyNumberFormat="1" applyFont="1" applyFill="1"/>
    <xf numFmtId="0" fontId="39" fillId="0" borderId="0" xfId="0" applyFont="1"/>
    <xf numFmtId="0" fontId="41" fillId="0" borderId="0" xfId="0" applyFont="1" applyFill="1" applyBorder="1"/>
    <xf numFmtId="0" fontId="42" fillId="0" borderId="0" xfId="75" applyFont="1" applyFill="1" applyBorder="1" applyAlignment="1">
      <alignment horizontal="center" textRotation="90"/>
    </xf>
    <xf numFmtId="168" fontId="42" fillId="0" borderId="0" xfId="76" applyNumberFormat="1" applyFont="1" applyFill="1" applyBorder="1" applyAlignment="1">
      <alignment horizontal="center" textRotation="90"/>
    </xf>
    <xf numFmtId="0" fontId="42" fillId="0" borderId="0" xfId="0" applyFont="1" applyFill="1" applyBorder="1" applyAlignment="1">
      <alignment wrapText="1"/>
    </xf>
    <xf numFmtId="0" fontId="3" fillId="0" borderId="0" xfId="0" applyFont="1" applyFill="1" applyBorder="1"/>
    <xf numFmtId="0" fontId="1" fillId="0" borderId="0" xfId="0" applyFont="1" applyFill="1" applyBorder="1"/>
    <xf numFmtId="168" fontId="43" fillId="0" borderId="0" xfId="76" applyNumberFormat="1" applyFont="1" applyFill="1" applyBorder="1"/>
    <xf numFmtId="168" fontId="1" fillId="32" borderId="0" xfId="76" applyNumberFormat="1" applyFont="1" applyFill="1"/>
    <xf numFmtId="10" fontId="0" fillId="5" borderId="0" xfId="0" applyNumberFormat="1" applyFill="1"/>
    <xf numFmtId="168" fontId="0" fillId="0" borderId="0" xfId="4" applyNumberFormat="1" applyFont="1" applyFill="1"/>
    <xf numFmtId="0" fontId="3" fillId="0" borderId="0" xfId="0" applyFont="1" applyFill="1"/>
    <xf numFmtId="0" fontId="0" fillId="0" borderId="0" xfId="0" applyFill="1" applyBorder="1" applyAlignment="1">
      <alignment vertical="center"/>
    </xf>
    <xf numFmtId="0" fontId="3" fillId="0" borderId="0" xfId="0" applyFont="1" applyFill="1" applyBorder="1" applyAlignment="1">
      <alignment vertical="center" wrapText="1"/>
    </xf>
    <xf numFmtId="0" fontId="9" fillId="0" borderId="0" xfId="0" applyFont="1" applyFill="1" applyBorder="1" applyAlignment="1">
      <alignment vertical="center" wrapText="1"/>
    </xf>
    <xf numFmtId="0" fontId="3" fillId="0" borderId="0" xfId="75" applyFont="1" applyFill="1" applyBorder="1" applyAlignment="1">
      <alignment horizontal="center" vertical="center" textRotation="90"/>
    </xf>
    <xf numFmtId="0" fontId="3" fillId="7" borderId="2" xfId="75" applyFont="1" applyFill="1" applyBorder="1" applyAlignment="1">
      <alignment horizontal="center" vertical="center"/>
    </xf>
    <xf numFmtId="0" fontId="0" fillId="7" borderId="12" xfId="0" applyFill="1" applyBorder="1" applyAlignment="1">
      <alignment vertical="center"/>
    </xf>
    <xf numFmtId="0" fontId="12" fillId="7" borderId="2" xfId="0" applyFont="1" applyFill="1" applyBorder="1" applyAlignment="1">
      <alignment horizontal="left" vertical="center"/>
    </xf>
    <xf numFmtId="0" fontId="44" fillId="7" borderId="2" xfId="0" applyFont="1" applyFill="1" applyBorder="1" applyAlignment="1">
      <alignment horizontal="center" vertical="center"/>
    </xf>
    <xf numFmtId="167" fontId="1" fillId="5" borderId="0" xfId="71" applyNumberFormat="1" applyFont="1" applyFill="1"/>
    <xf numFmtId="167" fontId="1" fillId="32" borderId="0" xfId="73" applyNumberFormat="1" applyFont="1" applyFill="1"/>
    <xf numFmtId="164" fontId="1" fillId="3" borderId="0" xfId="73" applyNumberFormat="1" applyFont="1" applyFill="1" applyBorder="1"/>
    <xf numFmtId="164" fontId="1" fillId="2" borderId="0" xfId="73" applyNumberFormat="1" applyFont="1" applyFill="1"/>
    <xf numFmtId="175" fontId="1" fillId="3" borderId="0" xfId="73" applyNumberFormat="1" applyFont="1" applyFill="1" applyBorder="1"/>
    <xf numFmtId="168" fontId="1" fillId="4" borderId="0" xfId="70" applyNumberFormat="1" applyFont="1" applyFill="1"/>
    <xf numFmtId="176" fontId="1" fillId="3" borderId="0" xfId="73" applyNumberFormat="1" applyFont="1" applyFill="1" applyBorder="1"/>
    <xf numFmtId="168" fontId="1" fillId="6" borderId="0" xfId="4" applyNumberFormat="1" applyFont="1" applyFill="1" applyBorder="1"/>
    <xf numFmtId="10" fontId="0" fillId="33" borderId="0" xfId="0" applyNumberFormat="1" applyFill="1" applyAlignment="1">
      <alignment horizontal="center"/>
    </xf>
    <xf numFmtId="0" fontId="1" fillId="0" borderId="0" xfId="12" applyAlignment="1">
      <alignment horizontal="center"/>
    </xf>
    <xf numFmtId="0" fontId="1" fillId="0" borderId="0" xfId="12" applyAlignment="1">
      <alignment horizontal="left"/>
    </xf>
    <xf numFmtId="0" fontId="4" fillId="0" borderId="0" xfId="57" applyFont="1" applyAlignment="1">
      <alignment horizontal="left"/>
    </xf>
    <xf numFmtId="0" fontId="0" fillId="8" borderId="2" xfId="0" applyFill="1" applyBorder="1" applyAlignment="1">
      <alignment horizontal="left"/>
    </xf>
    <xf numFmtId="0" fontId="0" fillId="0" borderId="0" xfId="0" applyAlignment="1">
      <alignment horizontal="left"/>
    </xf>
    <xf numFmtId="0" fontId="4" fillId="8" borderId="2" xfId="57" applyFont="1" applyFill="1" applyBorder="1" applyAlignment="1">
      <alignment horizontal="left"/>
    </xf>
    <xf numFmtId="0" fontId="0" fillId="0" borderId="0" xfId="12" applyFont="1" applyAlignment="1">
      <alignment horizontal="left"/>
    </xf>
    <xf numFmtId="0" fontId="1" fillId="0" borderId="0" xfId="0" applyFont="1" applyAlignment="1">
      <alignment horizontal="left"/>
    </xf>
    <xf numFmtId="43" fontId="4" fillId="0" borderId="0" xfId="57" applyNumberFormat="1" applyFont="1"/>
    <xf numFmtId="0" fontId="1" fillId="0" borderId="0" xfId="57" applyFont="1" applyAlignment="1">
      <alignment horizontal="left"/>
    </xf>
    <xf numFmtId="179" fontId="4" fillId="0" borderId="0" xfId="57" applyNumberFormat="1" applyFont="1"/>
    <xf numFmtId="168" fontId="2" fillId="0" borderId="0" xfId="70" applyNumberFormat="1" applyFont="1" applyFill="1"/>
    <xf numFmtId="168" fontId="1" fillId="6" borderId="0" xfId="70" applyNumberFormat="1" applyFill="1"/>
    <xf numFmtId="0" fontId="3" fillId="38" borderId="2" xfId="0" applyFont="1" applyFill="1" applyBorder="1" applyAlignment="1">
      <alignment horizontal="center"/>
    </xf>
    <xf numFmtId="0" fontId="3" fillId="0" borderId="0" xfId="0" applyFont="1" applyFill="1" applyBorder="1" applyAlignment="1"/>
    <xf numFmtId="0" fontId="39" fillId="0" borderId="0" xfId="0" applyFont="1" applyFill="1"/>
    <xf numFmtId="0" fontId="5" fillId="0" borderId="0" xfId="73" applyFont="1"/>
    <xf numFmtId="168" fontId="4" fillId="0" borderId="0" xfId="7" applyNumberFormat="1" applyFont="1" applyFill="1" applyBorder="1"/>
    <xf numFmtId="168" fontId="1" fillId="39" borderId="0" xfId="46" applyNumberFormat="1" applyFont="1" applyFill="1"/>
    <xf numFmtId="0" fontId="3" fillId="0" borderId="0" xfId="55" applyFont="1"/>
    <xf numFmtId="0" fontId="3" fillId="0" borderId="0" xfId="12" applyFont="1" applyFill="1"/>
    <xf numFmtId="0" fontId="1" fillId="0" borderId="0" xfId="77" applyFont="1" applyFill="1"/>
    <xf numFmtId="168" fontId="1" fillId="0" borderId="0" xfId="9" applyNumberFormat="1"/>
    <xf numFmtId="0" fontId="1" fillId="0" borderId="0" xfId="0" applyNumberFormat="1" applyFont="1"/>
    <xf numFmtId="174" fontId="1" fillId="4" borderId="0" xfId="46" applyNumberFormat="1" applyFont="1" applyFill="1"/>
    <xf numFmtId="168" fontId="1" fillId="0" borderId="0" xfId="70" applyNumberFormat="1" applyFont="1" applyFill="1" applyBorder="1"/>
    <xf numFmtId="164" fontId="1" fillId="0" borderId="0" xfId="73" applyNumberFormat="1" applyFont="1" applyFill="1" applyBorder="1"/>
    <xf numFmtId="168" fontId="1" fillId="3" borderId="0" xfId="4" applyNumberFormat="1" applyFont="1" applyFill="1"/>
    <xf numFmtId="10" fontId="1" fillId="0" borderId="0" xfId="71" applyNumberFormat="1" applyFont="1" applyFill="1" applyBorder="1"/>
    <xf numFmtId="0" fontId="1" fillId="8" borderId="2" xfId="73" applyFont="1" applyFill="1" applyBorder="1"/>
    <xf numFmtId="168" fontId="1" fillId="0" borderId="0" xfId="4" applyNumberFormat="1" applyFont="1" applyFill="1" applyBorder="1"/>
    <xf numFmtId="168" fontId="1" fillId="37" borderId="0" xfId="70" applyNumberFormat="1" applyFont="1" applyFill="1"/>
    <xf numFmtId="0" fontId="3" fillId="2" borderId="0" xfId="73" applyFont="1" applyFill="1" applyBorder="1"/>
    <xf numFmtId="166" fontId="3" fillId="0" borderId="0" xfId="73" applyNumberFormat="1" applyFont="1" applyFill="1" applyBorder="1"/>
    <xf numFmtId="170" fontId="1" fillId="37" borderId="0" xfId="70" applyNumberFormat="1" applyFont="1" applyFill="1"/>
    <xf numFmtId="0" fontId="1" fillId="2" borderId="0" xfId="67" applyFont="1" applyFill="1"/>
    <xf numFmtId="168" fontId="1" fillId="32" borderId="0" xfId="70" applyNumberFormat="1" applyFont="1" applyFill="1"/>
    <xf numFmtId="164" fontId="1" fillId="0" borderId="0" xfId="67" applyNumberFormat="1" applyFont="1" applyFill="1" applyBorder="1" applyAlignment="1" applyProtection="1">
      <alignment horizontal="center"/>
    </xf>
    <xf numFmtId="173" fontId="1" fillId="0" borderId="0" xfId="73" applyNumberFormat="1" applyFont="1"/>
    <xf numFmtId="3" fontId="1" fillId="0" borderId="0" xfId="67" applyNumberFormat="1" applyFont="1" applyFill="1" applyBorder="1"/>
    <xf numFmtId="168" fontId="1" fillId="3" borderId="0" xfId="70" applyNumberFormat="1" applyFont="1" applyFill="1"/>
    <xf numFmtId="168" fontId="1" fillId="4" borderId="0" xfId="73" applyNumberFormat="1" applyFont="1" applyFill="1"/>
    <xf numFmtId="168" fontId="1" fillId="6" borderId="0" xfId="70" applyNumberFormat="1" applyFont="1" applyFill="1"/>
    <xf numFmtId="164" fontId="1" fillId="2" borderId="0" xfId="67" applyNumberFormat="1" applyFont="1" applyFill="1" applyBorder="1" applyAlignment="1" applyProtection="1">
      <alignment horizontal="center"/>
    </xf>
    <xf numFmtId="164" fontId="1" fillId="0" borderId="0" xfId="73" applyNumberFormat="1" applyFont="1"/>
    <xf numFmtId="0" fontId="1" fillId="0" borderId="2" xfId="73" applyFont="1" applyFill="1" applyBorder="1"/>
    <xf numFmtId="164" fontId="1" fillId="37" borderId="0" xfId="8" applyNumberFormat="1" applyFont="1" applyFill="1" applyBorder="1"/>
    <xf numFmtId="168" fontId="1" fillId="0" borderId="0" xfId="73" applyNumberFormat="1" applyFont="1" applyFill="1" applyBorder="1"/>
    <xf numFmtId="174" fontId="1" fillId="4" borderId="0" xfId="73" applyNumberFormat="1" applyFont="1" applyFill="1"/>
    <xf numFmtId="174" fontId="1" fillId="0" borderId="0" xfId="73" applyNumberFormat="1" applyFont="1" applyFill="1" applyBorder="1"/>
    <xf numFmtId="166" fontId="3" fillId="6" borderId="2" xfId="8" applyNumberFormat="1" applyFont="1" applyFill="1" applyBorder="1"/>
    <xf numFmtId="168" fontId="1" fillId="5" borderId="0" xfId="70" applyNumberFormat="1" applyFont="1" applyFill="1"/>
    <xf numFmtId="168" fontId="3" fillId="0" borderId="0" xfId="70" applyNumberFormat="1" applyFont="1" applyFill="1" applyBorder="1" applyAlignment="1">
      <alignment horizontal="center" textRotation="90"/>
    </xf>
    <xf numFmtId="168" fontId="1" fillId="6" borderId="0" xfId="67" applyNumberFormat="1" applyFont="1" applyFill="1"/>
    <xf numFmtId="0" fontId="1" fillId="0" borderId="0" xfId="73" applyFont="1" applyAlignment="1">
      <alignment wrapText="1"/>
    </xf>
    <xf numFmtId="10" fontId="1" fillId="32" borderId="0" xfId="0" applyNumberFormat="1" applyFont="1" applyFill="1"/>
    <xf numFmtId="170" fontId="3" fillId="3" borderId="2" xfId="46" applyNumberFormat="1" applyFont="1" applyFill="1" applyBorder="1"/>
    <xf numFmtId="170" fontId="1" fillId="32" borderId="0" xfId="4" applyNumberFormat="1" applyFont="1" applyFill="1"/>
    <xf numFmtId="0" fontId="39" fillId="0" borderId="0" xfId="68" applyFont="1" applyAlignment="1"/>
    <xf numFmtId="0" fontId="45" fillId="0" borderId="0" xfId="67" applyFont="1" applyFill="1" applyAlignment="1">
      <alignment horizontal="left" vertical="top" wrapText="1"/>
    </xf>
    <xf numFmtId="0" fontId="45" fillId="0" borderId="0" xfId="67" applyFont="1" applyFill="1" applyAlignment="1">
      <alignment horizontal="left" vertical="top"/>
    </xf>
    <xf numFmtId="0" fontId="12" fillId="7" borderId="2" xfId="66" applyFont="1" applyFill="1" applyBorder="1"/>
    <xf numFmtId="0" fontId="3" fillId="0" borderId="0" xfId="78" applyFont="1" applyFill="1" applyBorder="1" applyAlignment="1">
      <alignment horizontal="center" textRotation="90"/>
    </xf>
    <xf numFmtId="0" fontId="45" fillId="0" borderId="0" xfId="67" applyFont="1" applyFill="1" applyAlignment="1">
      <alignment vertical="top" wrapText="1"/>
    </xf>
    <xf numFmtId="0" fontId="5" fillId="0" borderId="0" xfId="67" applyFont="1" applyFill="1" applyAlignment="1">
      <alignment vertical="top"/>
    </xf>
    <xf numFmtId="0" fontId="5" fillId="0" borderId="0" xfId="68" applyFont="1" applyAlignment="1"/>
    <xf numFmtId="9" fontId="0" fillId="0" borderId="0" xfId="6" applyFont="1"/>
    <xf numFmtId="165" fontId="0" fillId="32" borderId="0" xfId="70" applyNumberFormat="1" applyFont="1" applyFill="1"/>
    <xf numFmtId="9" fontId="1" fillId="0" borderId="0" xfId="6" applyNumberFormat="1" applyFill="1"/>
    <xf numFmtId="168" fontId="1" fillId="0" borderId="0" xfId="4" applyNumberFormat="1" applyFont="1"/>
    <xf numFmtId="168" fontId="5" fillId="0" borderId="0" xfId="4" applyNumberFormat="1" applyFont="1"/>
    <xf numFmtId="170" fontId="1" fillId="0" borderId="0" xfId="14" applyNumberFormat="1" applyFont="1"/>
    <xf numFmtId="170" fontId="0" fillId="0" borderId="0" xfId="4" applyNumberFormat="1" applyFont="1"/>
    <xf numFmtId="165" fontId="1" fillId="32" borderId="0" xfId="76" applyNumberFormat="1" applyFont="1" applyFill="1"/>
    <xf numFmtId="0" fontId="3" fillId="7" borderId="2" xfId="66" applyFont="1" applyFill="1" applyBorder="1"/>
    <xf numFmtId="0" fontId="1" fillId="8" borderId="2" xfId="67" applyFont="1" applyFill="1" applyBorder="1"/>
    <xf numFmtId="168" fontId="1" fillId="0" borderId="0" xfId="79" applyNumberFormat="1" applyFont="1" applyFill="1" applyBorder="1"/>
    <xf numFmtId="168" fontId="1" fillId="40" borderId="0" xfId="79" applyNumberFormat="1" applyFont="1" applyFill="1" applyBorder="1"/>
    <xf numFmtId="168" fontId="1" fillId="0" borderId="0" xfId="67" applyNumberFormat="1" applyFont="1" applyFill="1" applyBorder="1"/>
    <xf numFmtId="0" fontId="3" fillId="0" borderId="0" xfId="67" applyFont="1" applyFill="1" applyBorder="1" applyAlignment="1">
      <alignment horizontal="right"/>
    </xf>
    <xf numFmtId="0" fontId="3" fillId="0" borderId="0" xfId="67" applyFont="1" applyFill="1" applyBorder="1" applyAlignment="1"/>
    <xf numFmtId="0" fontId="1" fillId="0" borderId="0" xfId="67" applyFont="1" applyBorder="1"/>
    <xf numFmtId="168" fontId="1" fillId="32" borderId="0" xfId="79" applyNumberFormat="1" applyFont="1" applyFill="1" applyBorder="1"/>
    <xf numFmtId="0" fontId="3" fillId="0" borderId="0" xfId="67" applyFont="1" applyBorder="1" applyAlignment="1">
      <alignment horizontal="right"/>
    </xf>
    <xf numFmtId="168" fontId="1" fillId="6" borderId="0" xfId="67" applyNumberFormat="1" applyFont="1" applyFill="1" applyBorder="1"/>
    <xf numFmtId="0" fontId="3" fillId="0" borderId="0" xfId="67" applyFont="1" applyFill="1" applyBorder="1" applyAlignment="1">
      <alignment horizontal="right" indent="1"/>
    </xf>
    <xf numFmtId="0" fontId="1" fillId="0" borderId="0" xfId="67" applyFont="1" applyBorder="1" applyAlignment="1">
      <alignment horizontal="right" indent="1"/>
    </xf>
    <xf numFmtId="0" fontId="3" fillId="0" borderId="0" xfId="67" applyFont="1" applyBorder="1" applyAlignment="1">
      <alignment horizontal="right" indent="1"/>
    </xf>
    <xf numFmtId="10" fontId="1" fillId="3" borderId="0" xfId="6" applyNumberFormat="1" applyFont="1" applyFill="1"/>
    <xf numFmtId="0" fontId="3" fillId="7" borderId="1" xfId="73" applyFont="1" applyFill="1" applyBorder="1" applyAlignment="1"/>
    <xf numFmtId="168" fontId="1" fillId="39" borderId="0" xfId="79" applyNumberFormat="1" applyFont="1" applyFill="1" applyBorder="1"/>
    <xf numFmtId="0" fontId="1" fillId="0" borderId="0" xfId="67" applyFill="1"/>
    <xf numFmtId="0" fontId="1" fillId="0" borderId="0" xfId="66" applyFont="1"/>
    <xf numFmtId="167" fontId="1" fillId="3" borderId="0" xfId="6" applyNumberFormat="1" applyFont="1" applyFill="1"/>
    <xf numFmtId="165" fontId="1" fillId="0" borderId="0" xfId="4" applyNumberFormat="1" applyFont="1" applyFill="1"/>
    <xf numFmtId="168" fontId="1" fillId="4" borderId="0" xfId="70" applyNumberFormat="1" applyFill="1"/>
    <xf numFmtId="172" fontId="1" fillId="0" borderId="0" xfId="69" applyNumberFormat="1" applyFont="1" applyFill="1"/>
    <xf numFmtId="0" fontId="1" fillId="0" borderId="0" xfId="67" applyFont="1" applyFill="1" applyAlignment="1">
      <alignment wrapText="1"/>
    </xf>
    <xf numFmtId="0" fontId="1" fillId="0" borderId="0" xfId="67" applyAlignment="1">
      <alignment wrapText="1"/>
    </xf>
    <xf numFmtId="0" fontId="1" fillId="0" borderId="0" xfId="67" applyFont="1" applyFill="1" applyAlignment="1">
      <alignment wrapText="1" readingOrder="1"/>
    </xf>
    <xf numFmtId="0" fontId="1" fillId="0" borderId="0" xfId="67" applyAlignment="1">
      <alignment readingOrder="1"/>
    </xf>
  </cellXfs>
  <cellStyles count="82">
    <cellStyle name="_x000d__x000a_JournalTemplate=C:\COMFO\CTALK\JOURSTD.TPL_x000d__x000a_LbStateAddress=3 3 0 251 1 89 2 311_x000d__x000a_LbStateJou" xfId="1"/>
    <cellStyle name="_x000d__x000a_JournalTemplate=C:\COMFO\CTALK\JOURSTD.TPL_x000d__x000a_LbStateAddress=3 3 0 251 1 89 2 311_x000d__x000a_LbStateJou 2" xfId="14"/>
    <cellStyle name="_x000d__x000a_JournalTemplate=C:\COMFO\CTALK\JOURSTD.TPL_x000d__x000a_LbStateAddress=3 3 0 251 1 89 2 311_x000d__x000a_LbStateJou 2 2" xfId="73"/>
    <cellStyle name="_x000d__x000a_JournalTemplate=C:\COMFO\CTALK\JOURSTD.TPL_x000d__x000a_LbStateAddress=3 3 0 251 1 89 2 311_x000d__x000a_LbStateJou 3" xfId="15"/>
    <cellStyle name="_x000d__x000a_JournalTemplate=C:\COMFO\CTALK\JOURSTD.TPL_x000d__x000a_LbStateAddress=3 3 0 251 1 89 2 311_x000d__x000a_LbStateJou 4" xfId="75"/>
    <cellStyle name="_x000d__x000a_JournalTemplate=C:\COMFO\CTALK\JOURSTD.TPL_x000d__x000a_LbStateAddress=3 3 0 251 1 89 2 311_x000d__x000a_LbStateJou 4 2" xfId="78"/>
    <cellStyle name="_x000d__x000a_JournalTemplate=C:\COMFO\CTALK\JOURSTD.TPL_x000d__x000a_LbStateAddress=3 3 0 251 1 89 2 311_x000d__x000a_LbStateJou_100720 berekening x-factoren NG4R v4.2" xfId="16"/>
    <cellStyle name="_x000d__x000a_JournalTemplate=C:\COMFO\CTALK\JOURSTD.TPL_x000d__x000a_LbStateAddress=3 3 0 251 1 89 2 311_x000d__x000a_LbStateJou_20110825 TI berekening 2012 E - PwA" xfId="2"/>
    <cellStyle name="_x000d__x000a_JournalTemplate=C:\COMFO\CTALK\JOURSTD.TPL_x000d__x000a_LbStateAddress=3 3 0 251 1 89 2 311_x000d__x000a_LbStateJou_20120516 - TI-berekening 2013 Elektriciteit (concept)" xfId="3"/>
    <cellStyle name="20% - Accent1 2" xfId="17"/>
    <cellStyle name="20% - Accent2 2" xfId="18"/>
    <cellStyle name="20% - Accent3 2" xfId="19"/>
    <cellStyle name="20% - Accent4 2" xfId="20"/>
    <cellStyle name="20% - Accent5 2" xfId="21"/>
    <cellStyle name="20% - Accent6 2" xfId="22"/>
    <cellStyle name="40% - Accent1 2" xfId="23"/>
    <cellStyle name="40% - Accent2 2" xfId="24"/>
    <cellStyle name="40% - Accent3 2" xfId="25"/>
    <cellStyle name="40% - Accent4 2" xfId="26"/>
    <cellStyle name="40% - Accent5 2" xfId="27"/>
    <cellStyle name="40% - Accent6 2" xfId="28"/>
    <cellStyle name="60% - Accent1 2" xfId="29"/>
    <cellStyle name="60% - Accent2 2" xfId="30"/>
    <cellStyle name="60% - Accent3 2" xfId="31"/>
    <cellStyle name="60% - Accent4 2" xfId="32"/>
    <cellStyle name="60% - Accent5 2" xfId="33"/>
    <cellStyle name="60% - Accent6 2" xfId="34"/>
    <cellStyle name="Accent1 2" xfId="35"/>
    <cellStyle name="Accent2 2" xfId="36"/>
    <cellStyle name="Accent3 2" xfId="37"/>
    <cellStyle name="Accent4 2" xfId="38"/>
    <cellStyle name="Accent5 2" xfId="39"/>
    <cellStyle name="Accent6 2" xfId="40"/>
    <cellStyle name="Berekening 2" xfId="41"/>
    <cellStyle name="Controlecel 2" xfId="42"/>
    <cellStyle name="Gekoppelde cel 2" xfId="43"/>
    <cellStyle name="Goed 2" xfId="44"/>
    <cellStyle name="Invoer 2" xfId="45"/>
    <cellStyle name="Komma" xfId="4" builtinId="3"/>
    <cellStyle name="Komma 2" xfId="46"/>
    <cellStyle name="Komma 2 2" xfId="70"/>
    <cellStyle name="Komma 3" xfId="64"/>
    <cellStyle name="Komma 3 2" xfId="80"/>
    <cellStyle name="Komma 4" xfId="76"/>
    <cellStyle name="Komma 4 2" xfId="79"/>
    <cellStyle name="Kop 1 2" xfId="47"/>
    <cellStyle name="Kop 2 2" xfId="48"/>
    <cellStyle name="Kop 3 2" xfId="49"/>
    <cellStyle name="Kop 4 2" xfId="50"/>
    <cellStyle name="Neutraal 2" xfId="51"/>
    <cellStyle name="Normal_Data_2_wrm1_30" xfId="5"/>
    <cellStyle name="Notitie 2" xfId="52"/>
    <cellStyle name="Ongeldig 2" xfId="53"/>
    <cellStyle name="Procent" xfId="6" builtinId="5"/>
    <cellStyle name="Procent 2" xfId="54"/>
    <cellStyle name="Procent 2 2" xfId="71"/>
    <cellStyle name="Procent 3" xfId="65"/>
    <cellStyle name="Procent 3 2" xfId="81"/>
    <cellStyle name="Standaard" xfId="0" builtinId="0"/>
    <cellStyle name="Standaard 2" xfId="55"/>
    <cellStyle name="Standaard 2 2" xfId="67"/>
    <cellStyle name="Standaard_103838 Berekeningen XQRV-besluit Herstel NE4R" xfId="56"/>
    <cellStyle name="Standaard_103838 Berekeningen XQRV-besluit Herstel NE4R 2" xfId="72"/>
    <cellStyle name="Standaard_20090828 nacalculatie lokale heffingen nieuwe x-factoren NG3R 2" xfId="74"/>
    <cellStyle name="Standaard_20100727 Rekenmodel NE5R v1.9" xfId="7"/>
    <cellStyle name="Standaard_20110803 Nacalculatieregister gas (WhK)" xfId="8"/>
    <cellStyle name="Standaard_20110825 TI berekening 2012 E - PwA" xfId="9"/>
    <cellStyle name="Standaard_20110830 TI berekening 2012 E - v3 PwA" xfId="10"/>
    <cellStyle name="Standaard_20120514 - Analyse Inkoopkosten Transport v9" xfId="66"/>
    <cellStyle name="Standaard_20120514 - Analyse Inkoopkosten Transport v9 2" xfId="57"/>
    <cellStyle name="Standaard_20120514 - Analyse Inkoopkosten Transport v9 2 2" xfId="68"/>
    <cellStyle name="Standaard_20120516 - TI-berekening 2013 Elektriciteit (concept)" xfId="11"/>
    <cellStyle name="Standaard_20120516 - TI-berekening 2013 Elektriciteit (concept) opm HK" xfId="12"/>
    <cellStyle name="Standaard_20120522 - TI-berekening 2013 Gas 2" xfId="77"/>
    <cellStyle name="Standaard_20120727 - TI-berekening 2013 Elektriciteit (concept)" xfId="13"/>
    <cellStyle name="Titel 2" xfId="58"/>
    <cellStyle name="Totaal 2" xfId="59"/>
    <cellStyle name="Uitvoer 2" xfId="60"/>
    <cellStyle name="Valuta 2" xfId="63"/>
    <cellStyle name="Valuta 2 2" xfId="69"/>
    <cellStyle name="Verklarende tekst 2" xfId="61"/>
    <cellStyle name="Waarschuwingstekst 2" xfId="62"/>
  </cellStyles>
  <dxfs count="0"/>
  <tableStyles count="0" defaultTableStyle="TableStyleMedium2" defaultPivotStyle="PivotStyleLight16"/>
  <colors>
    <mruColors>
      <color rgb="FFFF00FF"/>
      <color rgb="FFFFCC99"/>
      <color rgb="FFFFFFCC"/>
      <color rgb="FFCCFFCC"/>
      <color rgb="FFDBD600"/>
      <color rgb="FFF78DB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857250</xdr:colOff>
      <xdr:row>37</xdr:row>
      <xdr:rowOff>0</xdr:rowOff>
    </xdr:from>
    <xdr:to>
      <xdr:col>1</xdr:col>
      <xdr:colOff>933450</xdr:colOff>
      <xdr:row>37</xdr:row>
      <xdr:rowOff>0</xdr:rowOff>
    </xdr:to>
    <xdr:sp macro="" textlink="">
      <xdr:nvSpPr>
        <xdr:cNvPr id="16442" name="AutoShape 1"/>
        <xdr:cNvSpPr>
          <a:spLocks/>
        </xdr:cNvSpPr>
      </xdr:nvSpPr>
      <xdr:spPr bwMode="auto">
        <a:xfrm>
          <a:off x="1133475" y="6210300"/>
          <a:ext cx="7620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37</xdr:row>
      <xdr:rowOff>0</xdr:rowOff>
    </xdr:from>
    <xdr:to>
      <xdr:col>1</xdr:col>
      <xdr:colOff>933450</xdr:colOff>
      <xdr:row>37</xdr:row>
      <xdr:rowOff>0</xdr:rowOff>
    </xdr:to>
    <xdr:sp macro="" textlink="">
      <xdr:nvSpPr>
        <xdr:cNvPr id="16443" name="AutoShape 2"/>
        <xdr:cNvSpPr>
          <a:spLocks/>
        </xdr:cNvSpPr>
      </xdr:nvSpPr>
      <xdr:spPr bwMode="auto">
        <a:xfrm>
          <a:off x="1133475" y="6210300"/>
          <a:ext cx="7620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37</xdr:row>
      <xdr:rowOff>0</xdr:rowOff>
    </xdr:from>
    <xdr:to>
      <xdr:col>1</xdr:col>
      <xdr:colOff>933450</xdr:colOff>
      <xdr:row>37</xdr:row>
      <xdr:rowOff>0</xdr:rowOff>
    </xdr:to>
    <xdr:sp macro="" textlink="">
      <xdr:nvSpPr>
        <xdr:cNvPr id="16444" name="AutoShape 3"/>
        <xdr:cNvSpPr>
          <a:spLocks/>
        </xdr:cNvSpPr>
      </xdr:nvSpPr>
      <xdr:spPr bwMode="auto">
        <a:xfrm>
          <a:off x="1133475" y="6210300"/>
          <a:ext cx="7620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37</xdr:row>
      <xdr:rowOff>28575</xdr:rowOff>
    </xdr:from>
    <xdr:to>
      <xdr:col>1</xdr:col>
      <xdr:colOff>933450</xdr:colOff>
      <xdr:row>40</xdr:row>
      <xdr:rowOff>142875</xdr:rowOff>
    </xdr:to>
    <xdr:sp macro="" textlink="">
      <xdr:nvSpPr>
        <xdr:cNvPr id="16445" name="AutoShape 4"/>
        <xdr:cNvSpPr>
          <a:spLocks/>
        </xdr:cNvSpPr>
      </xdr:nvSpPr>
      <xdr:spPr bwMode="auto">
        <a:xfrm>
          <a:off x="1133475" y="6238875"/>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41</xdr:row>
      <xdr:rowOff>28575</xdr:rowOff>
    </xdr:from>
    <xdr:to>
      <xdr:col>1</xdr:col>
      <xdr:colOff>933450</xdr:colOff>
      <xdr:row>44</xdr:row>
      <xdr:rowOff>142875</xdr:rowOff>
    </xdr:to>
    <xdr:sp macro="" textlink="">
      <xdr:nvSpPr>
        <xdr:cNvPr id="16446" name="AutoShape 5"/>
        <xdr:cNvSpPr>
          <a:spLocks/>
        </xdr:cNvSpPr>
      </xdr:nvSpPr>
      <xdr:spPr bwMode="auto">
        <a:xfrm>
          <a:off x="1133475" y="6886575"/>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45</xdr:row>
      <xdr:rowOff>28575</xdr:rowOff>
    </xdr:from>
    <xdr:to>
      <xdr:col>1</xdr:col>
      <xdr:colOff>933450</xdr:colOff>
      <xdr:row>48</xdr:row>
      <xdr:rowOff>142875</xdr:rowOff>
    </xdr:to>
    <xdr:sp macro="" textlink="">
      <xdr:nvSpPr>
        <xdr:cNvPr id="16447" name="AutoShape 6"/>
        <xdr:cNvSpPr>
          <a:spLocks/>
        </xdr:cNvSpPr>
      </xdr:nvSpPr>
      <xdr:spPr bwMode="auto">
        <a:xfrm>
          <a:off x="1133475" y="7534275"/>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49</xdr:row>
      <xdr:rowOff>28575</xdr:rowOff>
    </xdr:from>
    <xdr:to>
      <xdr:col>1</xdr:col>
      <xdr:colOff>933450</xdr:colOff>
      <xdr:row>52</xdr:row>
      <xdr:rowOff>142875</xdr:rowOff>
    </xdr:to>
    <xdr:sp macro="" textlink="">
      <xdr:nvSpPr>
        <xdr:cNvPr id="16448" name="AutoShape 7"/>
        <xdr:cNvSpPr>
          <a:spLocks/>
        </xdr:cNvSpPr>
      </xdr:nvSpPr>
      <xdr:spPr bwMode="auto">
        <a:xfrm>
          <a:off x="1133475" y="8181975"/>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53</xdr:row>
      <xdr:rowOff>28575</xdr:rowOff>
    </xdr:from>
    <xdr:to>
      <xdr:col>1</xdr:col>
      <xdr:colOff>933450</xdr:colOff>
      <xdr:row>56</xdr:row>
      <xdr:rowOff>142875</xdr:rowOff>
    </xdr:to>
    <xdr:sp macro="" textlink="">
      <xdr:nvSpPr>
        <xdr:cNvPr id="16449" name="AutoShape 8"/>
        <xdr:cNvSpPr>
          <a:spLocks/>
        </xdr:cNvSpPr>
      </xdr:nvSpPr>
      <xdr:spPr bwMode="auto">
        <a:xfrm>
          <a:off x="1133475" y="8829675"/>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57</xdr:row>
      <xdr:rowOff>28575</xdr:rowOff>
    </xdr:from>
    <xdr:to>
      <xdr:col>1</xdr:col>
      <xdr:colOff>933450</xdr:colOff>
      <xdr:row>60</xdr:row>
      <xdr:rowOff>142875</xdr:rowOff>
    </xdr:to>
    <xdr:sp macro="" textlink="">
      <xdr:nvSpPr>
        <xdr:cNvPr id="16450" name="AutoShape 9"/>
        <xdr:cNvSpPr>
          <a:spLocks/>
        </xdr:cNvSpPr>
      </xdr:nvSpPr>
      <xdr:spPr bwMode="auto">
        <a:xfrm>
          <a:off x="1133475" y="9477375"/>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61</xdr:row>
      <xdr:rowOff>0</xdr:rowOff>
    </xdr:from>
    <xdr:to>
      <xdr:col>1</xdr:col>
      <xdr:colOff>933450</xdr:colOff>
      <xdr:row>61</xdr:row>
      <xdr:rowOff>0</xdr:rowOff>
    </xdr:to>
    <xdr:sp macro="" textlink="">
      <xdr:nvSpPr>
        <xdr:cNvPr id="16451" name="AutoShape 10"/>
        <xdr:cNvSpPr>
          <a:spLocks/>
        </xdr:cNvSpPr>
      </xdr:nvSpPr>
      <xdr:spPr bwMode="auto">
        <a:xfrm>
          <a:off x="1133475" y="10096500"/>
          <a:ext cx="7620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61</xdr:row>
      <xdr:rowOff>0</xdr:rowOff>
    </xdr:from>
    <xdr:to>
      <xdr:col>1</xdr:col>
      <xdr:colOff>933450</xdr:colOff>
      <xdr:row>61</xdr:row>
      <xdr:rowOff>0</xdr:rowOff>
    </xdr:to>
    <xdr:sp macro="" textlink="">
      <xdr:nvSpPr>
        <xdr:cNvPr id="16452" name="AutoShape 11"/>
        <xdr:cNvSpPr>
          <a:spLocks/>
        </xdr:cNvSpPr>
      </xdr:nvSpPr>
      <xdr:spPr bwMode="auto">
        <a:xfrm>
          <a:off x="1133475" y="10096500"/>
          <a:ext cx="7620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57</xdr:row>
      <xdr:rowOff>28575</xdr:rowOff>
    </xdr:from>
    <xdr:to>
      <xdr:col>1</xdr:col>
      <xdr:colOff>933450</xdr:colOff>
      <xdr:row>60</xdr:row>
      <xdr:rowOff>142875</xdr:rowOff>
    </xdr:to>
    <xdr:sp macro="" textlink="">
      <xdr:nvSpPr>
        <xdr:cNvPr id="13" name="AutoShape 9"/>
        <xdr:cNvSpPr>
          <a:spLocks/>
        </xdr:cNvSpPr>
      </xdr:nvSpPr>
      <xdr:spPr bwMode="auto">
        <a:xfrm>
          <a:off x="1133475" y="9477375"/>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61</xdr:row>
      <xdr:rowOff>0</xdr:rowOff>
    </xdr:from>
    <xdr:to>
      <xdr:col>1</xdr:col>
      <xdr:colOff>933450</xdr:colOff>
      <xdr:row>61</xdr:row>
      <xdr:rowOff>0</xdr:rowOff>
    </xdr:to>
    <xdr:sp macro="" textlink="">
      <xdr:nvSpPr>
        <xdr:cNvPr id="14" name="AutoShape 10"/>
        <xdr:cNvSpPr>
          <a:spLocks/>
        </xdr:cNvSpPr>
      </xdr:nvSpPr>
      <xdr:spPr bwMode="auto">
        <a:xfrm>
          <a:off x="1133475" y="10096500"/>
          <a:ext cx="7620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61</xdr:row>
      <xdr:rowOff>0</xdr:rowOff>
    </xdr:from>
    <xdr:to>
      <xdr:col>1</xdr:col>
      <xdr:colOff>933450</xdr:colOff>
      <xdr:row>61</xdr:row>
      <xdr:rowOff>0</xdr:rowOff>
    </xdr:to>
    <xdr:sp macro="" textlink="">
      <xdr:nvSpPr>
        <xdr:cNvPr id="15" name="AutoShape 11"/>
        <xdr:cNvSpPr>
          <a:spLocks/>
        </xdr:cNvSpPr>
      </xdr:nvSpPr>
      <xdr:spPr bwMode="auto">
        <a:xfrm>
          <a:off x="1133475" y="10096500"/>
          <a:ext cx="7620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61</xdr:row>
      <xdr:rowOff>28575</xdr:rowOff>
    </xdr:from>
    <xdr:to>
      <xdr:col>1</xdr:col>
      <xdr:colOff>933450</xdr:colOff>
      <xdr:row>64</xdr:row>
      <xdr:rowOff>142875</xdr:rowOff>
    </xdr:to>
    <xdr:sp macro="" textlink="">
      <xdr:nvSpPr>
        <xdr:cNvPr id="16" name="AutoShape 9"/>
        <xdr:cNvSpPr>
          <a:spLocks/>
        </xdr:cNvSpPr>
      </xdr:nvSpPr>
      <xdr:spPr bwMode="auto">
        <a:xfrm>
          <a:off x="1133475" y="10125075"/>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65</xdr:row>
      <xdr:rowOff>28575</xdr:rowOff>
    </xdr:from>
    <xdr:to>
      <xdr:col>1</xdr:col>
      <xdr:colOff>933450</xdr:colOff>
      <xdr:row>68</xdr:row>
      <xdr:rowOff>142875</xdr:rowOff>
    </xdr:to>
    <xdr:sp macro="" textlink="">
      <xdr:nvSpPr>
        <xdr:cNvPr id="17" name="AutoShape 9"/>
        <xdr:cNvSpPr>
          <a:spLocks/>
        </xdr:cNvSpPr>
      </xdr:nvSpPr>
      <xdr:spPr bwMode="auto">
        <a:xfrm>
          <a:off x="1137397" y="10136281"/>
          <a:ext cx="76200" cy="584947"/>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exas\ek\Afdelingsdata%20DREV\07%20DN\Administratie%20Totale%20Inkomsten%20RNBs\03.%20TI%20administratie%20Gas\2.%20TI-recht\NG3R%20-%202009\TI-recht%202009%20REND%20-%20x-factoren%20NG3R%20na%20bob%20Rend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08%20Netten\02%20Persoon\Groot\_Backup\Database\Basismodel%20CB%20NE\CB%20met%20activawaarde%20dte\Kopie%20van%20030205%20X_CB%20NE%20DEA%20Model%20CB%20met%20activawaarde%20dt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nma.nl/images/103636_Gewijzigd_rekenmodel_x-factor_en_rekenvolumina22-14668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exas\ek\07%20DN\103221%20NE5R%20(vanaf%202011)\13%20Data%20en%20berekeningen\Kapitaalkosten\100913%20Kapitaalkosten%20v6.5%20INTER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sheetName val="Nacalc LH2009 (REND)"/>
      <sheetName val="Lokale heffingen (LH)"/>
      <sheetName val="TI-recht 2009 (per heden)"/>
      <sheetName val="Vanaf hier oorspr. bestand --&gt; "/>
      <sheetName val="x-factor"/>
      <sheetName val="Eindinkomsten"/>
      <sheetName val="Productiviteit"/>
      <sheetName val="Kosten"/>
      <sheetName val="SO"/>
      <sheetName val="Sectortarieven"/>
      <sheetName val="Tarieven"/>
      <sheetName val="Rekenvol"/>
      <sheetName val="Volumes"/>
      <sheetName val="ORV"/>
      <sheetName val="CPI"/>
      <sheetName val="Graaddag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2)"/>
      <sheetName val="constants"/>
      <sheetName val="Data"/>
      <sheetName val="Calc"/>
      <sheetName val="Results"/>
    </sheetNames>
    <sheetDataSet>
      <sheetData sheetId="0"/>
      <sheetData sheetId="1">
        <row r="3">
          <cell r="E3">
            <v>6.2E-2</v>
          </cell>
        </row>
      </sheetData>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sheetName val="x-factor"/>
      <sheetName val="Eindinkomsten"/>
      <sheetName val="Productiviteit TD"/>
      <sheetName val="Kosten AD"/>
      <sheetName val="Kosten TD"/>
      <sheetName val="Vergoedingen AD"/>
      <sheetName val="SO"/>
      <sheetName val="Wegingsfactor TD"/>
      <sheetName val="Wegingsfactor AD"/>
      <sheetName val="Rekenvolumes"/>
      <sheetName val="Volumes"/>
      <sheetName val="ORV"/>
      <sheetName val="CPI&amp;WAC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4">
          <cell r="D14">
            <v>6.2E-2</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ebeheer"/>
      <sheetName val="Toelichting"/>
      <sheetName val="Kapitaalkosten"/>
      <sheetName val="Opm bij Data E"/>
      <sheetName val="Data E"/>
      <sheetName val="Data G"/>
      <sheetName val="Bronnen"/>
      <sheetName val="Kapitaalkosten NG3R en NE4R"/>
      <sheetName val="Overzicht netbeheerders"/>
      <sheetName val="Kapitaalkosten Gasaansluiting"/>
      <sheetName val="Data Gasaansluiting"/>
      <sheetName val="CPI en WACC"/>
      <sheetName val="Netbeheerders"/>
    </sheetNames>
    <sheetDataSet>
      <sheetData sheetId="0"/>
      <sheetData sheetId="1"/>
      <sheetData sheetId="2"/>
      <sheetData sheetId="3"/>
      <sheetData sheetId="4"/>
      <sheetData sheetId="5"/>
      <sheetData sheetId="6"/>
      <sheetData sheetId="7"/>
      <sheetData sheetId="8"/>
      <sheetData sheetId="9"/>
      <sheetData sheetId="10"/>
      <sheetData sheetId="11">
        <row r="6">
          <cell r="C6" t="str">
            <v>CPI</v>
          </cell>
          <cell r="D6" t="str">
            <v>WACC</v>
          </cell>
        </row>
        <row r="7">
          <cell r="B7">
            <v>2001</v>
          </cell>
          <cell r="C7">
            <v>2.5000000000000001E-2</v>
          </cell>
          <cell r="D7">
            <v>6.6000000000000003E-2</v>
          </cell>
        </row>
        <row r="8">
          <cell r="B8">
            <v>2002</v>
          </cell>
          <cell r="C8">
            <v>4.7E-2</v>
          </cell>
          <cell r="D8">
            <v>6.6000000000000003E-2</v>
          </cell>
        </row>
        <row r="9">
          <cell r="B9">
            <v>2003</v>
          </cell>
          <cell r="C9">
            <v>3.3000000000000002E-2</v>
          </cell>
          <cell r="D9">
            <v>6.6000000000000003E-2</v>
          </cell>
        </row>
        <row r="10">
          <cell r="B10">
            <v>2004</v>
          </cell>
          <cell r="C10">
            <v>2.1000000000000001E-2</v>
          </cell>
          <cell r="D10">
            <v>6.6000000000000003E-2</v>
          </cell>
        </row>
        <row r="11">
          <cell r="B11">
            <v>2005</v>
          </cell>
          <cell r="C11">
            <v>1.0999999999999999E-2</v>
          </cell>
          <cell r="D11">
            <v>6.6000000000000003E-2</v>
          </cell>
        </row>
        <row r="12">
          <cell r="B12">
            <v>2006</v>
          </cell>
          <cell r="C12">
            <v>1.7999999999999999E-2</v>
          </cell>
          <cell r="D12">
            <v>6.6000000000000003E-2</v>
          </cell>
        </row>
        <row r="13">
          <cell r="B13">
            <v>2007</v>
          </cell>
          <cell r="C13">
            <v>1.4E-2</v>
          </cell>
          <cell r="D13">
            <v>5.8000000000000003E-2</v>
          </cell>
        </row>
        <row r="14">
          <cell r="B14">
            <v>2008</v>
          </cell>
          <cell r="C14">
            <v>1.0999999999999999E-2</v>
          </cell>
          <cell r="D14">
            <v>5.5E-2</v>
          </cell>
        </row>
        <row r="15">
          <cell r="B15">
            <v>2009</v>
          </cell>
          <cell r="C15">
            <v>3.2000000000000001E-2</v>
          </cell>
          <cell r="D15">
            <v>5.5E-2</v>
          </cell>
        </row>
        <row r="16">
          <cell r="B16">
            <v>2010</v>
          </cell>
          <cell r="C16">
            <v>3.0000000000000001E-3</v>
          </cell>
          <cell r="D16">
            <v>5.5E-2</v>
          </cell>
        </row>
        <row r="17">
          <cell r="B17">
            <v>2011</v>
          </cell>
          <cell r="D17">
            <v>6.2E-2</v>
          </cell>
        </row>
        <row r="18">
          <cell r="B18">
            <v>2012</v>
          </cell>
          <cell r="D18">
            <v>6.2E-2</v>
          </cell>
        </row>
        <row r="19">
          <cell r="B19">
            <v>2013</v>
          </cell>
          <cell r="D19">
            <v>6.2E-2</v>
          </cell>
        </row>
        <row r="20">
          <cell r="B20">
            <v>2014</v>
          </cell>
          <cell r="D20">
            <v>0</v>
          </cell>
        </row>
        <row r="21">
          <cell r="B21">
            <v>2015</v>
          </cell>
          <cell r="D21">
            <v>0</v>
          </cell>
        </row>
        <row r="22">
          <cell r="B22">
            <v>2016</v>
          </cell>
          <cell r="D22">
            <v>0</v>
          </cell>
        </row>
        <row r="23">
          <cell r="B23">
            <v>2017</v>
          </cell>
          <cell r="D23">
            <v>0</v>
          </cell>
        </row>
        <row r="24">
          <cell r="B24">
            <v>2018</v>
          </cell>
          <cell r="D24">
            <v>0</v>
          </cell>
        </row>
        <row r="25">
          <cell r="B25">
            <v>2019</v>
          </cell>
          <cell r="D25">
            <v>0</v>
          </cell>
        </row>
        <row r="26">
          <cell r="B26">
            <v>2020</v>
          </cell>
          <cell r="D26">
            <v>0</v>
          </cell>
        </row>
      </sheetData>
      <sheetData sheetId="12"/>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B2:R53"/>
  <sheetViews>
    <sheetView showGridLines="0" zoomScale="85" workbookViewId="0"/>
  </sheetViews>
  <sheetFormatPr defaultRowHeight="12.75"/>
  <cols>
    <col min="1" max="1" width="3" style="42" customWidth="1"/>
    <col min="2" max="2" width="110.7109375" style="42" customWidth="1"/>
    <col min="3" max="16384" width="9.140625" style="42"/>
  </cols>
  <sheetData>
    <row r="2" spans="2:18" s="38" customFormat="1" ht="18">
      <c r="B2" s="310" t="s">
        <v>1</v>
      </c>
      <c r="C2" s="37"/>
      <c r="F2" s="39"/>
      <c r="G2" s="39"/>
      <c r="H2" s="39"/>
      <c r="I2" s="39"/>
      <c r="J2" s="39"/>
      <c r="K2" s="39"/>
      <c r="L2" s="39"/>
      <c r="M2" s="39"/>
      <c r="N2" s="39"/>
      <c r="O2" s="39"/>
      <c r="P2" s="39"/>
      <c r="Q2" s="39"/>
      <c r="R2" s="39"/>
    </row>
    <row r="5" spans="2:18" s="41" customFormat="1">
      <c r="B5" s="40" t="s">
        <v>33</v>
      </c>
      <c r="C5" s="40"/>
      <c r="D5" s="40"/>
    </row>
    <row r="6" spans="2:18">
      <c r="G6" s="43"/>
      <c r="H6" s="43"/>
      <c r="I6" s="43"/>
      <c r="J6" s="43"/>
      <c r="K6" s="43"/>
      <c r="L6" s="43"/>
      <c r="M6" s="43"/>
      <c r="N6" s="43"/>
      <c r="O6" s="43"/>
      <c r="P6" s="43"/>
      <c r="Q6" s="43"/>
      <c r="R6" s="43"/>
    </row>
    <row r="7" spans="2:18" customFormat="1">
      <c r="B7" s="127" t="s">
        <v>328</v>
      </c>
      <c r="G7" s="79"/>
      <c r="H7" s="79"/>
      <c r="I7" s="79"/>
      <c r="J7" s="79"/>
      <c r="K7" s="79"/>
      <c r="L7" s="79"/>
      <c r="M7" s="79"/>
      <c r="N7" s="79"/>
      <c r="O7" s="79"/>
      <c r="P7" s="79"/>
      <c r="Q7" s="79"/>
      <c r="R7" s="79"/>
    </row>
    <row r="8" spans="2:18" customFormat="1">
      <c r="B8" s="127" t="s">
        <v>329</v>
      </c>
      <c r="G8" s="79"/>
      <c r="H8" s="79"/>
      <c r="I8" s="79"/>
      <c r="J8" s="79"/>
      <c r="K8" s="79"/>
      <c r="L8" s="79"/>
      <c r="M8" s="79"/>
      <c r="N8" s="79"/>
      <c r="O8" s="79"/>
      <c r="P8" s="79"/>
      <c r="Q8" s="79"/>
      <c r="R8" s="79"/>
    </row>
    <row r="9" spans="2:18" customFormat="1">
      <c r="B9" s="374" t="s">
        <v>341</v>
      </c>
      <c r="G9" s="79"/>
      <c r="H9" s="79"/>
      <c r="I9" s="79"/>
      <c r="J9" s="79"/>
      <c r="K9" s="79"/>
      <c r="L9" s="79"/>
      <c r="M9" s="79"/>
      <c r="N9" s="79"/>
      <c r="O9" s="79"/>
      <c r="P9" s="79"/>
      <c r="Q9" s="79"/>
      <c r="R9" s="79"/>
    </row>
    <row r="10" spans="2:18">
      <c r="C10"/>
      <c r="G10" s="43"/>
      <c r="H10" s="43"/>
      <c r="I10" s="43"/>
      <c r="J10" s="43"/>
      <c r="K10" s="43"/>
      <c r="L10" s="43"/>
      <c r="M10" s="43"/>
      <c r="N10" s="43"/>
      <c r="O10" s="43"/>
      <c r="P10" s="43"/>
      <c r="Q10" s="43"/>
      <c r="R10" s="43"/>
    </row>
    <row r="11" spans="2:18" s="46" customFormat="1">
      <c r="B11" s="45" t="s">
        <v>2</v>
      </c>
    </row>
    <row r="12" spans="2:18" s="47" customFormat="1"/>
    <row r="13" spans="2:18" s="47" customFormat="1">
      <c r="B13" s="1" t="s">
        <v>30</v>
      </c>
    </row>
    <row r="14" spans="2:18" s="47" customFormat="1">
      <c r="B14" s="2"/>
    </row>
    <row r="15" spans="2:18" s="47" customFormat="1">
      <c r="B15" s="3" t="s">
        <v>3</v>
      </c>
    </row>
    <row r="16" spans="2:18" s="47" customFormat="1">
      <c r="B16" s="2"/>
    </row>
    <row r="17" spans="2:2" s="47" customFormat="1">
      <c r="B17" s="4" t="s">
        <v>4</v>
      </c>
    </row>
    <row r="18" spans="2:2" s="47" customFormat="1">
      <c r="B18" s="35"/>
    </row>
    <row r="19" spans="2:2" s="47" customFormat="1">
      <c r="B19" s="5" t="s">
        <v>5</v>
      </c>
    </row>
    <row r="20" spans="2:2" s="47" customFormat="1"/>
    <row r="21" spans="2:2" s="47" customFormat="1">
      <c r="B21" s="36" t="s">
        <v>31</v>
      </c>
    </row>
    <row r="22" spans="2:2" s="47" customFormat="1"/>
    <row r="23" spans="2:2" s="47" customFormat="1"/>
    <row r="25" spans="2:2" s="48" customFormat="1"/>
    <row r="26" spans="2:2" s="48" customFormat="1"/>
    <row r="27" spans="2:2" s="48" customFormat="1"/>
    <row r="28" spans="2:2" s="48" customFormat="1"/>
    <row r="29" spans="2:2" s="48" customFormat="1"/>
    <row r="30" spans="2:2" s="48" customFormat="1"/>
    <row r="31" spans="2:2" s="48" customFormat="1"/>
    <row r="32" spans="2:2" s="48" customFormat="1"/>
    <row r="33" s="48" customFormat="1"/>
    <row r="34" s="48" customFormat="1"/>
    <row r="35" s="48" customFormat="1"/>
    <row r="36" s="48" customFormat="1"/>
    <row r="37" s="48" customFormat="1"/>
    <row r="38" s="48" customFormat="1"/>
    <row r="39" s="48" customFormat="1"/>
    <row r="40" s="48" customFormat="1"/>
    <row r="41" s="48" customFormat="1"/>
    <row r="42" s="48" customFormat="1"/>
    <row r="43" s="48" customFormat="1"/>
    <row r="44" s="48" customFormat="1"/>
    <row r="45" s="48" customFormat="1"/>
    <row r="46" s="48" customFormat="1"/>
    <row r="47" s="48" customFormat="1"/>
    <row r="48" s="48" customFormat="1"/>
    <row r="49" s="48" customFormat="1"/>
    <row r="50" s="48" customFormat="1"/>
    <row r="51" s="48" customFormat="1"/>
    <row r="52" s="48" customFormat="1"/>
    <row r="53" s="48" customFormat="1"/>
  </sheetData>
  <phoneticPr fontId="2" type="noConversion"/>
  <pageMargins left="0.75" right="0.75" top="1" bottom="1" header="0.5" footer="0.5"/>
  <pageSetup paperSize="9" scale="5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tabColor rgb="FF92D050"/>
    <pageSetUpPr fitToPage="1"/>
  </sheetPr>
  <dimension ref="A2:AB49"/>
  <sheetViews>
    <sheetView showGridLines="0" zoomScale="85" zoomScaleNormal="85" workbookViewId="0"/>
  </sheetViews>
  <sheetFormatPr defaultRowHeight="12.75"/>
  <cols>
    <col min="1" max="1" width="4.85546875" style="126" customWidth="1"/>
    <col min="2" max="2" width="57.5703125" style="126" customWidth="1"/>
    <col min="3" max="3" width="4.42578125" style="126" customWidth="1"/>
    <col min="4" max="4" width="18.28515625" style="126" customWidth="1"/>
    <col min="5" max="5" width="6.5703125" style="126" customWidth="1"/>
    <col min="6" max="6" width="4.140625" style="126" customWidth="1"/>
    <col min="7" max="16" width="15.42578125" style="126" customWidth="1"/>
    <col min="17" max="17" width="5.28515625" style="126" customWidth="1"/>
    <col min="18" max="18" width="83" style="126" bestFit="1" customWidth="1"/>
    <col min="19" max="258" width="9.140625" style="126"/>
    <col min="259" max="259" width="4.85546875" style="126" customWidth="1"/>
    <col min="260" max="260" width="57.5703125" style="126" customWidth="1"/>
    <col min="261" max="261" width="4.42578125" style="126" customWidth="1"/>
    <col min="262" max="262" width="18.28515625" style="126" customWidth="1"/>
    <col min="263" max="263" width="5.85546875" style="126" customWidth="1"/>
    <col min="264" max="264" width="4.140625" style="126" customWidth="1"/>
    <col min="265" max="272" width="15.42578125" style="126" customWidth="1"/>
    <col min="273" max="273" width="5.28515625" style="126" customWidth="1"/>
    <col min="274" max="514" width="9.140625" style="126"/>
    <col min="515" max="515" width="4.85546875" style="126" customWidth="1"/>
    <col min="516" max="516" width="57.5703125" style="126" customWidth="1"/>
    <col min="517" max="517" width="4.42578125" style="126" customWidth="1"/>
    <col min="518" max="518" width="18.28515625" style="126" customWidth="1"/>
    <col min="519" max="519" width="5.85546875" style="126" customWidth="1"/>
    <col min="520" max="520" width="4.140625" style="126" customWidth="1"/>
    <col min="521" max="528" width="15.42578125" style="126" customWidth="1"/>
    <col min="529" max="529" width="5.28515625" style="126" customWidth="1"/>
    <col min="530" max="770" width="9.140625" style="126"/>
    <col min="771" max="771" width="4.85546875" style="126" customWidth="1"/>
    <col min="772" max="772" width="57.5703125" style="126" customWidth="1"/>
    <col min="773" max="773" width="4.42578125" style="126" customWidth="1"/>
    <col min="774" max="774" width="18.28515625" style="126" customWidth="1"/>
    <col min="775" max="775" width="5.85546875" style="126" customWidth="1"/>
    <col min="776" max="776" width="4.140625" style="126" customWidth="1"/>
    <col min="777" max="784" width="15.42578125" style="126" customWidth="1"/>
    <col min="785" max="785" width="5.28515625" style="126" customWidth="1"/>
    <col min="786" max="1026" width="9.140625" style="126"/>
    <col min="1027" max="1027" width="4.85546875" style="126" customWidth="1"/>
    <col min="1028" max="1028" width="57.5703125" style="126" customWidth="1"/>
    <col min="1029" max="1029" width="4.42578125" style="126" customWidth="1"/>
    <col min="1030" max="1030" width="18.28515625" style="126" customWidth="1"/>
    <col min="1031" max="1031" width="5.85546875" style="126" customWidth="1"/>
    <col min="1032" max="1032" width="4.140625" style="126" customWidth="1"/>
    <col min="1033" max="1040" width="15.42578125" style="126" customWidth="1"/>
    <col min="1041" max="1041" width="5.28515625" style="126" customWidth="1"/>
    <col min="1042" max="1282" width="9.140625" style="126"/>
    <col min="1283" max="1283" width="4.85546875" style="126" customWidth="1"/>
    <col min="1284" max="1284" width="57.5703125" style="126" customWidth="1"/>
    <col min="1285" max="1285" width="4.42578125" style="126" customWidth="1"/>
    <col min="1286" max="1286" width="18.28515625" style="126" customWidth="1"/>
    <col min="1287" max="1287" width="5.85546875" style="126" customWidth="1"/>
    <col min="1288" max="1288" width="4.140625" style="126" customWidth="1"/>
    <col min="1289" max="1296" width="15.42578125" style="126" customWidth="1"/>
    <col min="1297" max="1297" width="5.28515625" style="126" customWidth="1"/>
    <col min="1298" max="1538" width="9.140625" style="126"/>
    <col min="1539" max="1539" width="4.85546875" style="126" customWidth="1"/>
    <col min="1540" max="1540" width="57.5703125" style="126" customWidth="1"/>
    <col min="1541" max="1541" width="4.42578125" style="126" customWidth="1"/>
    <col min="1542" max="1542" width="18.28515625" style="126" customWidth="1"/>
    <col min="1543" max="1543" width="5.85546875" style="126" customWidth="1"/>
    <col min="1544" max="1544" width="4.140625" style="126" customWidth="1"/>
    <col min="1545" max="1552" width="15.42578125" style="126" customWidth="1"/>
    <col min="1553" max="1553" width="5.28515625" style="126" customWidth="1"/>
    <col min="1554" max="1794" width="9.140625" style="126"/>
    <col min="1795" max="1795" width="4.85546875" style="126" customWidth="1"/>
    <col min="1796" max="1796" width="57.5703125" style="126" customWidth="1"/>
    <col min="1797" max="1797" width="4.42578125" style="126" customWidth="1"/>
    <col min="1798" max="1798" width="18.28515625" style="126" customWidth="1"/>
    <col min="1799" max="1799" width="5.85546875" style="126" customWidth="1"/>
    <col min="1800" max="1800" width="4.140625" style="126" customWidth="1"/>
    <col min="1801" max="1808" width="15.42578125" style="126" customWidth="1"/>
    <col min="1809" max="1809" width="5.28515625" style="126" customWidth="1"/>
    <col min="1810" max="2050" width="9.140625" style="126"/>
    <col min="2051" max="2051" width="4.85546875" style="126" customWidth="1"/>
    <col min="2052" max="2052" width="57.5703125" style="126" customWidth="1"/>
    <col min="2053" max="2053" width="4.42578125" style="126" customWidth="1"/>
    <col min="2054" max="2054" width="18.28515625" style="126" customWidth="1"/>
    <col min="2055" max="2055" width="5.85546875" style="126" customWidth="1"/>
    <col min="2056" max="2056" width="4.140625" style="126" customWidth="1"/>
    <col min="2057" max="2064" width="15.42578125" style="126" customWidth="1"/>
    <col min="2065" max="2065" width="5.28515625" style="126" customWidth="1"/>
    <col min="2066" max="2306" width="9.140625" style="126"/>
    <col min="2307" max="2307" width="4.85546875" style="126" customWidth="1"/>
    <col min="2308" max="2308" width="57.5703125" style="126" customWidth="1"/>
    <col min="2309" max="2309" width="4.42578125" style="126" customWidth="1"/>
    <col min="2310" max="2310" width="18.28515625" style="126" customWidth="1"/>
    <col min="2311" max="2311" width="5.85546875" style="126" customWidth="1"/>
    <col min="2312" max="2312" width="4.140625" style="126" customWidth="1"/>
    <col min="2313" max="2320" width="15.42578125" style="126" customWidth="1"/>
    <col min="2321" max="2321" width="5.28515625" style="126" customWidth="1"/>
    <col min="2322" max="2562" width="9.140625" style="126"/>
    <col min="2563" max="2563" width="4.85546875" style="126" customWidth="1"/>
    <col min="2564" max="2564" width="57.5703125" style="126" customWidth="1"/>
    <col min="2565" max="2565" width="4.42578125" style="126" customWidth="1"/>
    <col min="2566" max="2566" width="18.28515625" style="126" customWidth="1"/>
    <col min="2567" max="2567" width="5.85546875" style="126" customWidth="1"/>
    <col min="2568" max="2568" width="4.140625" style="126" customWidth="1"/>
    <col min="2569" max="2576" width="15.42578125" style="126" customWidth="1"/>
    <col min="2577" max="2577" width="5.28515625" style="126" customWidth="1"/>
    <col min="2578" max="2818" width="9.140625" style="126"/>
    <col min="2819" max="2819" width="4.85546875" style="126" customWidth="1"/>
    <col min="2820" max="2820" width="57.5703125" style="126" customWidth="1"/>
    <col min="2821" max="2821" width="4.42578125" style="126" customWidth="1"/>
    <col min="2822" max="2822" width="18.28515625" style="126" customWidth="1"/>
    <col min="2823" max="2823" width="5.85546875" style="126" customWidth="1"/>
    <col min="2824" max="2824" width="4.140625" style="126" customWidth="1"/>
    <col min="2825" max="2832" width="15.42578125" style="126" customWidth="1"/>
    <col min="2833" max="2833" width="5.28515625" style="126" customWidth="1"/>
    <col min="2834" max="3074" width="9.140625" style="126"/>
    <col min="3075" max="3075" width="4.85546875" style="126" customWidth="1"/>
    <col min="3076" max="3076" width="57.5703125" style="126" customWidth="1"/>
    <col min="3077" max="3077" width="4.42578125" style="126" customWidth="1"/>
    <col min="3078" max="3078" width="18.28515625" style="126" customWidth="1"/>
    <col min="3079" max="3079" width="5.85546875" style="126" customWidth="1"/>
    <col min="3080" max="3080" width="4.140625" style="126" customWidth="1"/>
    <col min="3081" max="3088" width="15.42578125" style="126" customWidth="1"/>
    <col min="3089" max="3089" width="5.28515625" style="126" customWidth="1"/>
    <col min="3090" max="3330" width="9.140625" style="126"/>
    <col min="3331" max="3331" width="4.85546875" style="126" customWidth="1"/>
    <col min="3332" max="3332" width="57.5703125" style="126" customWidth="1"/>
    <col min="3333" max="3333" width="4.42578125" style="126" customWidth="1"/>
    <col min="3334" max="3334" width="18.28515625" style="126" customWidth="1"/>
    <col min="3335" max="3335" width="5.85546875" style="126" customWidth="1"/>
    <col min="3336" max="3336" width="4.140625" style="126" customWidth="1"/>
    <col min="3337" max="3344" width="15.42578125" style="126" customWidth="1"/>
    <col min="3345" max="3345" width="5.28515625" style="126" customWidth="1"/>
    <col min="3346" max="3586" width="9.140625" style="126"/>
    <col min="3587" max="3587" width="4.85546875" style="126" customWidth="1"/>
    <col min="3588" max="3588" width="57.5703125" style="126" customWidth="1"/>
    <col min="3589" max="3589" width="4.42578125" style="126" customWidth="1"/>
    <col min="3590" max="3590" width="18.28515625" style="126" customWidth="1"/>
    <col min="3591" max="3591" width="5.85546875" style="126" customWidth="1"/>
    <col min="3592" max="3592" width="4.140625" style="126" customWidth="1"/>
    <col min="3593" max="3600" width="15.42578125" style="126" customWidth="1"/>
    <col min="3601" max="3601" width="5.28515625" style="126" customWidth="1"/>
    <col min="3602" max="3842" width="9.140625" style="126"/>
    <col min="3843" max="3843" width="4.85546875" style="126" customWidth="1"/>
    <col min="3844" max="3844" width="57.5703125" style="126" customWidth="1"/>
    <col min="3845" max="3845" width="4.42578125" style="126" customWidth="1"/>
    <col min="3846" max="3846" width="18.28515625" style="126" customWidth="1"/>
    <col min="3847" max="3847" width="5.85546875" style="126" customWidth="1"/>
    <col min="3848" max="3848" width="4.140625" style="126" customWidth="1"/>
    <col min="3849" max="3856" width="15.42578125" style="126" customWidth="1"/>
    <col min="3857" max="3857" width="5.28515625" style="126" customWidth="1"/>
    <col min="3858" max="4098" width="9.140625" style="126"/>
    <col min="4099" max="4099" width="4.85546875" style="126" customWidth="1"/>
    <col min="4100" max="4100" width="57.5703125" style="126" customWidth="1"/>
    <col min="4101" max="4101" width="4.42578125" style="126" customWidth="1"/>
    <col min="4102" max="4102" width="18.28515625" style="126" customWidth="1"/>
    <col min="4103" max="4103" width="5.85546875" style="126" customWidth="1"/>
    <col min="4104" max="4104" width="4.140625" style="126" customWidth="1"/>
    <col min="4105" max="4112" width="15.42578125" style="126" customWidth="1"/>
    <col min="4113" max="4113" width="5.28515625" style="126" customWidth="1"/>
    <col min="4114" max="4354" width="9.140625" style="126"/>
    <col min="4355" max="4355" width="4.85546875" style="126" customWidth="1"/>
    <col min="4356" max="4356" width="57.5703125" style="126" customWidth="1"/>
    <col min="4357" max="4357" width="4.42578125" style="126" customWidth="1"/>
    <col min="4358" max="4358" width="18.28515625" style="126" customWidth="1"/>
    <col min="4359" max="4359" width="5.85546875" style="126" customWidth="1"/>
    <col min="4360" max="4360" width="4.140625" style="126" customWidth="1"/>
    <col min="4361" max="4368" width="15.42578125" style="126" customWidth="1"/>
    <col min="4369" max="4369" width="5.28515625" style="126" customWidth="1"/>
    <col min="4370" max="4610" width="9.140625" style="126"/>
    <col min="4611" max="4611" width="4.85546875" style="126" customWidth="1"/>
    <col min="4612" max="4612" width="57.5703125" style="126" customWidth="1"/>
    <col min="4613" max="4613" width="4.42578125" style="126" customWidth="1"/>
    <col min="4614" max="4614" width="18.28515625" style="126" customWidth="1"/>
    <col min="4615" max="4615" width="5.85546875" style="126" customWidth="1"/>
    <col min="4616" max="4616" width="4.140625" style="126" customWidth="1"/>
    <col min="4617" max="4624" width="15.42578125" style="126" customWidth="1"/>
    <col min="4625" max="4625" width="5.28515625" style="126" customWidth="1"/>
    <col min="4626" max="4866" width="9.140625" style="126"/>
    <col min="4867" max="4867" width="4.85546875" style="126" customWidth="1"/>
    <col min="4868" max="4868" width="57.5703125" style="126" customWidth="1"/>
    <col min="4869" max="4869" width="4.42578125" style="126" customWidth="1"/>
    <col min="4870" max="4870" width="18.28515625" style="126" customWidth="1"/>
    <col min="4871" max="4871" width="5.85546875" style="126" customWidth="1"/>
    <col min="4872" max="4872" width="4.140625" style="126" customWidth="1"/>
    <col min="4873" max="4880" width="15.42578125" style="126" customWidth="1"/>
    <col min="4881" max="4881" width="5.28515625" style="126" customWidth="1"/>
    <col min="4882" max="5122" width="9.140625" style="126"/>
    <col min="5123" max="5123" width="4.85546875" style="126" customWidth="1"/>
    <col min="5124" max="5124" width="57.5703125" style="126" customWidth="1"/>
    <col min="5125" max="5125" width="4.42578125" style="126" customWidth="1"/>
    <col min="5126" max="5126" width="18.28515625" style="126" customWidth="1"/>
    <col min="5127" max="5127" width="5.85546875" style="126" customWidth="1"/>
    <col min="5128" max="5128" width="4.140625" style="126" customWidth="1"/>
    <col min="5129" max="5136" width="15.42578125" style="126" customWidth="1"/>
    <col min="5137" max="5137" width="5.28515625" style="126" customWidth="1"/>
    <col min="5138" max="5378" width="9.140625" style="126"/>
    <col min="5379" max="5379" width="4.85546875" style="126" customWidth="1"/>
    <col min="5380" max="5380" width="57.5703125" style="126" customWidth="1"/>
    <col min="5381" max="5381" width="4.42578125" style="126" customWidth="1"/>
    <col min="5382" max="5382" width="18.28515625" style="126" customWidth="1"/>
    <col min="5383" max="5383" width="5.85546875" style="126" customWidth="1"/>
    <col min="5384" max="5384" width="4.140625" style="126" customWidth="1"/>
    <col min="5385" max="5392" width="15.42578125" style="126" customWidth="1"/>
    <col min="5393" max="5393" width="5.28515625" style="126" customWidth="1"/>
    <col min="5394" max="5634" width="9.140625" style="126"/>
    <col min="5635" max="5635" width="4.85546875" style="126" customWidth="1"/>
    <col min="5636" max="5636" width="57.5703125" style="126" customWidth="1"/>
    <col min="5637" max="5637" width="4.42578125" style="126" customWidth="1"/>
    <col min="5638" max="5638" width="18.28515625" style="126" customWidth="1"/>
    <col min="5639" max="5639" width="5.85546875" style="126" customWidth="1"/>
    <col min="5640" max="5640" width="4.140625" style="126" customWidth="1"/>
    <col min="5641" max="5648" width="15.42578125" style="126" customWidth="1"/>
    <col min="5649" max="5649" width="5.28515625" style="126" customWidth="1"/>
    <col min="5650" max="5890" width="9.140625" style="126"/>
    <col min="5891" max="5891" width="4.85546875" style="126" customWidth="1"/>
    <col min="5892" max="5892" width="57.5703125" style="126" customWidth="1"/>
    <col min="5893" max="5893" width="4.42578125" style="126" customWidth="1"/>
    <col min="5894" max="5894" width="18.28515625" style="126" customWidth="1"/>
    <col min="5895" max="5895" width="5.85546875" style="126" customWidth="1"/>
    <col min="5896" max="5896" width="4.140625" style="126" customWidth="1"/>
    <col min="5897" max="5904" width="15.42578125" style="126" customWidth="1"/>
    <col min="5905" max="5905" width="5.28515625" style="126" customWidth="1"/>
    <col min="5906" max="6146" width="9.140625" style="126"/>
    <col min="6147" max="6147" width="4.85546875" style="126" customWidth="1"/>
    <col min="6148" max="6148" width="57.5703125" style="126" customWidth="1"/>
    <col min="6149" max="6149" width="4.42578125" style="126" customWidth="1"/>
    <col min="6150" max="6150" width="18.28515625" style="126" customWidth="1"/>
    <col min="6151" max="6151" width="5.85546875" style="126" customWidth="1"/>
    <col min="6152" max="6152" width="4.140625" style="126" customWidth="1"/>
    <col min="6153" max="6160" width="15.42578125" style="126" customWidth="1"/>
    <col min="6161" max="6161" width="5.28515625" style="126" customWidth="1"/>
    <col min="6162" max="6402" width="9.140625" style="126"/>
    <col min="6403" max="6403" width="4.85546875" style="126" customWidth="1"/>
    <col min="6404" max="6404" width="57.5703125" style="126" customWidth="1"/>
    <col min="6405" max="6405" width="4.42578125" style="126" customWidth="1"/>
    <col min="6406" max="6406" width="18.28515625" style="126" customWidth="1"/>
    <col min="6407" max="6407" width="5.85546875" style="126" customWidth="1"/>
    <col min="6408" max="6408" width="4.140625" style="126" customWidth="1"/>
    <col min="6409" max="6416" width="15.42578125" style="126" customWidth="1"/>
    <col min="6417" max="6417" width="5.28515625" style="126" customWidth="1"/>
    <col min="6418" max="6658" width="9.140625" style="126"/>
    <col min="6659" max="6659" width="4.85546875" style="126" customWidth="1"/>
    <col min="6660" max="6660" width="57.5703125" style="126" customWidth="1"/>
    <col min="6661" max="6661" width="4.42578125" style="126" customWidth="1"/>
    <col min="6662" max="6662" width="18.28515625" style="126" customWidth="1"/>
    <col min="6663" max="6663" width="5.85546875" style="126" customWidth="1"/>
    <col min="6664" max="6664" width="4.140625" style="126" customWidth="1"/>
    <col min="6665" max="6672" width="15.42578125" style="126" customWidth="1"/>
    <col min="6673" max="6673" width="5.28515625" style="126" customWidth="1"/>
    <col min="6674" max="6914" width="9.140625" style="126"/>
    <col min="6915" max="6915" width="4.85546875" style="126" customWidth="1"/>
    <col min="6916" max="6916" width="57.5703125" style="126" customWidth="1"/>
    <col min="6917" max="6917" width="4.42578125" style="126" customWidth="1"/>
    <col min="6918" max="6918" width="18.28515625" style="126" customWidth="1"/>
    <col min="6919" max="6919" width="5.85546875" style="126" customWidth="1"/>
    <col min="6920" max="6920" width="4.140625" style="126" customWidth="1"/>
    <col min="6921" max="6928" width="15.42578125" style="126" customWidth="1"/>
    <col min="6929" max="6929" width="5.28515625" style="126" customWidth="1"/>
    <col min="6930" max="7170" width="9.140625" style="126"/>
    <col min="7171" max="7171" width="4.85546875" style="126" customWidth="1"/>
    <col min="7172" max="7172" width="57.5703125" style="126" customWidth="1"/>
    <col min="7173" max="7173" width="4.42578125" style="126" customWidth="1"/>
    <col min="7174" max="7174" width="18.28515625" style="126" customWidth="1"/>
    <col min="7175" max="7175" width="5.85546875" style="126" customWidth="1"/>
    <col min="7176" max="7176" width="4.140625" style="126" customWidth="1"/>
    <col min="7177" max="7184" width="15.42578125" style="126" customWidth="1"/>
    <col min="7185" max="7185" width="5.28515625" style="126" customWidth="1"/>
    <col min="7186" max="7426" width="9.140625" style="126"/>
    <col min="7427" max="7427" width="4.85546875" style="126" customWidth="1"/>
    <col min="7428" max="7428" width="57.5703125" style="126" customWidth="1"/>
    <col min="7429" max="7429" width="4.42578125" style="126" customWidth="1"/>
    <col min="7430" max="7430" width="18.28515625" style="126" customWidth="1"/>
    <col min="7431" max="7431" width="5.85546875" style="126" customWidth="1"/>
    <col min="7432" max="7432" width="4.140625" style="126" customWidth="1"/>
    <col min="7433" max="7440" width="15.42578125" style="126" customWidth="1"/>
    <col min="7441" max="7441" width="5.28515625" style="126" customWidth="1"/>
    <col min="7442" max="7682" width="9.140625" style="126"/>
    <col min="7683" max="7683" width="4.85546875" style="126" customWidth="1"/>
    <col min="7684" max="7684" width="57.5703125" style="126" customWidth="1"/>
    <col min="7685" max="7685" width="4.42578125" style="126" customWidth="1"/>
    <col min="7686" max="7686" width="18.28515625" style="126" customWidth="1"/>
    <col min="7687" max="7687" width="5.85546875" style="126" customWidth="1"/>
    <col min="7688" max="7688" width="4.140625" style="126" customWidth="1"/>
    <col min="7689" max="7696" width="15.42578125" style="126" customWidth="1"/>
    <col min="7697" max="7697" width="5.28515625" style="126" customWidth="1"/>
    <col min="7698" max="7938" width="9.140625" style="126"/>
    <col min="7939" max="7939" width="4.85546875" style="126" customWidth="1"/>
    <col min="7940" max="7940" width="57.5703125" style="126" customWidth="1"/>
    <col min="7941" max="7941" width="4.42578125" style="126" customWidth="1"/>
    <col min="7942" max="7942" width="18.28515625" style="126" customWidth="1"/>
    <col min="7943" max="7943" width="5.85546875" style="126" customWidth="1"/>
    <col min="7944" max="7944" width="4.140625" style="126" customWidth="1"/>
    <col min="7945" max="7952" width="15.42578125" style="126" customWidth="1"/>
    <col min="7953" max="7953" width="5.28515625" style="126" customWidth="1"/>
    <col min="7954" max="8194" width="9.140625" style="126"/>
    <col min="8195" max="8195" width="4.85546875" style="126" customWidth="1"/>
    <col min="8196" max="8196" width="57.5703125" style="126" customWidth="1"/>
    <col min="8197" max="8197" width="4.42578125" style="126" customWidth="1"/>
    <col min="8198" max="8198" width="18.28515625" style="126" customWidth="1"/>
    <col min="8199" max="8199" width="5.85546875" style="126" customWidth="1"/>
    <col min="8200" max="8200" width="4.140625" style="126" customWidth="1"/>
    <col min="8201" max="8208" width="15.42578125" style="126" customWidth="1"/>
    <col min="8209" max="8209" width="5.28515625" style="126" customWidth="1"/>
    <col min="8210" max="8450" width="9.140625" style="126"/>
    <col min="8451" max="8451" width="4.85546875" style="126" customWidth="1"/>
    <col min="8452" max="8452" width="57.5703125" style="126" customWidth="1"/>
    <col min="8453" max="8453" width="4.42578125" style="126" customWidth="1"/>
    <col min="8454" max="8454" width="18.28515625" style="126" customWidth="1"/>
    <col min="8455" max="8455" width="5.85546875" style="126" customWidth="1"/>
    <col min="8456" max="8456" width="4.140625" style="126" customWidth="1"/>
    <col min="8457" max="8464" width="15.42578125" style="126" customWidth="1"/>
    <col min="8465" max="8465" width="5.28515625" style="126" customWidth="1"/>
    <col min="8466" max="8706" width="9.140625" style="126"/>
    <col min="8707" max="8707" width="4.85546875" style="126" customWidth="1"/>
    <col min="8708" max="8708" width="57.5703125" style="126" customWidth="1"/>
    <col min="8709" max="8709" width="4.42578125" style="126" customWidth="1"/>
    <col min="8710" max="8710" width="18.28515625" style="126" customWidth="1"/>
    <col min="8711" max="8711" width="5.85546875" style="126" customWidth="1"/>
    <col min="8712" max="8712" width="4.140625" style="126" customWidth="1"/>
    <col min="8713" max="8720" width="15.42578125" style="126" customWidth="1"/>
    <col min="8721" max="8721" width="5.28515625" style="126" customWidth="1"/>
    <col min="8722" max="8962" width="9.140625" style="126"/>
    <col min="8963" max="8963" width="4.85546875" style="126" customWidth="1"/>
    <col min="8964" max="8964" width="57.5703125" style="126" customWidth="1"/>
    <col min="8965" max="8965" width="4.42578125" style="126" customWidth="1"/>
    <col min="8966" max="8966" width="18.28515625" style="126" customWidth="1"/>
    <col min="8967" max="8967" width="5.85546875" style="126" customWidth="1"/>
    <col min="8968" max="8968" width="4.140625" style="126" customWidth="1"/>
    <col min="8969" max="8976" width="15.42578125" style="126" customWidth="1"/>
    <col min="8977" max="8977" width="5.28515625" style="126" customWidth="1"/>
    <col min="8978" max="9218" width="9.140625" style="126"/>
    <col min="9219" max="9219" width="4.85546875" style="126" customWidth="1"/>
    <col min="9220" max="9220" width="57.5703125" style="126" customWidth="1"/>
    <col min="9221" max="9221" width="4.42578125" style="126" customWidth="1"/>
    <col min="9222" max="9222" width="18.28515625" style="126" customWidth="1"/>
    <col min="9223" max="9223" width="5.85546875" style="126" customWidth="1"/>
    <col min="9224" max="9224" width="4.140625" style="126" customWidth="1"/>
    <col min="9225" max="9232" width="15.42578125" style="126" customWidth="1"/>
    <col min="9233" max="9233" width="5.28515625" style="126" customWidth="1"/>
    <col min="9234" max="9474" width="9.140625" style="126"/>
    <col min="9475" max="9475" width="4.85546875" style="126" customWidth="1"/>
    <col min="9476" max="9476" width="57.5703125" style="126" customWidth="1"/>
    <col min="9477" max="9477" width="4.42578125" style="126" customWidth="1"/>
    <col min="9478" max="9478" width="18.28515625" style="126" customWidth="1"/>
    <col min="9479" max="9479" width="5.85546875" style="126" customWidth="1"/>
    <col min="9480" max="9480" width="4.140625" style="126" customWidth="1"/>
    <col min="9481" max="9488" width="15.42578125" style="126" customWidth="1"/>
    <col min="9489" max="9489" width="5.28515625" style="126" customWidth="1"/>
    <col min="9490" max="9730" width="9.140625" style="126"/>
    <col min="9731" max="9731" width="4.85546875" style="126" customWidth="1"/>
    <col min="9732" max="9732" width="57.5703125" style="126" customWidth="1"/>
    <col min="9733" max="9733" width="4.42578125" style="126" customWidth="1"/>
    <col min="9734" max="9734" width="18.28515625" style="126" customWidth="1"/>
    <col min="9735" max="9735" width="5.85546875" style="126" customWidth="1"/>
    <col min="9736" max="9736" width="4.140625" style="126" customWidth="1"/>
    <col min="9737" max="9744" width="15.42578125" style="126" customWidth="1"/>
    <col min="9745" max="9745" width="5.28515625" style="126" customWidth="1"/>
    <col min="9746" max="9986" width="9.140625" style="126"/>
    <col min="9987" max="9987" width="4.85546875" style="126" customWidth="1"/>
    <col min="9988" max="9988" width="57.5703125" style="126" customWidth="1"/>
    <col min="9989" max="9989" width="4.42578125" style="126" customWidth="1"/>
    <col min="9990" max="9990" width="18.28515625" style="126" customWidth="1"/>
    <col min="9991" max="9991" width="5.85546875" style="126" customWidth="1"/>
    <col min="9992" max="9992" width="4.140625" style="126" customWidth="1"/>
    <col min="9993" max="10000" width="15.42578125" style="126" customWidth="1"/>
    <col min="10001" max="10001" width="5.28515625" style="126" customWidth="1"/>
    <col min="10002" max="10242" width="9.140625" style="126"/>
    <col min="10243" max="10243" width="4.85546875" style="126" customWidth="1"/>
    <col min="10244" max="10244" width="57.5703125" style="126" customWidth="1"/>
    <col min="10245" max="10245" width="4.42578125" style="126" customWidth="1"/>
    <col min="10246" max="10246" width="18.28515625" style="126" customWidth="1"/>
    <col min="10247" max="10247" width="5.85546875" style="126" customWidth="1"/>
    <col min="10248" max="10248" width="4.140625" style="126" customWidth="1"/>
    <col min="10249" max="10256" width="15.42578125" style="126" customWidth="1"/>
    <col min="10257" max="10257" width="5.28515625" style="126" customWidth="1"/>
    <col min="10258" max="10498" width="9.140625" style="126"/>
    <col min="10499" max="10499" width="4.85546875" style="126" customWidth="1"/>
    <col min="10500" max="10500" width="57.5703125" style="126" customWidth="1"/>
    <col min="10501" max="10501" width="4.42578125" style="126" customWidth="1"/>
    <col min="10502" max="10502" width="18.28515625" style="126" customWidth="1"/>
    <col min="10503" max="10503" width="5.85546875" style="126" customWidth="1"/>
    <col min="10504" max="10504" width="4.140625" style="126" customWidth="1"/>
    <col min="10505" max="10512" width="15.42578125" style="126" customWidth="1"/>
    <col min="10513" max="10513" width="5.28515625" style="126" customWidth="1"/>
    <col min="10514" max="10754" width="9.140625" style="126"/>
    <col min="10755" max="10755" width="4.85546875" style="126" customWidth="1"/>
    <col min="10756" max="10756" width="57.5703125" style="126" customWidth="1"/>
    <col min="10757" max="10757" width="4.42578125" style="126" customWidth="1"/>
    <col min="10758" max="10758" width="18.28515625" style="126" customWidth="1"/>
    <col min="10759" max="10759" width="5.85546875" style="126" customWidth="1"/>
    <col min="10760" max="10760" width="4.140625" style="126" customWidth="1"/>
    <col min="10761" max="10768" width="15.42578125" style="126" customWidth="1"/>
    <col min="10769" max="10769" width="5.28515625" style="126" customWidth="1"/>
    <col min="10770" max="11010" width="9.140625" style="126"/>
    <col min="11011" max="11011" width="4.85546875" style="126" customWidth="1"/>
    <col min="11012" max="11012" width="57.5703125" style="126" customWidth="1"/>
    <col min="11013" max="11013" width="4.42578125" style="126" customWidth="1"/>
    <col min="11014" max="11014" width="18.28515625" style="126" customWidth="1"/>
    <col min="11015" max="11015" width="5.85546875" style="126" customWidth="1"/>
    <col min="11016" max="11016" width="4.140625" style="126" customWidth="1"/>
    <col min="11017" max="11024" width="15.42578125" style="126" customWidth="1"/>
    <col min="11025" max="11025" width="5.28515625" style="126" customWidth="1"/>
    <col min="11026" max="11266" width="9.140625" style="126"/>
    <col min="11267" max="11267" width="4.85546875" style="126" customWidth="1"/>
    <col min="11268" max="11268" width="57.5703125" style="126" customWidth="1"/>
    <col min="11269" max="11269" width="4.42578125" style="126" customWidth="1"/>
    <col min="11270" max="11270" width="18.28515625" style="126" customWidth="1"/>
    <col min="11271" max="11271" width="5.85546875" style="126" customWidth="1"/>
    <col min="11272" max="11272" width="4.140625" style="126" customWidth="1"/>
    <col min="11273" max="11280" width="15.42578125" style="126" customWidth="1"/>
    <col min="11281" max="11281" width="5.28515625" style="126" customWidth="1"/>
    <col min="11282" max="11522" width="9.140625" style="126"/>
    <col min="11523" max="11523" width="4.85546875" style="126" customWidth="1"/>
    <col min="11524" max="11524" width="57.5703125" style="126" customWidth="1"/>
    <col min="11525" max="11525" width="4.42578125" style="126" customWidth="1"/>
    <col min="11526" max="11526" width="18.28515625" style="126" customWidth="1"/>
    <col min="11527" max="11527" width="5.85546875" style="126" customWidth="1"/>
    <col min="11528" max="11528" width="4.140625" style="126" customWidth="1"/>
    <col min="11529" max="11536" width="15.42578125" style="126" customWidth="1"/>
    <col min="11537" max="11537" width="5.28515625" style="126" customWidth="1"/>
    <col min="11538" max="11778" width="9.140625" style="126"/>
    <col min="11779" max="11779" width="4.85546875" style="126" customWidth="1"/>
    <col min="11780" max="11780" width="57.5703125" style="126" customWidth="1"/>
    <col min="11781" max="11781" width="4.42578125" style="126" customWidth="1"/>
    <col min="11782" max="11782" width="18.28515625" style="126" customWidth="1"/>
    <col min="11783" max="11783" width="5.85546875" style="126" customWidth="1"/>
    <col min="11784" max="11784" width="4.140625" style="126" customWidth="1"/>
    <col min="11785" max="11792" width="15.42578125" style="126" customWidth="1"/>
    <col min="11793" max="11793" width="5.28515625" style="126" customWidth="1"/>
    <col min="11794" max="12034" width="9.140625" style="126"/>
    <col min="12035" max="12035" width="4.85546875" style="126" customWidth="1"/>
    <col min="12036" max="12036" width="57.5703125" style="126" customWidth="1"/>
    <col min="12037" max="12037" width="4.42578125" style="126" customWidth="1"/>
    <col min="12038" max="12038" width="18.28515625" style="126" customWidth="1"/>
    <col min="12039" max="12039" width="5.85546875" style="126" customWidth="1"/>
    <col min="12040" max="12040" width="4.140625" style="126" customWidth="1"/>
    <col min="12041" max="12048" width="15.42578125" style="126" customWidth="1"/>
    <col min="12049" max="12049" width="5.28515625" style="126" customWidth="1"/>
    <col min="12050" max="12290" width="9.140625" style="126"/>
    <col min="12291" max="12291" width="4.85546875" style="126" customWidth="1"/>
    <col min="12292" max="12292" width="57.5703125" style="126" customWidth="1"/>
    <col min="12293" max="12293" width="4.42578125" style="126" customWidth="1"/>
    <col min="12294" max="12294" width="18.28515625" style="126" customWidth="1"/>
    <col min="12295" max="12295" width="5.85546875" style="126" customWidth="1"/>
    <col min="12296" max="12296" width="4.140625" style="126" customWidth="1"/>
    <col min="12297" max="12304" width="15.42578125" style="126" customWidth="1"/>
    <col min="12305" max="12305" width="5.28515625" style="126" customWidth="1"/>
    <col min="12306" max="12546" width="9.140625" style="126"/>
    <col min="12547" max="12547" width="4.85546875" style="126" customWidth="1"/>
    <col min="12548" max="12548" width="57.5703125" style="126" customWidth="1"/>
    <col min="12549" max="12549" width="4.42578125" style="126" customWidth="1"/>
    <col min="12550" max="12550" width="18.28515625" style="126" customWidth="1"/>
    <col min="12551" max="12551" width="5.85546875" style="126" customWidth="1"/>
    <col min="12552" max="12552" width="4.140625" style="126" customWidth="1"/>
    <col min="12553" max="12560" width="15.42578125" style="126" customWidth="1"/>
    <col min="12561" max="12561" width="5.28515625" style="126" customWidth="1"/>
    <col min="12562" max="12802" width="9.140625" style="126"/>
    <col min="12803" max="12803" width="4.85546875" style="126" customWidth="1"/>
    <col min="12804" max="12804" width="57.5703125" style="126" customWidth="1"/>
    <col min="12805" max="12805" width="4.42578125" style="126" customWidth="1"/>
    <col min="12806" max="12806" width="18.28515625" style="126" customWidth="1"/>
    <col min="12807" max="12807" width="5.85546875" style="126" customWidth="1"/>
    <col min="12808" max="12808" width="4.140625" style="126" customWidth="1"/>
    <col min="12809" max="12816" width="15.42578125" style="126" customWidth="1"/>
    <col min="12817" max="12817" width="5.28515625" style="126" customWidth="1"/>
    <col min="12818" max="13058" width="9.140625" style="126"/>
    <col min="13059" max="13059" width="4.85546875" style="126" customWidth="1"/>
    <col min="13060" max="13060" width="57.5703125" style="126" customWidth="1"/>
    <col min="13061" max="13061" width="4.42578125" style="126" customWidth="1"/>
    <col min="13062" max="13062" width="18.28515625" style="126" customWidth="1"/>
    <col min="13063" max="13063" width="5.85546875" style="126" customWidth="1"/>
    <col min="13064" max="13064" width="4.140625" style="126" customWidth="1"/>
    <col min="13065" max="13072" width="15.42578125" style="126" customWidth="1"/>
    <col min="13073" max="13073" width="5.28515625" style="126" customWidth="1"/>
    <col min="13074" max="13314" width="9.140625" style="126"/>
    <col min="13315" max="13315" width="4.85546875" style="126" customWidth="1"/>
    <col min="13316" max="13316" width="57.5703125" style="126" customWidth="1"/>
    <col min="13317" max="13317" width="4.42578125" style="126" customWidth="1"/>
    <col min="13318" max="13318" width="18.28515625" style="126" customWidth="1"/>
    <col min="13319" max="13319" width="5.85546875" style="126" customWidth="1"/>
    <col min="13320" max="13320" width="4.140625" style="126" customWidth="1"/>
    <col min="13321" max="13328" width="15.42578125" style="126" customWidth="1"/>
    <col min="13329" max="13329" width="5.28515625" style="126" customWidth="1"/>
    <col min="13330" max="13570" width="9.140625" style="126"/>
    <col min="13571" max="13571" width="4.85546875" style="126" customWidth="1"/>
    <col min="13572" max="13572" width="57.5703125" style="126" customWidth="1"/>
    <col min="13573" max="13573" width="4.42578125" style="126" customWidth="1"/>
    <col min="13574" max="13574" width="18.28515625" style="126" customWidth="1"/>
    <col min="13575" max="13575" width="5.85546875" style="126" customWidth="1"/>
    <col min="13576" max="13576" width="4.140625" style="126" customWidth="1"/>
    <col min="13577" max="13584" width="15.42578125" style="126" customWidth="1"/>
    <col min="13585" max="13585" width="5.28515625" style="126" customWidth="1"/>
    <col min="13586" max="13826" width="9.140625" style="126"/>
    <col min="13827" max="13827" width="4.85546875" style="126" customWidth="1"/>
    <col min="13828" max="13828" width="57.5703125" style="126" customWidth="1"/>
    <col min="13829" max="13829" width="4.42578125" style="126" customWidth="1"/>
    <col min="13830" max="13830" width="18.28515625" style="126" customWidth="1"/>
    <col min="13831" max="13831" width="5.85546875" style="126" customWidth="1"/>
    <col min="13832" max="13832" width="4.140625" style="126" customWidth="1"/>
    <col min="13833" max="13840" width="15.42578125" style="126" customWidth="1"/>
    <col min="13841" max="13841" width="5.28515625" style="126" customWidth="1"/>
    <col min="13842" max="14082" width="9.140625" style="126"/>
    <col min="14083" max="14083" width="4.85546875" style="126" customWidth="1"/>
    <col min="14084" max="14084" width="57.5703125" style="126" customWidth="1"/>
    <col min="14085" max="14085" width="4.42578125" style="126" customWidth="1"/>
    <col min="14086" max="14086" width="18.28515625" style="126" customWidth="1"/>
    <col min="14087" max="14087" width="5.85546875" style="126" customWidth="1"/>
    <col min="14088" max="14088" width="4.140625" style="126" customWidth="1"/>
    <col min="14089" max="14096" width="15.42578125" style="126" customWidth="1"/>
    <col min="14097" max="14097" width="5.28515625" style="126" customWidth="1"/>
    <col min="14098" max="14338" width="9.140625" style="126"/>
    <col min="14339" max="14339" width="4.85546875" style="126" customWidth="1"/>
    <col min="14340" max="14340" width="57.5703125" style="126" customWidth="1"/>
    <col min="14341" max="14341" width="4.42578125" style="126" customWidth="1"/>
    <col min="14342" max="14342" width="18.28515625" style="126" customWidth="1"/>
    <col min="14343" max="14343" width="5.85546875" style="126" customWidth="1"/>
    <col min="14344" max="14344" width="4.140625" style="126" customWidth="1"/>
    <col min="14345" max="14352" width="15.42578125" style="126" customWidth="1"/>
    <col min="14353" max="14353" width="5.28515625" style="126" customWidth="1"/>
    <col min="14354" max="14594" width="9.140625" style="126"/>
    <col min="14595" max="14595" width="4.85546875" style="126" customWidth="1"/>
    <col min="14596" max="14596" width="57.5703125" style="126" customWidth="1"/>
    <col min="14597" max="14597" width="4.42578125" style="126" customWidth="1"/>
    <col min="14598" max="14598" width="18.28515625" style="126" customWidth="1"/>
    <col min="14599" max="14599" width="5.85546875" style="126" customWidth="1"/>
    <col min="14600" max="14600" width="4.140625" style="126" customWidth="1"/>
    <col min="14601" max="14608" width="15.42578125" style="126" customWidth="1"/>
    <col min="14609" max="14609" width="5.28515625" style="126" customWidth="1"/>
    <col min="14610" max="14850" width="9.140625" style="126"/>
    <col min="14851" max="14851" width="4.85546875" style="126" customWidth="1"/>
    <col min="14852" max="14852" width="57.5703125" style="126" customWidth="1"/>
    <col min="14853" max="14853" width="4.42578125" style="126" customWidth="1"/>
    <col min="14854" max="14854" width="18.28515625" style="126" customWidth="1"/>
    <col min="14855" max="14855" width="5.85546875" style="126" customWidth="1"/>
    <col min="14856" max="14856" width="4.140625" style="126" customWidth="1"/>
    <col min="14857" max="14864" width="15.42578125" style="126" customWidth="1"/>
    <col min="14865" max="14865" width="5.28515625" style="126" customWidth="1"/>
    <col min="14866" max="15106" width="9.140625" style="126"/>
    <col min="15107" max="15107" width="4.85546875" style="126" customWidth="1"/>
    <col min="15108" max="15108" width="57.5703125" style="126" customWidth="1"/>
    <col min="15109" max="15109" width="4.42578125" style="126" customWidth="1"/>
    <col min="15110" max="15110" width="18.28515625" style="126" customWidth="1"/>
    <col min="15111" max="15111" width="5.85546875" style="126" customWidth="1"/>
    <col min="15112" max="15112" width="4.140625" style="126" customWidth="1"/>
    <col min="15113" max="15120" width="15.42578125" style="126" customWidth="1"/>
    <col min="15121" max="15121" width="5.28515625" style="126" customWidth="1"/>
    <col min="15122" max="15362" width="9.140625" style="126"/>
    <col min="15363" max="15363" width="4.85546875" style="126" customWidth="1"/>
    <col min="15364" max="15364" width="57.5703125" style="126" customWidth="1"/>
    <col min="15365" max="15365" width="4.42578125" style="126" customWidth="1"/>
    <col min="15366" max="15366" width="18.28515625" style="126" customWidth="1"/>
    <col min="15367" max="15367" width="5.85546875" style="126" customWidth="1"/>
    <col min="15368" max="15368" width="4.140625" style="126" customWidth="1"/>
    <col min="15369" max="15376" width="15.42578125" style="126" customWidth="1"/>
    <col min="15377" max="15377" width="5.28515625" style="126" customWidth="1"/>
    <col min="15378" max="15618" width="9.140625" style="126"/>
    <col min="15619" max="15619" width="4.85546875" style="126" customWidth="1"/>
    <col min="15620" max="15620" width="57.5703125" style="126" customWidth="1"/>
    <col min="15621" max="15621" width="4.42578125" style="126" customWidth="1"/>
    <col min="15622" max="15622" width="18.28515625" style="126" customWidth="1"/>
    <col min="15623" max="15623" width="5.85546875" style="126" customWidth="1"/>
    <col min="15624" max="15624" width="4.140625" style="126" customWidth="1"/>
    <col min="15625" max="15632" width="15.42578125" style="126" customWidth="1"/>
    <col min="15633" max="15633" width="5.28515625" style="126" customWidth="1"/>
    <col min="15634" max="15874" width="9.140625" style="126"/>
    <col min="15875" max="15875" width="4.85546875" style="126" customWidth="1"/>
    <col min="15876" max="15876" width="57.5703125" style="126" customWidth="1"/>
    <col min="15877" max="15877" width="4.42578125" style="126" customWidth="1"/>
    <col min="15878" max="15878" width="18.28515625" style="126" customWidth="1"/>
    <col min="15879" max="15879" width="5.85546875" style="126" customWidth="1"/>
    <col min="15880" max="15880" width="4.140625" style="126" customWidth="1"/>
    <col min="15881" max="15888" width="15.42578125" style="126" customWidth="1"/>
    <col min="15889" max="15889" width="5.28515625" style="126" customWidth="1"/>
    <col min="15890" max="16130" width="9.140625" style="126"/>
    <col min="16131" max="16131" width="4.85546875" style="126" customWidth="1"/>
    <col min="16132" max="16132" width="57.5703125" style="126" customWidth="1"/>
    <col min="16133" max="16133" width="4.42578125" style="126" customWidth="1"/>
    <col min="16134" max="16134" width="18.28515625" style="126" customWidth="1"/>
    <col min="16135" max="16135" width="5.85546875" style="126" customWidth="1"/>
    <col min="16136" max="16136" width="4.140625" style="126" customWidth="1"/>
    <col min="16137" max="16144" width="15.42578125" style="126" customWidth="1"/>
    <col min="16145" max="16145" width="5.28515625" style="126" customWidth="1"/>
    <col min="16146" max="16384" width="9.140625" style="126"/>
  </cols>
  <sheetData>
    <row r="2" spans="1:28" s="341" customFormat="1" ht="15.75">
      <c r="B2" s="340" t="s">
        <v>273</v>
      </c>
    </row>
    <row r="4" spans="1:28" s="83" customFormat="1">
      <c r="B4" s="82" t="s">
        <v>1</v>
      </c>
    </row>
    <row r="5" spans="1:28">
      <c r="B5" s="84"/>
    </row>
    <row r="6" spans="1:28">
      <c r="B6" s="125" t="s">
        <v>399</v>
      </c>
    </row>
    <row r="7" spans="1:28">
      <c r="B7" s="125" t="s">
        <v>348</v>
      </c>
    </row>
    <row r="8" spans="1:28">
      <c r="B8" s="84"/>
    </row>
    <row r="9" spans="1:28">
      <c r="B9" s="125" t="s">
        <v>347</v>
      </c>
    </row>
    <row r="10" spans="1:28">
      <c r="B10" s="84"/>
    </row>
    <row r="11" spans="1:28" s="83" customFormat="1">
      <c r="B11" s="82" t="s">
        <v>272</v>
      </c>
    </row>
    <row r="13" spans="1:28" s="339" customFormat="1" ht="12" customHeight="1">
      <c r="A13" s="334"/>
      <c r="B13" s="335"/>
      <c r="C13" s="336"/>
      <c r="D13" s="334"/>
      <c r="E13" s="334"/>
      <c r="F13" s="337"/>
      <c r="G13" s="338" t="s">
        <v>34</v>
      </c>
      <c r="H13" s="338" t="s">
        <v>7</v>
      </c>
      <c r="I13" s="338" t="s">
        <v>37</v>
      </c>
      <c r="J13" s="338" t="s">
        <v>40</v>
      </c>
      <c r="K13" s="338" t="s">
        <v>36</v>
      </c>
      <c r="L13" s="338" t="s">
        <v>38</v>
      </c>
      <c r="M13" s="338" t="s">
        <v>8</v>
      </c>
      <c r="N13" s="338" t="s">
        <v>35</v>
      </c>
      <c r="O13" s="338" t="s">
        <v>39</v>
      </c>
      <c r="P13" s="338" t="s">
        <v>41</v>
      </c>
      <c r="Q13" s="337"/>
      <c r="R13" s="337"/>
      <c r="S13" s="337"/>
      <c r="T13" s="337"/>
      <c r="U13" s="334"/>
      <c r="V13" s="334"/>
      <c r="W13" s="334"/>
      <c r="X13" s="334"/>
      <c r="Y13" s="334"/>
      <c r="Z13" s="334"/>
      <c r="AA13" s="334"/>
      <c r="AB13" s="334"/>
    </row>
    <row r="14" spans="1:28" s="323" customFormat="1">
      <c r="B14" s="365" t="s">
        <v>349</v>
      </c>
      <c r="C14" s="326"/>
      <c r="F14" s="324"/>
      <c r="G14" s="324"/>
      <c r="H14" s="324"/>
      <c r="I14" s="324"/>
      <c r="J14" s="324"/>
      <c r="K14" s="324"/>
      <c r="L14" s="324"/>
      <c r="M14" s="324"/>
      <c r="N14" s="324"/>
      <c r="O14" s="324"/>
      <c r="P14" s="324"/>
      <c r="Q14" s="324"/>
      <c r="R14" s="324"/>
      <c r="S14" s="324"/>
      <c r="T14" s="324"/>
    </row>
    <row r="15" spans="1:28" s="323" customFormat="1">
      <c r="B15" s="127" t="s">
        <v>296</v>
      </c>
      <c r="C15" s="126"/>
      <c r="D15" s="126" t="s">
        <v>19</v>
      </c>
      <c r="E15" s="84"/>
      <c r="F15" s="126"/>
      <c r="G15" s="330">
        <v>21394182.921865087</v>
      </c>
      <c r="H15" s="330">
        <v>28755801.348566305</v>
      </c>
      <c r="I15" s="330">
        <v>58058964.273104616</v>
      </c>
      <c r="J15" s="330">
        <v>267916957.6105597</v>
      </c>
      <c r="K15" s="330">
        <v>24757292.628937066</v>
      </c>
      <c r="L15" s="330">
        <v>312705810.73600543</v>
      </c>
      <c r="M15" s="330">
        <v>17271907.310254883</v>
      </c>
      <c r="N15" s="330">
        <v>271688857.94025511</v>
      </c>
      <c r="O15" s="330">
        <v>16638772.291081557</v>
      </c>
      <c r="P15" s="330">
        <v>7826109.0701659499</v>
      </c>
      <c r="Q15" s="329"/>
      <c r="R15" s="127" t="s">
        <v>299</v>
      </c>
      <c r="S15" s="329"/>
      <c r="T15" s="329"/>
    </row>
    <row r="16" spans="1:28" s="323" customFormat="1">
      <c r="B16" s="127" t="s">
        <v>297</v>
      </c>
      <c r="C16" s="126"/>
      <c r="D16" s="126" t="s">
        <v>61</v>
      </c>
      <c r="E16" s="84"/>
      <c r="F16" s="126"/>
      <c r="G16" s="330">
        <v>22057402.592442904</v>
      </c>
      <c r="H16" s="330">
        <v>29647231.190371856</v>
      </c>
      <c r="I16" s="330">
        <v>60497440.772575013</v>
      </c>
      <c r="J16" s="330">
        <v>283991975.06719327</v>
      </c>
      <c r="K16" s="330">
        <v>25153409.31100006</v>
      </c>
      <c r="L16" s="330">
        <v>329279218.70501369</v>
      </c>
      <c r="M16" s="330">
        <v>17945511.695354823</v>
      </c>
      <c r="N16" s="330">
        <v>286360056.2690289</v>
      </c>
      <c r="O16" s="330">
        <v>17986512.846659161</v>
      </c>
      <c r="P16" s="330">
        <v>6417409.4375360794</v>
      </c>
      <c r="Q16" s="329"/>
      <c r="R16" s="127" t="s">
        <v>299</v>
      </c>
      <c r="S16" s="329"/>
      <c r="T16" s="329"/>
    </row>
    <row r="17" spans="2:28" s="323" customFormat="1">
      <c r="B17" s="127" t="s">
        <v>298</v>
      </c>
      <c r="C17" s="126"/>
      <c r="D17" s="127" t="s">
        <v>43</v>
      </c>
      <c r="E17" s="84"/>
      <c r="F17" s="126"/>
      <c r="G17" s="330">
        <v>22675009.865031302</v>
      </c>
      <c r="H17" s="330">
        <v>30477353.663702261</v>
      </c>
      <c r="I17" s="330">
        <v>62856840.962705433</v>
      </c>
      <c r="J17" s="330">
        <v>300179517.64602327</v>
      </c>
      <c r="K17" s="330">
        <v>25480403.63204306</v>
      </c>
      <c r="L17" s="330">
        <v>345743179.64026433</v>
      </c>
      <c r="M17" s="330">
        <v>18591550.116387594</v>
      </c>
      <c r="N17" s="330">
        <v>300964419.13874936</v>
      </c>
      <c r="O17" s="330">
        <v>19389460.848698571</v>
      </c>
      <c r="P17" s="330">
        <v>5243023.510466977</v>
      </c>
      <c r="Q17" s="329"/>
      <c r="R17" s="127" t="s">
        <v>299</v>
      </c>
      <c r="S17" s="329"/>
      <c r="T17" s="329"/>
    </row>
    <row r="18" spans="2:28" s="323" customFormat="1">
      <c r="B18" s="125"/>
      <c r="C18" s="84"/>
      <c r="D18" s="125"/>
      <c r="E18" s="84"/>
      <c r="F18" s="84"/>
      <c r="G18" s="332"/>
      <c r="H18" s="332"/>
      <c r="I18" s="332"/>
      <c r="J18" s="332"/>
      <c r="K18" s="332"/>
      <c r="L18" s="332"/>
      <c r="M18" s="332"/>
      <c r="N18" s="332"/>
      <c r="O18" s="332"/>
      <c r="P18" s="332"/>
      <c r="Q18" s="329"/>
      <c r="R18" s="125"/>
      <c r="S18" s="329"/>
      <c r="T18" s="329"/>
    </row>
    <row r="19" spans="2:28" s="323" customFormat="1">
      <c r="B19" s="333" t="s">
        <v>300</v>
      </c>
      <c r="C19" s="84"/>
      <c r="D19" s="125"/>
      <c r="E19" s="84"/>
      <c r="F19" s="84"/>
      <c r="G19" s="332"/>
      <c r="H19" s="332"/>
      <c r="I19" s="332"/>
      <c r="J19" s="332"/>
      <c r="K19" s="332"/>
      <c r="L19" s="332"/>
      <c r="M19" s="332"/>
      <c r="N19" s="332"/>
      <c r="O19" s="332"/>
      <c r="P19" s="332"/>
      <c r="Q19" s="329"/>
      <c r="R19" s="125"/>
      <c r="S19" s="329"/>
      <c r="T19" s="329"/>
    </row>
    <row r="20" spans="2:28">
      <c r="B20" s="126" t="s">
        <v>271</v>
      </c>
      <c r="C20" s="84"/>
      <c r="D20" s="126" t="s">
        <v>16</v>
      </c>
      <c r="F20" s="7"/>
      <c r="G20" s="146">
        <v>20974689.139083423</v>
      </c>
      <c r="H20" s="146">
        <v>28191962.10643756</v>
      </c>
      <c r="I20" s="146">
        <v>56313253.417172283</v>
      </c>
      <c r="J20" s="146">
        <v>255402247.48385102</v>
      </c>
      <c r="K20" s="146">
        <v>24634122.018842854</v>
      </c>
      <c r="L20" s="146">
        <v>300101545.81190544</v>
      </c>
      <c r="M20" s="146">
        <v>16801466.255111758</v>
      </c>
      <c r="N20" s="146">
        <v>264252163.266929</v>
      </c>
      <c r="O20" s="146">
        <v>15550254.477646317</v>
      </c>
      <c r="P20" s="146">
        <v>9673806.0199826322</v>
      </c>
      <c r="Q20" s="7"/>
      <c r="R20" s="125" t="s">
        <v>394</v>
      </c>
      <c r="S20" s="7"/>
      <c r="T20" s="7"/>
    </row>
    <row r="21" spans="2:28">
      <c r="B21" s="126" t="s">
        <v>270</v>
      </c>
      <c r="F21" s="53"/>
      <c r="G21" s="408">
        <v>0.2</v>
      </c>
      <c r="H21" s="408">
        <v>0.1</v>
      </c>
      <c r="I21" s="408">
        <v>-0.9</v>
      </c>
      <c r="J21" s="408">
        <v>-2.8000000000000003</v>
      </c>
      <c r="K21" s="408">
        <v>1.5</v>
      </c>
      <c r="L21" s="408">
        <v>-2.2000000000000002</v>
      </c>
      <c r="M21" s="408">
        <v>-1.9000000000000001</v>
      </c>
      <c r="N21" s="408">
        <v>-2.4</v>
      </c>
      <c r="O21" s="408">
        <v>-4.8999999999999995</v>
      </c>
      <c r="P21" s="408">
        <v>20.7</v>
      </c>
      <c r="Q21" s="53"/>
      <c r="R21" s="125" t="s">
        <v>394</v>
      </c>
      <c r="S21" s="53"/>
      <c r="T21" s="53"/>
    </row>
    <row r="22" spans="2:28">
      <c r="B22" s="287"/>
      <c r="R22" s="366"/>
    </row>
    <row r="23" spans="2:28">
      <c r="B23" s="126" t="s">
        <v>77</v>
      </c>
      <c r="E23" s="331">
        <f>CPI!C14</f>
        <v>1.4999999999999999E-2</v>
      </c>
      <c r="G23" s="423"/>
      <c r="H23" s="423"/>
      <c r="I23" s="423"/>
      <c r="J23" s="423"/>
      <c r="K23" s="423"/>
      <c r="L23" s="423"/>
      <c r="M23" s="423"/>
      <c r="N23" s="423"/>
      <c r="O23" s="423"/>
      <c r="P23" s="423"/>
    </row>
    <row r="24" spans="2:28">
      <c r="B24" s="126" t="s">
        <v>78</v>
      </c>
      <c r="E24" s="331">
        <f>CPI!C15</f>
        <v>2.5999999999999999E-2</v>
      </c>
    </row>
    <row r="25" spans="2:28">
      <c r="B25" s="126" t="s">
        <v>240</v>
      </c>
      <c r="C25" s="84"/>
      <c r="E25" s="331">
        <f>CPI!C16</f>
        <v>2.3E-2</v>
      </c>
    </row>
    <row r="26" spans="2:28">
      <c r="F26" s="84"/>
      <c r="Q26" s="84"/>
      <c r="R26" s="84"/>
      <c r="S26" s="84"/>
      <c r="T26" s="84"/>
    </row>
    <row r="27" spans="2:28">
      <c r="B27" s="137" t="s">
        <v>301</v>
      </c>
      <c r="D27" s="126" t="s">
        <v>19</v>
      </c>
      <c r="F27" s="318"/>
      <c r="G27" s="56">
        <f t="shared" ref="G27:P27" si="0">G20*(1-G21/100+$E$23)</f>
        <v>21247360.097891506</v>
      </c>
      <c r="H27" s="56">
        <f t="shared" si="0"/>
        <v>28586649.575927686</v>
      </c>
      <c r="I27" s="56">
        <f t="shared" si="0"/>
        <v>57664771.499184407</v>
      </c>
      <c r="J27" s="56">
        <f t="shared" si="0"/>
        <v>266384544.1256566</v>
      </c>
      <c r="K27" s="56">
        <f t="shared" si="0"/>
        <v>24634122.018842854</v>
      </c>
      <c r="L27" s="56">
        <f t="shared" si="0"/>
        <v>311205303.00694591</v>
      </c>
      <c r="M27" s="56">
        <f t="shared" si="0"/>
        <v>17372716.107785553</v>
      </c>
      <c r="N27" s="56">
        <f t="shared" si="0"/>
        <v>274557997.63433921</v>
      </c>
      <c r="O27" s="56">
        <f t="shared" si="0"/>
        <v>16545470.76421568</v>
      </c>
      <c r="P27" s="56">
        <f t="shared" si="0"/>
        <v>7816435.2641459676</v>
      </c>
      <c r="Q27" s="7"/>
      <c r="R27" s="7"/>
      <c r="S27" s="7"/>
      <c r="T27" s="7"/>
    </row>
    <row r="28" spans="2:28">
      <c r="B28" s="137" t="s">
        <v>302</v>
      </c>
      <c r="C28" s="84"/>
      <c r="D28" s="126" t="s">
        <v>61</v>
      </c>
      <c r="F28" s="318"/>
      <c r="G28" s="56">
        <f>G27*(1-G21/100+$E$24)</f>
        <v>21757296.740240902</v>
      </c>
      <c r="H28" s="56">
        <f t="shared" ref="H28:P28" si="1">H27*(1-H21/100+$E$24)</f>
        <v>29301315.815325875</v>
      </c>
      <c r="I28" s="56">
        <f t="shared" si="1"/>
        <v>59683038.501655854</v>
      </c>
      <c r="J28" s="56">
        <f t="shared" si="1"/>
        <v>280769309.5084421</v>
      </c>
      <c r="K28" s="56">
        <f t="shared" si="1"/>
        <v>24905097.361050121</v>
      </c>
      <c r="L28" s="56">
        <f t="shared" si="1"/>
        <v>326143157.55127931</v>
      </c>
      <c r="M28" s="56">
        <f t="shared" si="1"/>
        <v>18154488.332635902</v>
      </c>
      <c r="N28" s="56">
        <f t="shared" si="1"/>
        <v>288285897.51605618</v>
      </c>
      <c r="O28" s="56">
        <f t="shared" si="1"/>
        <v>17786381.071531855</v>
      </c>
      <c r="P28" s="56">
        <f t="shared" si="1"/>
        <v>6401660.4813355478</v>
      </c>
      <c r="Q28" s="7"/>
      <c r="R28" s="7"/>
      <c r="S28" s="7"/>
      <c r="T28" s="7"/>
    </row>
    <row r="29" spans="2:28">
      <c r="B29" s="137" t="s">
        <v>303</v>
      </c>
      <c r="C29" s="84"/>
      <c r="D29" s="126" t="s">
        <v>43</v>
      </c>
      <c r="F29" s="318"/>
      <c r="G29" s="56">
        <f>G28*(1-G21/100+$E$25)</f>
        <v>22214199.971785959</v>
      </c>
      <c r="H29" s="56">
        <f t="shared" ref="H29:P29" si="2">H28*(1-H21/100+$E$25)</f>
        <v>29945944.763263043</v>
      </c>
      <c r="I29" s="56">
        <f t="shared" si="2"/>
        <v>61592895.733708829</v>
      </c>
      <c r="J29" s="56">
        <f t="shared" si="2"/>
        <v>295088544.29337263</v>
      </c>
      <c r="K29" s="56">
        <f t="shared" si="2"/>
        <v>25104338.139938522</v>
      </c>
      <c r="L29" s="56">
        <f t="shared" si="2"/>
        <v>340819599.64108688</v>
      </c>
      <c r="M29" s="56">
        <f t="shared" si="2"/>
        <v>18916976.842606608</v>
      </c>
      <c r="N29" s="56">
        <f t="shared" si="2"/>
        <v>301835334.69931078</v>
      </c>
      <c r="O29" s="56">
        <f t="shared" si="2"/>
        <v>19067000.508682147</v>
      </c>
      <c r="P29" s="56">
        <f t="shared" si="2"/>
        <v>5223754.9527698075</v>
      </c>
      <c r="Q29" s="7"/>
      <c r="R29" s="7"/>
      <c r="S29" s="7"/>
      <c r="T29" s="7"/>
    </row>
    <row r="30" spans="2:28" s="84" customFormat="1">
      <c r="F30" s="318"/>
      <c r="G30" s="44"/>
      <c r="H30" s="44"/>
      <c r="I30" s="44"/>
      <c r="J30" s="44"/>
      <c r="K30" s="44"/>
      <c r="L30" s="44"/>
      <c r="M30" s="44"/>
      <c r="N30" s="44"/>
      <c r="O30" s="44"/>
      <c r="P30" s="44"/>
      <c r="Q30" s="7"/>
      <c r="R30" s="7"/>
      <c r="S30" s="7"/>
      <c r="T30" s="7"/>
    </row>
    <row r="31" spans="2:28">
      <c r="B31" s="287" t="s">
        <v>269</v>
      </c>
      <c r="D31" s="126" t="s">
        <v>19</v>
      </c>
      <c r="E31" s="84"/>
      <c r="G31" s="317">
        <f t="shared" ref="G31:I33" si="3">G27-G15</f>
        <v>-146822.82397358119</v>
      </c>
      <c r="H31" s="317">
        <f t="shared" si="3"/>
        <v>-169151.77263861895</v>
      </c>
      <c r="I31" s="317">
        <f t="shared" si="3"/>
        <v>-394192.77392020822</v>
      </c>
      <c r="J31" s="317">
        <f>(J27-J15)+(K27-K15)</f>
        <v>-1655584.0949973091</v>
      </c>
      <c r="L31" s="317">
        <f t="shared" ref="L31:P33" si="4">L27-L15</f>
        <v>-1500507.7290595174</v>
      </c>
      <c r="M31" s="317">
        <f t="shared" si="4"/>
        <v>100808.79753066972</v>
      </c>
      <c r="N31" s="317">
        <f t="shared" si="4"/>
        <v>2869139.6940841079</v>
      </c>
      <c r="O31" s="317">
        <f t="shared" si="4"/>
        <v>-93301.526865877211</v>
      </c>
      <c r="P31" s="317">
        <f t="shared" si="4"/>
        <v>-9673.8060199823231</v>
      </c>
      <c r="Q31" s="316"/>
      <c r="R31" s="316"/>
      <c r="S31" s="316"/>
      <c r="T31" s="316"/>
      <c r="U31" s="315"/>
      <c r="V31" s="315"/>
      <c r="W31" s="315"/>
      <c r="X31" s="315"/>
      <c r="Y31" s="315"/>
      <c r="Z31" s="315"/>
      <c r="AA31" s="315"/>
      <c r="AB31" s="315"/>
    </row>
    <row r="32" spans="2:28">
      <c r="B32" s="287" t="s">
        <v>268</v>
      </c>
      <c r="D32" s="126" t="s">
        <v>61</v>
      </c>
      <c r="E32" s="84"/>
      <c r="G32" s="317">
        <f t="shared" si="3"/>
        <v>-300105.85220200196</v>
      </c>
      <c r="H32" s="317">
        <f t="shared" si="3"/>
        <v>-345915.37504598126</v>
      </c>
      <c r="I32" s="317">
        <f t="shared" si="3"/>
        <v>-814402.27091915905</v>
      </c>
      <c r="J32" s="317">
        <f>(J28-J16)+(K28-K16)</f>
        <v>-3470977.5087011047</v>
      </c>
      <c r="L32" s="317">
        <f t="shared" si="4"/>
        <v>-3136061.153734386</v>
      </c>
      <c r="M32" s="317">
        <f t="shared" si="4"/>
        <v>208976.63728107885</v>
      </c>
      <c r="N32" s="317">
        <f t="shared" si="4"/>
        <v>1925841.2470272779</v>
      </c>
      <c r="O32" s="317">
        <f t="shared" si="4"/>
        <v>-200131.77512730658</v>
      </c>
      <c r="P32" s="317">
        <f t="shared" si="4"/>
        <v>-15748.956200531684</v>
      </c>
      <c r="Q32" s="316"/>
      <c r="R32" s="316"/>
      <c r="S32" s="316"/>
      <c r="T32" s="316"/>
      <c r="U32" s="315"/>
      <c r="V32" s="315"/>
      <c r="W32" s="315"/>
      <c r="X32" s="315"/>
      <c r="Y32" s="315"/>
      <c r="Z32" s="315"/>
      <c r="AA32" s="315"/>
      <c r="AB32" s="315"/>
    </row>
    <row r="33" spans="1:28">
      <c r="B33" s="287" t="s">
        <v>267</v>
      </c>
      <c r="D33" s="127" t="s">
        <v>43</v>
      </c>
      <c r="E33" s="84"/>
      <c r="G33" s="317">
        <f t="shared" si="3"/>
        <v>-460809.89324534312</v>
      </c>
      <c r="H33" s="317">
        <f t="shared" si="3"/>
        <v>-531408.90043921769</v>
      </c>
      <c r="I33" s="317">
        <f t="shared" si="3"/>
        <v>-1263945.2289966047</v>
      </c>
      <c r="J33" s="317">
        <f>(J29-J17)+(K29-K17)</f>
        <v>-5467038.8447551802</v>
      </c>
      <c r="L33" s="317">
        <f t="shared" si="4"/>
        <v>-4923579.9991774559</v>
      </c>
      <c r="M33" s="317">
        <f t="shared" si="4"/>
        <v>325426.72621901333</v>
      </c>
      <c r="N33" s="317">
        <f t="shared" si="4"/>
        <v>870915.56056141853</v>
      </c>
      <c r="O33" s="317">
        <f t="shared" si="4"/>
        <v>-322460.34001642466</v>
      </c>
      <c r="P33" s="317">
        <f t="shared" si="4"/>
        <v>-19268.557697169483</v>
      </c>
      <c r="Q33" s="316"/>
      <c r="R33" s="316"/>
      <c r="S33" s="316"/>
      <c r="T33" s="316"/>
      <c r="U33" s="315"/>
      <c r="V33" s="315"/>
      <c r="W33" s="315"/>
      <c r="X33" s="315"/>
      <c r="Y33" s="315"/>
      <c r="Z33" s="315"/>
      <c r="AA33" s="315"/>
      <c r="AB33" s="315"/>
    </row>
    <row r="35" spans="1:28" s="83" customFormat="1">
      <c r="B35" s="82" t="s">
        <v>266</v>
      </c>
    </row>
    <row r="37" spans="1:28" s="339" customFormat="1" ht="12" customHeight="1">
      <c r="A37" s="334"/>
      <c r="B37" s="335"/>
      <c r="C37" s="336"/>
      <c r="D37" s="334"/>
      <c r="E37" s="334"/>
      <c r="F37" s="337"/>
      <c r="G37" s="338" t="s">
        <v>34</v>
      </c>
      <c r="H37" s="338" t="s">
        <v>7</v>
      </c>
      <c r="I37" s="338" t="s">
        <v>37</v>
      </c>
      <c r="J37" s="338" t="s">
        <v>40</v>
      </c>
      <c r="K37" s="338" t="s">
        <v>38</v>
      </c>
      <c r="L37" s="338" t="s">
        <v>8</v>
      </c>
      <c r="M37" s="338" t="s">
        <v>35</v>
      </c>
      <c r="N37" s="338" t="s">
        <v>39</v>
      </c>
      <c r="O37" s="338" t="s">
        <v>41</v>
      </c>
      <c r="P37" s="337"/>
      <c r="Q37" s="337"/>
      <c r="R37" s="337"/>
      <c r="S37" s="337"/>
      <c r="T37" s="334"/>
      <c r="U37" s="334"/>
      <c r="V37" s="334"/>
      <c r="W37" s="334"/>
      <c r="X37" s="334"/>
      <c r="Y37" s="334"/>
      <c r="Z37" s="334"/>
      <c r="AA37" s="334"/>
    </row>
    <row r="38" spans="1:28" s="323" customFormat="1">
      <c r="B38" s="365" t="s">
        <v>351</v>
      </c>
      <c r="C38" s="326"/>
      <c r="F38" s="324"/>
      <c r="G38" s="324"/>
      <c r="H38" s="324"/>
      <c r="I38" s="324"/>
      <c r="J38" s="324"/>
      <c r="K38" s="324"/>
      <c r="L38" s="324"/>
      <c r="M38" s="324"/>
      <c r="N38" s="324"/>
      <c r="O38" s="324"/>
      <c r="P38" s="324"/>
      <c r="Q38" s="324"/>
      <c r="R38" s="324"/>
      <c r="S38" s="324"/>
    </row>
    <row r="39" spans="1:28" s="323" customFormat="1">
      <c r="B39" s="127" t="s">
        <v>350</v>
      </c>
      <c r="C39" s="126"/>
      <c r="D39" s="127" t="s">
        <v>55</v>
      </c>
      <c r="E39" s="84"/>
      <c r="F39" s="126"/>
      <c r="G39" s="330">
        <v>21059071.230625249</v>
      </c>
      <c r="H39" s="330">
        <v>29339418.484225802</v>
      </c>
      <c r="I39" s="330">
        <v>59673264.955084041</v>
      </c>
      <c r="J39" s="330">
        <v>307072911.74454111</v>
      </c>
      <c r="K39" s="330">
        <v>330564759.32770044</v>
      </c>
      <c r="L39" s="330">
        <v>17559736.525284544</v>
      </c>
      <c r="M39" s="330">
        <v>286262603.61340219</v>
      </c>
      <c r="N39" s="330">
        <v>17824952.985012986</v>
      </c>
      <c r="O39" s="330">
        <v>5926745.038043147</v>
      </c>
      <c r="P39" s="329"/>
      <c r="R39" s="127" t="s">
        <v>304</v>
      </c>
      <c r="S39" s="329"/>
    </row>
    <row r="40" spans="1:28" s="323" customFormat="1">
      <c r="B40" s="326"/>
      <c r="C40" s="326"/>
      <c r="F40" s="324"/>
      <c r="G40" s="325"/>
      <c r="H40" s="325"/>
      <c r="I40" s="325"/>
      <c r="J40" s="325"/>
      <c r="K40" s="325"/>
      <c r="L40" s="325"/>
      <c r="M40" s="325"/>
      <c r="N40" s="325"/>
      <c r="O40" s="325"/>
      <c r="P40" s="324"/>
      <c r="R40" s="324"/>
      <c r="S40" s="324"/>
    </row>
    <row r="41" spans="1:28" s="323" customFormat="1">
      <c r="A41" s="328"/>
      <c r="B41" s="327" t="s">
        <v>305</v>
      </c>
      <c r="C41" s="326"/>
      <c r="F41" s="324"/>
      <c r="G41" s="325"/>
      <c r="H41" s="325"/>
      <c r="I41" s="325"/>
      <c r="J41" s="325"/>
      <c r="K41" s="325"/>
      <c r="L41" s="325"/>
      <c r="M41" s="325"/>
      <c r="N41" s="325"/>
      <c r="O41" s="325"/>
      <c r="P41" s="324"/>
      <c r="R41" s="324"/>
      <c r="S41" s="324"/>
    </row>
    <row r="42" spans="1:28">
      <c r="B42" s="127" t="s">
        <v>265</v>
      </c>
      <c r="C42" s="84"/>
      <c r="D42" s="126" t="s">
        <v>43</v>
      </c>
      <c r="G42" s="330">
        <f>'TI-berekening 2015'!G6</f>
        <v>22155782.462519988</v>
      </c>
      <c r="H42" s="330">
        <f>'TI-berekening 2015'!H6</f>
        <v>30603336.272270575</v>
      </c>
      <c r="I42" s="330">
        <f>'TI-berekening 2015'!I6</f>
        <v>62282919.272606239</v>
      </c>
      <c r="J42" s="330">
        <f>'TI-berekening 2015'!J6</f>
        <v>320334771.2753402</v>
      </c>
      <c r="K42" s="330">
        <f>'TI-berekening 2015'!K6</f>
        <v>342731735.95406991</v>
      </c>
      <c r="L42" s="330">
        <f>'TI-berekening 2015'!L6</f>
        <v>18354485.758633368</v>
      </c>
      <c r="M42" s="330">
        <f>'TI-berekening 2015'!M6</f>
        <v>297632151.81264526</v>
      </c>
      <c r="N42" s="330">
        <f>'TI-berekening 2015'!N6</f>
        <v>18389510.971848741</v>
      </c>
      <c r="O42" s="330">
        <f>'TI-berekening 2015'!O6</f>
        <v>6440014.167166301</v>
      </c>
      <c r="P42" s="7"/>
      <c r="R42" s="125" t="s">
        <v>398</v>
      </c>
      <c r="S42" s="7"/>
    </row>
    <row r="43" spans="1:28">
      <c r="B43" s="126" t="s">
        <v>56</v>
      </c>
      <c r="E43" s="84"/>
      <c r="F43" s="53"/>
      <c r="G43" s="424">
        <f>'TI-berekening 2015'!G7</f>
        <v>7.56</v>
      </c>
      <c r="H43" s="424">
        <f>'TI-berekening 2015'!H7</f>
        <v>6.75</v>
      </c>
      <c r="I43" s="424">
        <f>'TI-berekening 2015'!I7</f>
        <v>6.8</v>
      </c>
      <c r="J43" s="424">
        <f>'TI-berekening 2015'!J7</f>
        <v>6.75</v>
      </c>
      <c r="K43" s="424">
        <f>'TI-berekening 2015'!K7</f>
        <v>6.17</v>
      </c>
      <c r="L43" s="424">
        <f>'TI-berekening 2015'!L7</f>
        <v>6.97</v>
      </c>
      <c r="M43" s="424">
        <f>'TI-berekening 2015'!M7</f>
        <v>6.45</v>
      </c>
      <c r="N43" s="424">
        <f>'TI-berekening 2015'!N7</f>
        <v>5.68</v>
      </c>
      <c r="O43" s="424">
        <f>'TI-berekening 2015'!O7</f>
        <v>10.67</v>
      </c>
      <c r="P43" s="53"/>
      <c r="R43" s="125" t="s">
        <v>398</v>
      </c>
      <c r="S43" s="53"/>
    </row>
    <row r="44" spans="1:28">
      <c r="E44" s="84"/>
      <c r="F44" s="53"/>
      <c r="P44" s="53"/>
      <c r="Q44" s="322"/>
      <c r="R44" s="53"/>
      <c r="S44" s="53"/>
    </row>
    <row r="45" spans="1:28">
      <c r="B45" s="126" t="s">
        <v>227</v>
      </c>
      <c r="E45" s="321">
        <f>CPI!C17</f>
        <v>2.8000000000000001E-2</v>
      </c>
      <c r="F45" s="320"/>
      <c r="P45" s="84"/>
      <c r="Q45" s="84"/>
      <c r="R45" s="84"/>
      <c r="S45" s="84"/>
    </row>
    <row r="46" spans="1:28">
      <c r="B46" s="127"/>
      <c r="F46" s="319"/>
      <c r="Q46" s="127"/>
    </row>
    <row r="47" spans="1:28">
      <c r="B47" s="59" t="s">
        <v>306</v>
      </c>
      <c r="C47" s="84"/>
      <c r="D47" s="126" t="s">
        <v>55</v>
      </c>
      <c r="E47" s="318"/>
      <c r="F47" s="318"/>
      <c r="G47" s="56">
        <f>G42*(1-G43/100+$E$45)</f>
        <v>21101167.217304036</v>
      </c>
      <c r="H47" s="56">
        <f t="shared" ref="H47:O47" si="5">H42*(1-H43/100+$E$45)</f>
        <v>29394504.489515889</v>
      </c>
      <c r="I47" s="56">
        <f t="shared" si="5"/>
        <v>59791602.501701988</v>
      </c>
      <c r="J47" s="56">
        <f t="shared" si="5"/>
        <v>307681547.80996424</v>
      </c>
      <c r="K47" s="56">
        <f t="shared" si="5"/>
        <v>331181676.45241779</v>
      </c>
      <c r="L47" s="56">
        <f t="shared" si="5"/>
        <v>17589103.702498358</v>
      </c>
      <c r="M47" s="56">
        <f t="shared" si="5"/>
        <v>286768578.27148372</v>
      </c>
      <c r="N47" s="56">
        <f t="shared" si="5"/>
        <v>17859893.055859499</v>
      </c>
      <c r="O47" s="56">
        <f t="shared" si="5"/>
        <v>5933185.0522103133</v>
      </c>
      <c r="P47" s="7"/>
      <c r="Q47" s="7"/>
      <c r="R47" s="7"/>
      <c r="S47" s="7"/>
    </row>
    <row r="48" spans="1:28">
      <c r="E48" s="84"/>
    </row>
    <row r="49" spans="2:27">
      <c r="B49" s="287" t="s">
        <v>264</v>
      </c>
      <c r="D49" s="127" t="s">
        <v>55</v>
      </c>
      <c r="E49" s="84"/>
      <c r="G49" s="317">
        <f>G47-G39</f>
        <v>42095.986678786576</v>
      </c>
      <c r="H49" s="317">
        <f t="shared" ref="H49:J49" si="6">H47-H39</f>
        <v>55086.005290087312</v>
      </c>
      <c r="I49" s="317">
        <f t="shared" si="6"/>
        <v>118337.54661794752</v>
      </c>
      <c r="J49" s="317">
        <f t="shared" si="6"/>
        <v>608636.06542313099</v>
      </c>
      <c r="K49" s="317">
        <f>K47-K39</f>
        <v>616917.12471735477</v>
      </c>
      <c r="L49" s="317">
        <f t="shared" ref="L49:N49" si="7">L47-L39</f>
        <v>29367.17721381411</v>
      </c>
      <c r="M49" s="317">
        <f t="shared" si="7"/>
        <v>505974.65808153152</v>
      </c>
      <c r="N49" s="317">
        <f t="shared" si="7"/>
        <v>34940.070846512914</v>
      </c>
      <c r="O49" s="317">
        <f>O47-O39</f>
        <v>6440.014167166315</v>
      </c>
      <c r="P49" s="316"/>
      <c r="Q49" s="316"/>
      <c r="R49" s="316"/>
      <c r="S49" s="316"/>
      <c r="T49" s="315"/>
      <c r="U49" s="315"/>
      <c r="V49" s="315"/>
      <c r="W49" s="315"/>
      <c r="X49" s="315"/>
      <c r="Y49" s="315"/>
      <c r="Z49" s="315"/>
      <c r="AA49" s="315"/>
    </row>
  </sheetData>
  <pageMargins left="0.75" right="0.75" top="1" bottom="1" header="0.5" footer="0.5"/>
  <pageSetup paperSize="9" scale="3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tabColor rgb="FF92D050"/>
    <pageSetUpPr fitToPage="1"/>
  </sheetPr>
  <dimension ref="A1:Q77"/>
  <sheetViews>
    <sheetView showGridLines="0" zoomScale="85" zoomScaleNormal="85" workbookViewId="0"/>
  </sheetViews>
  <sheetFormatPr defaultRowHeight="12.75"/>
  <cols>
    <col min="1" max="1" width="4.28515625" style="12" customWidth="1"/>
    <col min="2" max="2" width="65" style="12" customWidth="1"/>
    <col min="3" max="3" width="13" style="12" customWidth="1"/>
    <col min="4" max="4" width="7.140625" style="12" customWidth="1"/>
    <col min="5" max="5" width="2.28515625" style="12" customWidth="1"/>
    <col min="6" max="8" width="11.28515625" style="12" hidden="1" customWidth="1"/>
    <col min="9" max="9" width="13.140625" style="12" hidden="1" customWidth="1"/>
    <col min="10" max="10" width="11.28515625" style="12" hidden="1" customWidth="1"/>
    <col min="11" max="11" width="12.5703125" style="12" hidden="1" customWidth="1"/>
    <col min="12" max="12" width="11.28515625" style="12" customWidth="1"/>
    <col min="13" max="13" width="12.5703125" style="12" hidden="1" customWidth="1"/>
    <col min="14" max="14" width="11.28515625" style="12" hidden="1" customWidth="1"/>
    <col min="15" max="15" width="12.42578125" style="12" hidden="1" customWidth="1"/>
    <col min="16" max="17" width="12.42578125" style="12" customWidth="1"/>
    <col min="18" max="18" width="9.28515625" style="12" bestFit="1" customWidth="1"/>
    <col min="19" max="16384" width="9.140625" style="12"/>
  </cols>
  <sheetData>
    <row r="1" spans="2:15">
      <c r="F1" s="14"/>
      <c r="G1" s="14"/>
      <c r="H1" s="14"/>
      <c r="I1" s="14"/>
      <c r="J1" s="14"/>
      <c r="K1" s="14"/>
      <c r="M1" s="14"/>
      <c r="N1" s="14"/>
      <c r="O1" s="14"/>
    </row>
    <row r="2" spans="2:15" s="9" customFormat="1" ht="18">
      <c r="B2" s="306" t="s">
        <v>174</v>
      </c>
      <c r="C2" s="8"/>
      <c r="F2" s="14"/>
      <c r="G2" s="14"/>
      <c r="H2" s="14"/>
      <c r="I2" s="14"/>
      <c r="J2" s="14"/>
      <c r="K2" s="14"/>
    </row>
    <row r="3" spans="2:15">
      <c r="F3" s="14"/>
      <c r="G3" s="14"/>
      <c r="H3" s="14"/>
      <c r="I3" s="14"/>
      <c r="J3" s="14"/>
      <c r="K3" s="14"/>
      <c r="M3" s="14"/>
      <c r="N3" s="14"/>
      <c r="O3" s="14"/>
    </row>
    <row r="4" spans="2:15" s="11" customFormat="1">
      <c r="B4" s="159" t="s">
        <v>1</v>
      </c>
      <c r="C4" s="10"/>
      <c r="F4" s="14"/>
      <c r="G4" s="14"/>
      <c r="H4" s="14"/>
      <c r="I4" s="14"/>
      <c r="J4" s="14"/>
      <c r="K4" s="14"/>
      <c r="M4" s="14"/>
      <c r="N4" s="14"/>
      <c r="O4" s="14"/>
    </row>
    <row r="5" spans="2:15">
      <c r="F5" s="14"/>
      <c r="G5" s="14"/>
      <c r="H5" s="14"/>
      <c r="I5" s="14"/>
      <c r="J5" s="14"/>
      <c r="K5" s="14"/>
      <c r="M5" s="14"/>
      <c r="N5" s="14"/>
      <c r="O5" s="14"/>
    </row>
    <row r="6" spans="2:15">
      <c r="B6" s="174" t="s">
        <v>175</v>
      </c>
      <c r="C6" s="33"/>
      <c r="D6" s="15"/>
      <c r="E6" s="15"/>
      <c r="F6" s="14"/>
      <c r="G6" s="14"/>
      <c r="H6" s="14"/>
      <c r="I6" s="14"/>
      <c r="J6" s="14"/>
      <c r="K6" s="14"/>
      <c r="M6" s="14"/>
      <c r="N6" s="14"/>
      <c r="O6" s="14"/>
    </row>
    <row r="7" spans="2:15">
      <c r="B7" s="174" t="s">
        <v>170</v>
      </c>
      <c r="C7" s="15"/>
      <c r="D7" s="15"/>
      <c r="E7" s="15"/>
      <c r="F7" s="14"/>
      <c r="G7" s="14"/>
      <c r="H7" s="14"/>
      <c r="I7" s="14"/>
      <c r="J7" s="14"/>
      <c r="K7" s="14"/>
      <c r="M7" s="14"/>
      <c r="N7" s="14"/>
      <c r="O7" s="14"/>
    </row>
    <row r="8" spans="2:15">
      <c r="B8" s="161"/>
      <c r="C8" s="33"/>
      <c r="D8" s="15"/>
      <c r="E8" s="15"/>
      <c r="F8" s="14"/>
      <c r="G8" s="14"/>
      <c r="H8" s="14"/>
      <c r="I8" s="14"/>
      <c r="J8" s="14"/>
      <c r="K8" s="14"/>
      <c r="M8" s="14"/>
      <c r="N8" s="14"/>
      <c r="O8" s="14"/>
    </row>
    <row r="9" spans="2:15">
      <c r="B9" s="183" t="s">
        <v>176</v>
      </c>
      <c r="C9" s="33"/>
      <c r="D9" s="15"/>
      <c r="E9" s="15"/>
      <c r="F9" s="14"/>
      <c r="G9" s="14"/>
      <c r="H9" s="14"/>
      <c r="I9" s="14"/>
      <c r="J9" s="14"/>
      <c r="K9" s="14"/>
      <c r="M9" s="14"/>
      <c r="N9" s="14"/>
      <c r="O9" s="14"/>
    </row>
    <row r="10" spans="2:15">
      <c r="B10" s="183"/>
      <c r="C10" s="33"/>
      <c r="D10" s="15"/>
      <c r="E10" s="15"/>
      <c r="F10" s="14"/>
      <c r="G10" s="14"/>
      <c r="H10" s="14"/>
      <c r="I10" s="14"/>
      <c r="J10" s="14"/>
      <c r="K10" s="14"/>
      <c r="M10" s="14"/>
      <c r="N10" s="14"/>
      <c r="O10" s="14"/>
    </row>
    <row r="11" spans="2:15">
      <c r="B11" s="184" t="s">
        <v>114</v>
      </c>
      <c r="C11" s="33"/>
      <c r="D11" s="15"/>
      <c r="E11" s="15"/>
      <c r="F11" s="14"/>
      <c r="G11" s="14"/>
      <c r="H11" s="14"/>
      <c r="I11" s="14"/>
      <c r="J11" s="14"/>
      <c r="K11" s="14"/>
      <c r="M11" s="14"/>
      <c r="N11" s="14"/>
      <c r="O11" s="14"/>
    </row>
    <row r="12" spans="2:15">
      <c r="B12" s="183" t="s">
        <v>177</v>
      </c>
      <c r="C12" s="33"/>
      <c r="D12" s="15"/>
      <c r="E12" s="15"/>
      <c r="F12" s="14"/>
      <c r="G12" s="14"/>
      <c r="H12" s="14"/>
      <c r="I12" s="14"/>
      <c r="J12" s="14"/>
      <c r="K12" s="14"/>
      <c r="M12" s="14"/>
      <c r="N12" s="14"/>
      <c r="O12" s="14"/>
    </row>
    <row r="13" spans="2:15">
      <c r="B13" s="183" t="s">
        <v>335</v>
      </c>
      <c r="C13" s="33"/>
      <c r="D13" s="15"/>
      <c r="E13" s="15"/>
      <c r="F13" s="14"/>
      <c r="G13" s="14"/>
      <c r="H13" s="14"/>
      <c r="I13" s="14"/>
      <c r="J13" s="14"/>
      <c r="K13" s="14"/>
      <c r="M13" s="14"/>
      <c r="N13" s="14"/>
      <c r="O13" s="14"/>
    </row>
    <row r="14" spans="2:15">
      <c r="B14" s="183"/>
      <c r="C14" s="33"/>
      <c r="D14" s="15"/>
      <c r="E14" s="15"/>
      <c r="F14" s="14"/>
      <c r="G14" s="14"/>
      <c r="H14" s="14"/>
      <c r="I14" s="14"/>
      <c r="J14" s="14"/>
      <c r="K14" s="14"/>
      <c r="M14" s="14"/>
      <c r="N14" s="14"/>
      <c r="O14" s="14"/>
    </row>
    <row r="15" spans="2:15">
      <c r="B15" s="184" t="s">
        <v>115</v>
      </c>
      <c r="C15" s="33"/>
      <c r="D15" s="15"/>
      <c r="E15" s="15"/>
      <c r="F15" s="14"/>
      <c r="G15" s="14"/>
      <c r="H15" s="14"/>
      <c r="I15" s="14"/>
      <c r="J15" s="14"/>
      <c r="K15" s="14"/>
      <c r="M15" s="14"/>
      <c r="N15" s="14"/>
      <c r="O15" s="14"/>
    </row>
    <row r="16" spans="2:15">
      <c r="B16" s="183" t="s">
        <v>195</v>
      </c>
      <c r="C16" s="33"/>
      <c r="D16" s="15"/>
      <c r="E16" s="15"/>
      <c r="F16" s="14"/>
      <c r="G16" s="14"/>
      <c r="H16" s="14"/>
      <c r="I16" s="14"/>
      <c r="J16" s="14"/>
      <c r="K16" s="14"/>
      <c r="M16" s="14"/>
      <c r="N16" s="14"/>
      <c r="O16" s="14"/>
    </row>
    <row r="17" spans="2:15">
      <c r="B17" s="183" t="s">
        <v>196</v>
      </c>
      <c r="C17" s="33"/>
      <c r="D17" s="15"/>
      <c r="E17" s="15"/>
      <c r="F17" s="14"/>
      <c r="G17" s="14"/>
      <c r="H17" s="14"/>
      <c r="I17" s="14"/>
      <c r="J17" s="14"/>
      <c r="K17" s="14"/>
      <c r="M17" s="14"/>
      <c r="N17" s="14"/>
      <c r="O17" s="14"/>
    </row>
    <row r="18" spans="2:15">
      <c r="B18" s="183"/>
      <c r="C18" s="33"/>
      <c r="D18" s="15"/>
      <c r="E18" s="15"/>
      <c r="F18" s="14"/>
      <c r="G18" s="14"/>
      <c r="H18" s="14"/>
      <c r="I18" s="14"/>
      <c r="J18" s="14"/>
      <c r="K18" s="14"/>
      <c r="M18" s="14"/>
      <c r="N18" s="14"/>
      <c r="O18" s="14"/>
    </row>
    <row r="19" spans="2:15">
      <c r="B19" s="184" t="s">
        <v>116</v>
      </c>
      <c r="C19" s="33"/>
      <c r="D19" s="15"/>
      <c r="E19" s="15"/>
      <c r="F19" s="14"/>
      <c r="G19" s="14"/>
      <c r="H19" s="14"/>
      <c r="I19" s="14"/>
      <c r="J19" s="14"/>
      <c r="K19" s="14"/>
      <c r="M19" s="14"/>
      <c r="N19" s="14"/>
      <c r="O19" s="14"/>
    </row>
    <row r="20" spans="2:15">
      <c r="B20" s="183" t="s">
        <v>290</v>
      </c>
      <c r="C20" s="33"/>
      <c r="D20" s="15"/>
      <c r="E20" s="15"/>
      <c r="F20" s="14"/>
      <c r="G20" s="14"/>
      <c r="H20" s="14"/>
      <c r="I20" s="14"/>
      <c r="J20" s="14"/>
      <c r="K20" s="14"/>
      <c r="M20" s="14"/>
      <c r="N20" s="14"/>
      <c r="O20" s="14"/>
    </row>
    <row r="21" spans="2:15">
      <c r="C21" s="33"/>
      <c r="D21" s="15"/>
      <c r="E21" s="15"/>
      <c r="F21" s="14"/>
      <c r="G21" s="14"/>
      <c r="H21" s="14"/>
      <c r="I21" s="14"/>
      <c r="J21" s="14"/>
      <c r="K21" s="14"/>
      <c r="M21" s="14"/>
      <c r="N21" s="14"/>
      <c r="O21" s="14"/>
    </row>
    <row r="22" spans="2:15" s="186" customFormat="1">
      <c r="B22" s="185" t="s">
        <v>74</v>
      </c>
      <c r="F22" s="187"/>
      <c r="G22" s="187"/>
      <c r="H22" s="187"/>
      <c r="I22" s="187"/>
      <c r="J22" s="187"/>
      <c r="K22" s="187"/>
      <c r="M22" s="187"/>
      <c r="N22" s="187"/>
      <c r="O22" s="187"/>
    </row>
    <row r="23" spans="2:15" s="190" customFormat="1">
      <c r="B23" s="188"/>
      <c r="C23" s="189"/>
      <c r="F23" s="187"/>
      <c r="G23" s="187"/>
      <c r="H23" s="187"/>
      <c r="I23" s="187"/>
      <c r="J23" s="187"/>
      <c r="K23" s="187"/>
      <c r="M23" s="187"/>
      <c r="N23" s="187"/>
      <c r="O23" s="187"/>
    </row>
    <row r="24" spans="2:15" s="190" customFormat="1">
      <c r="B24" s="191" t="s">
        <v>74</v>
      </c>
      <c r="C24" s="189"/>
      <c r="F24" s="187"/>
      <c r="G24" s="187"/>
      <c r="H24" s="187"/>
      <c r="I24" s="187"/>
      <c r="J24" s="187"/>
      <c r="K24" s="187"/>
      <c r="M24" s="187"/>
      <c r="N24" s="187"/>
      <c r="O24" s="187"/>
    </row>
    <row r="25" spans="2:15" s="190" customFormat="1">
      <c r="B25" s="192" t="s">
        <v>111</v>
      </c>
      <c r="C25" s="342">
        <v>1.4E-2</v>
      </c>
      <c r="F25" s="187"/>
      <c r="G25" s="193"/>
      <c r="H25" s="187"/>
      <c r="I25" s="187"/>
      <c r="J25" s="187"/>
      <c r="K25" s="187"/>
      <c r="M25" s="187"/>
      <c r="N25" s="187"/>
      <c r="O25" s="187"/>
    </row>
    <row r="26" spans="2:15" s="190" customFormat="1">
      <c r="B26" s="192" t="s">
        <v>112</v>
      </c>
      <c r="C26" s="342">
        <v>1.0999999999999999E-2</v>
      </c>
      <c r="F26" s="187"/>
      <c r="G26" s="193"/>
      <c r="H26" s="187"/>
      <c r="I26" s="187"/>
      <c r="J26" s="187"/>
      <c r="K26" s="187"/>
      <c r="M26" s="187"/>
      <c r="N26" s="187"/>
      <c r="O26" s="187"/>
    </row>
    <row r="27" spans="2:15" s="190" customFormat="1">
      <c r="B27" s="192" t="s">
        <v>75</v>
      </c>
      <c r="C27" s="342">
        <v>3.2000000000000001E-2</v>
      </c>
      <c r="F27" s="187"/>
      <c r="G27" s="193"/>
      <c r="H27" s="187"/>
      <c r="I27" s="187"/>
      <c r="J27" s="187"/>
      <c r="K27" s="187"/>
      <c r="M27" s="187"/>
      <c r="N27" s="187"/>
      <c r="O27" s="187"/>
    </row>
    <row r="28" spans="2:15" s="190" customFormat="1">
      <c r="B28" s="192" t="s">
        <v>76</v>
      </c>
      <c r="C28" s="342">
        <v>3.0000000000000001E-3</v>
      </c>
      <c r="F28" s="187"/>
      <c r="G28" s="193"/>
      <c r="H28" s="187"/>
      <c r="I28" s="187"/>
      <c r="J28" s="187"/>
      <c r="K28" s="187"/>
      <c r="M28" s="187"/>
      <c r="N28" s="187"/>
      <c r="O28" s="187"/>
    </row>
    <row r="29" spans="2:15" s="190" customFormat="1">
      <c r="B29" s="188"/>
      <c r="C29" s="200"/>
      <c r="F29" s="187"/>
      <c r="G29" s="193"/>
      <c r="H29" s="187"/>
      <c r="I29" s="187"/>
      <c r="J29" s="187"/>
      <c r="K29" s="187"/>
      <c r="M29" s="187"/>
      <c r="N29" s="187"/>
      <c r="O29" s="187"/>
    </row>
    <row r="30" spans="2:15" s="190" customFormat="1">
      <c r="B30" s="192" t="s">
        <v>125</v>
      </c>
      <c r="C30" s="343">
        <v>5.5E-2</v>
      </c>
      <c r="F30" s="193"/>
      <c r="G30" s="187"/>
      <c r="H30" s="187"/>
      <c r="I30" s="187"/>
      <c r="J30" s="187"/>
      <c r="K30" s="187"/>
      <c r="M30" s="187"/>
      <c r="N30" s="187"/>
      <c r="O30" s="187"/>
    </row>
    <row r="31" spans="2:15">
      <c r="B31" s="13"/>
      <c r="C31" s="13"/>
      <c r="F31" s="14"/>
      <c r="G31" s="14"/>
      <c r="H31" s="14"/>
      <c r="I31" s="14"/>
      <c r="J31" s="14"/>
      <c r="K31" s="14"/>
      <c r="M31" s="14"/>
      <c r="N31" s="14"/>
      <c r="O31" s="14"/>
    </row>
    <row r="32" spans="2:15" s="186" customFormat="1">
      <c r="B32" s="185" t="s">
        <v>103</v>
      </c>
      <c r="F32" s="187"/>
      <c r="G32" s="187"/>
      <c r="H32" s="187"/>
      <c r="I32" s="187"/>
      <c r="J32" s="187"/>
      <c r="K32" s="187"/>
      <c r="M32" s="187"/>
      <c r="N32" s="187"/>
      <c r="O32" s="187"/>
    </row>
    <row r="33" spans="1:17" s="190" customFormat="1">
      <c r="F33" s="187"/>
      <c r="G33" s="187"/>
      <c r="H33" s="187"/>
      <c r="I33" s="187"/>
      <c r="J33" s="187"/>
      <c r="K33" s="187"/>
      <c r="M33" s="187"/>
      <c r="N33" s="187"/>
      <c r="O33" s="187"/>
    </row>
    <row r="34" spans="1:17" s="198" customFormat="1">
      <c r="A34" s="195"/>
      <c r="B34" s="196"/>
      <c r="C34" s="196"/>
      <c r="D34" s="196"/>
      <c r="E34" s="196"/>
      <c r="F34" s="197"/>
      <c r="G34" s="197"/>
      <c r="H34" s="197"/>
      <c r="I34" s="197"/>
      <c r="J34" s="197"/>
      <c r="K34" s="197"/>
      <c r="L34" s="304" t="s">
        <v>8</v>
      </c>
      <c r="M34" s="197"/>
      <c r="N34" s="197"/>
      <c r="O34" s="197"/>
    </row>
    <row r="35" spans="1:17" s="194" customFormat="1" ht="11.25">
      <c r="A35" s="199"/>
      <c r="B35" s="199"/>
      <c r="C35" s="199"/>
      <c r="D35" s="199"/>
      <c r="E35" s="199"/>
      <c r="F35" s="195"/>
      <c r="G35" s="195"/>
      <c r="H35" s="195"/>
      <c r="I35" s="195"/>
      <c r="J35" s="195"/>
      <c r="K35" s="195"/>
      <c r="L35" s="199"/>
      <c r="M35" s="195"/>
      <c r="N35" s="195"/>
      <c r="O35" s="195"/>
    </row>
    <row r="36" spans="1:17" s="194" customFormat="1">
      <c r="A36" s="199"/>
      <c r="B36" s="200" t="s">
        <v>104</v>
      </c>
      <c r="C36" s="169" t="s">
        <v>106</v>
      </c>
      <c r="D36" s="199"/>
      <c r="E36" s="199"/>
      <c r="F36" s="201"/>
      <c r="G36" s="201"/>
      <c r="H36" s="201"/>
      <c r="I36" s="201"/>
      <c r="J36" s="201"/>
      <c r="K36" s="201"/>
      <c r="L36" s="344">
        <v>12587472.452895015</v>
      </c>
      <c r="M36" s="201"/>
      <c r="N36" s="201"/>
      <c r="O36" s="201"/>
      <c r="P36" s="170"/>
      <c r="Q36" s="200" t="s">
        <v>178</v>
      </c>
    </row>
    <row r="37" spans="1:17" s="194" customFormat="1">
      <c r="A37" s="199"/>
      <c r="B37" s="200"/>
      <c r="C37" s="199"/>
      <c r="D37" s="199"/>
      <c r="E37" s="199"/>
      <c r="F37" s="195"/>
      <c r="G37" s="195"/>
      <c r="H37" s="195"/>
      <c r="I37" s="195"/>
      <c r="J37" s="195"/>
      <c r="K37" s="195"/>
      <c r="L37" s="221"/>
      <c r="M37" s="195"/>
      <c r="N37" s="195"/>
      <c r="O37" s="195"/>
      <c r="P37" s="202"/>
    </row>
    <row r="38" spans="1:17" s="194" customFormat="1">
      <c r="A38" s="199"/>
      <c r="B38" s="200" t="s">
        <v>105</v>
      </c>
      <c r="C38" s="169" t="s">
        <v>106</v>
      </c>
      <c r="D38" s="199"/>
      <c r="E38" s="199"/>
      <c r="F38" s="203"/>
      <c r="G38" s="203"/>
      <c r="H38" s="203"/>
      <c r="I38" s="203"/>
      <c r="J38" s="203"/>
      <c r="K38" s="203"/>
      <c r="L38" s="344">
        <v>12426839.468181998</v>
      </c>
      <c r="M38" s="203"/>
      <c r="N38" s="203"/>
      <c r="O38" s="203"/>
      <c r="P38" s="170"/>
      <c r="Q38" s="200" t="s">
        <v>178</v>
      </c>
    </row>
    <row r="39" spans="1:17" s="194" customFormat="1">
      <c r="A39" s="199"/>
      <c r="B39" s="200" t="s">
        <v>107</v>
      </c>
      <c r="C39" s="169" t="s">
        <v>106</v>
      </c>
      <c r="D39" s="199"/>
      <c r="E39" s="199"/>
      <c r="F39" s="203"/>
      <c r="G39" s="203"/>
      <c r="H39" s="203"/>
      <c r="I39" s="203"/>
      <c r="J39" s="203"/>
      <c r="K39" s="203"/>
      <c r="L39" s="344">
        <v>2593990.6650977856</v>
      </c>
      <c r="M39" s="203"/>
      <c r="N39" s="203"/>
      <c r="O39" s="203"/>
      <c r="P39" s="170"/>
      <c r="Q39" s="200" t="s">
        <v>178</v>
      </c>
    </row>
    <row r="40" spans="1:17" s="194" customFormat="1">
      <c r="A40" s="199"/>
      <c r="B40" s="200"/>
      <c r="C40" s="199"/>
      <c r="D40" s="199"/>
      <c r="E40" s="199"/>
      <c r="F40" s="203"/>
      <c r="G40" s="203"/>
      <c r="H40" s="203"/>
      <c r="I40" s="203"/>
      <c r="J40" s="203"/>
      <c r="K40" s="203"/>
      <c r="L40" s="345"/>
      <c r="M40" s="203"/>
      <c r="N40" s="203"/>
      <c r="O40" s="203"/>
    </row>
    <row r="41" spans="1:17" s="207" customFormat="1">
      <c r="A41" s="204"/>
      <c r="B41" s="200" t="s">
        <v>79</v>
      </c>
      <c r="C41" s="204"/>
      <c r="D41" s="204"/>
      <c r="E41" s="204"/>
      <c r="F41" s="205"/>
      <c r="G41" s="205"/>
      <c r="H41" s="205"/>
      <c r="I41" s="205"/>
      <c r="J41" s="205"/>
      <c r="K41" s="205"/>
      <c r="L41" s="346">
        <v>0.4</v>
      </c>
      <c r="M41" s="205"/>
      <c r="N41" s="205"/>
      <c r="O41" s="205"/>
      <c r="P41" s="206"/>
      <c r="Q41" s="200" t="s">
        <v>178</v>
      </c>
    </row>
    <row r="42" spans="1:17" s="190" customFormat="1">
      <c r="F42" s="195"/>
      <c r="G42" s="195"/>
      <c r="H42" s="195"/>
      <c r="I42" s="195"/>
      <c r="J42" s="195"/>
      <c r="K42" s="195"/>
      <c r="L42" s="200"/>
      <c r="M42" s="195"/>
      <c r="N42" s="195"/>
      <c r="O42" s="195"/>
    </row>
    <row r="43" spans="1:17" s="190" customFormat="1">
      <c r="B43" s="208" t="s">
        <v>108</v>
      </c>
      <c r="C43" s="169" t="s">
        <v>95</v>
      </c>
      <c r="F43" s="201"/>
      <c r="G43" s="201"/>
      <c r="H43" s="201"/>
      <c r="I43" s="201"/>
      <c r="J43" s="201"/>
      <c r="K43" s="201"/>
      <c r="L43" s="347">
        <f>L36*(1-L41/100+$C$26)</f>
        <v>12675584.76006528</v>
      </c>
      <c r="M43" s="201"/>
      <c r="N43" s="201"/>
      <c r="O43" s="201"/>
    </row>
    <row r="44" spans="1:17" s="190" customFormat="1">
      <c r="B44" s="208" t="s">
        <v>109</v>
      </c>
      <c r="C44" s="169" t="s">
        <v>96</v>
      </c>
      <c r="F44" s="201"/>
      <c r="G44" s="201"/>
      <c r="H44" s="201"/>
      <c r="I44" s="201"/>
      <c r="J44" s="201"/>
      <c r="K44" s="201"/>
      <c r="L44" s="347">
        <f>L43*(1-$L$41/100+C27)</f>
        <v>13030501.133347109</v>
      </c>
      <c r="M44" s="201"/>
      <c r="N44" s="201"/>
      <c r="O44" s="201"/>
    </row>
    <row r="45" spans="1:17" s="190" customFormat="1">
      <c r="B45" s="208" t="s">
        <v>110</v>
      </c>
      <c r="C45" s="169" t="s">
        <v>16</v>
      </c>
      <c r="F45" s="201"/>
      <c r="G45" s="201"/>
      <c r="H45" s="201"/>
      <c r="I45" s="201"/>
      <c r="J45" s="201"/>
      <c r="K45" s="201"/>
      <c r="L45" s="347">
        <f>L44*(1-$L$41/100+C28)</f>
        <v>13017470.632213762</v>
      </c>
      <c r="M45" s="201"/>
      <c r="N45" s="201"/>
      <c r="O45" s="201"/>
    </row>
    <row r="46" spans="1:17" s="190" customFormat="1">
      <c r="F46" s="187"/>
      <c r="G46" s="187"/>
      <c r="H46" s="187"/>
      <c r="I46" s="187"/>
      <c r="J46" s="187"/>
      <c r="K46" s="187"/>
      <c r="M46" s="187"/>
      <c r="N46" s="187"/>
      <c r="O46" s="187"/>
    </row>
    <row r="47" spans="1:17" s="186" customFormat="1">
      <c r="B47" s="185" t="s">
        <v>113</v>
      </c>
      <c r="C47" s="185"/>
      <c r="F47" s="187"/>
      <c r="G47" s="187"/>
      <c r="H47" s="187"/>
      <c r="I47" s="187"/>
      <c r="J47" s="187"/>
      <c r="K47" s="187"/>
      <c r="M47" s="187"/>
      <c r="N47" s="187"/>
      <c r="O47" s="187"/>
    </row>
    <row r="48" spans="1:17" s="190" customFormat="1">
      <c r="F48" s="187"/>
      <c r="G48" s="187"/>
      <c r="H48" s="187"/>
      <c r="I48" s="187"/>
      <c r="J48" s="187"/>
      <c r="K48" s="187"/>
      <c r="M48" s="187"/>
      <c r="N48" s="187"/>
      <c r="O48" s="187"/>
    </row>
    <row r="49" spans="1:17" s="198" customFormat="1">
      <c r="A49" s="195"/>
      <c r="B49" s="196"/>
      <c r="C49" s="196"/>
      <c r="D49" s="196"/>
      <c r="E49" s="196"/>
      <c r="F49" s="197"/>
      <c r="G49" s="197"/>
      <c r="H49" s="197"/>
      <c r="I49" s="197"/>
      <c r="J49" s="197"/>
      <c r="K49" s="197"/>
      <c r="L49" s="304" t="s">
        <v>8</v>
      </c>
      <c r="M49" s="197"/>
      <c r="N49" s="197"/>
      <c r="O49" s="197"/>
    </row>
    <row r="50" spans="1:17" s="194" customFormat="1" ht="11.25">
      <c r="A50" s="199"/>
      <c r="B50" s="199"/>
      <c r="C50" s="199"/>
      <c r="D50" s="199"/>
      <c r="E50" s="199"/>
      <c r="F50" s="195"/>
      <c r="G50" s="195"/>
      <c r="H50" s="195"/>
      <c r="I50" s="195"/>
      <c r="J50" s="195"/>
      <c r="K50" s="195"/>
      <c r="L50" s="199"/>
      <c r="M50" s="195"/>
      <c r="N50" s="195"/>
      <c r="O50" s="195"/>
    </row>
    <row r="51" spans="1:17" s="194" customFormat="1">
      <c r="A51" s="199"/>
      <c r="B51" s="200" t="s">
        <v>104</v>
      </c>
      <c r="C51" s="169" t="s">
        <v>106</v>
      </c>
      <c r="D51" s="199"/>
      <c r="E51" s="199"/>
      <c r="F51" s="201"/>
      <c r="G51" s="201"/>
      <c r="H51" s="201"/>
      <c r="I51" s="201"/>
      <c r="J51" s="201"/>
      <c r="K51" s="201"/>
      <c r="L51" s="344">
        <v>12587472.452895015</v>
      </c>
      <c r="M51" s="201"/>
      <c r="N51" s="201"/>
      <c r="O51" s="201"/>
      <c r="P51" s="170"/>
      <c r="Q51" s="200" t="s">
        <v>179</v>
      </c>
    </row>
    <row r="52" spans="1:17" s="194" customFormat="1">
      <c r="A52" s="199"/>
      <c r="B52" s="200"/>
      <c r="C52" s="199"/>
      <c r="D52" s="199"/>
      <c r="E52" s="199"/>
      <c r="F52" s="195"/>
      <c r="G52" s="195"/>
      <c r="H52" s="195"/>
      <c r="I52" s="195"/>
      <c r="J52" s="195"/>
      <c r="K52" s="195"/>
      <c r="L52" s="221"/>
      <c r="M52" s="195"/>
      <c r="N52" s="195"/>
      <c r="O52" s="195"/>
      <c r="P52" s="202"/>
    </row>
    <row r="53" spans="1:17" s="194" customFormat="1">
      <c r="A53" s="199"/>
      <c r="B53" s="200" t="s">
        <v>105</v>
      </c>
      <c r="C53" s="169" t="s">
        <v>106</v>
      </c>
      <c r="D53" s="199"/>
      <c r="E53" s="199"/>
      <c r="F53" s="203"/>
      <c r="G53" s="203"/>
      <c r="H53" s="203"/>
      <c r="I53" s="203"/>
      <c r="J53" s="203"/>
      <c r="K53" s="203"/>
      <c r="L53" s="344">
        <v>13047244.347124906</v>
      </c>
      <c r="M53" s="203"/>
      <c r="N53" s="203"/>
      <c r="O53" s="203"/>
      <c r="P53" s="170"/>
      <c r="Q53" s="200" t="s">
        <v>180</v>
      </c>
    </row>
    <row r="54" spans="1:17" s="194" customFormat="1">
      <c r="A54" s="199"/>
      <c r="B54" s="200" t="s">
        <v>107</v>
      </c>
      <c r="C54" s="169" t="s">
        <v>106</v>
      </c>
      <c r="D54" s="199"/>
      <c r="E54" s="199"/>
      <c r="F54" s="203"/>
      <c r="G54" s="203"/>
      <c r="H54" s="203"/>
      <c r="I54" s="203"/>
      <c r="J54" s="203"/>
      <c r="K54" s="203"/>
      <c r="L54" s="344">
        <v>3222171.6316184732</v>
      </c>
      <c r="M54" s="203"/>
      <c r="N54" s="203"/>
      <c r="O54" s="203"/>
      <c r="P54" s="170"/>
      <c r="Q54" s="200" t="s">
        <v>180</v>
      </c>
    </row>
    <row r="55" spans="1:17" s="194" customFormat="1">
      <c r="A55" s="199"/>
      <c r="B55" s="200"/>
      <c r="C55" s="199"/>
      <c r="D55" s="199"/>
      <c r="E55" s="199"/>
      <c r="F55" s="203"/>
      <c r="G55" s="203"/>
      <c r="H55" s="203"/>
      <c r="I55" s="203"/>
      <c r="J55" s="203"/>
      <c r="K55" s="203"/>
      <c r="L55" s="345"/>
      <c r="M55" s="203"/>
      <c r="N55" s="203"/>
      <c r="O55" s="203"/>
    </row>
    <row r="56" spans="1:17" s="207" customFormat="1">
      <c r="A56" s="204"/>
      <c r="B56" s="200" t="s">
        <v>79</v>
      </c>
      <c r="C56" s="204"/>
      <c r="D56" s="204"/>
      <c r="E56" s="204"/>
      <c r="F56" s="205"/>
      <c r="G56" s="205"/>
      <c r="H56" s="205"/>
      <c r="I56" s="205"/>
      <c r="J56" s="205"/>
      <c r="K56" s="205"/>
      <c r="L56" s="348">
        <v>-1.3</v>
      </c>
      <c r="M56" s="205"/>
      <c r="N56" s="205"/>
      <c r="O56" s="205"/>
      <c r="P56" s="206"/>
      <c r="Q56" s="200" t="s">
        <v>180</v>
      </c>
    </row>
    <row r="57" spans="1:17" s="190" customFormat="1">
      <c r="F57" s="195"/>
      <c r="G57" s="195"/>
      <c r="H57" s="195"/>
      <c r="I57" s="195"/>
      <c r="J57" s="195"/>
      <c r="K57" s="195"/>
      <c r="L57" s="200"/>
      <c r="M57" s="195"/>
      <c r="N57" s="195"/>
      <c r="O57" s="195"/>
    </row>
    <row r="58" spans="1:17" s="190" customFormat="1">
      <c r="B58" s="208" t="s">
        <v>108</v>
      </c>
      <c r="C58" s="169" t="s">
        <v>95</v>
      </c>
      <c r="F58" s="201"/>
      <c r="G58" s="201"/>
      <c r="H58" s="201"/>
      <c r="I58" s="201"/>
      <c r="J58" s="201"/>
      <c r="K58" s="201"/>
      <c r="L58" s="347">
        <f>L51*(1-$L$56/100+C$26)</f>
        <v>12889571.791764494</v>
      </c>
      <c r="M58" s="201"/>
      <c r="N58" s="201"/>
      <c r="O58" s="201"/>
    </row>
    <row r="59" spans="1:17" s="190" customFormat="1">
      <c r="B59" s="208" t="s">
        <v>109</v>
      </c>
      <c r="C59" s="169" t="s">
        <v>96</v>
      </c>
      <c r="F59" s="201"/>
      <c r="G59" s="201"/>
      <c r="H59" s="201"/>
      <c r="I59" s="201"/>
      <c r="J59" s="201"/>
      <c r="K59" s="201"/>
      <c r="L59" s="347">
        <f>L58*(1-$L$56/100+C$27)</f>
        <v>13469602.522393895</v>
      </c>
      <c r="M59" s="201"/>
      <c r="N59" s="201"/>
      <c r="O59" s="201"/>
    </row>
    <row r="60" spans="1:17" s="190" customFormat="1">
      <c r="B60" s="208" t="s">
        <v>110</v>
      </c>
      <c r="C60" s="169" t="s">
        <v>16</v>
      </c>
      <c r="F60" s="201"/>
      <c r="G60" s="201"/>
      <c r="H60" s="201"/>
      <c r="I60" s="201"/>
      <c r="J60" s="201"/>
      <c r="K60" s="201"/>
      <c r="L60" s="347">
        <f>L59*(1-$L$56/100+C$28)</f>
        <v>13685116.162752194</v>
      </c>
      <c r="M60" s="201"/>
      <c r="N60" s="201"/>
      <c r="O60" s="201"/>
    </row>
    <row r="61" spans="1:17" s="190" customFormat="1">
      <c r="F61" s="187"/>
      <c r="G61" s="187"/>
      <c r="H61" s="187"/>
      <c r="I61" s="187"/>
      <c r="J61" s="187"/>
      <c r="K61" s="187"/>
      <c r="M61" s="187"/>
      <c r="N61" s="187"/>
      <c r="O61" s="187"/>
    </row>
    <row r="62" spans="1:17" s="186" customFormat="1">
      <c r="B62" s="185" t="s">
        <v>181</v>
      </c>
      <c r="C62" s="185"/>
      <c r="F62" s="187"/>
      <c r="G62" s="187"/>
      <c r="H62" s="187"/>
      <c r="I62" s="187"/>
      <c r="J62" s="187"/>
      <c r="K62" s="187"/>
      <c r="M62" s="187"/>
      <c r="N62" s="187"/>
      <c r="O62" s="187"/>
    </row>
    <row r="63" spans="1:17" s="190" customFormat="1">
      <c r="F63" s="187"/>
      <c r="G63" s="187"/>
      <c r="H63" s="187"/>
      <c r="I63" s="187"/>
      <c r="J63" s="187"/>
      <c r="K63" s="187"/>
      <c r="M63" s="187"/>
      <c r="N63" s="187"/>
      <c r="O63" s="187"/>
    </row>
    <row r="64" spans="1:17" s="190" customFormat="1">
      <c r="B64" s="208" t="s">
        <v>182</v>
      </c>
      <c r="F64" s="187"/>
      <c r="G64" s="187"/>
      <c r="H64" s="187"/>
      <c r="I64" s="187"/>
      <c r="J64" s="187"/>
      <c r="K64" s="187"/>
      <c r="M64" s="187"/>
      <c r="N64" s="187"/>
      <c r="O64" s="187"/>
    </row>
    <row r="65" spans="2:15" s="190" customFormat="1">
      <c r="B65" s="200" t="s">
        <v>183</v>
      </c>
      <c r="C65" s="169" t="s">
        <v>95</v>
      </c>
      <c r="F65" s="187"/>
      <c r="G65" s="187"/>
      <c r="H65" s="187"/>
      <c r="I65" s="187"/>
      <c r="J65" s="187"/>
      <c r="K65" s="187"/>
      <c r="L65" s="273">
        <f>L43</f>
        <v>12675584.76006528</v>
      </c>
      <c r="M65" s="187"/>
      <c r="N65" s="187"/>
      <c r="O65" s="187"/>
    </row>
    <row r="66" spans="2:15" s="190" customFormat="1">
      <c r="B66" s="200" t="s">
        <v>184</v>
      </c>
      <c r="C66" s="169" t="s">
        <v>95</v>
      </c>
      <c r="F66" s="187"/>
      <c r="G66" s="187"/>
      <c r="H66" s="187"/>
      <c r="I66" s="187"/>
      <c r="J66" s="187"/>
      <c r="K66" s="187"/>
      <c r="L66" s="273">
        <f>L58</f>
        <v>12889571.791764494</v>
      </c>
      <c r="M66" s="187"/>
      <c r="N66" s="187"/>
      <c r="O66" s="187"/>
    </row>
    <row r="67" spans="2:15" s="190" customFormat="1">
      <c r="B67" s="200" t="s">
        <v>185</v>
      </c>
      <c r="C67" s="169" t="s">
        <v>95</v>
      </c>
      <c r="F67" s="187"/>
      <c r="G67" s="187"/>
      <c r="H67" s="187"/>
      <c r="I67" s="187"/>
      <c r="J67" s="187"/>
      <c r="K67" s="187"/>
      <c r="L67" s="349">
        <f>L66-L65</f>
        <v>213987.03169921413</v>
      </c>
      <c r="M67" s="187"/>
      <c r="N67" s="187"/>
      <c r="O67" s="187"/>
    </row>
    <row r="68" spans="2:15" s="190" customFormat="1">
      <c r="F68" s="187"/>
      <c r="G68" s="187"/>
      <c r="H68" s="187"/>
      <c r="I68" s="187"/>
      <c r="J68" s="187"/>
      <c r="K68" s="187"/>
      <c r="L68" s="200"/>
      <c r="M68" s="187"/>
      <c r="N68" s="187"/>
      <c r="O68" s="187"/>
    </row>
    <row r="69" spans="2:15" s="190" customFormat="1">
      <c r="B69" s="208" t="s">
        <v>186</v>
      </c>
      <c r="F69" s="187"/>
      <c r="G69" s="187"/>
      <c r="H69" s="187"/>
      <c r="I69" s="187"/>
      <c r="J69" s="187"/>
      <c r="K69" s="187"/>
      <c r="L69" s="200"/>
      <c r="M69" s="187"/>
      <c r="N69" s="187"/>
      <c r="O69" s="187"/>
    </row>
    <row r="70" spans="2:15" s="190" customFormat="1">
      <c r="B70" s="200" t="s">
        <v>183</v>
      </c>
      <c r="C70" s="169" t="s">
        <v>96</v>
      </c>
      <c r="F70" s="187"/>
      <c r="G70" s="187"/>
      <c r="H70" s="187"/>
      <c r="I70" s="187"/>
      <c r="J70" s="187"/>
      <c r="K70" s="187"/>
      <c r="L70" s="273">
        <f>L44</f>
        <v>13030501.133347109</v>
      </c>
      <c r="M70" s="187"/>
      <c r="N70" s="187"/>
      <c r="O70" s="187"/>
    </row>
    <row r="71" spans="2:15" s="190" customFormat="1">
      <c r="B71" s="200" t="s">
        <v>184</v>
      </c>
      <c r="C71" s="169" t="s">
        <v>96</v>
      </c>
      <c r="F71" s="187"/>
      <c r="G71" s="187"/>
      <c r="H71" s="187"/>
      <c r="I71" s="187"/>
      <c r="J71" s="187"/>
      <c r="K71" s="187"/>
      <c r="L71" s="273">
        <f>L59</f>
        <v>13469602.522393895</v>
      </c>
      <c r="M71" s="187"/>
      <c r="N71" s="187"/>
      <c r="O71" s="187"/>
    </row>
    <row r="72" spans="2:15" s="190" customFormat="1">
      <c r="B72" s="200" t="s">
        <v>185</v>
      </c>
      <c r="C72" s="169" t="s">
        <v>96</v>
      </c>
      <c r="F72" s="187"/>
      <c r="G72" s="187"/>
      <c r="H72" s="187"/>
      <c r="I72" s="187"/>
      <c r="J72" s="187"/>
      <c r="K72" s="187"/>
      <c r="L72" s="349">
        <f>L71-L70</f>
        <v>439101.38904678635</v>
      </c>
      <c r="M72" s="187"/>
      <c r="N72" s="187"/>
      <c r="O72" s="187"/>
    </row>
    <row r="73" spans="2:15" s="190" customFormat="1">
      <c r="F73" s="187"/>
      <c r="G73" s="187"/>
      <c r="H73" s="187"/>
      <c r="I73" s="187"/>
      <c r="J73" s="187"/>
      <c r="K73" s="187"/>
      <c r="L73" s="200"/>
      <c r="M73" s="187"/>
      <c r="N73" s="187"/>
      <c r="O73" s="187"/>
    </row>
    <row r="74" spans="2:15" s="190" customFormat="1">
      <c r="B74" s="208" t="s">
        <v>187</v>
      </c>
      <c r="F74" s="187"/>
      <c r="G74" s="187"/>
      <c r="H74" s="187"/>
      <c r="I74" s="187"/>
      <c r="J74" s="187"/>
      <c r="K74" s="187"/>
      <c r="L74" s="200"/>
      <c r="M74" s="187"/>
      <c r="N74" s="187"/>
      <c r="O74" s="187"/>
    </row>
    <row r="75" spans="2:15" s="190" customFormat="1">
      <c r="B75" s="200" t="s">
        <v>183</v>
      </c>
      <c r="C75" s="169" t="s">
        <v>16</v>
      </c>
      <c r="F75" s="187"/>
      <c r="G75" s="187"/>
      <c r="H75" s="187"/>
      <c r="I75" s="187"/>
      <c r="J75" s="187"/>
      <c r="K75" s="187"/>
      <c r="L75" s="273">
        <f>L45</f>
        <v>13017470.632213762</v>
      </c>
      <c r="M75" s="187"/>
      <c r="N75" s="187"/>
      <c r="O75" s="187"/>
    </row>
    <row r="76" spans="2:15" s="190" customFormat="1">
      <c r="B76" s="200" t="s">
        <v>184</v>
      </c>
      <c r="C76" s="169" t="s">
        <v>16</v>
      </c>
      <c r="F76" s="187"/>
      <c r="G76" s="187"/>
      <c r="H76" s="187"/>
      <c r="I76" s="187"/>
      <c r="J76" s="187"/>
      <c r="K76" s="187"/>
      <c r="L76" s="273">
        <f>L60</f>
        <v>13685116.162752194</v>
      </c>
      <c r="M76" s="187"/>
      <c r="N76" s="187"/>
      <c r="O76" s="187"/>
    </row>
    <row r="77" spans="2:15" s="190" customFormat="1">
      <c r="B77" s="200" t="s">
        <v>185</v>
      </c>
      <c r="C77" s="169" t="s">
        <v>16</v>
      </c>
      <c r="F77" s="187"/>
      <c r="G77" s="187"/>
      <c r="H77" s="187"/>
      <c r="I77" s="187"/>
      <c r="J77" s="187"/>
      <c r="K77" s="187"/>
      <c r="L77" s="349">
        <f>L76-L75</f>
        <v>667645.5305384323</v>
      </c>
      <c r="M77" s="187"/>
      <c r="N77" s="187"/>
      <c r="O77" s="187"/>
    </row>
  </sheetData>
  <pageMargins left="0.75" right="0.75" top="1" bottom="1" header="0.5" footer="0.5"/>
  <pageSetup paperSize="9" scale="34"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tabColor rgb="FF92D050"/>
    <pageSetUpPr fitToPage="1"/>
  </sheetPr>
  <dimension ref="A1:T251"/>
  <sheetViews>
    <sheetView showGridLines="0" zoomScale="85" zoomScaleNormal="85" workbookViewId="0"/>
  </sheetViews>
  <sheetFormatPr defaultRowHeight="12.75"/>
  <cols>
    <col min="1" max="1" width="4.28515625" style="12" customWidth="1"/>
    <col min="2" max="2" width="65" style="12" customWidth="1"/>
    <col min="3" max="3" width="13" style="12" customWidth="1"/>
    <col min="4" max="4" width="7.140625" style="12" customWidth="1"/>
    <col min="5" max="5" width="2.28515625" style="12" customWidth="1"/>
    <col min="6" max="8" width="11.28515625" style="12" hidden="1" customWidth="1"/>
    <col min="9" max="9" width="13.140625" style="12" hidden="1" customWidth="1"/>
    <col min="10" max="10" width="11.28515625" style="12" hidden="1" customWidth="1"/>
    <col min="11" max="11" width="12.5703125" style="12" hidden="1" customWidth="1"/>
    <col min="12" max="12" width="11.28515625" style="12" customWidth="1"/>
    <col min="13" max="13" width="12.5703125" style="12" hidden="1" customWidth="1"/>
    <col min="14" max="14" width="11.28515625" style="12" hidden="1" customWidth="1"/>
    <col min="15" max="15" width="12.42578125" style="12" hidden="1" customWidth="1"/>
    <col min="16" max="17" width="12.42578125" style="12" customWidth="1"/>
    <col min="18" max="18" width="9.28515625" style="12" bestFit="1" customWidth="1"/>
    <col min="19" max="16384" width="9.140625" style="12"/>
  </cols>
  <sheetData>
    <row r="1" spans="1:16">
      <c r="F1" s="14"/>
      <c r="G1" s="14"/>
      <c r="H1" s="14"/>
      <c r="I1" s="14"/>
      <c r="J1" s="14"/>
      <c r="K1" s="14"/>
      <c r="M1" s="14"/>
      <c r="N1" s="14"/>
      <c r="O1" s="14"/>
    </row>
    <row r="2" spans="1:16" s="9" customFormat="1" ht="18">
      <c r="B2" s="306" t="s">
        <v>124</v>
      </c>
      <c r="C2" s="8"/>
      <c r="F2" s="14"/>
      <c r="G2" s="14"/>
      <c r="H2" s="14"/>
      <c r="I2" s="14"/>
      <c r="J2" s="14"/>
      <c r="K2" s="14"/>
    </row>
    <row r="3" spans="1:16">
      <c r="F3" s="14"/>
      <c r="G3" s="14"/>
      <c r="H3" s="14"/>
      <c r="I3" s="14"/>
      <c r="J3" s="14"/>
      <c r="K3" s="14"/>
      <c r="M3" s="14"/>
      <c r="N3" s="14"/>
      <c r="O3" s="14"/>
    </row>
    <row r="4" spans="1:16" s="11" customFormat="1">
      <c r="B4" s="159" t="s">
        <v>1</v>
      </c>
      <c r="C4" s="10"/>
      <c r="F4" s="14"/>
      <c r="G4" s="14"/>
      <c r="H4" s="14"/>
      <c r="I4" s="14"/>
      <c r="J4" s="14"/>
      <c r="K4" s="14"/>
      <c r="M4" s="14"/>
      <c r="N4" s="14"/>
      <c r="O4" s="14"/>
    </row>
    <row r="5" spans="1:16">
      <c r="F5" s="14"/>
      <c r="G5" s="14"/>
      <c r="H5" s="14"/>
      <c r="I5" s="14"/>
      <c r="J5" s="14"/>
      <c r="K5" s="14"/>
      <c r="M5" s="14"/>
      <c r="N5" s="14"/>
      <c r="O5" s="14"/>
    </row>
    <row r="6" spans="1:16">
      <c r="B6" s="174" t="s">
        <v>336</v>
      </c>
      <c r="C6" s="33"/>
      <c r="D6" s="15"/>
      <c r="E6" s="15"/>
      <c r="F6" s="14"/>
      <c r="G6" s="14"/>
      <c r="H6" s="14"/>
      <c r="I6" s="14"/>
      <c r="J6" s="14"/>
      <c r="K6" s="14"/>
      <c r="M6" s="14"/>
      <c r="N6" s="14"/>
      <c r="O6" s="14"/>
    </row>
    <row r="7" spans="1:16">
      <c r="B7" s="174" t="s">
        <v>339</v>
      </c>
      <c r="C7" s="15"/>
      <c r="D7" s="15"/>
      <c r="E7" s="15"/>
      <c r="F7" s="14"/>
      <c r="G7" s="14"/>
      <c r="H7" s="14"/>
      <c r="I7" s="14"/>
      <c r="J7" s="14"/>
      <c r="K7" s="14"/>
      <c r="M7" s="14"/>
      <c r="N7" s="14"/>
      <c r="O7" s="14"/>
    </row>
    <row r="8" spans="1:16">
      <c r="B8" s="183"/>
      <c r="C8" s="33"/>
      <c r="D8" s="15"/>
      <c r="E8" s="15"/>
      <c r="F8" s="14"/>
      <c r="G8" s="14"/>
      <c r="H8" s="14"/>
      <c r="I8" s="14"/>
      <c r="J8" s="14"/>
      <c r="K8" s="14"/>
      <c r="M8" s="14"/>
      <c r="N8" s="14"/>
      <c r="O8" s="14"/>
    </row>
    <row r="9" spans="1:16">
      <c r="B9" s="184" t="s">
        <v>115</v>
      </c>
      <c r="C9" s="33"/>
      <c r="D9" s="15"/>
      <c r="E9" s="15"/>
      <c r="F9" s="14"/>
      <c r="G9" s="14"/>
      <c r="H9" s="14"/>
      <c r="I9" s="14"/>
      <c r="J9" s="14"/>
      <c r="K9" s="14"/>
      <c r="M9" s="14"/>
      <c r="N9" s="14"/>
      <c r="O9" s="14"/>
    </row>
    <row r="10" spans="1:16">
      <c r="B10" s="183" t="s">
        <v>168</v>
      </c>
      <c r="C10" s="33"/>
      <c r="D10" s="15"/>
      <c r="E10" s="15"/>
      <c r="F10" s="14"/>
      <c r="G10" s="14"/>
      <c r="H10" s="14"/>
      <c r="I10" s="14"/>
      <c r="J10" s="14"/>
      <c r="K10" s="14"/>
      <c r="M10" s="14"/>
      <c r="N10" s="14"/>
      <c r="O10" s="14"/>
    </row>
    <row r="11" spans="1:16">
      <c r="B11" s="183" t="s">
        <v>169</v>
      </c>
      <c r="C11" s="33"/>
      <c r="D11" s="15"/>
      <c r="E11" s="15"/>
      <c r="F11" s="14"/>
      <c r="G11" s="14"/>
      <c r="H11" s="14"/>
      <c r="I11" s="14"/>
      <c r="J11" s="14"/>
      <c r="K11" s="14"/>
      <c r="M11" s="14"/>
      <c r="N11" s="14"/>
      <c r="O11" s="14"/>
    </row>
    <row r="12" spans="1:16">
      <c r="B12" s="183"/>
      <c r="C12" s="33"/>
      <c r="D12" s="15"/>
      <c r="E12" s="15"/>
      <c r="F12" s="14"/>
      <c r="G12" s="14"/>
      <c r="H12" s="14"/>
      <c r="I12" s="14"/>
      <c r="J12" s="14"/>
      <c r="K12" s="14"/>
      <c r="M12" s="14"/>
      <c r="N12" s="14"/>
      <c r="O12" s="14"/>
    </row>
    <row r="13" spans="1:16" s="186" customFormat="1" ht="12" customHeight="1">
      <c r="B13" s="185" t="s">
        <v>154</v>
      </c>
      <c r="F13" s="187"/>
      <c r="G13" s="187"/>
      <c r="H13" s="187"/>
      <c r="I13" s="187"/>
      <c r="J13" s="187"/>
      <c r="K13" s="187"/>
      <c r="M13" s="187"/>
      <c r="N13" s="187"/>
      <c r="O13" s="187"/>
    </row>
    <row r="14" spans="1:16" s="190" customFormat="1">
      <c r="F14" s="187"/>
      <c r="G14" s="187"/>
      <c r="H14" s="187"/>
      <c r="I14" s="187"/>
      <c r="J14" s="187"/>
      <c r="K14" s="187"/>
      <c r="M14" s="187"/>
      <c r="N14" s="187"/>
      <c r="O14" s="187"/>
    </row>
    <row r="15" spans="1:16" s="198" customFormat="1">
      <c r="A15" s="195"/>
      <c r="B15" s="196"/>
      <c r="C15" s="196"/>
      <c r="D15" s="196"/>
      <c r="E15" s="196"/>
      <c r="F15" s="197"/>
      <c r="G15" s="197"/>
      <c r="H15" s="197"/>
      <c r="I15" s="197"/>
      <c r="J15" s="197"/>
      <c r="K15" s="197"/>
      <c r="L15" s="304" t="s">
        <v>8</v>
      </c>
      <c r="M15" s="197"/>
      <c r="N15" s="197"/>
      <c r="O15" s="197"/>
    </row>
    <row r="16" spans="1:16" s="194" customFormat="1">
      <c r="A16" s="199"/>
      <c r="B16" s="199"/>
      <c r="C16" s="199"/>
      <c r="D16" s="221"/>
      <c r="E16" s="221"/>
      <c r="F16" s="211"/>
      <c r="G16" s="211"/>
      <c r="H16" s="211"/>
      <c r="I16" s="211"/>
      <c r="J16" s="211"/>
      <c r="K16" s="211"/>
      <c r="L16" s="221"/>
      <c r="M16" s="211"/>
      <c r="N16" s="211"/>
      <c r="O16" s="211"/>
      <c r="P16" s="200"/>
    </row>
    <row r="17" spans="2:20" s="195" customFormat="1">
      <c r="B17" s="209" t="s">
        <v>117</v>
      </c>
      <c r="C17" s="169"/>
      <c r="D17" s="211"/>
      <c r="E17" s="211"/>
      <c r="F17" s="376"/>
      <c r="G17" s="376"/>
      <c r="H17" s="376"/>
      <c r="I17" s="376"/>
      <c r="J17" s="376"/>
      <c r="K17" s="376"/>
      <c r="L17" s="377"/>
      <c r="M17" s="376"/>
      <c r="N17" s="376"/>
      <c r="O17" s="376"/>
      <c r="P17" s="210"/>
      <c r="Q17" s="211"/>
    </row>
    <row r="18" spans="2:20" s="195" customFormat="1">
      <c r="B18" s="162" t="s">
        <v>120</v>
      </c>
      <c r="C18" s="169" t="s">
        <v>95</v>
      </c>
      <c r="D18" s="211"/>
      <c r="E18" s="211"/>
      <c r="F18" s="211"/>
      <c r="G18" s="211"/>
      <c r="H18" s="211"/>
      <c r="I18" s="211"/>
      <c r="J18" s="211"/>
      <c r="K18" s="211"/>
      <c r="L18" s="378">
        <v>-37762.417358685285</v>
      </c>
      <c r="M18" s="211"/>
      <c r="N18" s="211"/>
      <c r="O18" s="211"/>
      <c r="P18" s="379"/>
      <c r="Q18" s="200" t="s">
        <v>161</v>
      </c>
      <c r="R18" s="194"/>
      <c r="S18" s="194"/>
    </row>
    <row r="19" spans="2:20" s="195" customFormat="1">
      <c r="D19" s="211"/>
      <c r="E19" s="211"/>
      <c r="F19" s="377"/>
      <c r="G19" s="377"/>
      <c r="H19" s="377"/>
      <c r="I19" s="377"/>
      <c r="J19" s="377"/>
      <c r="K19" s="377"/>
      <c r="L19" s="377"/>
      <c r="M19" s="377"/>
      <c r="N19" s="377"/>
      <c r="O19" s="377"/>
      <c r="P19" s="210"/>
      <c r="Q19" s="211"/>
    </row>
    <row r="20" spans="2:20" s="187" customFormat="1">
      <c r="B20" s="209" t="s">
        <v>118</v>
      </c>
      <c r="C20" s="169"/>
      <c r="D20" s="211"/>
      <c r="E20" s="211"/>
      <c r="F20" s="211"/>
      <c r="G20" s="211"/>
      <c r="H20" s="211"/>
      <c r="I20" s="211"/>
      <c r="J20" s="211"/>
      <c r="K20" s="211"/>
      <c r="L20" s="211"/>
      <c r="M20" s="211"/>
      <c r="N20" s="211"/>
      <c r="O20" s="211"/>
      <c r="P20" s="211"/>
      <c r="R20" s="195"/>
      <c r="S20" s="195"/>
      <c r="T20" s="195"/>
    </row>
    <row r="21" spans="2:20" s="187" customFormat="1">
      <c r="B21" s="162" t="s">
        <v>121</v>
      </c>
      <c r="C21" s="169" t="s">
        <v>96</v>
      </c>
      <c r="D21" s="211"/>
      <c r="E21" s="211"/>
      <c r="F21" s="376"/>
      <c r="G21" s="376"/>
      <c r="H21" s="376"/>
      <c r="I21" s="376"/>
      <c r="J21" s="376"/>
      <c r="K21" s="376"/>
      <c r="L21" s="378">
        <v>127385.22122330219</v>
      </c>
      <c r="M21" s="376"/>
      <c r="N21" s="376"/>
      <c r="O21" s="376"/>
      <c r="P21" s="211"/>
      <c r="Q21" s="200" t="s">
        <v>162</v>
      </c>
      <c r="R21" s="195"/>
      <c r="S21" s="195"/>
      <c r="T21" s="195"/>
    </row>
    <row r="22" spans="2:20" s="187" customFormat="1">
      <c r="B22" s="209"/>
      <c r="C22" s="209"/>
      <c r="D22" s="211"/>
      <c r="E22" s="211"/>
      <c r="F22" s="211"/>
      <c r="G22" s="211"/>
      <c r="H22" s="211"/>
      <c r="I22" s="211"/>
      <c r="J22" s="211"/>
      <c r="K22" s="211"/>
      <c r="L22" s="211"/>
      <c r="M22" s="211"/>
      <c r="N22" s="211"/>
      <c r="O22" s="211"/>
      <c r="P22" s="211"/>
      <c r="R22" s="195"/>
      <c r="S22" s="195"/>
      <c r="T22" s="195"/>
    </row>
    <row r="23" spans="2:20" s="187" customFormat="1">
      <c r="B23" s="209" t="s">
        <v>119</v>
      </c>
      <c r="D23" s="211"/>
      <c r="E23" s="211"/>
      <c r="F23" s="211"/>
      <c r="G23" s="211"/>
      <c r="H23" s="211"/>
      <c r="I23" s="211"/>
      <c r="J23" s="211"/>
      <c r="K23" s="211"/>
      <c r="L23" s="211"/>
      <c r="M23" s="211"/>
      <c r="N23" s="211"/>
      <c r="O23" s="211"/>
      <c r="P23" s="211"/>
      <c r="R23" s="195"/>
      <c r="S23" s="195"/>
      <c r="T23" s="195"/>
    </row>
    <row r="24" spans="2:20" s="187" customFormat="1">
      <c r="B24" s="169" t="s">
        <v>122</v>
      </c>
      <c r="C24" s="169" t="s">
        <v>16</v>
      </c>
      <c r="D24" s="211"/>
      <c r="E24" s="211"/>
      <c r="F24" s="211"/>
      <c r="G24" s="211"/>
      <c r="H24" s="211"/>
      <c r="I24" s="211"/>
      <c r="J24" s="211"/>
      <c r="K24" s="211"/>
      <c r="L24" s="378">
        <v>-344499.28317915089</v>
      </c>
      <c r="M24" s="211"/>
      <c r="N24" s="211"/>
      <c r="O24" s="211"/>
      <c r="P24" s="211"/>
      <c r="Q24" s="200" t="s">
        <v>167</v>
      </c>
      <c r="R24" s="195"/>
      <c r="S24" s="195"/>
      <c r="T24" s="195"/>
    </row>
    <row r="25" spans="2:20" s="187" customFormat="1">
      <c r="B25" s="212" t="s">
        <v>123</v>
      </c>
      <c r="C25" s="169" t="s">
        <v>96</v>
      </c>
      <c r="D25" s="211"/>
      <c r="E25" s="211"/>
      <c r="F25" s="211"/>
      <c r="G25" s="211"/>
      <c r="H25" s="211"/>
      <c r="I25" s="211"/>
      <c r="J25" s="211"/>
      <c r="K25" s="211"/>
      <c r="L25" s="378">
        <v>-280624.88964154571</v>
      </c>
      <c r="M25" s="211"/>
      <c r="N25" s="211"/>
      <c r="O25" s="211"/>
      <c r="P25" s="211"/>
      <c r="Q25" s="200" t="s">
        <v>167</v>
      </c>
      <c r="R25" s="195"/>
      <c r="S25" s="195"/>
      <c r="T25" s="195"/>
    </row>
    <row r="26" spans="2:20" s="187" customFormat="1">
      <c r="B26" s="169"/>
      <c r="C26" s="169"/>
      <c r="D26" s="169"/>
      <c r="E26" s="169"/>
      <c r="F26" s="169"/>
      <c r="G26" s="169"/>
      <c r="H26" s="169"/>
      <c r="I26" s="169"/>
      <c r="J26" s="169"/>
      <c r="K26" s="169"/>
      <c r="L26" s="169"/>
      <c r="M26" s="169"/>
      <c r="N26" s="169"/>
      <c r="O26" s="169"/>
      <c r="P26" s="169"/>
      <c r="Q26" s="169"/>
      <c r="R26" s="169"/>
      <c r="S26" s="169"/>
      <c r="T26" s="169"/>
    </row>
    <row r="27" spans="2:20" s="187" customFormat="1">
      <c r="B27" s="213" t="s">
        <v>163</v>
      </c>
      <c r="C27" s="169"/>
      <c r="D27" s="169"/>
      <c r="E27" s="169"/>
      <c r="F27" s="169"/>
      <c r="G27" s="169"/>
      <c r="H27" s="169"/>
      <c r="I27" s="169"/>
      <c r="J27" s="169"/>
      <c r="K27" s="169"/>
      <c r="L27" s="169"/>
      <c r="M27" s="169"/>
      <c r="N27" s="169"/>
      <c r="O27" s="169"/>
      <c r="P27" s="169"/>
      <c r="Q27" s="169"/>
      <c r="R27" s="169"/>
      <c r="S27" s="169"/>
      <c r="T27" s="169"/>
    </row>
    <row r="28" spans="2:20" s="14" customFormat="1">
      <c r="B28" s="14" t="s">
        <v>164</v>
      </c>
      <c r="C28" s="169" t="s">
        <v>95</v>
      </c>
      <c r="D28" s="223"/>
      <c r="E28" s="223"/>
      <c r="F28" s="223"/>
      <c r="G28" s="223"/>
      <c r="H28" s="223"/>
      <c r="I28" s="223"/>
      <c r="J28" s="223"/>
      <c r="K28" s="223"/>
      <c r="L28" s="349">
        <f>L18</f>
        <v>-37762.417358685285</v>
      </c>
      <c r="M28" s="223"/>
      <c r="N28" s="223"/>
      <c r="O28" s="223"/>
      <c r="P28" s="223"/>
    </row>
    <row r="29" spans="2:20" s="14" customFormat="1">
      <c r="B29" s="14" t="s">
        <v>165</v>
      </c>
      <c r="C29" s="169" t="s">
        <v>96</v>
      </c>
      <c r="D29" s="223"/>
      <c r="E29" s="223"/>
      <c r="F29" s="223"/>
      <c r="G29" s="223"/>
      <c r="H29" s="223"/>
      <c r="I29" s="223"/>
      <c r="J29" s="223"/>
      <c r="K29" s="223"/>
      <c r="L29" s="349">
        <f>L21+L25</f>
        <v>-153239.66841824353</v>
      </c>
      <c r="M29" s="223"/>
      <c r="N29" s="223"/>
      <c r="O29" s="223"/>
      <c r="P29" s="223"/>
    </row>
    <row r="30" spans="2:20" s="14" customFormat="1">
      <c r="B30" s="14" t="s">
        <v>166</v>
      </c>
      <c r="C30" s="169" t="s">
        <v>16</v>
      </c>
      <c r="D30" s="223"/>
      <c r="E30" s="223"/>
      <c r="F30" s="223"/>
      <c r="G30" s="223"/>
      <c r="H30" s="223"/>
      <c r="I30" s="223"/>
      <c r="J30" s="223"/>
      <c r="K30" s="223"/>
      <c r="L30" s="349">
        <f>L24</f>
        <v>-344499.28317915089</v>
      </c>
      <c r="M30" s="223"/>
      <c r="N30" s="223"/>
      <c r="O30" s="223"/>
      <c r="P30" s="223"/>
    </row>
    <row r="31" spans="2:20" s="187" customFormat="1">
      <c r="B31" s="211"/>
      <c r="C31" s="214"/>
      <c r="D31" s="211"/>
      <c r="E31" s="211"/>
      <c r="F31" s="211"/>
      <c r="G31" s="211"/>
      <c r="H31" s="211"/>
      <c r="I31" s="211"/>
      <c r="J31" s="211"/>
      <c r="K31" s="211"/>
      <c r="L31" s="44"/>
      <c r="M31" s="211"/>
      <c r="N31" s="211"/>
      <c r="O31" s="211"/>
      <c r="P31" s="211"/>
      <c r="Q31" s="19"/>
    </row>
    <row r="32" spans="2:20" s="186" customFormat="1" ht="12" customHeight="1">
      <c r="B32" s="185" t="s">
        <v>155</v>
      </c>
      <c r="D32" s="380"/>
      <c r="E32" s="380"/>
      <c r="F32" s="211"/>
      <c r="G32" s="211"/>
      <c r="H32" s="211"/>
      <c r="I32" s="211"/>
      <c r="J32" s="211"/>
      <c r="K32" s="211"/>
      <c r="L32" s="380"/>
      <c r="M32" s="211"/>
      <c r="N32" s="211"/>
      <c r="O32" s="211"/>
      <c r="P32" s="380"/>
    </row>
    <row r="33" spans="2:16" s="187" customFormat="1">
      <c r="D33" s="211"/>
      <c r="E33" s="211"/>
      <c r="F33" s="211"/>
      <c r="G33" s="211"/>
      <c r="H33" s="211"/>
      <c r="I33" s="211"/>
      <c r="J33" s="211"/>
      <c r="K33" s="211"/>
      <c r="L33" s="211"/>
      <c r="M33" s="211"/>
      <c r="N33" s="211"/>
      <c r="O33" s="211"/>
      <c r="P33" s="211"/>
    </row>
    <row r="34" spans="2:16" s="14" customFormat="1">
      <c r="B34" s="14" t="s">
        <v>158</v>
      </c>
      <c r="C34" s="169" t="s">
        <v>95</v>
      </c>
      <c r="D34" s="223"/>
      <c r="E34" s="223"/>
      <c r="F34" s="223"/>
      <c r="G34" s="223"/>
      <c r="H34" s="223"/>
      <c r="I34" s="223"/>
      <c r="J34" s="223"/>
      <c r="K34" s="223"/>
      <c r="L34" s="349">
        <f>0-L28</f>
        <v>37762.417358685285</v>
      </c>
      <c r="M34" s="223"/>
      <c r="N34" s="223"/>
      <c r="O34" s="223"/>
      <c r="P34" s="223"/>
    </row>
    <row r="35" spans="2:16" s="14" customFormat="1">
      <c r="B35" s="14" t="s">
        <v>159</v>
      </c>
      <c r="C35" s="169" t="s">
        <v>96</v>
      </c>
      <c r="D35" s="223"/>
      <c r="E35" s="223"/>
      <c r="F35" s="223"/>
      <c r="G35" s="223"/>
      <c r="H35" s="223"/>
      <c r="I35" s="223"/>
      <c r="J35" s="223"/>
      <c r="K35" s="223"/>
      <c r="L35" s="349">
        <f t="shared" ref="L35:L36" si="0">0-L29</f>
        <v>153239.66841824353</v>
      </c>
      <c r="M35" s="223"/>
      <c r="N35" s="223"/>
      <c r="O35" s="223"/>
      <c r="P35" s="223"/>
    </row>
    <row r="36" spans="2:16" s="14" customFormat="1">
      <c r="B36" s="14" t="s">
        <v>160</v>
      </c>
      <c r="C36" s="169" t="s">
        <v>16</v>
      </c>
      <c r="D36" s="223"/>
      <c r="E36" s="223"/>
      <c r="F36" s="223"/>
      <c r="G36" s="223"/>
      <c r="H36" s="223"/>
      <c r="I36" s="223"/>
      <c r="J36" s="223"/>
      <c r="K36" s="223"/>
      <c r="L36" s="349">
        <f t="shared" si="0"/>
        <v>344499.28317915089</v>
      </c>
      <c r="M36" s="223"/>
      <c r="N36" s="223"/>
      <c r="O36" s="223"/>
      <c r="P36" s="223"/>
    </row>
    <row r="37" spans="2:16" s="14" customFormat="1">
      <c r="C37" s="187"/>
      <c r="D37" s="223"/>
      <c r="E37" s="223"/>
      <c r="F37" s="223"/>
      <c r="G37" s="223"/>
      <c r="H37" s="223"/>
      <c r="I37" s="223"/>
      <c r="J37" s="223"/>
      <c r="K37" s="223"/>
      <c r="L37" s="223"/>
      <c r="M37" s="223"/>
      <c r="N37" s="223"/>
      <c r="O37" s="223"/>
      <c r="P37" s="223"/>
    </row>
    <row r="38" spans="2:16" s="14" customFormat="1"/>
    <row r="39" spans="2:16" s="14" customFormat="1"/>
    <row r="40" spans="2:16" s="14" customFormat="1"/>
    <row r="41" spans="2:16" s="14" customFormat="1"/>
    <row r="42" spans="2:16" s="14" customFormat="1"/>
    <row r="43" spans="2:16" s="14" customFormat="1"/>
    <row r="44" spans="2:16" s="14" customFormat="1"/>
    <row r="45" spans="2:16" s="14" customFormat="1"/>
    <row r="46" spans="2:16" s="14" customFormat="1"/>
    <row r="47" spans="2:16" s="14" customFormat="1"/>
    <row r="48" spans="2:16" s="14" customFormat="1"/>
    <row r="49" s="14" customFormat="1"/>
    <row r="50" s="14" customFormat="1"/>
    <row r="51" s="14" customFormat="1"/>
    <row r="52" s="14" customFormat="1"/>
    <row r="53" s="14" customFormat="1"/>
    <row r="54" s="14" customFormat="1"/>
    <row r="55" s="14" customFormat="1"/>
    <row r="56" s="14" customFormat="1"/>
    <row r="57" s="14" customFormat="1"/>
    <row r="58" s="14" customFormat="1"/>
    <row r="59" s="14" customFormat="1"/>
    <row r="60" s="14" customFormat="1"/>
    <row r="61" s="14" customFormat="1"/>
    <row r="62" s="14" customFormat="1"/>
    <row r="63" s="14" customFormat="1"/>
    <row r="64" s="14" customFormat="1"/>
    <row r="65" s="14" customFormat="1"/>
    <row r="66" s="14" customFormat="1"/>
    <row r="67" s="14" customFormat="1"/>
    <row r="68" s="14" customFormat="1"/>
    <row r="69" s="14" customFormat="1"/>
    <row r="70" s="14" customFormat="1"/>
    <row r="71" s="14" customFormat="1"/>
    <row r="72" s="14" customFormat="1"/>
    <row r="73" s="14" customFormat="1"/>
    <row r="74" s="14" customFormat="1"/>
    <row r="75" s="14" customFormat="1"/>
    <row r="76" s="14" customFormat="1"/>
    <row r="77" s="14" customFormat="1"/>
    <row r="78" s="14" customFormat="1"/>
    <row r="79" s="14" customFormat="1"/>
    <row r="80" s="14" customFormat="1"/>
    <row r="81" s="14" customFormat="1"/>
    <row r="82" s="14" customFormat="1"/>
    <row r="83" s="14" customFormat="1"/>
    <row r="84" s="14" customFormat="1"/>
    <row r="85" s="14" customFormat="1"/>
    <row r="86" s="14" customFormat="1"/>
    <row r="87" s="14" customFormat="1"/>
    <row r="88" s="14" customFormat="1"/>
    <row r="89" s="14" customFormat="1"/>
    <row r="90" s="14" customFormat="1"/>
    <row r="91" s="14" customFormat="1"/>
    <row r="92" s="14" customFormat="1"/>
    <row r="93" s="14" customFormat="1"/>
    <row r="94" s="14" customFormat="1"/>
    <row r="95" s="14" customFormat="1"/>
    <row r="96" s="14" customFormat="1"/>
    <row r="97" s="14" customFormat="1"/>
    <row r="98" s="14" customFormat="1"/>
    <row r="99" s="14" customFormat="1"/>
    <row r="100" s="14" customFormat="1"/>
    <row r="101" s="14" customFormat="1"/>
    <row r="102" s="14" customFormat="1"/>
    <row r="103" s="14" customFormat="1"/>
    <row r="104" s="14" customFormat="1"/>
    <row r="105" s="14" customFormat="1"/>
    <row r="106" s="14" customFormat="1"/>
    <row r="107" s="14" customFormat="1"/>
    <row r="108" s="14" customFormat="1"/>
    <row r="109" s="14" customFormat="1"/>
    <row r="110" s="14" customFormat="1"/>
    <row r="111" s="14" customFormat="1"/>
    <row r="112" s="14" customFormat="1"/>
    <row r="113" s="14" customFormat="1"/>
    <row r="114" s="14" customFormat="1"/>
    <row r="115" s="14" customFormat="1"/>
    <row r="116" s="14" customFormat="1"/>
    <row r="117" s="14" customFormat="1"/>
    <row r="118" s="14" customFormat="1"/>
    <row r="119" s="14" customFormat="1"/>
    <row r="120" s="14" customFormat="1"/>
    <row r="121" s="14" customFormat="1"/>
    <row r="122" s="14" customFormat="1"/>
    <row r="123" s="14" customFormat="1"/>
    <row r="124" s="14" customFormat="1"/>
    <row r="125" s="14" customFormat="1"/>
    <row r="126" s="14" customFormat="1"/>
    <row r="127" s="14" customFormat="1"/>
    <row r="128" s="14" customFormat="1"/>
    <row r="129" s="14" customFormat="1"/>
    <row r="130" s="14" customFormat="1"/>
    <row r="131" s="14" customFormat="1"/>
    <row r="132" s="14" customFormat="1"/>
    <row r="133" s="14" customFormat="1"/>
    <row r="134" s="14" customFormat="1"/>
    <row r="135" s="14" customFormat="1"/>
    <row r="136" s="14" customFormat="1"/>
    <row r="137" s="14" customFormat="1"/>
    <row r="138" s="14" customFormat="1"/>
    <row r="139" s="14" customFormat="1"/>
    <row r="140" s="14" customFormat="1"/>
    <row r="141" s="14" customFormat="1"/>
    <row r="142" s="14" customFormat="1"/>
    <row r="143" s="14" customFormat="1"/>
    <row r="144" s="14" customFormat="1"/>
    <row r="145" s="14" customFormat="1"/>
    <row r="146" s="14" customFormat="1"/>
    <row r="147" s="14" customFormat="1"/>
    <row r="148" s="14" customFormat="1"/>
    <row r="149" s="14" customFormat="1"/>
    <row r="150" s="14" customFormat="1"/>
    <row r="151" s="14" customFormat="1"/>
    <row r="152" s="14" customFormat="1"/>
    <row r="153" s="14" customFormat="1"/>
    <row r="154" s="14" customFormat="1"/>
    <row r="155" s="14" customFormat="1"/>
    <row r="156" s="14" customFormat="1"/>
    <row r="157" s="14" customFormat="1"/>
    <row r="158" s="14" customFormat="1"/>
    <row r="159" s="14" customFormat="1"/>
    <row r="160" s="14" customFormat="1"/>
    <row r="161" s="14" customFormat="1"/>
    <row r="162" s="14" customFormat="1"/>
    <row r="163" s="14" customFormat="1"/>
    <row r="164" s="14" customFormat="1"/>
    <row r="165" s="14" customFormat="1"/>
    <row r="166" s="14" customFormat="1"/>
    <row r="167" s="14" customFormat="1"/>
    <row r="168" s="14" customFormat="1"/>
    <row r="169" s="14" customFormat="1"/>
    <row r="170" s="14" customFormat="1"/>
    <row r="171" s="14" customFormat="1"/>
    <row r="172" s="14" customFormat="1"/>
    <row r="173" s="14" customFormat="1"/>
    <row r="174" s="14" customFormat="1"/>
    <row r="175" s="14" customFormat="1"/>
    <row r="176" s="14" customFormat="1"/>
    <row r="177" s="14" customFormat="1"/>
    <row r="178" s="14" customFormat="1"/>
    <row r="179" s="14" customFormat="1"/>
    <row r="180" s="14" customFormat="1"/>
    <row r="181" s="14" customFormat="1"/>
    <row r="182" s="14" customFormat="1"/>
    <row r="183" s="14" customFormat="1"/>
    <row r="184" s="14" customFormat="1"/>
    <row r="185" s="14" customFormat="1"/>
    <row r="186" s="14" customFormat="1"/>
    <row r="187" s="14" customFormat="1"/>
    <row r="188" s="14" customFormat="1"/>
    <row r="189" s="14" customFormat="1"/>
    <row r="190" s="14" customFormat="1"/>
    <row r="191" s="14" customFormat="1"/>
    <row r="192" s="14" customFormat="1"/>
    <row r="193" s="14" customFormat="1"/>
    <row r="194" s="14" customFormat="1"/>
    <row r="195" s="14" customFormat="1"/>
    <row r="196" s="14" customFormat="1"/>
    <row r="197" s="14" customFormat="1"/>
    <row r="198" s="14" customFormat="1"/>
    <row r="199" s="14" customFormat="1"/>
    <row r="200" s="14" customFormat="1"/>
    <row r="201" s="14" customFormat="1"/>
    <row r="202" s="14" customFormat="1"/>
    <row r="203" s="14" customFormat="1"/>
    <row r="204" s="14" customFormat="1"/>
    <row r="205" s="14" customFormat="1"/>
    <row r="206" s="14" customFormat="1"/>
    <row r="207" s="14" customFormat="1"/>
    <row r="208" s="14" customFormat="1"/>
    <row r="209" s="14" customFormat="1"/>
    <row r="210" s="14" customFormat="1"/>
    <row r="211" s="14" customFormat="1"/>
    <row r="212" s="14" customFormat="1"/>
    <row r="213" s="14" customFormat="1"/>
    <row r="214" s="14" customFormat="1"/>
    <row r="215" s="14" customFormat="1"/>
    <row r="216" s="14" customFormat="1"/>
    <row r="217" s="14" customFormat="1"/>
    <row r="218" s="14" customFormat="1"/>
    <row r="219" s="14" customFormat="1"/>
    <row r="220" s="14" customFormat="1"/>
    <row r="221" s="14" customFormat="1"/>
    <row r="222" s="14" customFormat="1"/>
    <row r="223" s="14" customFormat="1"/>
    <row r="224" s="14" customFormat="1"/>
    <row r="225" s="14" customFormat="1"/>
    <row r="226" s="14" customFormat="1"/>
    <row r="227" s="14" customFormat="1"/>
    <row r="228" s="14" customFormat="1"/>
    <row r="229" s="14" customFormat="1"/>
    <row r="230" s="14" customFormat="1"/>
    <row r="231" s="14" customFormat="1"/>
    <row r="232" s="14" customFormat="1"/>
    <row r="233" s="14" customFormat="1"/>
    <row r="234" s="14" customFormat="1"/>
    <row r="235" s="14" customFormat="1"/>
    <row r="236" s="14" customFormat="1"/>
    <row r="237" s="14" customFormat="1"/>
    <row r="238" s="14" customFormat="1"/>
    <row r="239" s="14" customFormat="1"/>
    <row r="240" s="14" customFormat="1"/>
    <row r="241" s="14" customFormat="1"/>
    <row r="242" s="14" customFormat="1"/>
    <row r="243" s="14" customFormat="1"/>
    <row r="244" s="14" customFormat="1"/>
    <row r="245" s="14" customFormat="1"/>
    <row r="246" s="14" customFormat="1"/>
    <row r="247" s="14" customFormat="1"/>
    <row r="248" s="14" customFormat="1"/>
    <row r="249" s="14" customFormat="1"/>
    <row r="250" s="14" customFormat="1"/>
    <row r="251" s="14" customFormat="1"/>
  </sheetData>
  <pageMargins left="0.75" right="0.75" top="1" bottom="1" header="0.5" footer="0.5"/>
  <pageSetup paperSize="9" scale="5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tabColor rgb="FF92D050"/>
    <pageSetUpPr fitToPage="1"/>
  </sheetPr>
  <dimension ref="A1:AX98"/>
  <sheetViews>
    <sheetView showGridLines="0" zoomScale="85" zoomScaleNormal="85" workbookViewId="0"/>
  </sheetViews>
  <sheetFormatPr defaultRowHeight="12.75"/>
  <cols>
    <col min="1" max="1" width="4.28515625" style="12" customWidth="1"/>
    <col min="2" max="2" width="63.28515625" style="215" customWidth="1"/>
    <col min="3" max="3" width="9.140625" style="162"/>
    <col min="4" max="4" width="7.140625" style="12" customWidth="1"/>
    <col min="5" max="5" width="2.28515625" style="12" customWidth="1"/>
    <col min="6" max="6" width="2.140625" style="12" customWidth="1"/>
    <col min="7" max="7" width="1.85546875" style="12" customWidth="1"/>
    <col min="8" max="8" width="2.140625" style="12" customWidth="1"/>
    <col min="9" max="9" width="1.5703125" style="12" customWidth="1"/>
    <col min="10" max="10" width="2.42578125" style="12" customWidth="1"/>
    <col min="11" max="11" width="2.28515625" style="12" customWidth="1"/>
    <col min="12" max="12" width="13" style="215" customWidth="1"/>
    <col min="13" max="13" width="12.5703125" style="12" customWidth="1"/>
    <col min="14" max="14" width="75.7109375" style="12" bestFit="1" customWidth="1"/>
    <col min="15" max="16384" width="9.140625" style="12"/>
  </cols>
  <sheetData>
    <row r="1" spans="2:14">
      <c r="F1" s="14"/>
      <c r="G1" s="14"/>
      <c r="H1" s="14"/>
      <c r="I1" s="14"/>
      <c r="J1" s="14"/>
      <c r="K1" s="14"/>
      <c r="M1" s="14"/>
    </row>
    <row r="2" spans="2:14" s="9" customFormat="1" ht="15.75">
      <c r="B2" s="307" t="s">
        <v>150</v>
      </c>
    </row>
    <row r="3" spans="2:14">
      <c r="F3" s="14"/>
      <c r="G3" s="14"/>
      <c r="H3" s="14"/>
      <c r="I3" s="14"/>
      <c r="J3" s="14"/>
      <c r="K3" s="14"/>
      <c r="M3" s="14"/>
    </row>
    <row r="4" spans="2:14" s="11" customFormat="1">
      <c r="B4" s="159" t="s">
        <v>1</v>
      </c>
      <c r="C4" s="10"/>
      <c r="D4" s="10"/>
      <c r="E4" s="10"/>
      <c r="F4" s="10"/>
      <c r="G4" s="10"/>
      <c r="H4" s="10"/>
      <c r="I4" s="10"/>
      <c r="J4" s="10"/>
      <c r="K4" s="10"/>
      <c r="L4" s="10"/>
      <c r="M4" s="10"/>
      <c r="N4" s="10"/>
    </row>
    <row r="5" spans="2:14">
      <c r="B5" s="12"/>
      <c r="C5" s="12"/>
      <c r="F5" s="14"/>
      <c r="G5" s="14"/>
      <c r="H5" s="14"/>
      <c r="I5" s="14"/>
      <c r="J5" s="14"/>
      <c r="K5" s="14"/>
      <c r="L5" s="12"/>
      <c r="M5" s="14"/>
    </row>
    <row r="6" spans="2:14">
      <c r="B6" s="174" t="s">
        <v>337</v>
      </c>
      <c r="C6" s="33"/>
      <c r="D6" s="15"/>
      <c r="E6" s="15"/>
      <c r="F6" s="14"/>
      <c r="G6" s="14"/>
      <c r="H6" s="14"/>
      <c r="I6" s="14"/>
      <c r="J6" s="14"/>
      <c r="K6" s="14"/>
      <c r="L6" s="12"/>
      <c r="M6" s="14"/>
    </row>
    <row r="7" spans="2:14">
      <c r="B7" s="174" t="s">
        <v>338</v>
      </c>
      <c r="C7" s="15"/>
      <c r="D7" s="15"/>
      <c r="E7" s="15"/>
      <c r="F7" s="14"/>
      <c r="G7" s="14"/>
      <c r="H7" s="14"/>
      <c r="I7" s="14"/>
      <c r="J7" s="14"/>
      <c r="K7" s="14"/>
      <c r="L7" s="12"/>
      <c r="M7" s="14"/>
    </row>
    <row r="8" spans="2:14">
      <c r="B8" s="183"/>
      <c r="C8" s="33"/>
      <c r="D8" s="15"/>
      <c r="E8" s="15"/>
      <c r="F8" s="14"/>
      <c r="G8" s="14"/>
      <c r="H8" s="14"/>
      <c r="I8" s="14"/>
      <c r="J8" s="14"/>
      <c r="K8" s="14"/>
      <c r="L8" s="12"/>
      <c r="M8" s="14"/>
    </row>
    <row r="9" spans="2:14">
      <c r="B9" s="184" t="s">
        <v>116</v>
      </c>
      <c r="C9" s="33"/>
      <c r="D9" s="15"/>
      <c r="E9" s="15"/>
      <c r="F9" s="14"/>
      <c r="G9" s="14"/>
      <c r="H9" s="14"/>
      <c r="I9" s="14"/>
      <c r="J9" s="14"/>
      <c r="K9" s="14"/>
      <c r="L9" s="12"/>
      <c r="M9" s="14"/>
    </row>
    <row r="10" spans="2:14">
      <c r="B10" s="183" t="s">
        <v>188</v>
      </c>
      <c r="C10" s="33"/>
      <c r="D10" s="15"/>
      <c r="E10" s="15"/>
      <c r="F10" s="14"/>
      <c r="G10" s="14"/>
      <c r="H10" s="14"/>
      <c r="I10" s="14"/>
      <c r="J10" s="14"/>
      <c r="K10" s="14"/>
      <c r="L10" s="12"/>
      <c r="M10" s="14"/>
    </row>
    <row r="11" spans="2:14">
      <c r="B11" s="183" t="s">
        <v>142</v>
      </c>
      <c r="C11" s="33"/>
      <c r="D11" s="15"/>
      <c r="E11" s="15"/>
      <c r="F11" s="14"/>
      <c r="G11" s="14"/>
      <c r="H11" s="14"/>
      <c r="I11" s="14"/>
      <c r="J11" s="14"/>
      <c r="K11" s="14"/>
      <c r="L11" s="12"/>
      <c r="M11" s="14"/>
    </row>
    <row r="12" spans="2:14">
      <c r="B12" s="183"/>
      <c r="C12" s="33"/>
      <c r="D12" s="15"/>
      <c r="E12" s="15"/>
      <c r="F12" s="14"/>
      <c r="G12" s="14"/>
      <c r="H12" s="14"/>
      <c r="I12" s="14"/>
      <c r="J12" s="14"/>
      <c r="K12" s="14"/>
      <c r="L12" s="12"/>
      <c r="M12" s="14"/>
    </row>
    <row r="13" spans="2:14" s="186" customFormat="1">
      <c r="B13" s="185" t="s">
        <v>74</v>
      </c>
    </row>
    <row r="14" spans="2:14" s="190" customFormat="1">
      <c r="B14" s="188"/>
      <c r="C14" s="189"/>
      <c r="F14" s="187"/>
      <c r="G14" s="187"/>
      <c r="H14" s="187"/>
      <c r="I14" s="187"/>
      <c r="J14" s="187"/>
      <c r="K14" s="187"/>
      <c r="M14" s="187"/>
    </row>
    <row r="15" spans="2:14" s="190" customFormat="1">
      <c r="B15" s="191" t="s">
        <v>74</v>
      </c>
      <c r="C15" s="405"/>
      <c r="F15" s="187"/>
      <c r="G15" s="187"/>
      <c r="H15" s="187"/>
      <c r="I15" s="187"/>
      <c r="J15" s="187"/>
      <c r="K15" s="187"/>
      <c r="M15" s="187"/>
    </row>
    <row r="16" spans="2:14" s="190" customFormat="1">
      <c r="B16" s="192" t="s">
        <v>111</v>
      </c>
      <c r="C16" s="342">
        <v>1.4E-2</v>
      </c>
      <c r="F16" s="187"/>
      <c r="G16" s="193"/>
      <c r="H16" s="187"/>
      <c r="I16" s="187"/>
      <c r="J16" s="187"/>
      <c r="K16" s="187"/>
      <c r="M16" s="187"/>
    </row>
    <row r="17" spans="1:14" s="190" customFormat="1">
      <c r="B17" s="192" t="s">
        <v>112</v>
      </c>
      <c r="C17" s="342">
        <v>1.0999999999999999E-2</v>
      </c>
      <c r="F17" s="187"/>
      <c r="G17" s="193"/>
      <c r="H17" s="187"/>
      <c r="I17" s="187"/>
      <c r="J17" s="187"/>
      <c r="K17" s="187"/>
      <c r="M17" s="187"/>
    </row>
    <row r="18" spans="1:14" s="190" customFormat="1">
      <c r="B18" s="192" t="s">
        <v>75</v>
      </c>
      <c r="C18" s="342">
        <v>3.2000000000000001E-2</v>
      </c>
      <c r="F18" s="187"/>
      <c r="G18" s="193"/>
      <c r="H18" s="187"/>
      <c r="I18" s="187"/>
      <c r="J18" s="187"/>
      <c r="K18" s="187"/>
      <c r="M18" s="187"/>
    </row>
    <row r="19" spans="1:14" s="190" customFormat="1">
      <c r="B19" s="192" t="s">
        <v>76</v>
      </c>
      <c r="C19" s="342">
        <v>3.0000000000000001E-3</v>
      </c>
      <c r="F19" s="187"/>
      <c r="G19" s="193"/>
      <c r="H19" s="187"/>
      <c r="I19" s="187"/>
      <c r="J19" s="187"/>
      <c r="K19" s="187"/>
      <c r="M19" s="187"/>
    </row>
    <row r="20" spans="1:14" s="190" customFormat="1">
      <c r="B20" s="188"/>
      <c r="C20" s="194"/>
      <c r="F20" s="187"/>
      <c r="G20" s="193"/>
      <c r="H20" s="187"/>
      <c r="I20" s="187"/>
      <c r="J20" s="187"/>
      <c r="K20" s="187"/>
      <c r="M20" s="187"/>
    </row>
    <row r="21" spans="1:14" s="190" customFormat="1">
      <c r="B21" s="192" t="s">
        <v>125</v>
      </c>
      <c r="C21" s="343">
        <v>5.5E-2</v>
      </c>
      <c r="F21" s="193"/>
      <c r="G21" s="187"/>
      <c r="H21" s="187"/>
      <c r="I21" s="187"/>
      <c r="J21" s="187"/>
      <c r="K21" s="187"/>
      <c r="M21" s="187"/>
    </row>
    <row r="22" spans="1:14">
      <c r="B22" s="13"/>
      <c r="C22" s="13"/>
      <c r="F22" s="14"/>
      <c r="G22" s="14"/>
      <c r="H22" s="14"/>
      <c r="I22" s="14"/>
      <c r="J22" s="14"/>
      <c r="K22" s="14"/>
      <c r="L22" s="12"/>
      <c r="M22" s="14"/>
    </row>
    <row r="23" spans="1:14" s="186" customFormat="1">
      <c r="B23" s="185" t="s">
        <v>113</v>
      </c>
      <c r="C23" s="185"/>
    </row>
    <row r="24" spans="1:14" s="190" customFormat="1">
      <c r="E24" s="200"/>
      <c r="F24" s="211"/>
      <c r="G24" s="211"/>
      <c r="H24" s="211"/>
      <c r="I24" s="211"/>
      <c r="J24" s="211"/>
      <c r="K24" s="211"/>
      <c r="L24" s="200"/>
      <c r="M24" s="211"/>
    </row>
    <row r="25" spans="1:14" s="198" customFormat="1">
      <c r="A25" s="195"/>
      <c r="B25" s="196"/>
      <c r="C25" s="196"/>
      <c r="D25" s="196"/>
      <c r="E25" s="209"/>
      <c r="F25" s="197"/>
      <c r="G25" s="197"/>
      <c r="H25" s="197"/>
      <c r="I25" s="197"/>
      <c r="J25" s="197"/>
      <c r="K25" s="197"/>
      <c r="L25" s="304" t="s">
        <v>8</v>
      </c>
      <c r="M25" s="197"/>
    </row>
    <row r="26" spans="1:14" s="194" customFormat="1">
      <c r="A26" s="199"/>
      <c r="B26" s="199"/>
      <c r="C26" s="199"/>
      <c r="D26" s="199"/>
      <c r="E26" s="221"/>
      <c r="F26" s="211"/>
      <c r="G26" s="211"/>
      <c r="H26" s="211"/>
      <c r="I26" s="211"/>
      <c r="J26" s="211"/>
      <c r="K26" s="211"/>
      <c r="L26" s="221"/>
      <c r="M26" s="211"/>
    </row>
    <row r="27" spans="1:14" s="194" customFormat="1">
      <c r="A27" s="199"/>
      <c r="B27" s="200" t="s">
        <v>104</v>
      </c>
      <c r="C27" s="169" t="s">
        <v>106</v>
      </c>
      <c r="D27" s="199"/>
      <c r="E27" s="221"/>
      <c r="F27" s="376"/>
      <c r="G27" s="376"/>
      <c r="H27" s="376"/>
      <c r="I27" s="376"/>
      <c r="J27" s="376"/>
      <c r="K27" s="376"/>
      <c r="L27" s="382">
        <f>'BOB Rendo_2013 - deel 1'!L51</f>
        <v>12587472.452895015</v>
      </c>
      <c r="M27" s="376"/>
      <c r="N27" s="200" t="s">
        <v>179</v>
      </c>
    </row>
    <row r="28" spans="1:14" s="194" customFormat="1">
      <c r="A28" s="199"/>
      <c r="B28" s="200"/>
      <c r="C28" s="199"/>
      <c r="D28" s="199"/>
      <c r="E28" s="221"/>
      <c r="F28" s="211"/>
      <c r="G28" s="211"/>
      <c r="H28" s="211"/>
      <c r="I28" s="211"/>
      <c r="J28" s="211"/>
      <c r="K28" s="211"/>
      <c r="L28" s="211"/>
      <c r="M28" s="211"/>
    </row>
    <row r="29" spans="1:14" s="194" customFormat="1">
      <c r="A29" s="199"/>
      <c r="B29" s="200" t="s">
        <v>105</v>
      </c>
      <c r="C29" s="169" t="s">
        <v>106</v>
      </c>
      <c r="D29" s="199"/>
      <c r="E29" s="221"/>
      <c r="F29" s="377"/>
      <c r="G29" s="377"/>
      <c r="H29" s="377"/>
      <c r="I29" s="377"/>
      <c r="J29" s="377"/>
      <c r="K29" s="377"/>
      <c r="L29" s="382">
        <f>'BOB Rendo_2013 - deel 1'!L53</f>
        <v>13047244.347124906</v>
      </c>
      <c r="M29" s="377"/>
      <c r="N29" s="200" t="s">
        <v>180</v>
      </c>
    </row>
    <row r="30" spans="1:14" s="194" customFormat="1">
      <c r="A30" s="199"/>
      <c r="B30" s="200" t="s">
        <v>107</v>
      </c>
      <c r="C30" s="169" t="s">
        <v>106</v>
      </c>
      <c r="D30" s="199"/>
      <c r="E30" s="221"/>
      <c r="F30" s="377"/>
      <c r="G30" s="377"/>
      <c r="H30" s="377"/>
      <c r="I30" s="377"/>
      <c r="J30" s="377"/>
      <c r="K30" s="377"/>
      <c r="L30" s="382">
        <f>'BOB Rendo_2013 - deel 1'!L54</f>
        <v>3222171.6316184732</v>
      </c>
      <c r="M30" s="377"/>
      <c r="N30" s="200" t="s">
        <v>180</v>
      </c>
    </row>
    <row r="31" spans="1:14" s="194" customFormat="1">
      <c r="A31" s="199"/>
      <c r="B31" s="200"/>
      <c r="C31" s="199"/>
      <c r="D31" s="199"/>
      <c r="E31" s="221"/>
      <c r="F31" s="377"/>
      <c r="G31" s="377"/>
      <c r="H31" s="377"/>
      <c r="I31" s="377"/>
      <c r="J31" s="377"/>
      <c r="K31" s="377"/>
      <c r="L31" s="377"/>
      <c r="M31" s="377"/>
    </row>
    <row r="32" spans="1:14" s="207" customFormat="1">
      <c r="A32" s="204"/>
      <c r="B32" s="200" t="s">
        <v>79</v>
      </c>
      <c r="C32" s="204"/>
      <c r="D32" s="204"/>
      <c r="E32" s="383"/>
      <c r="F32" s="384"/>
      <c r="G32" s="384"/>
      <c r="H32" s="384"/>
      <c r="I32" s="384"/>
      <c r="J32" s="384"/>
      <c r="K32" s="384"/>
      <c r="L32" s="385">
        <f>'BOB Rendo_2013 - deel 1'!L56</f>
        <v>-1.3</v>
      </c>
      <c r="M32" s="384"/>
      <c r="N32" s="200" t="s">
        <v>180</v>
      </c>
    </row>
    <row r="33" spans="2:14" s="190" customFormat="1">
      <c r="E33" s="200"/>
      <c r="F33" s="211"/>
      <c r="G33" s="211"/>
      <c r="H33" s="211"/>
      <c r="I33" s="211"/>
      <c r="J33" s="211"/>
      <c r="K33" s="211"/>
      <c r="L33" s="200"/>
      <c r="M33" s="211"/>
    </row>
    <row r="34" spans="2:14" s="190" customFormat="1">
      <c r="B34" s="208" t="s">
        <v>108</v>
      </c>
      <c r="C34" s="169" t="s">
        <v>95</v>
      </c>
      <c r="E34" s="200"/>
      <c r="F34" s="376"/>
      <c r="G34" s="376"/>
      <c r="H34" s="376"/>
      <c r="I34" s="376"/>
      <c r="J34" s="376"/>
      <c r="K34" s="376"/>
      <c r="L34" s="347">
        <f>L27*(1-$L$32/100+C$17)</f>
        <v>12889571.791764494</v>
      </c>
      <c r="M34" s="376"/>
    </row>
    <row r="35" spans="2:14" s="190" customFormat="1">
      <c r="B35" s="208" t="s">
        <v>109</v>
      </c>
      <c r="C35" s="169" t="s">
        <v>96</v>
      </c>
      <c r="E35" s="200"/>
      <c r="F35" s="376"/>
      <c r="G35" s="376"/>
      <c r="H35" s="376"/>
      <c r="I35" s="376"/>
      <c r="J35" s="376"/>
      <c r="K35" s="376"/>
      <c r="L35" s="347">
        <f>L34*(1-$L$32/100+C$18)</f>
        <v>13469602.522393895</v>
      </c>
      <c r="M35" s="376"/>
    </row>
    <row r="36" spans="2:14" s="190" customFormat="1">
      <c r="B36" s="208" t="s">
        <v>110</v>
      </c>
      <c r="C36" s="169" t="s">
        <v>16</v>
      </c>
      <c r="E36" s="200"/>
      <c r="F36" s="376"/>
      <c r="G36" s="376"/>
      <c r="H36" s="376"/>
      <c r="I36" s="376"/>
      <c r="J36" s="376"/>
      <c r="K36" s="376"/>
      <c r="L36" s="347">
        <f>L35*(1-$L$32/100+C$19)</f>
        <v>13685116.162752194</v>
      </c>
      <c r="M36" s="376"/>
    </row>
    <row r="37" spans="2:14" s="190" customFormat="1">
      <c r="E37" s="200"/>
      <c r="F37" s="200"/>
      <c r="G37" s="200"/>
      <c r="H37" s="200"/>
      <c r="I37" s="200"/>
      <c r="J37" s="200"/>
      <c r="K37" s="200"/>
      <c r="L37" s="200"/>
      <c r="M37" s="200"/>
    </row>
    <row r="38" spans="2:14" s="11" customFormat="1">
      <c r="B38" s="185" t="s">
        <v>84</v>
      </c>
      <c r="E38" s="242"/>
      <c r="F38" s="242"/>
      <c r="G38" s="242"/>
      <c r="H38" s="242"/>
      <c r="I38" s="242"/>
      <c r="J38" s="242"/>
      <c r="K38" s="242"/>
      <c r="L38" s="242"/>
      <c r="M38" s="242"/>
    </row>
    <row r="39" spans="2:14">
      <c r="B39" s="216"/>
      <c r="E39" s="226"/>
      <c r="F39" s="223"/>
      <c r="G39" s="223"/>
      <c r="H39" s="223"/>
      <c r="I39" s="223"/>
      <c r="J39" s="223"/>
      <c r="K39" s="223"/>
      <c r="L39" s="216"/>
      <c r="M39" s="223"/>
    </row>
    <row r="40" spans="2:14">
      <c r="B40" s="208" t="s">
        <v>49</v>
      </c>
      <c r="C40" s="12"/>
      <c r="D40" s="15"/>
      <c r="E40" s="33"/>
      <c r="F40" s="223"/>
      <c r="G40" s="223"/>
      <c r="H40" s="223"/>
      <c r="I40" s="223"/>
      <c r="J40" s="223"/>
      <c r="K40" s="200"/>
      <c r="L40" s="386"/>
      <c r="M40" s="223"/>
    </row>
    <row r="41" spans="2:14">
      <c r="B41" s="200" t="s">
        <v>134</v>
      </c>
      <c r="C41" s="169" t="s">
        <v>16</v>
      </c>
      <c r="D41" s="15"/>
      <c r="E41" s="33"/>
      <c r="F41" s="223"/>
      <c r="G41" s="223"/>
      <c r="H41" s="223"/>
      <c r="I41" s="223"/>
      <c r="J41" s="223"/>
      <c r="K41" s="226"/>
      <c r="L41" s="387">
        <v>15840483.398561718</v>
      </c>
      <c r="M41" s="388"/>
      <c r="N41" s="16" t="s">
        <v>141</v>
      </c>
    </row>
    <row r="42" spans="2:14">
      <c r="B42" s="200" t="s">
        <v>133</v>
      </c>
      <c r="C42" s="169" t="s">
        <v>16</v>
      </c>
      <c r="D42" s="15"/>
      <c r="E42" s="33"/>
      <c r="F42" s="223"/>
      <c r="G42" s="223"/>
      <c r="H42" s="223"/>
      <c r="I42" s="223"/>
      <c r="J42" s="223"/>
      <c r="K42" s="226"/>
      <c r="L42" s="387">
        <v>1980060.4248202166</v>
      </c>
      <c r="M42" s="388"/>
      <c r="N42" s="16" t="s">
        <v>141</v>
      </c>
    </row>
    <row r="43" spans="2:14">
      <c r="B43" s="200"/>
      <c r="C43" s="12"/>
      <c r="D43" s="15"/>
      <c r="E43" s="33"/>
      <c r="F43" s="223"/>
      <c r="G43" s="223"/>
      <c r="H43" s="223"/>
      <c r="I43" s="223"/>
      <c r="J43" s="223"/>
      <c r="K43" s="226"/>
      <c r="L43" s="389"/>
      <c r="M43" s="388"/>
      <c r="N43" s="16"/>
    </row>
    <row r="44" spans="2:14">
      <c r="B44" s="200" t="s">
        <v>85</v>
      </c>
      <c r="C44" s="169" t="s">
        <v>16</v>
      </c>
      <c r="D44" s="15"/>
      <c r="E44" s="33"/>
      <c r="F44" s="223"/>
      <c r="G44" s="223"/>
      <c r="H44" s="223"/>
      <c r="I44" s="223"/>
      <c r="J44" s="223"/>
      <c r="K44" s="226"/>
      <c r="L44" s="347">
        <f>L41*C21</f>
        <v>871226.58692089445</v>
      </c>
      <c r="M44" s="390"/>
      <c r="N44" s="16"/>
    </row>
    <row r="45" spans="2:14">
      <c r="B45" s="200"/>
      <c r="C45" s="12"/>
      <c r="D45" s="15"/>
      <c r="E45" s="33"/>
      <c r="F45" s="223"/>
      <c r="G45" s="223"/>
      <c r="H45" s="223"/>
      <c r="I45" s="223"/>
      <c r="J45" s="223"/>
      <c r="K45" s="226"/>
      <c r="L45" s="200"/>
      <c r="M45" s="388"/>
    </row>
    <row r="46" spans="2:14">
      <c r="B46" s="208" t="s">
        <v>48</v>
      </c>
      <c r="C46" s="12"/>
      <c r="D46" s="15"/>
      <c r="E46" s="33"/>
      <c r="F46" s="223"/>
      <c r="G46" s="223"/>
      <c r="H46" s="223"/>
      <c r="I46" s="223"/>
      <c r="J46" s="223"/>
      <c r="K46" s="226"/>
      <c r="L46" s="200"/>
      <c r="M46" s="388"/>
    </row>
    <row r="47" spans="2:14">
      <c r="B47" s="200" t="s">
        <v>132</v>
      </c>
      <c r="C47" s="169" t="s">
        <v>16</v>
      </c>
      <c r="D47" s="15"/>
      <c r="E47" s="33"/>
      <c r="F47" s="223"/>
      <c r="G47" s="223"/>
      <c r="H47" s="223"/>
      <c r="I47" s="223"/>
      <c r="J47" s="223"/>
      <c r="K47" s="226"/>
      <c r="L47" s="391">
        <v>88642</v>
      </c>
      <c r="M47" s="388"/>
      <c r="N47" s="16" t="s">
        <v>140</v>
      </c>
    </row>
    <row r="48" spans="2:14">
      <c r="B48" s="200" t="s">
        <v>135</v>
      </c>
      <c r="C48" s="169" t="s">
        <v>16</v>
      </c>
      <c r="D48" s="15"/>
      <c r="E48" s="33"/>
      <c r="F48" s="223"/>
      <c r="G48" s="223"/>
      <c r="H48" s="223"/>
      <c r="I48" s="223"/>
      <c r="J48" s="223"/>
      <c r="K48" s="226"/>
      <c r="L48" s="391">
        <v>0</v>
      </c>
      <c r="M48" s="388"/>
      <c r="N48" s="16" t="s">
        <v>140</v>
      </c>
    </row>
    <row r="49" spans="1:50">
      <c r="B49" s="200"/>
      <c r="C49" s="12"/>
      <c r="D49" s="15"/>
      <c r="E49" s="33"/>
      <c r="F49" s="223"/>
      <c r="G49" s="223"/>
      <c r="H49" s="223"/>
      <c r="I49" s="223"/>
      <c r="J49" s="223"/>
      <c r="K49" s="226"/>
      <c r="L49" s="200"/>
      <c r="M49" s="388"/>
    </row>
    <row r="50" spans="1:50">
      <c r="B50" s="200" t="s">
        <v>136</v>
      </c>
      <c r="C50" s="169" t="s">
        <v>16</v>
      </c>
      <c r="D50" s="15"/>
      <c r="E50" s="33"/>
      <c r="F50" s="169"/>
      <c r="G50" s="223"/>
      <c r="H50" s="223"/>
      <c r="I50" s="223"/>
      <c r="J50" s="223"/>
      <c r="K50" s="226"/>
      <c r="L50" s="392">
        <f>L42+L44+L47+L48</f>
        <v>2939929.0117411111</v>
      </c>
      <c r="M50" s="388"/>
    </row>
    <row r="51" spans="1:50">
      <c r="B51" s="200" t="s">
        <v>137</v>
      </c>
      <c r="C51" s="169" t="s">
        <v>106</v>
      </c>
      <c r="D51" s="15"/>
      <c r="E51" s="33"/>
      <c r="F51" s="169"/>
      <c r="G51" s="223"/>
      <c r="H51" s="223"/>
      <c r="I51" s="223"/>
      <c r="J51" s="223"/>
      <c r="K51" s="226"/>
      <c r="L51" s="393">
        <v>2809344.885452209</v>
      </c>
      <c r="M51" s="388"/>
    </row>
    <row r="52" spans="1:50">
      <c r="B52" s="200"/>
      <c r="C52" s="12"/>
      <c r="D52" s="15"/>
      <c r="E52" s="33"/>
      <c r="F52" s="223"/>
      <c r="G52" s="223"/>
      <c r="H52" s="223"/>
      <c r="I52" s="223"/>
      <c r="J52" s="223"/>
      <c r="K52" s="200"/>
      <c r="L52" s="388"/>
      <c r="M52" s="388"/>
    </row>
    <row r="53" spans="1:50">
      <c r="B53" s="208" t="s">
        <v>138</v>
      </c>
      <c r="C53" s="12"/>
      <c r="D53" s="15"/>
      <c r="E53" s="33"/>
      <c r="F53" s="223"/>
      <c r="G53" s="223"/>
      <c r="H53" s="223"/>
      <c r="I53" s="223"/>
      <c r="J53" s="223"/>
      <c r="K53" s="200"/>
      <c r="L53" s="394"/>
      <c r="M53" s="388"/>
    </row>
    <row r="54" spans="1:50">
      <c r="B54" s="200" t="s">
        <v>139</v>
      </c>
      <c r="C54" s="169" t="s">
        <v>106</v>
      </c>
      <c r="D54" s="15"/>
      <c r="E54" s="33"/>
      <c r="F54" s="223"/>
      <c r="G54" s="223"/>
      <c r="H54" s="223"/>
      <c r="I54" s="223"/>
      <c r="J54" s="223"/>
      <c r="K54" s="226"/>
      <c r="L54" s="382">
        <f>L51</f>
        <v>2809344.885452209</v>
      </c>
      <c r="M54" s="388"/>
    </row>
    <row r="55" spans="1:50">
      <c r="B55" s="217"/>
      <c r="C55" s="169"/>
      <c r="E55" s="33"/>
      <c r="F55" s="223"/>
      <c r="G55" s="223"/>
      <c r="H55" s="223"/>
      <c r="I55" s="223"/>
      <c r="J55" s="223"/>
      <c r="K55" s="223"/>
      <c r="L55" s="388"/>
      <c r="M55" s="388"/>
    </row>
    <row r="56" spans="1:50" s="10" customFormat="1">
      <c r="B56" s="185" t="s">
        <v>126</v>
      </c>
    </row>
    <row r="57" spans="1:50" s="190" customFormat="1">
      <c r="E57" s="200"/>
      <c r="F57" s="200"/>
      <c r="G57" s="200"/>
      <c r="H57" s="200"/>
      <c r="I57" s="200"/>
      <c r="J57" s="200"/>
      <c r="K57" s="200"/>
      <c r="L57" s="200"/>
      <c r="M57" s="200"/>
    </row>
    <row r="58" spans="1:50" s="190" customFormat="1">
      <c r="E58" s="200"/>
      <c r="F58" s="200"/>
      <c r="G58" s="395"/>
      <c r="H58" s="395"/>
      <c r="I58" s="395"/>
      <c r="J58" s="395"/>
      <c r="K58" s="395"/>
      <c r="L58" s="395"/>
      <c r="M58" s="395"/>
    </row>
    <row r="59" spans="1:50" s="198" customFormat="1">
      <c r="A59" s="218"/>
      <c r="B59" s="219" t="s">
        <v>104</v>
      </c>
      <c r="C59" s="220"/>
      <c r="D59" s="220"/>
      <c r="E59" s="396"/>
      <c r="F59" s="219"/>
      <c r="G59" s="396"/>
      <c r="H59" s="219"/>
      <c r="I59" s="396"/>
      <c r="J59" s="219"/>
      <c r="K59" s="396"/>
      <c r="L59" s="396"/>
      <c r="M59" s="211"/>
    </row>
    <row r="60" spans="1:50" s="194" customFormat="1">
      <c r="A60" s="199"/>
      <c r="B60" s="221"/>
      <c r="C60" s="199"/>
      <c r="D60" s="199"/>
      <c r="E60" s="221"/>
      <c r="F60" s="221"/>
      <c r="G60" s="221"/>
      <c r="H60" s="221"/>
      <c r="I60" s="221"/>
      <c r="J60" s="221"/>
      <c r="K60" s="221"/>
      <c r="L60" s="221"/>
      <c r="M60" s="211"/>
    </row>
    <row r="61" spans="1:50" s="194" customFormat="1">
      <c r="A61" s="199"/>
      <c r="B61" s="221" t="s">
        <v>127</v>
      </c>
      <c r="C61" s="169" t="s">
        <v>106</v>
      </c>
      <c r="D61" s="199"/>
      <c r="E61" s="221"/>
      <c r="F61" s="221"/>
      <c r="G61" s="221"/>
      <c r="H61" s="221"/>
      <c r="I61" s="221"/>
      <c r="J61" s="221"/>
      <c r="K61" s="221"/>
      <c r="L61" s="273">
        <f>L27</f>
        <v>12587472.452895015</v>
      </c>
      <c r="M61" s="376"/>
      <c r="N61" s="200" t="s">
        <v>53</v>
      </c>
    </row>
    <row r="62" spans="1:50" s="194" customFormat="1">
      <c r="A62" s="199"/>
      <c r="B62" s="199"/>
      <c r="C62" s="199"/>
      <c r="D62" s="199"/>
      <c r="E62" s="221"/>
      <c r="F62" s="221"/>
      <c r="G62" s="221"/>
      <c r="H62" s="221"/>
      <c r="I62" s="221"/>
      <c r="J62" s="221"/>
      <c r="K62" s="221"/>
      <c r="L62" s="221"/>
      <c r="M62" s="211"/>
    </row>
    <row r="63" spans="1:50" s="222" customFormat="1">
      <c r="B63" s="20" t="s">
        <v>105</v>
      </c>
      <c r="C63" s="20"/>
      <c r="M63" s="223"/>
      <c r="N63" s="223"/>
      <c r="O63" s="223"/>
      <c r="P63" s="223"/>
      <c r="Q63" s="223"/>
      <c r="R63" s="223"/>
      <c r="S63" s="223"/>
      <c r="T63" s="223"/>
      <c r="U63" s="223"/>
      <c r="V63" s="223"/>
      <c r="W63" s="223"/>
      <c r="X63" s="223"/>
      <c r="Y63" s="223"/>
      <c r="Z63" s="223"/>
      <c r="AA63" s="223"/>
      <c r="AB63" s="223"/>
      <c r="AC63" s="223"/>
      <c r="AD63" s="223"/>
      <c r="AE63" s="223"/>
      <c r="AF63" s="223"/>
      <c r="AG63" s="223"/>
      <c r="AH63" s="223"/>
      <c r="AI63" s="223"/>
      <c r="AJ63" s="223"/>
      <c r="AK63" s="223"/>
      <c r="AL63" s="223"/>
      <c r="AM63" s="223"/>
      <c r="AN63" s="223"/>
      <c r="AO63" s="223"/>
      <c r="AP63" s="223"/>
      <c r="AQ63" s="223"/>
      <c r="AR63" s="223"/>
      <c r="AS63" s="223"/>
      <c r="AT63" s="223"/>
      <c r="AU63" s="223"/>
      <c r="AV63" s="223"/>
      <c r="AW63" s="223"/>
      <c r="AX63" s="223"/>
    </row>
    <row r="64" spans="1:50" s="16" customFormat="1">
      <c r="D64" s="17"/>
      <c r="E64" s="17"/>
      <c r="F64" s="17"/>
      <c r="G64" s="17"/>
      <c r="H64" s="17"/>
      <c r="I64" s="17"/>
      <c r="J64" s="17"/>
      <c r="K64" s="17"/>
      <c r="L64" s="17"/>
      <c r="M64" s="223"/>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row>
    <row r="65" spans="2:50" s="16" customFormat="1">
      <c r="B65" s="17" t="s">
        <v>129</v>
      </c>
      <c r="C65" s="32" t="s">
        <v>106</v>
      </c>
      <c r="D65" s="17"/>
      <c r="E65" s="17"/>
      <c r="F65" s="17"/>
      <c r="G65" s="17"/>
      <c r="H65" s="17"/>
      <c r="I65" s="17"/>
      <c r="J65" s="17"/>
      <c r="K65" s="17"/>
      <c r="L65" s="382">
        <f>L29</f>
        <v>13047244.347124906</v>
      </c>
      <c r="M65" s="376"/>
      <c r="N65" s="200" t="s">
        <v>53</v>
      </c>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row>
    <row r="66" spans="2:50" s="16" customFormat="1">
      <c r="B66" s="17" t="s">
        <v>130</v>
      </c>
      <c r="C66" s="32" t="s">
        <v>106</v>
      </c>
      <c r="D66" s="17"/>
      <c r="E66" s="17"/>
      <c r="F66" s="17"/>
      <c r="G66" s="17"/>
      <c r="H66" s="17"/>
      <c r="I66" s="17"/>
      <c r="J66" s="17"/>
      <c r="K66" s="17"/>
      <c r="L66" s="382">
        <f>L30</f>
        <v>3222171.6316184732</v>
      </c>
      <c r="M66" s="376"/>
      <c r="N66" s="200" t="s">
        <v>53</v>
      </c>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row>
    <row r="67" spans="2:50" s="16" customFormat="1">
      <c r="B67" s="17" t="s">
        <v>131</v>
      </c>
      <c r="C67" s="32" t="s">
        <v>106</v>
      </c>
      <c r="D67" s="17"/>
      <c r="E67" s="17"/>
      <c r="F67" s="17"/>
      <c r="G67" s="17"/>
      <c r="H67" s="17"/>
      <c r="I67" s="17"/>
      <c r="J67" s="17"/>
      <c r="K67" s="17"/>
      <c r="L67" s="397">
        <f>L54</f>
        <v>2809344.885452209</v>
      </c>
      <c r="M67" s="274"/>
      <c r="N67" s="21"/>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row>
    <row r="68" spans="2:50" s="16" customFormat="1">
      <c r="B68" s="17" t="s">
        <v>128</v>
      </c>
      <c r="C68" s="32" t="s">
        <v>106</v>
      </c>
      <c r="D68" s="17"/>
      <c r="E68" s="17"/>
      <c r="F68" s="17"/>
      <c r="G68" s="17"/>
      <c r="H68" s="17"/>
      <c r="I68" s="17"/>
      <c r="J68" s="17"/>
      <c r="K68" s="17"/>
      <c r="L68" s="392">
        <f>L65-L66+L67</f>
        <v>12634417.600958642</v>
      </c>
      <c r="M68" s="398"/>
      <c r="N68" s="21"/>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row>
    <row r="69" spans="2:50" s="16" customFormat="1">
      <c r="D69" s="17"/>
      <c r="E69" s="17"/>
      <c r="F69" s="17"/>
      <c r="G69" s="17"/>
      <c r="H69" s="17"/>
      <c r="I69" s="17"/>
      <c r="J69" s="17"/>
      <c r="K69" s="17"/>
      <c r="L69" s="17"/>
      <c r="M69" s="223"/>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row>
    <row r="70" spans="2:50" s="222" customFormat="1">
      <c r="B70" s="20" t="s">
        <v>50</v>
      </c>
      <c r="C70" s="20"/>
      <c r="M70" s="223"/>
      <c r="N70" s="223"/>
      <c r="O70" s="223"/>
      <c r="P70" s="223"/>
      <c r="Q70" s="223"/>
      <c r="R70" s="223"/>
      <c r="S70" s="223"/>
      <c r="T70" s="223"/>
      <c r="U70" s="223"/>
      <c r="V70" s="223"/>
      <c r="W70" s="223"/>
      <c r="X70" s="223"/>
      <c r="Y70" s="223"/>
      <c r="Z70" s="223"/>
      <c r="AA70" s="223"/>
      <c r="AB70" s="223"/>
      <c r="AC70" s="223"/>
      <c r="AD70" s="223"/>
      <c r="AE70" s="223"/>
      <c r="AF70" s="223"/>
      <c r="AG70" s="223"/>
      <c r="AH70" s="223"/>
      <c r="AI70" s="223"/>
      <c r="AJ70" s="223"/>
      <c r="AK70" s="223"/>
      <c r="AL70" s="223"/>
      <c r="AM70" s="223"/>
      <c r="AN70" s="223"/>
      <c r="AO70" s="223"/>
      <c r="AP70" s="223"/>
      <c r="AQ70" s="223"/>
      <c r="AR70" s="223"/>
      <c r="AS70" s="223"/>
      <c r="AT70" s="223"/>
      <c r="AU70" s="223"/>
      <c r="AV70" s="223"/>
      <c r="AW70" s="223"/>
      <c r="AX70" s="223"/>
    </row>
    <row r="71" spans="2:50" s="16" customFormat="1">
      <c r="D71" s="17"/>
      <c r="E71" s="17"/>
      <c r="F71" s="17"/>
      <c r="G71" s="17"/>
      <c r="H71" s="17"/>
      <c r="I71" s="17"/>
      <c r="J71" s="17"/>
      <c r="K71" s="17"/>
      <c r="L71" s="17"/>
      <c r="M71" s="223"/>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row>
    <row r="72" spans="2:50" s="16" customFormat="1">
      <c r="B72" s="16" t="s">
        <v>9</v>
      </c>
      <c r="D72" s="17"/>
      <c r="E72" s="17"/>
      <c r="F72" s="17"/>
      <c r="G72" s="17"/>
      <c r="H72" s="17"/>
      <c r="I72" s="17"/>
      <c r="J72" s="17"/>
      <c r="K72" s="17"/>
      <c r="L72" s="399">
        <f>100*(1-(L68/L61)^(1/3))</f>
        <v>-0.12416288762795435</v>
      </c>
      <c r="M72" s="400"/>
      <c r="N72" s="3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row>
    <row r="73" spans="2:50" s="224" customFormat="1">
      <c r="B73" s="22" t="s">
        <v>32</v>
      </c>
      <c r="C73" s="22"/>
      <c r="L73" s="401">
        <f t="shared" ref="L73" si="0">IF(L72&gt;0,ROUNDDOWN(L72,1),ROUNDUP(L72,1))</f>
        <v>-0.2</v>
      </c>
      <c r="M73" s="225"/>
      <c r="N73" s="225"/>
      <c r="O73" s="223"/>
      <c r="P73" s="223"/>
      <c r="Q73" s="223"/>
      <c r="R73" s="223"/>
      <c r="S73" s="223"/>
      <c r="T73" s="223"/>
      <c r="U73" s="223"/>
      <c r="V73" s="223"/>
      <c r="W73" s="223"/>
      <c r="X73" s="223"/>
      <c r="Y73" s="223"/>
      <c r="Z73" s="223"/>
      <c r="AA73" s="223"/>
      <c r="AB73" s="223"/>
      <c r="AC73" s="223"/>
      <c r="AD73" s="223"/>
      <c r="AE73" s="223"/>
      <c r="AF73" s="223"/>
      <c r="AG73" s="223"/>
      <c r="AH73" s="223"/>
      <c r="AI73" s="223"/>
      <c r="AJ73" s="223"/>
      <c r="AK73" s="223"/>
      <c r="AL73" s="223"/>
      <c r="AM73" s="223"/>
      <c r="AN73" s="223"/>
      <c r="AO73" s="223"/>
      <c r="AP73" s="223"/>
      <c r="AQ73" s="223"/>
      <c r="AR73" s="223"/>
      <c r="AS73" s="223"/>
      <c r="AT73" s="223"/>
      <c r="AU73" s="223"/>
      <c r="AV73" s="223"/>
      <c r="AW73" s="223"/>
      <c r="AX73" s="223"/>
    </row>
    <row r="74" spans="2:50" s="190" customFormat="1">
      <c r="E74" s="200"/>
      <c r="F74" s="211"/>
      <c r="G74" s="211"/>
      <c r="H74" s="211"/>
      <c r="I74" s="211"/>
      <c r="J74" s="211"/>
      <c r="K74" s="211"/>
      <c r="L74" s="200"/>
      <c r="M74" s="211"/>
    </row>
    <row r="75" spans="2:50" s="190" customFormat="1">
      <c r="E75" s="200"/>
      <c r="F75" s="211"/>
      <c r="G75" s="211"/>
      <c r="H75" s="211"/>
      <c r="I75" s="211"/>
      <c r="J75" s="211"/>
      <c r="K75" s="211"/>
      <c r="L75" s="200"/>
      <c r="M75" s="211"/>
    </row>
    <row r="76" spans="2:50" s="190" customFormat="1">
      <c r="B76" s="208" t="s">
        <v>108</v>
      </c>
      <c r="C76" s="169" t="s">
        <v>95</v>
      </c>
      <c r="E76" s="200"/>
      <c r="F76" s="376"/>
      <c r="G76" s="376"/>
      <c r="H76" s="376"/>
      <c r="I76" s="376"/>
      <c r="J76" s="376"/>
      <c r="K76" s="376"/>
      <c r="L76" s="347">
        <f>L61*(1-$L$73/100+C17)</f>
        <v>12751109.594782649</v>
      </c>
      <c r="M76" s="376"/>
    </row>
    <row r="77" spans="2:50" s="190" customFormat="1">
      <c r="B77" s="208" t="s">
        <v>109</v>
      </c>
      <c r="C77" s="169" t="s">
        <v>96</v>
      </c>
      <c r="E77" s="200"/>
      <c r="F77" s="376"/>
      <c r="G77" s="376"/>
      <c r="H77" s="376"/>
      <c r="I77" s="376"/>
      <c r="J77" s="376"/>
      <c r="K77" s="376"/>
      <c r="L77" s="347">
        <f>L76*(1-$L$73/100+C18)</f>
        <v>13184647.321005259</v>
      </c>
      <c r="M77" s="376"/>
    </row>
    <row r="78" spans="2:50" s="190" customFormat="1">
      <c r="B78" s="208" t="s">
        <v>110</v>
      </c>
      <c r="C78" s="169" t="s">
        <v>16</v>
      </c>
      <c r="E78" s="200"/>
      <c r="F78" s="211"/>
      <c r="G78" s="211"/>
      <c r="H78" s="211"/>
      <c r="I78" s="211"/>
      <c r="J78" s="211"/>
      <c r="K78" s="211"/>
      <c r="L78" s="347">
        <f>L77*(1-$L$73/100+C19)</f>
        <v>13250570.557610283</v>
      </c>
      <c r="M78" s="211"/>
    </row>
    <row r="79" spans="2:50">
      <c r="B79" s="12"/>
      <c r="C79" s="12"/>
      <c r="D79" s="226"/>
      <c r="E79" s="226"/>
      <c r="F79" s="223"/>
      <c r="G79" s="223"/>
      <c r="H79" s="223"/>
      <c r="I79" s="223"/>
      <c r="J79" s="223"/>
      <c r="K79" s="223"/>
      <c r="L79" s="226"/>
      <c r="M79" s="223"/>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4"/>
    </row>
    <row r="80" spans="2:50" s="10" customFormat="1">
      <c r="B80" s="10" t="s">
        <v>143</v>
      </c>
    </row>
    <row r="81" spans="2:50">
      <c r="B81" s="12"/>
      <c r="C81" s="12"/>
      <c r="D81" s="226"/>
      <c r="E81" s="226"/>
      <c r="F81" s="223"/>
      <c r="G81" s="223"/>
      <c r="H81" s="223"/>
      <c r="I81" s="223"/>
      <c r="J81" s="223"/>
      <c r="K81" s="223"/>
      <c r="L81" s="226"/>
      <c r="M81" s="223"/>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row>
    <row r="82" spans="2:50" s="214" customFormat="1">
      <c r="B82" s="227"/>
      <c r="C82" s="227"/>
      <c r="F82" s="197"/>
      <c r="G82" s="197"/>
      <c r="H82" s="197"/>
      <c r="I82" s="197"/>
      <c r="J82" s="197"/>
      <c r="K82" s="197"/>
      <c r="L82" s="197"/>
      <c r="M82" s="197"/>
      <c r="N82" s="197"/>
    </row>
    <row r="83" spans="2:50" s="214" customFormat="1">
      <c r="B83" s="169" t="s">
        <v>144</v>
      </c>
      <c r="C83" s="169" t="s">
        <v>95</v>
      </c>
      <c r="E83" s="174"/>
      <c r="F83" s="376"/>
      <c r="G83" s="376"/>
      <c r="H83" s="376"/>
      <c r="I83" s="376"/>
      <c r="J83" s="376"/>
      <c r="K83" s="376"/>
      <c r="L83" s="402">
        <f>L34</f>
        <v>12889571.791764494</v>
      </c>
      <c r="M83" s="376"/>
      <c r="N83" s="201"/>
    </row>
    <row r="84" spans="2:50" s="214" customFormat="1">
      <c r="B84" s="169" t="s">
        <v>145</v>
      </c>
      <c r="C84" s="169" t="s">
        <v>95</v>
      </c>
      <c r="F84" s="403"/>
      <c r="G84" s="403"/>
      <c r="H84" s="403"/>
      <c r="I84" s="403"/>
      <c r="J84" s="403"/>
      <c r="K84" s="403"/>
      <c r="L84" s="402">
        <f>L76</f>
        <v>12751109.594782649</v>
      </c>
      <c r="M84" s="403"/>
      <c r="N84" s="197"/>
    </row>
    <row r="85" spans="2:50" s="214" customFormat="1">
      <c r="B85" s="227" t="s">
        <v>151</v>
      </c>
      <c r="C85" s="169" t="s">
        <v>95</v>
      </c>
      <c r="F85" s="403"/>
      <c r="G85" s="403"/>
      <c r="H85" s="403"/>
      <c r="I85" s="403"/>
      <c r="J85" s="403"/>
      <c r="K85" s="403"/>
      <c r="L85" s="404">
        <f>L84-L83</f>
        <v>-138462.19698184542</v>
      </c>
      <c r="M85" s="403"/>
      <c r="N85" s="197"/>
    </row>
    <row r="86" spans="2:50" s="214" customFormat="1">
      <c r="B86" s="227"/>
      <c r="C86" s="169"/>
      <c r="F86" s="403"/>
      <c r="G86" s="403"/>
      <c r="H86" s="403"/>
      <c r="I86" s="403"/>
      <c r="J86" s="403"/>
      <c r="K86" s="403"/>
      <c r="L86" s="403"/>
      <c r="M86" s="403"/>
      <c r="N86" s="197"/>
    </row>
    <row r="87" spans="2:50" s="162" customFormat="1">
      <c r="B87" s="169" t="s">
        <v>148</v>
      </c>
      <c r="C87" s="169" t="s">
        <v>96</v>
      </c>
      <c r="E87" s="174"/>
      <c r="F87" s="376"/>
      <c r="G87" s="376"/>
      <c r="H87" s="376"/>
      <c r="I87" s="376"/>
      <c r="J87" s="376"/>
      <c r="K87" s="376"/>
      <c r="L87" s="402">
        <f>L35</f>
        <v>13469602.522393895</v>
      </c>
      <c r="M87" s="376"/>
      <c r="N87" s="201"/>
      <c r="O87" s="228"/>
      <c r="P87" s="228"/>
      <c r="Q87" s="228"/>
    </row>
    <row r="88" spans="2:50" s="162" customFormat="1">
      <c r="B88" s="169" t="s">
        <v>149</v>
      </c>
      <c r="C88" s="169" t="s">
        <v>96</v>
      </c>
      <c r="E88" s="174"/>
      <c r="F88" s="214"/>
      <c r="G88" s="214"/>
      <c r="H88" s="214"/>
      <c r="I88" s="214"/>
      <c r="J88" s="214"/>
      <c r="K88" s="214"/>
      <c r="L88" s="402">
        <f>L77</f>
        <v>13184647.321005259</v>
      </c>
      <c r="M88" s="214"/>
    </row>
    <row r="89" spans="2:50" s="162" customFormat="1">
      <c r="B89" s="227" t="s">
        <v>152</v>
      </c>
      <c r="C89" s="169" t="s">
        <v>96</v>
      </c>
      <c r="E89" s="174"/>
      <c r="F89" s="214"/>
      <c r="G89" s="214"/>
      <c r="H89" s="214"/>
      <c r="I89" s="214"/>
      <c r="J89" s="214"/>
      <c r="K89" s="214"/>
      <c r="L89" s="404">
        <f>L88-L87</f>
        <v>-284955.2013886366</v>
      </c>
      <c r="M89" s="214"/>
    </row>
    <row r="90" spans="2:50" s="162" customFormat="1">
      <c r="B90" s="227"/>
      <c r="C90" s="169"/>
      <c r="E90" s="174"/>
      <c r="F90" s="214"/>
      <c r="G90" s="214"/>
      <c r="H90" s="214"/>
      <c r="I90" s="214"/>
      <c r="J90" s="214"/>
      <c r="K90" s="214"/>
      <c r="L90" s="169"/>
      <c r="M90" s="214"/>
    </row>
    <row r="91" spans="2:50" s="162" customFormat="1">
      <c r="B91" s="169" t="s">
        <v>146</v>
      </c>
      <c r="C91" s="169" t="s">
        <v>16</v>
      </c>
      <c r="E91" s="174"/>
      <c r="F91" s="376"/>
      <c r="G91" s="376"/>
      <c r="H91" s="376"/>
      <c r="I91" s="376"/>
      <c r="J91" s="376"/>
      <c r="K91" s="376"/>
      <c r="L91" s="402">
        <f>L36</f>
        <v>13685116.162752194</v>
      </c>
      <c r="M91" s="376"/>
      <c r="N91" s="229"/>
      <c r="O91" s="228"/>
      <c r="P91" s="228"/>
      <c r="Q91" s="228"/>
    </row>
    <row r="92" spans="2:50" s="162" customFormat="1">
      <c r="B92" s="169" t="s">
        <v>147</v>
      </c>
      <c r="C92" s="169" t="s">
        <v>16</v>
      </c>
      <c r="E92" s="174"/>
      <c r="F92" s="169"/>
      <c r="G92" s="169"/>
      <c r="H92" s="169"/>
      <c r="I92" s="169"/>
      <c r="J92" s="169"/>
      <c r="K92" s="169"/>
      <c r="L92" s="402">
        <f>L78</f>
        <v>13250570.557610283</v>
      </c>
      <c r="M92" s="214"/>
    </row>
    <row r="93" spans="2:50" s="162" customFormat="1">
      <c r="B93" s="227" t="s">
        <v>153</v>
      </c>
      <c r="C93" s="169" t="s">
        <v>16</v>
      </c>
      <c r="E93" s="174"/>
      <c r="F93" s="169"/>
      <c r="G93" s="169"/>
      <c r="H93" s="169"/>
      <c r="I93" s="169"/>
      <c r="J93" s="169"/>
      <c r="K93" s="169"/>
      <c r="L93" s="404">
        <f>L92-L91</f>
        <v>-434545.60514191166</v>
      </c>
      <c r="M93" s="214"/>
    </row>
    <row r="94" spans="2:50">
      <c r="B94" s="12"/>
      <c r="C94" s="12"/>
      <c r="E94" s="226"/>
      <c r="F94" s="226"/>
      <c r="G94" s="226"/>
      <c r="H94" s="226"/>
      <c r="I94" s="226"/>
      <c r="J94" s="226"/>
      <c r="K94" s="226"/>
      <c r="L94" s="226"/>
      <c r="M94" s="223"/>
    </row>
    <row r="95" spans="2:50">
      <c r="B95" s="12"/>
      <c r="C95" s="12"/>
      <c r="F95" s="14"/>
      <c r="G95" s="14"/>
      <c r="H95" s="14"/>
      <c r="I95" s="14"/>
      <c r="J95" s="14"/>
      <c r="K95" s="14"/>
      <c r="L95" s="12"/>
      <c r="M95" s="14"/>
    </row>
    <row r="96" spans="2:50">
      <c r="B96" s="15"/>
      <c r="C96" s="15"/>
      <c r="D96" s="15"/>
      <c r="E96" s="15"/>
      <c r="F96" s="14"/>
      <c r="G96" s="14"/>
      <c r="H96" s="14"/>
      <c r="I96" s="14"/>
      <c r="J96" s="14"/>
      <c r="K96" s="14"/>
      <c r="L96" s="15"/>
      <c r="M96" s="14"/>
    </row>
    <row r="97" spans="2:13">
      <c r="B97" s="161"/>
      <c r="C97" s="161"/>
      <c r="D97" s="161"/>
      <c r="E97" s="161"/>
      <c r="F97" s="230"/>
      <c r="G97" s="230"/>
      <c r="H97" s="230"/>
      <c r="I97" s="230"/>
      <c r="J97" s="230"/>
      <c r="K97" s="14"/>
      <c r="L97" s="231"/>
      <c r="M97" s="230"/>
    </row>
    <row r="98" spans="2:13">
      <c r="M98" s="14"/>
    </row>
  </sheetData>
  <pageMargins left="0.75" right="0.75" top="1" bottom="1" header="0.5" footer="0.5"/>
  <pageSetup paperSize="9" scale="4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tabColor rgb="FF92D050"/>
    <pageSetUpPr fitToPage="1"/>
  </sheetPr>
  <dimension ref="A2:N52"/>
  <sheetViews>
    <sheetView showGridLines="0" zoomScale="85" workbookViewId="0"/>
  </sheetViews>
  <sheetFormatPr defaultRowHeight="12.75"/>
  <cols>
    <col min="1" max="1" width="4.85546875" style="169" customWidth="1"/>
    <col min="2" max="2" width="73" style="169" customWidth="1"/>
    <col min="3" max="3" width="12.140625" style="169" customWidth="1"/>
    <col min="4" max="4" width="14.28515625" style="169" customWidth="1"/>
    <col min="5" max="5" width="12.140625" style="169" customWidth="1"/>
    <col min="6" max="9" width="9.140625" style="169"/>
    <col min="10" max="10" width="10.5703125" style="169" bestFit="1" customWidth="1"/>
    <col min="11" max="246" width="9.140625" style="169"/>
    <col min="247" max="247" width="4.85546875" style="169" customWidth="1"/>
    <col min="248" max="248" width="57.5703125" style="169" customWidth="1"/>
    <col min="249" max="249" width="4.42578125" style="169" customWidth="1"/>
    <col min="250" max="250" width="18.28515625" style="169" customWidth="1"/>
    <col min="251" max="251" width="5.85546875" style="169" customWidth="1"/>
    <col min="252" max="252" width="4.140625" style="169" customWidth="1"/>
    <col min="253" max="260" width="15.42578125" style="169" customWidth="1"/>
    <col min="261" max="261" width="5.28515625" style="169" customWidth="1"/>
    <col min="262" max="502" width="9.140625" style="169"/>
    <col min="503" max="503" width="4.85546875" style="169" customWidth="1"/>
    <col min="504" max="504" width="57.5703125" style="169" customWidth="1"/>
    <col min="505" max="505" width="4.42578125" style="169" customWidth="1"/>
    <col min="506" max="506" width="18.28515625" style="169" customWidth="1"/>
    <col min="507" max="507" width="5.85546875" style="169" customWidth="1"/>
    <col min="508" max="508" width="4.140625" style="169" customWidth="1"/>
    <col min="509" max="516" width="15.42578125" style="169" customWidth="1"/>
    <col min="517" max="517" width="5.28515625" style="169" customWidth="1"/>
    <col min="518" max="758" width="9.140625" style="169"/>
    <col min="759" max="759" width="4.85546875" style="169" customWidth="1"/>
    <col min="760" max="760" width="57.5703125" style="169" customWidth="1"/>
    <col min="761" max="761" width="4.42578125" style="169" customWidth="1"/>
    <col min="762" max="762" width="18.28515625" style="169" customWidth="1"/>
    <col min="763" max="763" width="5.85546875" style="169" customWidth="1"/>
    <col min="764" max="764" width="4.140625" style="169" customWidth="1"/>
    <col min="765" max="772" width="15.42578125" style="169" customWidth="1"/>
    <col min="773" max="773" width="5.28515625" style="169" customWidth="1"/>
    <col min="774" max="1014" width="9.140625" style="169"/>
    <col min="1015" max="1015" width="4.85546875" style="169" customWidth="1"/>
    <col min="1016" max="1016" width="57.5703125" style="169" customWidth="1"/>
    <col min="1017" max="1017" width="4.42578125" style="169" customWidth="1"/>
    <col min="1018" max="1018" width="18.28515625" style="169" customWidth="1"/>
    <col min="1019" max="1019" width="5.85546875" style="169" customWidth="1"/>
    <col min="1020" max="1020" width="4.140625" style="169" customWidth="1"/>
    <col min="1021" max="1028" width="15.42578125" style="169" customWidth="1"/>
    <col min="1029" max="1029" width="5.28515625" style="169" customWidth="1"/>
    <col min="1030" max="1270" width="9.140625" style="169"/>
    <col min="1271" max="1271" width="4.85546875" style="169" customWidth="1"/>
    <col min="1272" max="1272" width="57.5703125" style="169" customWidth="1"/>
    <col min="1273" max="1273" width="4.42578125" style="169" customWidth="1"/>
    <col min="1274" max="1274" width="18.28515625" style="169" customWidth="1"/>
    <col min="1275" max="1275" width="5.85546875" style="169" customWidth="1"/>
    <col min="1276" max="1276" width="4.140625" style="169" customWidth="1"/>
    <col min="1277" max="1284" width="15.42578125" style="169" customWidth="1"/>
    <col min="1285" max="1285" width="5.28515625" style="169" customWidth="1"/>
    <col min="1286" max="1526" width="9.140625" style="169"/>
    <col min="1527" max="1527" width="4.85546875" style="169" customWidth="1"/>
    <col min="1528" max="1528" width="57.5703125" style="169" customWidth="1"/>
    <col min="1529" max="1529" width="4.42578125" style="169" customWidth="1"/>
    <col min="1530" max="1530" width="18.28515625" style="169" customWidth="1"/>
    <col min="1531" max="1531" width="5.85546875" style="169" customWidth="1"/>
    <col min="1532" max="1532" width="4.140625" style="169" customWidth="1"/>
    <col min="1533" max="1540" width="15.42578125" style="169" customWidth="1"/>
    <col min="1541" max="1541" width="5.28515625" style="169" customWidth="1"/>
    <col min="1542" max="1782" width="9.140625" style="169"/>
    <col min="1783" max="1783" width="4.85546875" style="169" customWidth="1"/>
    <col min="1784" max="1784" width="57.5703125" style="169" customWidth="1"/>
    <col min="1785" max="1785" width="4.42578125" style="169" customWidth="1"/>
    <col min="1786" max="1786" width="18.28515625" style="169" customWidth="1"/>
    <col min="1787" max="1787" width="5.85546875" style="169" customWidth="1"/>
    <col min="1788" max="1788" width="4.140625" style="169" customWidth="1"/>
    <col min="1789" max="1796" width="15.42578125" style="169" customWidth="1"/>
    <col min="1797" max="1797" width="5.28515625" style="169" customWidth="1"/>
    <col min="1798" max="2038" width="9.140625" style="169"/>
    <col min="2039" max="2039" width="4.85546875" style="169" customWidth="1"/>
    <col min="2040" max="2040" width="57.5703125" style="169" customWidth="1"/>
    <col min="2041" max="2041" width="4.42578125" style="169" customWidth="1"/>
    <col min="2042" max="2042" width="18.28515625" style="169" customWidth="1"/>
    <col min="2043" max="2043" width="5.85546875" style="169" customWidth="1"/>
    <col min="2044" max="2044" width="4.140625" style="169" customWidth="1"/>
    <col min="2045" max="2052" width="15.42578125" style="169" customWidth="1"/>
    <col min="2053" max="2053" width="5.28515625" style="169" customWidth="1"/>
    <col min="2054" max="2294" width="9.140625" style="169"/>
    <col min="2295" max="2295" width="4.85546875" style="169" customWidth="1"/>
    <col min="2296" max="2296" width="57.5703125" style="169" customWidth="1"/>
    <col min="2297" max="2297" width="4.42578125" style="169" customWidth="1"/>
    <col min="2298" max="2298" width="18.28515625" style="169" customWidth="1"/>
    <col min="2299" max="2299" width="5.85546875" style="169" customWidth="1"/>
    <col min="2300" max="2300" width="4.140625" style="169" customWidth="1"/>
    <col min="2301" max="2308" width="15.42578125" style="169" customWidth="1"/>
    <col min="2309" max="2309" width="5.28515625" style="169" customWidth="1"/>
    <col min="2310" max="2550" width="9.140625" style="169"/>
    <col min="2551" max="2551" width="4.85546875" style="169" customWidth="1"/>
    <col min="2552" max="2552" width="57.5703125" style="169" customWidth="1"/>
    <col min="2553" max="2553" width="4.42578125" style="169" customWidth="1"/>
    <col min="2554" max="2554" width="18.28515625" style="169" customWidth="1"/>
    <col min="2555" max="2555" width="5.85546875" style="169" customWidth="1"/>
    <col min="2556" max="2556" width="4.140625" style="169" customWidth="1"/>
    <col min="2557" max="2564" width="15.42578125" style="169" customWidth="1"/>
    <col min="2565" max="2565" width="5.28515625" style="169" customWidth="1"/>
    <col min="2566" max="2806" width="9.140625" style="169"/>
    <col min="2807" max="2807" width="4.85546875" style="169" customWidth="1"/>
    <col min="2808" max="2808" width="57.5703125" style="169" customWidth="1"/>
    <col min="2809" max="2809" width="4.42578125" style="169" customWidth="1"/>
    <col min="2810" max="2810" width="18.28515625" style="169" customWidth="1"/>
    <col min="2811" max="2811" width="5.85546875" style="169" customWidth="1"/>
    <col min="2812" max="2812" width="4.140625" style="169" customWidth="1"/>
    <col min="2813" max="2820" width="15.42578125" style="169" customWidth="1"/>
    <col min="2821" max="2821" width="5.28515625" style="169" customWidth="1"/>
    <col min="2822" max="3062" width="9.140625" style="169"/>
    <col min="3063" max="3063" width="4.85546875" style="169" customWidth="1"/>
    <col min="3064" max="3064" width="57.5703125" style="169" customWidth="1"/>
    <col min="3065" max="3065" width="4.42578125" style="169" customWidth="1"/>
    <col min="3066" max="3066" width="18.28515625" style="169" customWidth="1"/>
    <col min="3067" max="3067" width="5.85546875" style="169" customWidth="1"/>
    <col min="3068" max="3068" width="4.140625" style="169" customWidth="1"/>
    <col min="3069" max="3076" width="15.42578125" style="169" customWidth="1"/>
    <col min="3077" max="3077" width="5.28515625" style="169" customWidth="1"/>
    <col min="3078" max="3318" width="9.140625" style="169"/>
    <col min="3319" max="3319" width="4.85546875" style="169" customWidth="1"/>
    <col min="3320" max="3320" width="57.5703125" style="169" customWidth="1"/>
    <col min="3321" max="3321" width="4.42578125" style="169" customWidth="1"/>
    <col min="3322" max="3322" width="18.28515625" style="169" customWidth="1"/>
    <col min="3323" max="3323" width="5.85546875" style="169" customWidth="1"/>
    <col min="3324" max="3324" width="4.140625" style="169" customWidth="1"/>
    <col min="3325" max="3332" width="15.42578125" style="169" customWidth="1"/>
    <col min="3333" max="3333" width="5.28515625" style="169" customWidth="1"/>
    <col min="3334" max="3574" width="9.140625" style="169"/>
    <col min="3575" max="3575" width="4.85546875" style="169" customWidth="1"/>
    <col min="3576" max="3576" width="57.5703125" style="169" customWidth="1"/>
    <col min="3577" max="3577" width="4.42578125" style="169" customWidth="1"/>
    <col min="3578" max="3578" width="18.28515625" style="169" customWidth="1"/>
    <col min="3579" max="3579" width="5.85546875" style="169" customWidth="1"/>
    <col min="3580" max="3580" width="4.140625" style="169" customWidth="1"/>
    <col min="3581" max="3588" width="15.42578125" style="169" customWidth="1"/>
    <col min="3589" max="3589" width="5.28515625" style="169" customWidth="1"/>
    <col min="3590" max="3830" width="9.140625" style="169"/>
    <col min="3831" max="3831" width="4.85546875" style="169" customWidth="1"/>
    <col min="3832" max="3832" width="57.5703125" style="169" customWidth="1"/>
    <col min="3833" max="3833" width="4.42578125" style="169" customWidth="1"/>
    <col min="3834" max="3834" width="18.28515625" style="169" customWidth="1"/>
    <col min="3835" max="3835" width="5.85546875" style="169" customWidth="1"/>
    <col min="3836" max="3836" width="4.140625" style="169" customWidth="1"/>
    <col min="3837" max="3844" width="15.42578125" style="169" customWidth="1"/>
    <col min="3845" max="3845" width="5.28515625" style="169" customWidth="1"/>
    <col min="3846" max="4086" width="9.140625" style="169"/>
    <col min="4087" max="4087" width="4.85546875" style="169" customWidth="1"/>
    <col min="4088" max="4088" width="57.5703125" style="169" customWidth="1"/>
    <col min="4089" max="4089" width="4.42578125" style="169" customWidth="1"/>
    <col min="4090" max="4090" width="18.28515625" style="169" customWidth="1"/>
    <col min="4091" max="4091" width="5.85546875" style="169" customWidth="1"/>
    <col min="4092" max="4092" width="4.140625" style="169" customWidth="1"/>
    <col min="4093" max="4100" width="15.42578125" style="169" customWidth="1"/>
    <col min="4101" max="4101" width="5.28515625" style="169" customWidth="1"/>
    <col min="4102" max="4342" width="9.140625" style="169"/>
    <col min="4343" max="4343" width="4.85546875" style="169" customWidth="1"/>
    <col min="4344" max="4344" width="57.5703125" style="169" customWidth="1"/>
    <col min="4345" max="4345" width="4.42578125" style="169" customWidth="1"/>
    <col min="4346" max="4346" width="18.28515625" style="169" customWidth="1"/>
    <col min="4347" max="4347" width="5.85546875" style="169" customWidth="1"/>
    <col min="4348" max="4348" width="4.140625" style="169" customWidth="1"/>
    <col min="4349" max="4356" width="15.42578125" style="169" customWidth="1"/>
    <col min="4357" max="4357" width="5.28515625" style="169" customWidth="1"/>
    <col min="4358" max="4598" width="9.140625" style="169"/>
    <col min="4599" max="4599" width="4.85546875" style="169" customWidth="1"/>
    <col min="4600" max="4600" width="57.5703125" style="169" customWidth="1"/>
    <col min="4601" max="4601" width="4.42578125" style="169" customWidth="1"/>
    <col min="4602" max="4602" width="18.28515625" style="169" customWidth="1"/>
    <col min="4603" max="4603" width="5.85546875" style="169" customWidth="1"/>
    <col min="4604" max="4604" width="4.140625" style="169" customWidth="1"/>
    <col min="4605" max="4612" width="15.42578125" style="169" customWidth="1"/>
    <col min="4613" max="4613" width="5.28515625" style="169" customWidth="1"/>
    <col min="4614" max="4854" width="9.140625" style="169"/>
    <col min="4855" max="4855" width="4.85546875" style="169" customWidth="1"/>
    <col min="4856" max="4856" width="57.5703125" style="169" customWidth="1"/>
    <col min="4857" max="4857" width="4.42578125" style="169" customWidth="1"/>
    <col min="4858" max="4858" width="18.28515625" style="169" customWidth="1"/>
    <col min="4859" max="4859" width="5.85546875" style="169" customWidth="1"/>
    <col min="4860" max="4860" width="4.140625" style="169" customWidth="1"/>
    <col min="4861" max="4868" width="15.42578125" style="169" customWidth="1"/>
    <col min="4869" max="4869" width="5.28515625" style="169" customWidth="1"/>
    <col min="4870" max="5110" width="9.140625" style="169"/>
    <col min="5111" max="5111" width="4.85546875" style="169" customWidth="1"/>
    <col min="5112" max="5112" width="57.5703125" style="169" customWidth="1"/>
    <col min="5113" max="5113" width="4.42578125" style="169" customWidth="1"/>
    <col min="5114" max="5114" width="18.28515625" style="169" customWidth="1"/>
    <col min="5115" max="5115" width="5.85546875" style="169" customWidth="1"/>
    <col min="5116" max="5116" width="4.140625" style="169" customWidth="1"/>
    <col min="5117" max="5124" width="15.42578125" style="169" customWidth="1"/>
    <col min="5125" max="5125" width="5.28515625" style="169" customWidth="1"/>
    <col min="5126" max="5366" width="9.140625" style="169"/>
    <col min="5367" max="5367" width="4.85546875" style="169" customWidth="1"/>
    <col min="5368" max="5368" width="57.5703125" style="169" customWidth="1"/>
    <col min="5369" max="5369" width="4.42578125" style="169" customWidth="1"/>
    <col min="5370" max="5370" width="18.28515625" style="169" customWidth="1"/>
    <col min="5371" max="5371" width="5.85546875" style="169" customWidth="1"/>
    <col min="5372" max="5372" width="4.140625" style="169" customWidth="1"/>
    <col min="5373" max="5380" width="15.42578125" style="169" customWidth="1"/>
    <col min="5381" max="5381" width="5.28515625" style="169" customWidth="1"/>
    <col min="5382" max="5622" width="9.140625" style="169"/>
    <col min="5623" max="5623" width="4.85546875" style="169" customWidth="1"/>
    <col min="5624" max="5624" width="57.5703125" style="169" customWidth="1"/>
    <col min="5625" max="5625" width="4.42578125" style="169" customWidth="1"/>
    <col min="5626" max="5626" width="18.28515625" style="169" customWidth="1"/>
    <col min="5627" max="5627" width="5.85546875" style="169" customWidth="1"/>
    <col min="5628" max="5628" width="4.140625" style="169" customWidth="1"/>
    <col min="5629" max="5636" width="15.42578125" style="169" customWidth="1"/>
    <col min="5637" max="5637" width="5.28515625" style="169" customWidth="1"/>
    <col min="5638" max="5878" width="9.140625" style="169"/>
    <col min="5879" max="5879" width="4.85546875" style="169" customWidth="1"/>
    <col min="5880" max="5880" width="57.5703125" style="169" customWidth="1"/>
    <col min="5881" max="5881" width="4.42578125" style="169" customWidth="1"/>
    <col min="5882" max="5882" width="18.28515625" style="169" customWidth="1"/>
    <col min="5883" max="5883" width="5.85546875" style="169" customWidth="1"/>
    <col min="5884" max="5884" width="4.140625" style="169" customWidth="1"/>
    <col min="5885" max="5892" width="15.42578125" style="169" customWidth="1"/>
    <col min="5893" max="5893" width="5.28515625" style="169" customWidth="1"/>
    <col min="5894" max="6134" width="9.140625" style="169"/>
    <col min="6135" max="6135" width="4.85546875" style="169" customWidth="1"/>
    <col min="6136" max="6136" width="57.5703125" style="169" customWidth="1"/>
    <col min="6137" max="6137" width="4.42578125" style="169" customWidth="1"/>
    <col min="6138" max="6138" width="18.28515625" style="169" customWidth="1"/>
    <col min="6139" max="6139" width="5.85546875" style="169" customWidth="1"/>
    <col min="6140" max="6140" width="4.140625" style="169" customWidth="1"/>
    <col min="6141" max="6148" width="15.42578125" style="169" customWidth="1"/>
    <col min="6149" max="6149" width="5.28515625" style="169" customWidth="1"/>
    <col min="6150" max="6390" width="9.140625" style="169"/>
    <col min="6391" max="6391" width="4.85546875" style="169" customWidth="1"/>
    <col min="6392" max="6392" width="57.5703125" style="169" customWidth="1"/>
    <col min="6393" max="6393" width="4.42578125" style="169" customWidth="1"/>
    <col min="6394" max="6394" width="18.28515625" style="169" customWidth="1"/>
    <col min="6395" max="6395" width="5.85546875" style="169" customWidth="1"/>
    <col min="6396" max="6396" width="4.140625" style="169" customWidth="1"/>
    <col min="6397" max="6404" width="15.42578125" style="169" customWidth="1"/>
    <col min="6405" max="6405" width="5.28515625" style="169" customWidth="1"/>
    <col min="6406" max="6646" width="9.140625" style="169"/>
    <col min="6647" max="6647" width="4.85546875" style="169" customWidth="1"/>
    <col min="6648" max="6648" width="57.5703125" style="169" customWidth="1"/>
    <col min="6649" max="6649" width="4.42578125" style="169" customWidth="1"/>
    <col min="6650" max="6650" width="18.28515625" style="169" customWidth="1"/>
    <col min="6651" max="6651" width="5.85546875" style="169" customWidth="1"/>
    <col min="6652" max="6652" width="4.140625" style="169" customWidth="1"/>
    <col min="6653" max="6660" width="15.42578125" style="169" customWidth="1"/>
    <col min="6661" max="6661" width="5.28515625" style="169" customWidth="1"/>
    <col min="6662" max="6902" width="9.140625" style="169"/>
    <col min="6903" max="6903" width="4.85546875" style="169" customWidth="1"/>
    <col min="6904" max="6904" width="57.5703125" style="169" customWidth="1"/>
    <col min="6905" max="6905" width="4.42578125" style="169" customWidth="1"/>
    <col min="6906" max="6906" width="18.28515625" style="169" customWidth="1"/>
    <col min="6907" max="6907" width="5.85546875" style="169" customWidth="1"/>
    <col min="6908" max="6908" width="4.140625" style="169" customWidth="1"/>
    <col min="6909" max="6916" width="15.42578125" style="169" customWidth="1"/>
    <col min="6917" max="6917" width="5.28515625" style="169" customWidth="1"/>
    <col min="6918" max="7158" width="9.140625" style="169"/>
    <col min="7159" max="7159" width="4.85546875" style="169" customWidth="1"/>
    <col min="7160" max="7160" width="57.5703125" style="169" customWidth="1"/>
    <col min="7161" max="7161" width="4.42578125" style="169" customWidth="1"/>
    <col min="7162" max="7162" width="18.28515625" style="169" customWidth="1"/>
    <col min="7163" max="7163" width="5.85546875" style="169" customWidth="1"/>
    <col min="7164" max="7164" width="4.140625" style="169" customWidth="1"/>
    <col min="7165" max="7172" width="15.42578125" style="169" customWidth="1"/>
    <col min="7173" max="7173" width="5.28515625" style="169" customWidth="1"/>
    <col min="7174" max="7414" width="9.140625" style="169"/>
    <col min="7415" max="7415" width="4.85546875" style="169" customWidth="1"/>
    <col min="7416" max="7416" width="57.5703125" style="169" customWidth="1"/>
    <col min="7417" max="7417" width="4.42578125" style="169" customWidth="1"/>
    <col min="7418" max="7418" width="18.28515625" style="169" customWidth="1"/>
    <col min="7419" max="7419" width="5.85546875" style="169" customWidth="1"/>
    <col min="7420" max="7420" width="4.140625" style="169" customWidth="1"/>
    <col min="7421" max="7428" width="15.42578125" style="169" customWidth="1"/>
    <col min="7429" max="7429" width="5.28515625" style="169" customWidth="1"/>
    <col min="7430" max="7670" width="9.140625" style="169"/>
    <col min="7671" max="7671" width="4.85546875" style="169" customWidth="1"/>
    <col min="7672" max="7672" width="57.5703125" style="169" customWidth="1"/>
    <col min="7673" max="7673" width="4.42578125" style="169" customWidth="1"/>
    <col min="7674" max="7674" width="18.28515625" style="169" customWidth="1"/>
    <col min="7675" max="7675" width="5.85546875" style="169" customWidth="1"/>
    <col min="7676" max="7676" width="4.140625" style="169" customWidth="1"/>
    <col min="7677" max="7684" width="15.42578125" style="169" customWidth="1"/>
    <col min="7685" max="7685" width="5.28515625" style="169" customWidth="1"/>
    <col min="7686" max="7926" width="9.140625" style="169"/>
    <col min="7927" max="7927" width="4.85546875" style="169" customWidth="1"/>
    <col min="7928" max="7928" width="57.5703125" style="169" customWidth="1"/>
    <col min="7929" max="7929" width="4.42578125" style="169" customWidth="1"/>
    <col min="7930" max="7930" width="18.28515625" style="169" customWidth="1"/>
    <col min="7931" max="7931" width="5.85546875" style="169" customWidth="1"/>
    <col min="7932" max="7932" width="4.140625" style="169" customWidth="1"/>
    <col min="7933" max="7940" width="15.42578125" style="169" customWidth="1"/>
    <col min="7941" max="7941" width="5.28515625" style="169" customWidth="1"/>
    <col min="7942" max="8182" width="9.140625" style="169"/>
    <col min="8183" max="8183" width="4.85546875" style="169" customWidth="1"/>
    <col min="8184" max="8184" width="57.5703125" style="169" customWidth="1"/>
    <col min="8185" max="8185" width="4.42578125" style="169" customWidth="1"/>
    <col min="8186" max="8186" width="18.28515625" style="169" customWidth="1"/>
    <col min="8187" max="8187" width="5.85546875" style="169" customWidth="1"/>
    <col min="8188" max="8188" width="4.140625" style="169" customWidth="1"/>
    <col min="8189" max="8196" width="15.42578125" style="169" customWidth="1"/>
    <col min="8197" max="8197" width="5.28515625" style="169" customWidth="1"/>
    <col min="8198" max="8438" width="9.140625" style="169"/>
    <col min="8439" max="8439" width="4.85546875" style="169" customWidth="1"/>
    <col min="8440" max="8440" width="57.5703125" style="169" customWidth="1"/>
    <col min="8441" max="8441" width="4.42578125" style="169" customWidth="1"/>
    <col min="8442" max="8442" width="18.28515625" style="169" customWidth="1"/>
    <col min="8443" max="8443" width="5.85546875" style="169" customWidth="1"/>
    <col min="8444" max="8444" width="4.140625" style="169" customWidth="1"/>
    <col min="8445" max="8452" width="15.42578125" style="169" customWidth="1"/>
    <col min="8453" max="8453" width="5.28515625" style="169" customWidth="1"/>
    <col min="8454" max="8694" width="9.140625" style="169"/>
    <col min="8695" max="8695" width="4.85546875" style="169" customWidth="1"/>
    <col min="8696" max="8696" width="57.5703125" style="169" customWidth="1"/>
    <col min="8697" max="8697" width="4.42578125" style="169" customWidth="1"/>
    <col min="8698" max="8698" width="18.28515625" style="169" customWidth="1"/>
    <col min="8699" max="8699" width="5.85546875" style="169" customWidth="1"/>
    <col min="8700" max="8700" width="4.140625" style="169" customWidth="1"/>
    <col min="8701" max="8708" width="15.42578125" style="169" customWidth="1"/>
    <col min="8709" max="8709" width="5.28515625" style="169" customWidth="1"/>
    <col min="8710" max="8950" width="9.140625" style="169"/>
    <col min="8951" max="8951" width="4.85546875" style="169" customWidth="1"/>
    <col min="8952" max="8952" width="57.5703125" style="169" customWidth="1"/>
    <col min="8953" max="8953" width="4.42578125" style="169" customWidth="1"/>
    <col min="8954" max="8954" width="18.28515625" style="169" customWidth="1"/>
    <col min="8955" max="8955" width="5.85546875" style="169" customWidth="1"/>
    <col min="8956" max="8956" width="4.140625" style="169" customWidth="1"/>
    <col min="8957" max="8964" width="15.42578125" style="169" customWidth="1"/>
    <col min="8965" max="8965" width="5.28515625" style="169" customWidth="1"/>
    <col min="8966" max="9206" width="9.140625" style="169"/>
    <col min="9207" max="9207" width="4.85546875" style="169" customWidth="1"/>
    <col min="9208" max="9208" width="57.5703125" style="169" customWidth="1"/>
    <col min="9209" max="9209" width="4.42578125" style="169" customWidth="1"/>
    <col min="9210" max="9210" width="18.28515625" style="169" customWidth="1"/>
    <col min="9211" max="9211" width="5.85546875" style="169" customWidth="1"/>
    <col min="9212" max="9212" width="4.140625" style="169" customWidth="1"/>
    <col min="9213" max="9220" width="15.42578125" style="169" customWidth="1"/>
    <col min="9221" max="9221" width="5.28515625" style="169" customWidth="1"/>
    <col min="9222" max="9462" width="9.140625" style="169"/>
    <col min="9463" max="9463" width="4.85546875" style="169" customWidth="1"/>
    <col min="9464" max="9464" width="57.5703125" style="169" customWidth="1"/>
    <col min="9465" max="9465" width="4.42578125" style="169" customWidth="1"/>
    <col min="9466" max="9466" width="18.28515625" style="169" customWidth="1"/>
    <col min="9467" max="9467" width="5.85546875" style="169" customWidth="1"/>
    <col min="9468" max="9468" width="4.140625" style="169" customWidth="1"/>
    <col min="9469" max="9476" width="15.42578125" style="169" customWidth="1"/>
    <col min="9477" max="9477" width="5.28515625" style="169" customWidth="1"/>
    <col min="9478" max="9718" width="9.140625" style="169"/>
    <col min="9719" max="9719" width="4.85546875" style="169" customWidth="1"/>
    <col min="9720" max="9720" width="57.5703125" style="169" customWidth="1"/>
    <col min="9721" max="9721" width="4.42578125" style="169" customWidth="1"/>
    <col min="9722" max="9722" width="18.28515625" style="169" customWidth="1"/>
    <col min="9723" max="9723" width="5.85546875" style="169" customWidth="1"/>
    <col min="9724" max="9724" width="4.140625" style="169" customWidth="1"/>
    <col min="9725" max="9732" width="15.42578125" style="169" customWidth="1"/>
    <col min="9733" max="9733" width="5.28515625" style="169" customWidth="1"/>
    <col min="9734" max="9974" width="9.140625" style="169"/>
    <col min="9975" max="9975" width="4.85546875" style="169" customWidth="1"/>
    <col min="9976" max="9976" width="57.5703125" style="169" customWidth="1"/>
    <col min="9977" max="9977" width="4.42578125" style="169" customWidth="1"/>
    <col min="9978" max="9978" width="18.28515625" style="169" customWidth="1"/>
    <col min="9979" max="9979" width="5.85546875" style="169" customWidth="1"/>
    <col min="9980" max="9980" width="4.140625" style="169" customWidth="1"/>
    <col min="9981" max="9988" width="15.42578125" style="169" customWidth="1"/>
    <col min="9989" max="9989" width="5.28515625" style="169" customWidth="1"/>
    <col min="9990" max="10230" width="9.140625" style="169"/>
    <col min="10231" max="10231" width="4.85546875" style="169" customWidth="1"/>
    <col min="10232" max="10232" width="57.5703125" style="169" customWidth="1"/>
    <col min="10233" max="10233" width="4.42578125" style="169" customWidth="1"/>
    <col min="10234" max="10234" width="18.28515625" style="169" customWidth="1"/>
    <col min="10235" max="10235" width="5.85546875" style="169" customWidth="1"/>
    <col min="10236" max="10236" width="4.140625" style="169" customWidth="1"/>
    <col min="10237" max="10244" width="15.42578125" style="169" customWidth="1"/>
    <col min="10245" max="10245" width="5.28515625" style="169" customWidth="1"/>
    <col min="10246" max="10486" width="9.140625" style="169"/>
    <col min="10487" max="10487" width="4.85546875" style="169" customWidth="1"/>
    <col min="10488" max="10488" width="57.5703125" style="169" customWidth="1"/>
    <col min="10489" max="10489" width="4.42578125" style="169" customWidth="1"/>
    <col min="10490" max="10490" width="18.28515625" style="169" customWidth="1"/>
    <col min="10491" max="10491" width="5.85546875" style="169" customWidth="1"/>
    <col min="10492" max="10492" width="4.140625" style="169" customWidth="1"/>
    <col min="10493" max="10500" width="15.42578125" style="169" customWidth="1"/>
    <col min="10501" max="10501" width="5.28515625" style="169" customWidth="1"/>
    <col min="10502" max="10742" width="9.140625" style="169"/>
    <col min="10743" max="10743" width="4.85546875" style="169" customWidth="1"/>
    <col min="10744" max="10744" width="57.5703125" style="169" customWidth="1"/>
    <col min="10745" max="10745" width="4.42578125" style="169" customWidth="1"/>
    <col min="10746" max="10746" width="18.28515625" style="169" customWidth="1"/>
    <col min="10747" max="10747" width="5.85546875" style="169" customWidth="1"/>
    <col min="10748" max="10748" width="4.140625" style="169" customWidth="1"/>
    <col min="10749" max="10756" width="15.42578125" style="169" customWidth="1"/>
    <col min="10757" max="10757" width="5.28515625" style="169" customWidth="1"/>
    <col min="10758" max="10998" width="9.140625" style="169"/>
    <col min="10999" max="10999" width="4.85546875" style="169" customWidth="1"/>
    <col min="11000" max="11000" width="57.5703125" style="169" customWidth="1"/>
    <col min="11001" max="11001" width="4.42578125" style="169" customWidth="1"/>
    <col min="11002" max="11002" width="18.28515625" style="169" customWidth="1"/>
    <col min="11003" max="11003" width="5.85546875" style="169" customWidth="1"/>
    <col min="11004" max="11004" width="4.140625" style="169" customWidth="1"/>
    <col min="11005" max="11012" width="15.42578125" style="169" customWidth="1"/>
    <col min="11013" max="11013" width="5.28515625" style="169" customWidth="1"/>
    <col min="11014" max="11254" width="9.140625" style="169"/>
    <col min="11255" max="11255" width="4.85546875" style="169" customWidth="1"/>
    <col min="11256" max="11256" width="57.5703125" style="169" customWidth="1"/>
    <col min="11257" max="11257" width="4.42578125" style="169" customWidth="1"/>
    <col min="11258" max="11258" width="18.28515625" style="169" customWidth="1"/>
    <col min="11259" max="11259" width="5.85546875" style="169" customWidth="1"/>
    <col min="11260" max="11260" width="4.140625" style="169" customWidth="1"/>
    <col min="11261" max="11268" width="15.42578125" style="169" customWidth="1"/>
    <col min="11269" max="11269" width="5.28515625" style="169" customWidth="1"/>
    <col min="11270" max="11510" width="9.140625" style="169"/>
    <col min="11511" max="11511" width="4.85546875" style="169" customWidth="1"/>
    <col min="11512" max="11512" width="57.5703125" style="169" customWidth="1"/>
    <col min="11513" max="11513" width="4.42578125" style="169" customWidth="1"/>
    <col min="11514" max="11514" width="18.28515625" style="169" customWidth="1"/>
    <col min="11515" max="11515" width="5.85546875" style="169" customWidth="1"/>
    <col min="11516" max="11516" width="4.140625" style="169" customWidth="1"/>
    <col min="11517" max="11524" width="15.42578125" style="169" customWidth="1"/>
    <col min="11525" max="11525" width="5.28515625" style="169" customWidth="1"/>
    <col min="11526" max="11766" width="9.140625" style="169"/>
    <col min="11767" max="11767" width="4.85546875" style="169" customWidth="1"/>
    <col min="11768" max="11768" width="57.5703125" style="169" customWidth="1"/>
    <col min="11769" max="11769" width="4.42578125" style="169" customWidth="1"/>
    <col min="11770" max="11770" width="18.28515625" style="169" customWidth="1"/>
    <col min="11771" max="11771" width="5.85546875" style="169" customWidth="1"/>
    <col min="11772" max="11772" width="4.140625" style="169" customWidth="1"/>
    <col min="11773" max="11780" width="15.42578125" style="169" customWidth="1"/>
    <col min="11781" max="11781" width="5.28515625" style="169" customWidth="1"/>
    <col min="11782" max="12022" width="9.140625" style="169"/>
    <col min="12023" max="12023" width="4.85546875" style="169" customWidth="1"/>
    <col min="12024" max="12024" width="57.5703125" style="169" customWidth="1"/>
    <col min="12025" max="12025" width="4.42578125" style="169" customWidth="1"/>
    <col min="12026" max="12026" width="18.28515625" style="169" customWidth="1"/>
    <col min="12027" max="12027" width="5.85546875" style="169" customWidth="1"/>
    <col min="12028" max="12028" width="4.140625" style="169" customWidth="1"/>
    <col min="12029" max="12036" width="15.42578125" style="169" customWidth="1"/>
    <col min="12037" max="12037" width="5.28515625" style="169" customWidth="1"/>
    <col min="12038" max="12278" width="9.140625" style="169"/>
    <col min="12279" max="12279" width="4.85546875" style="169" customWidth="1"/>
    <col min="12280" max="12280" width="57.5703125" style="169" customWidth="1"/>
    <col min="12281" max="12281" width="4.42578125" style="169" customWidth="1"/>
    <col min="12282" max="12282" width="18.28515625" style="169" customWidth="1"/>
    <col min="12283" max="12283" width="5.85546875" style="169" customWidth="1"/>
    <col min="12284" max="12284" width="4.140625" style="169" customWidth="1"/>
    <col min="12285" max="12292" width="15.42578125" style="169" customWidth="1"/>
    <col min="12293" max="12293" width="5.28515625" style="169" customWidth="1"/>
    <col min="12294" max="12534" width="9.140625" style="169"/>
    <col min="12535" max="12535" width="4.85546875" style="169" customWidth="1"/>
    <col min="12536" max="12536" width="57.5703125" style="169" customWidth="1"/>
    <col min="12537" max="12537" width="4.42578125" style="169" customWidth="1"/>
    <col min="12538" max="12538" width="18.28515625" style="169" customWidth="1"/>
    <col min="12539" max="12539" width="5.85546875" style="169" customWidth="1"/>
    <col min="12540" max="12540" width="4.140625" style="169" customWidth="1"/>
    <col min="12541" max="12548" width="15.42578125" style="169" customWidth="1"/>
    <col min="12549" max="12549" width="5.28515625" style="169" customWidth="1"/>
    <col min="12550" max="12790" width="9.140625" style="169"/>
    <col min="12791" max="12791" width="4.85546875" style="169" customWidth="1"/>
    <col min="12792" max="12792" width="57.5703125" style="169" customWidth="1"/>
    <col min="12793" max="12793" width="4.42578125" style="169" customWidth="1"/>
    <col min="12794" max="12794" width="18.28515625" style="169" customWidth="1"/>
    <col min="12795" max="12795" width="5.85546875" style="169" customWidth="1"/>
    <col min="12796" max="12796" width="4.140625" style="169" customWidth="1"/>
    <col min="12797" max="12804" width="15.42578125" style="169" customWidth="1"/>
    <col min="12805" max="12805" width="5.28515625" style="169" customWidth="1"/>
    <col min="12806" max="13046" width="9.140625" style="169"/>
    <col min="13047" max="13047" width="4.85546875" style="169" customWidth="1"/>
    <col min="13048" max="13048" width="57.5703125" style="169" customWidth="1"/>
    <col min="13049" max="13049" width="4.42578125" style="169" customWidth="1"/>
    <col min="13050" max="13050" width="18.28515625" style="169" customWidth="1"/>
    <col min="13051" max="13051" width="5.85546875" style="169" customWidth="1"/>
    <col min="13052" max="13052" width="4.140625" style="169" customWidth="1"/>
    <col min="13053" max="13060" width="15.42578125" style="169" customWidth="1"/>
    <col min="13061" max="13061" width="5.28515625" style="169" customWidth="1"/>
    <col min="13062" max="13302" width="9.140625" style="169"/>
    <col min="13303" max="13303" width="4.85546875" style="169" customWidth="1"/>
    <col min="13304" max="13304" width="57.5703125" style="169" customWidth="1"/>
    <col min="13305" max="13305" width="4.42578125" style="169" customWidth="1"/>
    <col min="13306" max="13306" width="18.28515625" style="169" customWidth="1"/>
    <col min="13307" max="13307" width="5.85546875" style="169" customWidth="1"/>
    <col min="13308" max="13308" width="4.140625" style="169" customWidth="1"/>
    <col min="13309" max="13316" width="15.42578125" style="169" customWidth="1"/>
    <col min="13317" max="13317" width="5.28515625" style="169" customWidth="1"/>
    <col min="13318" max="13558" width="9.140625" style="169"/>
    <col min="13559" max="13559" width="4.85546875" style="169" customWidth="1"/>
    <col min="13560" max="13560" width="57.5703125" style="169" customWidth="1"/>
    <col min="13561" max="13561" width="4.42578125" style="169" customWidth="1"/>
    <col min="13562" max="13562" width="18.28515625" style="169" customWidth="1"/>
    <col min="13563" max="13563" width="5.85546875" style="169" customWidth="1"/>
    <col min="13564" max="13564" width="4.140625" style="169" customWidth="1"/>
    <col min="13565" max="13572" width="15.42578125" style="169" customWidth="1"/>
    <col min="13573" max="13573" width="5.28515625" style="169" customWidth="1"/>
    <col min="13574" max="13814" width="9.140625" style="169"/>
    <col min="13815" max="13815" width="4.85546875" style="169" customWidth="1"/>
    <col min="13816" max="13816" width="57.5703125" style="169" customWidth="1"/>
    <col min="13817" max="13817" width="4.42578125" style="169" customWidth="1"/>
    <col min="13818" max="13818" width="18.28515625" style="169" customWidth="1"/>
    <col min="13819" max="13819" width="5.85546875" style="169" customWidth="1"/>
    <col min="13820" max="13820" width="4.140625" style="169" customWidth="1"/>
    <col min="13821" max="13828" width="15.42578125" style="169" customWidth="1"/>
    <col min="13829" max="13829" width="5.28515625" style="169" customWidth="1"/>
    <col min="13830" max="14070" width="9.140625" style="169"/>
    <col min="14071" max="14071" width="4.85546875" style="169" customWidth="1"/>
    <col min="14072" max="14072" width="57.5703125" style="169" customWidth="1"/>
    <col min="14073" max="14073" width="4.42578125" style="169" customWidth="1"/>
    <col min="14074" max="14074" width="18.28515625" style="169" customWidth="1"/>
    <col min="14075" max="14075" width="5.85546875" style="169" customWidth="1"/>
    <col min="14076" max="14076" width="4.140625" style="169" customWidth="1"/>
    <col min="14077" max="14084" width="15.42578125" style="169" customWidth="1"/>
    <col min="14085" max="14085" width="5.28515625" style="169" customWidth="1"/>
    <col min="14086" max="14326" width="9.140625" style="169"/>
    <col min="14327" max="14327" width="4.85546875" style="169" customWidth="1"/>
    <col min="14328" max="14328" width="57.5703125" style="169" customWidth="1"/>
    <col min="14329" max="14329" width="4.42578125" style="169" customWidth="1"/>
    <col min="14330" max="14330" width="18.28515625" style="169" customWidth="1"/>
    <col min="14331" max="14331" width="5.85546875" style="169" customWidth="1"/>
    <col min="14332" max="14332" width="4.140625" style="169" customWidth="1"/>
    <col min="14333" max="14340" width="15.42578125" style="169" customWidth="1"/>
    <col min="14341" max="14341" width="5.28515625" style="169" customWidth="1"/>
    <col min="14342" max="14582" width="9.140625" style="169"/>
    <col min="14583" max="14583" width="4.85546875" style="169" customWidth="1"/>
    <col min="14584" max="14584" width="57.5703125" style="169" customWidth="1"/>
    <col min="14585" max="14585" width="4.42578125" style="169" customWidth="1"/>
    <col min="14586" max="14586" width="18.28515625" style="169" customWidth="1"/>
    <col min="14587" max="14587" width="5.85546875" style="169" customWidth="1"/>
    <col min="14588" max="14588" width="4.140625" style="169" customWidth="1"/>
    <col min="14589" max="14596" width="15.42578125" style="169" customWidth="1"/>
    <col min="14597" max="14597" width="5.28515625" style="169" customWidth="1"/>
    <col min="14598" max="14838" width="9.140625" style="169"/>
    <col min="14839" max="14839" width="4.85546875" style="169" customWidth="1"/>
    <col min="14840" max="14840" width="57.5703125" style="169" customWidth="1"/>
    <col min="14841" max="14841" width="4.42578125" style="169" customWidth="1"/>
    <col min="14842" max="14842" width="18.28515625" style="169" customWidth="1"/>
    <col min="14843" max="14843" width="5.85546875" style="169" customWidth="1"/>
    <col min="14844" max="14844" width="4.140625" style="169" customWidth="1"/>
    <col min="14845" max="14852" width="15.42578125" style="169" customWidth="1"/>
    <col min="14853" max="14853" width="5.28515625" style="169" customWidth="1"/>
    <col min="14854" max="15094" width="9.140625" style="169"/>
    <col min="15095" max="15095" width="4.85546875" style="169" customWidth="1"/>
    <col min="15096" max="15096" width="57.5703125" style="169" customWidth="1"/>
    <col min="15097" max="15097" width="4.42578125" style="169" customWidth="1"/>
    <col min="15098" max="15098" width="18.28515625" style="169" customWidth="1"/>
    <col min="15099" max="15099" width="5.85546875" style="169" customWidth="1"/>
    <col min="15100" max="15100" width="4.140625" style="169" customWidth="1"/>
    <col min="15101" max="15108" width="15.42578125" style="169" customWidth="1"/>
    <col min="15109" max="15109" width="5.28515625" style="169" customWidth="1"/>
    <col min="15110" max="15350" width="9.140625" style="169"/>
    <col min="15351" max="15351" width="4.85546875" style="169" customWidth="1"/>
    <col min="15352" max="15352" width="57.5703125" style="169" customWidth="1"/>
    <col min="15353" max="15353" width="4.42578125" style="169" customWidth="1"/>
    <col min="15354" max="15354" width="18.28515625" style="169" customWidth="1"/>
    <col min="15355" max="15355" width="5.85546875" style="169" customWidth="1"/>
    <col min="15356" max="15356" width="4.140625" style="169" customWidth="1"/>
    <col min="15357" max="15364" width="15.42578125" style="169" customWidth="1"/>
    <col min="15365" max="15365" width="5.28515625" style="169" customWidth="1"/>
    <col min="15366" max="15606" width="9.140625" style="169"/>
    <col min="15607" max="15607" width="4.85546875" style="169" customWidth="1"/>
    <col min="15608" max="15608" width="57.5703125" style="169" customWidth="1"/>
    <col min="15609" max="15609" width="4.42578125" style="169" customWidth="1"/>
    <col min="15610" max="15610" width="18.28515625" style="169" customWidth="1"/>
    <col min="15611" max="15611" width="5.85546875" style="169" customWidth="1"/>
    <col min="15612" max="15612" width="4.140625" style="169" customWidth="1"/>
    <col min="15613" max="15620" width="15.42578125" style="169" customWidth="1"/>
    <col min="15621" max="15621" width="5.28515625" style="169" customWidth="1"/>
    <col min="15622" max="15862" width="9.140625" style="169"/>
    <col min="15863" max="15863" width="4.85546875" style="169" customWidth="1"/>
    <col min="15864" max="15864" width="57.5703125" style="169" customWidth="1"/>
    <col min="15865" max="15865" width="4.42578125" style="169" customWidth="1"/>
    <col min="15866" max="15866" width="18.28515625" style="169" customWidth="1"/>
    <col min="15867" max="15867" width="5.85546875" style="169" customWidth="1"/>
    <col min="15868" max="15868" width="4.140625" style="169" customWidth="1"/>
    <col min="15869" max="15876" width="15.42578125" style="169" customWidth="1"/>
    <col min="15877" max="15877" width="5.28515625" style="169" customWidth="1"/>
    <col min="15878" max="16118" width="9.140625" style="169"/>
    <col min="16119" max="16119" width="4.85546875" style="169" customWidth="1"/>
    <col min="16120" max="16120" width="57.5703125" style="169" customWidth="1"/>
    <col min="16121" max="16121" width="4.42578125" style="169" customWidth="1"/>
    <col min="16122" max="16122" width="18.28515625" style="169" customWidth="1"/>
    <col min="16123" max="16123" width="5.85546875" style="169" customWidth="1"/>
    <col min="16124" max="16124" width="4.140625" style="169" customWidth="1"/>
    <col min="16125" max="16132" width="15.42578125" style="169" customWidth="1"/>
    <col min="16133" max="16133" width="5.28515625" style="169" customWidth="1"/>
    <col min="16134" max="16384" width="9.140625" style="169"/>
  </cols>
  <sheetData>
    <row r="2" spans="2:8" s="425" customFormat="1" ht="15.75">
      <c r="B2" s="412" t="s">
        <v>352</v>
      </c>
    </row>
    <row r="4" spans="2:8" s="426" customFormat="1">
      <c r="B4" s="159" t="s">
        <v>1</v>
      </c>
    </row>
    <row r="5" spans="2:8">
      <c r="B5" s="174"/>
    </row>
    <row r="6" spans="2:8">
      <c r="B6" s="174" t="s">
        <v>387</v>
      </c>
    </row>
    <row r="7" spans="2:8">
      <c r="B7" s="174" t="s">
        <v>389</v>
      </c>
    </row>
    <row r="8" spans="2:8">
      <c r="B8" s="174" t="s">
        <v>388</v>
      </c>
    </row>
    <row r="9" spans="2:8">
      <c r="B9" s="174" t="s">
        <v>390</v>
      </c>
    </row>
    <row r="10" spans="2:8">
      <c r="B10" s="174" t="s">
        <v>391</v>
      </c>
    </row>
    <row r="12" spans="2:8" s="426" customFormat="1">
      <c r="B12" s="159" t="s">
        <v>353</v>
      </c>
    </row>
    <row r="14" spans="2:8" s="227" customFormat="1" ht="12.75" customHeight="1">
      <c r="D14" s="440" t="s">
        <v>40</v>
      </c>
    </row>
    <row r="15" spans="2:8" s="214" customFormat="1">
      <c r="B15" s="431" t="s">
        <v>297</v>
      </c>
      <c r="C15" s="413"/>
      <c r="D15" s="413"/>
      <c r="E15" s="413"/>
      <c r="F15" s="413"/>
      <c r="G15" s="413"/>
      <c r="H15" s="413"/>
    </row>
    <row r="16" spans="2:8" s="214" customFormat="1">
      <c r="B16" s="214" t="s">
        <v>374</v>
      </c>
      <c r="C16" s="432" t="s">
        <v>61</v>
      </c>
      <c r="D16" s="433">
        <v>308710055</v>
      </c>
      <c r="E16" s="427"/>
      <c r="F16" s="214" t="s">
        <v>354</v>
      </c>
      <c r="G16" s="427"/>
      <c r="H16" s="427"/>
    </row>
    <row r="17" spans="2:10" s="214" customFormat="1">
      <c r="B17" s="432" t="s">
        <v>375</v>
      </c>
      <c r="C17" s="432" t="s">
        <v>61</v>
      </c>
      <c r="D17" s="433">
        <v>277883906</v>
      </c>
      <c r="E17" s="427"/>
      <c r="F17" s="214" t="s">
        <v>355</v>
      </c>
      <c r="G17" s="427"/>
      <c r="H17" s="427"/>
    </row>
    <row r="18" spans="2:10" s="214" customFormat="1">
      <c r="B18" s="432"/>
      <c r="D18" s="413"/>
      <c r="E18" s="413"/>
      <c r="F18" s="413"/>
      <c r="G18" s="413"/>
      <c r="H18" s="413"/>
    </row>
    <row r="19" spans="2:10" s="214" customFormat="1">
      <c r="B19" s="432" t="s">
        <v>376</v>
      </c>
      <c r="C19" s="432" t="s">
        <v>61</v>
      </c>
      <c r="D19" s="428">
        <f>D16-D17</f>
        <v>30826149</v>
      </c>
      <c r="E19" s="427"/>
      <c r="G19" s="427"/>
      <c r="H19" s="427"/>
    </row>
    <row r="20" spans="2:10" s="214" customFormat="1">
      <c r="B20" s="432"/>
      <c r="C20" s="432"/>
      <c r="D20" s="427"/>
      <c r="E20" s="427"/>
      <c r="G20" s="427"/>
      <c r="H20" s="427"/>
    </row>
    <row r="21" spans="2:10" s="214" customFormat="1">
      <c r="B21" s="431" t="s">
        <v>356</v>
      </c>
      <c r="C21" s="427"/>
      <c r="D21" s="427"/>
      <c r="E21" s="427"/>
      <c r="G21" s="427"/>
      <c r="H21" s="427"/>
    </row>
    <row r="22" spans="2:10" s="214" customFormat="1">
      <c r="B22" s="432" t="s">
        <v>368</v>
      </c>
      <c r="C22" s="432" t="s">
        <v>61</v>
      </c>
      <c r="D22" s="433">
        <v>69901.41</v>
      </c>
      <c r="E22" s="427"/>
      <c r="F22" s="214" t="s">
        <v>357</v>
      </c>
      <c r="G22" s="427"/>
      <c r="H22" s="427"/>
    </row>
    <row r="23" spans="2:10" s="214" customFormat="1">
      <c r="B23" s="432" t="s">
        <v>369</v>
      </c>
      <c r="C23" s="432" t="s">
        <v>61</v>
      </c>
      <c r="D23" s="433">
        <v>-99472.584712091833</v>
      </c>
      <c r="E23" s="427"/>
      <c r="F23" s="214" t="s">
        <v>357</v>
      </c>
      <c r="G23" s="427"/>
      <c r="H23" s="427"/>
    </row>
    <row r="24" spans="2:10" s="214" customFormat="1">
      <c r="B24" s="432" t="s">
        <v>276</v>
      </c>
      <c r="C24" s="432" t="s">
        <v>61</v>
      </c>
      <c r="D24" s="441">
        <f>'Nacalculaties en correcties'!I16</f>
        <v>-3470977.5087011047</v>
      </c>
      <c r="E24" s="427"/>
      <c r="G24" s="427"/>
      <c r="H24" s="427"/>
      <c r="J24" s="429"/>
    </row>
    <row r="25" spans="2:10" s="214" customFormat="1">
      <c r="C25" s="427"/>
      <c r="D25" s="427"/>
      <c r="E25" s="427"/>
      <c r="G25" s="427"/>
      <c r="H25" s="427"/>
    </row>
    <row r="26" spans="2:10" s="214" customFormat="1">
      <c r="B26" s="436" t="s">
        <v>361</v>
      </c>
      <c r="C26" s="427"/>
      <c r="D26" s="428">
        <f>SUM(D22:D24)</f>
        <v>-3500548.6834131964</v>
      </c>
      <c r="E26" s="427"/>
      <c r="G26" s="427"/>
      <c r="H26" s="427"/>
    </row>
    <row r="27" spans="2:10" s="214" customFormat="1">
      <c r="B27" s="436"/>
      <c r="C27" s="427"/>
      <c r="D27" s="427"/>
      <c r="E27" s="427"/>
      <c r="G27" s="427"/>
      <c r="H27" s="427"/>
    </row>
    <row r="28" spans="2:10" s="214" customFormat="1">
      <c r="B28" s="436" t="s">
        <v>377</v>
      </c>
      <c r="C28" s="432" t="s">
        <v>61</v>
      </c>
      <c r="D28" s="433">
        <v>29571.17471209183</v>
      </c>
      <c r="E28" s="427"/>
      <c r="F28" s="214" t="s">
        <v>357</v>
      </c>
      <c r="G28" s="427"/>
      <c r="H28" s="427"/>
    </row>
    <row r="29" spans="2:10" s="214" customFormat="1">
      <c r="B29" s="437"/>
      <c r="C29" s="427"/>
      <c r="D29" s="427"/>
      <c r="E29" s="427"/>
      <c r="G29" s="427"/>
      <c r="H29" s="427"/>
    </row>
    <row r="30" spans="2:10" s="174" customFormat="1">
      <c r="B30" s="438" t="s">
        <v>362</v>
      </c>
      <c r="C30" s="432" t="s">
        <v>61</v>
      </c>
      <c r="D30" s="435">
        <f>IF(D26&gt;0,0,IF(ABS(D26)&gt;D19,D19-D28,ABS(D26)-D28))</f>
        <v>3470977.5087011047</v>
      </c>
      <c r="E30" s="44"/>
      <c r="F30" s="44"/>
      <c r="G30" s="44"/>
      <c r="H30" s="44"/>
    </row>
    <row r="31" spans="2:10" s="174" customFormat="1">
      <c r="B31" s="434"/>
      <c r="C31" s="432"/>
      <c r="D31" s="44"/>
      <c r="E31" s="44"/>
      <c r="F31" s="44"/>
      <c r="G31" s="44"/>
      <c r="H31" s="44"/>
    </row>
    <row r="32" spans="2:10" s="426" customFormat="1">
      <c r="B32" s="159" t="s">
        <v>359</v>
      </c>
    </row>
    <row r="34" spans="1:10" s="227" customFormat="1" ht="12.75" customHeight="1">
      <c r="D34" s="440" t="s">
        <v>40</v>
      </c>
    </row>
    <row r="35" spans="1:10" s="214" customFormat="1">
      <c r="B35" s="431" t="s">
        <v>298</v>
      </c>
      <c r="C35" s="413"/>
      <c r="D35" s="413"/>
      <c r="E35" s="413"/>
      <c r="F35" s="413"/>
      <c r="G35" s="413"/>
      <c r="H35" s="413"/>
    </row>
    <row r="36" spans="1:10" s="214" customFormat="1">
      <c r="B36" s="214" t="s">
        <v>371</v>
      </c>
      <c r="C36" s="432" t="s">
        <v>43</v>
      </c>
      <c r="D36" s="433">
        <v>324120758</v>
      </c>
      <c r="E36" s="427"/>
      <c r="F36" s="214" t="s">
        <v>354</v>
      </c>
      <c r="G36" s="427"/>
      <c r="H36" s="427"/>
    </row>
    <row r="37" spans="1:10" s="214" customFormat="1">
      <c r="B37" s="432" t="s">
        <v>372</v>
      </c>
      <c r="C37" s="432" t="s">
        <v>43</v>
      </c>
      <c r="D37" s="433">
        <v>314260384</v>
      </c>
      <c r="E37" s="427"/>
      <c r="F37" s="214" t="s">
        <v>355</v>
      </c>
      <c r="G37" s="427"/>
      <c r="H37" s="427"/>
    </row>
    <row r="38" spans="1:10" s="214" customFormat="1">
      <c r="B38" s="432"/>
      <c r="C38" s="432"/>
      <c r="D38" s="432"/>
      <c r="E38" s="427"/>
      <c r="G38" s="427"/>
      <c r="H38" s="427"/>
    </row>
    <row r="39" spans="1:10" s="214" customFormat="1">
      <c r="B39" s="432" t="s">
        <v>373</v>
      </c>
      <c r="C39" s="432" t="s">
        <v>43</v>
      </c>
      <c r="D39" s="428">
        <f>D36-D37</f>
        <v>9860374</v>
      </c>
      <c r="E39" s="427"/>
      <c r="G39" s="427"/>
      <c r="H39" s="427"/>
    </row>
    <row r="40" spans="1:10" s="214" customFormat="1">
      <c r="B40" s="432"/>
      <c r="C40" s="427"/>
      <c r="D40" s="427"/>
      <c r="E40" s="427"/>
      <c r="G40" s="427"/>
      <c r="H40" s="427"/>
    </row>
    <row r="41" spans="1:10" s="214" customFormat="1">
      <c r="B41" s="431" t="s">
        <v>360</v>
      </c>
      <c r="C41" s="427"/>
      <c r="D41" s="427"/>
      <c r="E41" s="427"/>
      <c r="G41" s="427"/>
      <c r="H41" s="427"/>
    </row>
    <row r="42" spans="1:10" s="214" customFormat="1">
      <c r="B42" s="432" t="s">
        <v>370</v>
      </c>
      <c r="C42" s="432" t="s">
        <v>43</v>
      </c>
      <c r="D42" s="433">
        <v>672446.29956188286</v>
      </c>
      <c r="E42" s="427"/>
      <c r="F42" s="214" t="s">
        <v>358</v>
      </c>
      <c r="G42" s="427"/>
      <c r="H42" s="427"/>
      <c r="J42" s="429"/>
    </row>
    <row r="43" spans="1:10" s="214" customFormat="1">
      <c r="B43" s="138" t="s">
        <v>325</v>
      </c>
      <c r="C43" s="432" t="s">
        <v>43</v>
      </c>
      <c r="D43" s="441">
        <f>'Nacalculaties en correcties'!I13</f>
        <v>-223853.22287988663</v>
      </c>
      <c r="E43" s="427"/>
      <c r="G43" s="427"/>
      <c r="H43" s="427"/>
      <c r="J43" s="429"/>
    </row>
    <row r="44" spans="1:10" s="214" customFormat="1">
      <c r="B44" s="432" t="s">
        <v>277</v>
      </c>
      <c r="C44" s="432" t="s">
        <v>43</v>
      </c>
      <c r="D44" s="441">
        <f>'Nacalculaties en correcties'!I17</f>
        <v>-5467038.8447551802</v>
      </c>
      <c r="E44" s="427"/>
      <c r="G44" s="427"/>
      <c r="H44" s="427"/>
      <c r="J44" s="429"/>
    </row>
    <row r="45" spans="1:10" s="214" customFormat="1">
      <c r="B45" s="432"/>
      <c r="C45" s="427"/>
      <c r="D45" s="427"/>
      <c r="E45" s="427"/>
      <c r="G45" s="427"/>
      <c r="H45" s="427"/>
      <c r="J45" s="429"/>
    </row>
    <row r="46" spans="1:10" s="214" customFormat="1">
      <c r="B46" s="430" t="s">
        <v>361</v>
      </c>
      <c r="C46" s="427"/>
      <c r="D46" s="428">
        <f>SUM(D42:D44)</f>
        <v>-5018445.7680731844</v>
      </c>
      <c r="E46" s="427"/>
      <c r="G46" s="427"/>
      <c r="H46" s="427"/>
    </row>
    <row r="47" spans="1:10" s="214" customFormat="1">
      <c r="B47" s="436"/>
      <c r="C47" s="427"/>
      <c r="D47" s="427"/>
      <c r="E47" s="427"/>
      <c r="G47" s="427"/>
      <c r="H47" s="427"/>
    </row>
    <row r="48" spans="1:10" s="214" customFormat="1">
      <c r="A48" s="169"/>
      <c r="B48" s="434" t="s">
        <v>362</v>
      </c>
      <c r="C48" s="432" t="s">
        <v>43</v>
      </c>
      <c r="D48" s="435">
        <f>IF(D46&gt;0,0,IF(ABS(D46)&gt;D39,D39,ABS(D46)))</f>
        <v>5018445.7680731844</v>
      </c>
      <c r="E48" s="427"/>
      <c r="G48" s="427"/>
      <c r="H48" s="427"/>
    </row>
    <row r="49" spans="1:14" s="174" customFormat="1">
      <c r="A49" s="169"/>
      <c r="B49" s="432"/>
      <c r="C49" s="381"/>
      <c r="D49" s="381"/>
      <c r="E49" s="381"/>
      <c r="F49" s="381"/>
      <c r="G49" s="381"/>
      <c r="H49" s="381"/>
      <c r="I49" s="214"/>
      <c r="J49" s="214"/>
      <c r="K49" s="214"/>
      <c r="L49" s="214"/>
      <c r="M49" s="214"/>
      <c r="N49" s="214"/>
    </row>
    <row r="50" spans="1:14">
      <c r="B50" s="432"/>
      <c r="C50" s="432"/>
      <c r="D50" s="432"/>
      <c r="E50" s="432"/>
      <c r="F50" s="432"/>
      <c r="G50" s="432"/>
      <c r="H50" s="432"/>
      <c r="I50" s="432"/>
      <c r="J50" s="432"/>
      <c r="K50" s="432"/>
      <c r="L50" s="432"/>
      <c r="M50" s="432"/>
      <c r="N50" s="432"/>
    </row>
    <row r="51" spans="1:14">
      <c r="B51" s="432"/>
      <c r="C51" s="432"/>
      <c r="D51" s="432"/>
      <c r="E51" s="432"/>
      <c r="F51" s="432"/>
      <c r="G51" s="432"/>
      <c r="H51" s="432"/>
      <c r="I51" s="432"/>
      <c r="J51" s="432"/>
      <c r="K51" s="432"/>
      <c r="L51" s="432"/>
      <c r="M51" s="432"/>
      <c r="N51" s="432"/>
    </row>
    <row r="52" spans="1:14">
      <c r="B52" s="432"/>
      <c r="C52" s="432"/>
      <c r="D52" s="432"/>
      <c r="E52" s="432"/>
      <c r="F52" s="432"/>
      <c r="G52" s="432"/>
      <c r="H52" s="432"/>
      <c r="I52" s="432"/>
      <c r="J52" s="432"/>
      <c r="K52" s="432"/>
      <c r="L52" s="432"/>
      <c r="M52" s="432"/>
      <c r="N52" s="432"/>
    </row>
  </sheetData>
  <pageMargins left="0.75" right="0.75" top="1" bottom="1" header="0.5" footer="0.5"/>
  <pageSetup paperSize="9" scale="6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5">
    <tabColor indexed="22"/>
  </sheetPr>
  <dimension ref="A1"/>
  <sheetViews>
    <sheetView showGridLines="0" workbookViewId="0"/>
  </sheetViews>
  <sheetFormatPr defaultRowHeight="12.75"/>
  <cols>
    <col min="1" max="16384" width="9.140625" style="372"/>
  </cols>
  <sheetData/>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6" enableFormatConditionsCalculation="0">
    <tabColor rgb="FFCCFFCC"/>
    <pageSetUpPr fitToPage="1"/>
  </sheetPr>
  <dimension ref="B2:G69"/>
  <sheetViews>
    <sheetView showGridLines="0" zoomScale="85" workbookViewId="0"/>
  </sheetViews>
  <sheetFormatPr defaultRowHeight="12.75"/>
  <cols>
    <col min="1" max="1" width="4.140625" style="68" customWidth="1"/>
    <col min="2" max="2" width="24.85546875" style="68" customWidth="1"/>
    <col min="3" max="3" width="5.5703125" style="68" customWidth="1"/>
    <col min="4" max="4" width="17" style="68" customWidth="1"/>
    <col min="5" max="5" width="4.5703125" style="68" customWidth="1"/>
    <col min="6" max="16384" width="9.140625" style="68"/>
  </cols>
  <sheetData>
    <row r="2" spans="2:6" s="64" customFormat="1" ht="18">
      <c r="B2" s="309" t="s">
        <v>6</v>
      </c>
      <c r="C2" s="63"/>
    </row>
    <row r="4" spans="2:6" s="66" customFormat="1">
      <c r="B4" s="65" t="s">
        <v>381</v>
      </c>
      <c r="C4" s="65"/>
    </row>
    <row r="6" spans="2:6">
      <c r="B6" s="67" t="s">
        <v>379</v>
      </c>
    </row>
    <row r="7" spans="2:6">
      <c r="B7" s="67"/>
    </row>
    <row r="8" spans="2:6">
      <c r="B8" s="69" t="s">
        <v>20</v>
      </c>
      <c r="D8" s="68">
        <v>2015</v>
      </c>
    </row>
    <row r="9" spans="2:6">
      <c r="D9" s="70"/>
    </row>
    <row r="10" spans="2:6">
      <c r="B10" s="68" t="s">
        <v>21</v>
      </c>
      <c r="D10" s="110">
        <f t="shared" ref="D10:D16" si="0">(1+D11)*(1+D22)-1</f>
        <v>0.31182581552981459</v>
      </c>
      <c r="F10" s="71"/>
    </row>
    <row r="11" spans="2:6">
      <c r="B11" s="68" t="s">
        <v>22</v>
      </c>
      <c r="D11" s="110">
        <f t="shared" si="0"/>
        <v>0.24728268552597998</v>
      </c>
      <c r="F11" s="71"/>
    </row>
    <row r="12" spans="2:6">
      <c r="B12" s="68" t="s">
        <v>23</v>
      </c>
      <c r="D12" s="110">
        <f t="shared" si="0"/>
        <v>0.19075378002252563</v>
      </c>
      <c r="F12" s="71"/>
    </row>
    <row r="13" spans="2:6">
      <c r="B13" s="68" t="s">
        <v>24</v>
      </c>
      <c r="D13" s="110">
        <f t="shared" si="0"/>
        <v>0.16100372237744875</v>
      </c>
      <c r="F13" s="71"/>
    </row>
    <row r="14" spans="2:6">
      <c r="B14" s="68" t="s">
        <v>25</v>
      </c>
      <c r="D14" s="110">
        <f t="shared" si="0"/>
        <v>0.13268655841702293</v>
      </c>
      <c r="F14" s="71"/>
    </row>
    <row r="15" spans="2:6">
      <c r="B15" s="68" t="s">
        <v>44</v>
      </c>
      <c r="D15" s="110">
        <f t="shared" si="0"/>
        <v>0.10264319239086528</v>
      </c>
      <c r="F15" s="71"/>
    </row>
    <row r="16" spans="2:6" customFormat="1">
      <c r="B16" t="s">
        <v>92</v>
      </c>
      <c r="D16" s="110">
        <f t="shared" si="0"/>
        <v>7.3790587235475158E-2</v>
      </c>
      <c r="F16" s="105"/>
    </row>
    <row r="17" spans="2:6" s="126" customFormat="1">
      <c r="B17" s="126" t="s">
        <v>232</v>
      </c>
      <c r="D17" s="104">
        <f>D29</f>
        <v>3.9999999999999591E-2</v>
      </c>
      <c r="F17" s="105"/>
    </row>
    <row r="19" spans="2:6" s="66" customFormat="1">
      <c r="B19" s="65" t="s">
        <v>380</v>
      </c>
      <c r="C19" s="65"/>
    </row>
    <row r="22" spans="2:6">
      <c r="B22" s="72" t="s">
        <v>26</v>
      </c>
      <c r="C22" s="72"/>
      <c r="D22" s="108">
        <f>(1+D41)^0.25*(1+D40)^0.25*(1+D39)^0.25*(1+D38)^0.25-1</f>
        <v>5.174699428832108E-2</v>
      </c>
      <c r="F22" s="71"/>
    </row>
    <row r="23" spans="2:6">
      <c r="B23" s="68" t="s">
        <v>27</v>
      </c>
      <c r="D23" s="108">
        <f>(1+D45)^0.25*(1+D44)^0.25*(1+D43)^0.25*(1+D42)^0.25-1</f>
        <v>4.7473211046523023E-2</v>
      </c>
      <c r="F23" s="71"/>
    </row>
    <row r="24" spans="2:6">
      <c r="B24" s="68" t="s">
        <v>28</v>
      </c>
      <c r="D24" s="108">
        <f>(1+D46)^0.25*(1+D47)^0.25*(1+D48)^0.25*(1+D49)^0.25-1</f>
        <v>2.5624429165615581E-2</v>
      </c>
      <c r="F24" s="71"/>
    </row>
    <row r="25" spans="2:6">
      <c r="B25" s="68" t="s">
        <v>29</v>
      </c>
      <c r="D25" s="108">
        <f>(1+D50)^0.25*(1+D51)^0.25*(1+D52)^0.25*(1+D53)^0.25-1</f>
        <v>2.5000000000000133E-2</v>
      </c>
      <c r="F25" s="71"/>
    </row>
    <row r="26" spans="2:6">
      <c r="B26" s="68" t="s">
        <v>17</v>
      </c>
      <c r="C26" s="62"/>
      <c r="D26" s="108">
        <f>(1+D54)^0.25*(1+D55)^0.25*(1+D56)^0.25*(1+D57)^0.25-1</f>
        <v>2.7246679826693931E-2</v>
      </c>
      <c r="F26" s="71"/>
    </row>
    <row r="27" spans="2:6">
      <c r="B27" s="68" t="s">
        <v>45</v>
      </c>
      <c r="C27" s="62"/>
      <c r="D27" s="108">
        <f>(1+D58)^0.25*(1+D59)^0.25*(1+D60)^0.25*(1+D61)^0.25-1</f>
        <v>2.6869862241643006E-2</v>
      </c>
      <c r="F27" s="71"/>
    </row>
    <row r="28" spans="2:6" customFormat="1">
      <c r="B28" t="s">
        <v>93</v>
      </c>
      <c r="C28" s="106"/>
      <c r="D28" s="107">
        <f>(1+D62)^0.25*(1+D63)^0.25*(1+D64)^0.25*(1+D65)^0.25-1</f>
        <v>3.2490949264880387E-2</v>
      </c>
      <c r="F28" s="105"/>
    </row>
    <row r="29" spans="2:6" s="126" customFormat="1">
      <c r="B29" s="126" t="s">
        <v>233</v>
      </c>
      <c r="C29" s="106"/>
      <c r="D29" s="232">
        <f>(1+D66)^0.25*(1+D67)^0.25*(1+D68)^0.25*(1+D69)^0.25-1</f>
        <v>3.9999999999999591E-2</v>
      </c>
      <c r="F29" s="105"/>
    </row>
    <row r="31" spans="2:6" s="66" customFormat="1">
      <c r="B31" s="65" t="s">
        <v>382</v>
      </c>
      <c r="C31" s="65"/>
    </row>
    <row r="33" spans="2:4">
      <c r="B33" s="127" t="s">
        <v>383</v>
      </c>
    </row>
    <row r="34" spans="2:4">
      <c r="B34" s="57" t="s">
        <v>340</v>
      </c>
    </row>
    <row r="35" spans="2:4">
      <c r="B35" s="57" t="s">
        <v>52</v>
      </c>
    </row>
    <row r="36" spans="2:4">
      <c r="B36" s="57"/>
    </row>
    <row r="38" spans="2:4">
      <c r="B38" s="233">
        <v>39264</v>
      </c>
      <c r="C38" s="73"/>
      <c r="D38" s="74">
        <v>5.2499999999999998E-2</v>
      </c>
    </row>
    <row r="39" spans="2:4">
      <c r="B39" s="233">
        <v>39356</v>
      </c>
      <c r="C39" s="73"/>
      <c r="D39" s="74">
        <v>5.3999999999999999E-2</v>
      </c>
    </row>
    <row r="40" spans="2:4">
      <c r="B40" s="233">
        <v>39448</v>
      </c>
      <c r="C40" s="73"/>
      <c r="D40" s="74">
        <v>5.2999999999999999E-2</v>
      </c>
    </row>
    <row r="41" spans="2:4">
      <c r="B41" s="233">
        <v>39539</v>
      </c>
      <c r="C41" s="73"/>
      <c r="D41" s="74">
        <v>4.7500000000000001E-2</v>
      </c>
    </row>
    <row r="42" spans="2:4">
      <c r="B42" s="233">
        <v>39630</v>
      </c>
      <c r="C42" s="73"/>
      <c r="D42" s="74">
        <v>5.1499999999999997E-2</v>
      </c>
    </row>
    <row r="43" spans="2:4">
      <c r="B43" s="233">
        <v>39722</v>
      </c>
      <c r="C43" s="73"/>
      <c r="D43" s="74">
        <v>5.45E-2</v>
      </c>
    </row>
    <row r="44" spans="2:4">
      <c r="B44" s="233">
        <v>39814</v>
      </c>
      <c r="C44" s="73"/>
      <c r="D44" s="74">
        <v>4.9000000000000002E-2</v>
      </c>
    </row>
    <row r="45" spans="2:4">
      <c r="B45" s="233">
        <v>39904</v>
      </c>
      <c r="C45" s="73"/>
      <c r="D45" s="74">
        <v>3.5000000000000003E-2</v>
      </c>
    </row>
    <row r="46" spans="2:4">
      <c r="B46" s="233">
        <v>39995</v>
      </c>
      <c r="C46" s="73"/>
      <c r="D46" s="74">
        <v>2.75E-2</v>
      </c>
    </row>
    <row r="47" spans="2:4">
      <c r="B47" s="233">
        <v>40087</v>
      </c>
      <c r="C47" s="73"/>
      <c r="D47" s="74">
        <v>2.5000000000000001E-2</v>
      </c>
    </row>
    <row r="48" spans="2:4">
      <c r="B48" s="233">
        <v>40179</v>
      </c>
      <c r="C48" s="73"/>
      <c r="D48" s="74">
        <v>2.5000000000000001E-2</v>
      </c>
    </row>
    <row r="49" spans="2:7">
      <c r="B49" s="233">
        <v>40269</v>
      </c>
      <c r="C49" s="73"/>
      <c r="D49" s="74">
        <v>2.5000000000000001E-2</v>
      </c>
    </row>
    <row r="50" spans="2:7">
      <c r="B50" s="233">
        <v>40360</v>
      </c>
      <c r="C50" s="73"/>
      <c r="D50" s="74">
        <v>2.5000000000000001E-2</v>
      </c>
    </row>
    <row r="51" spans="2:7">
      <c r="B51" s="233">
        <v>40452</v>
      </c>
      <c r="C51" s="73"/>
      <c r="D51" s="74">
        <v>2.5000000000000001E-2</v>
      </c>
    </row>
    <row r="52" spans="2:7">
      <c r="B52" s="233">
        <v>40544</v>
      </c>
      <c r="C52" s="73"/>
      <c r="D52" s="74">
        <v>2.5000000000000001E-2</v>
      </c>
    </row>
    <row r="53" spans="2:7">
      <c r="B53" s="233">
        <v>40634</v>
      </c>
      <c r="C53" s="73"/>
      <c r="D53" s="74">
        <v>2.5000000000000001E-2</v>
      </c>
    </row>
    <row r="54" spans="2:7">
      <c r="B54" s="233">
        <v>40725</v>
      </c>
      <c r="C54" s="73"/>
      <c r="D54" s="74">
        <v>2.75E-2</v>
      </c>
      <c r="G54" s="128"/>
    </row>
    <row r="55" spans="2:7">
      <c r="B55" s="233">
        <v>40817</v>
      </c>
      <c r="C55" s="73"/>
      <c r="D55" s="18">
        <v>0.03</v>
      </c>
      <c r="G55" s="128"/>
    </row>
    <row r="56" spans="2:7">
      <c r="B56" s="233">
        <v>40909</v>
      </c>
      <c r="C56" s="62"/>
      <c r="D56" s="235">
        <v>2.8500000000000001E-2</v>
      </c>
      <c r="G56" s="128"/>
    </row>
    <row r="57" spans="2:7">
      <c r="B57" s="233">
        <v>41000</v>
      </c>
      <c r="C57" s="62"/>
      <c r="D57" s="235">
        <v>2.3E-2</v>
      </c>
    </row>
    <row r="58" spans="2:7" customFormat="1">
      <c r="B58" s="234">
        <v>41091</v>
      </c>
      <c r="C58" s="106"/>
      <c r="D58" s="236">
        <v>2.5000000000000001E-2</v>
      </c>
    </row>
    <row r="59" spans="2:7" customFormat="1">
      <c r="B59" s="234">
        <v>41183</v>
      </c>
      <c r="C59" s="106"/>
      <c r="D59" s="236">
        <v>2.2499999999999999E-2</v>
      </c>
    </row>
    <row r="60" spans="2:7" customFormat="1">
      <c r="B60" s="234">
        <v>41275</v>
      </c>
      <c r="C60" s="106"/>
      <c r="D60" s="109">
        <v>0.03</v>
      </c>
    </row>
    <row r="61" spans="2:7" customFormat="1">
      <c r="B61" s="234">
        <v>41365</v>
      </c>
      <c r="C61" s="106"/>
      <c r="D61" s="109">
        <v>0.03</v>
      </c>
    </row>
    <row r="62" spans="2:7" customFormat="1">
      <c r="B62" s="234">
        <v>41456</v>
      </c>
      <c r="D62" s="109">
        <v>0.03</v>
      </c>
    </row>
    <row r="63" spans="2:7" customFormat="1">
      <c r="B63" s="234">
        <v>41548</v>
      </c>
      <c r="D63" s="109">
        <v>0.03</v>
      </c>
    </row>
    <row r="64" spans="2:7" customFormat="1">
      <c r="B64" s="234">
        <v>41640</v>
      </c>
      <c r="D64" s="109">
        <v>0.03</v>
      </c>
    </row>
    <row r="65" spans="2:4" customFormat="1">
      <c r="B65" s="234">
        <v>41730</v>
      </c>
      <c r="D65" s="109">
        <v>0.04</v>
      </c>
    </row>
    <row r="66" spans="2:4">
      <c r="B66" s="234">
        <v>41821</v>
      </c>
      <c r="D66" s="406">
        <v>0.04</v>
      </c>
    </row>
    <row r="67" spans="2:4">
      <c r="B67" s="234">
        <v>41913</v>
      </c>
      <c r="D67" s="237">
        <v>0.04</v>
      </c>
    </row>
    <row r="68" spans="2:4">
      <c r="B68" s="234">
        <v>42005</v>
      </c>
      <c r="D68" s="237">
        <v>0.04</v>
      </c>
    </row>
    <row r="69" spans="2:4">
      <c r="B69" s="234">
        <v>42095</v>
      </c>
      <c r="D69" s="237">
        <v>0.04</v>
      </c>
    </row>
  </sheetData>
  <phoneticPr fontId="2" type="noConversion"/>
  <pageMargins left="0.75" right="0.75" top="1" bottom="1" header="0.5" footer="0.5"/>
  <pageSetup paperSize="9" scale="81"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7" enableFormatConditionsCalculation="0">
    <tabColor rgb="FFCCFFCC"/>
    <pageSetUpPr fitToPage="1"/>
  </sheetPr>
  <dimension ref="B2:X40"/>
  <sheetViews>
    <sheetView showGridLines="0" zoomScale="85" workbookViewId="0"/>
  </sheetViews>
  <sheetFormatPr defaultRowHeight="12.75"/>
  <cols>
    <col min="1" max="1" width="4.28515625" style="68" customWidth="1"/>
    <col min="2" max="2" width="13.85546875" style="68" customWidth="1"/>
    <col min="3" max="6" width="12.7109375" style="68" customWidth="1"/>
    <col min="7" max="16384" width="9.140625" style="68"/>
  </cols>
  <sheetData>
    <row r="2" spans="2:6" s="64" customFormat="1" ht="15.75">
      <c r="B2" s="308" t="s">
        <v>0</v>
      </c>
    </row>
    <row r="4" spans="2:6" s="66" customFormat="1">
      <c r="B4" s="65" t="s">
        <v>10</v>
      </c>
    </row>
    <row r="6" spans="2:6">
      <c r="C6" s="68" t="s">
        <v>0</v>
      </c>
    </row>
    <row r="7" spans="2:6">
      <c r="B7" s="68">
        <v>2004</v>
      </c>
      <c r="C7" s="18">
        <v>2.1000000000000001E-2</v>
      </c>
      <c r="D7" s="62"/>
      <c r="E7" s="62"/>
      <c r="F7" s="62"/>
    </row>
    <row r="8" spans="2:6">
      <c r="B8" s="68">
        <v>2005</v>
      </c>
      <c r="C8" s="18">
        <v>1.0999999999999999E-2</v>
      </c>
      <c r="D8" s="62"/>
      <c r="E8" s="62"/>
      <c r="F8" s="62"/>
    </row>
    <row r="9" spans="2:6">
      <c r="B9" s="68">
        <v>2006</v>
      </c>
      <c r="C9" s="18">
        <v>1.7999999999999999E-2</v>
      </c>
      <c r="D9" s="62"/>
      <c r="E9" s="62"/>
      <c r="F9" s="62"/>
    </row>
    <row r="10" spans="2:6">
      <c r="B10" s="68">
        <v>2007</v>
      </c>
      <c r="C10" s="18">
        <v>1.4E-2</v>
      </c>
      <c r="D10" s="62"/>
      <c r="E10" s="62"/>
      <c r="F10" s="62"/>
    </row>
    <row r="11" spans="2:6">
      <c r="B11" s="68">
        <v>2008</v>
      </c>
      <c r="C11" s="18">
        <v>1.0999999999999999E-2</v>
      </c>
      <c r="D11" s="62"/>
      <c r="E11" s="62"/>
      <c r="F11" s="62"/>
    </row>
    <row r="12" spans="2:6">
      <c r="B12" s="68">
        <v>2009</v>
      </c>
      <c r="C12" s="18">
        <v>3.2000000000000001E-2</v>
      </c>
      <c r="D12" s="62"/>
      <c r="E12" s="62"/>
      <c r="F12" s="62"/>
    </row>
    <row r="13" spans="2:6">
      <c r="B13" s="68">
        <v>2010</v>
      </c>
      <c r="C13" s="18">
        <v>3.0000000000000001E-3</v>
      </c>
      <c r="D13" s="62"/>
      <c r="E13" s="62"/>
      <c r="F13" s="62"/>
    </row>
    <row r="14" spans="2:6">
      <c r="B14" s="68">
        <v>2011</v>
      </c>
      <c r="C14" s="18">
        <v>1.4999999999999999E-2</v>
      </c>
      <c r="D14" s="62"/>
      <c r="E14" s="62"/>
      <c r="F14" s="62"/>
    </row>
    <row r="15" spans="2:6">
      <c r="B15" s="68">
        <v>2012</v>
      </c>
      <c r="C15" s="18">
        <v>2.5999999999999999E-2</v>
      </c>
      <c r="D15" s="62"/>
      <c r="E15" s="62"/>
      <c r="F15" s="62"/>
    </row>
    <row r="16" spans="2:6">
      <c r="B16" s="68">
        <v>2013</v>
      </c>
      <c r="C16" s="18">
        <v>2.3E-2</v>
      </c>
      <c r="D16" s="62"/>
      <c r="E16" s="62"/>
      <c r="F16" s="62"/>
    </row>
    <row r="17" spans="2:15" customFormat="1">
      <c r="B17">
        <v>2014</v>
      </c>
      <c r="C17" s="18">
        <v>2.8000000000000001E-2</v>
      </c>
      <c r="D17" s="62"/>
      <c r="E17" s="62"/>
      <c r="F17" s="62"/>
    </row>
    <row r="18" spans="2:15" s="126" customFormat="1">
      <c r="B18" s="126">
        <v>2015</v>
      </c>
      <c r="C18" s="439">
        <v>0.01</v>
      </c>
      <c r="D18" s="62"/>
      <c r="E18" s="62"/>
      <c r="F18" s="62"/>
    </row>
    <row r="20" spans="2:15" s="66" customFormat="1">
      <c r="B20" s="65" t="s">
        <v>11</v>
      </c>
    </row>
    <row r="23" spans="2:15">
      <c r="C23" s="68" t="s">
        <v>12</v>
      </c>
      <c r="D23" s="68">
        <v>2003</v>
      </c>
      <c r="E23" s="68">
        <v>2004</v>
      </c>
      <c r="F23" s="68">
        <v>2005</v>
      </c>
      <c r="G23" s="68">
        <v>2006</v>
      </c>
      <c r="H23" s="68">
        <v>2007</v>
      </c>
      <c r="I23" s="68">
        <v>2008</v>
      </c>
      <c r="J23" s="68">
        <v>2009</v>
      </c>
      <c r="K23" s="68">
        <v>2010</v>
      </c>
      <c r="L23" s="68">
        <v>2011</v>
      </c>
      <c r="M23" s="68">
        <v>2012</v>
      </c>
      <c r="N23">
        <v>2013</v>
      </c>
      <c r="O23" s="68">
        <v>2014</v>
      </c>
    </row>
    <row r="24" spans="2:15">
      <c r="B24" s="68" t="s">
        <v>13</v>
      </c>
      <c r="E24" s="70"/>
      <c r="F24" s="70"/>
      <c r="G24" s="70"/>
      <c r="H24" s="70"/>
      <c r="I24" s="70"/>
      <c r="J24" s="70"/>
      <c r="K24" s="70"/>
      <c r="L24" s="70"/>
      <c r="M24" s="70"/>
      <c r="N24" s="84"/>
    </row>
    <row r="25" spans="2:15">
      <c r="B25" s="68">
        <v>2004</v>
      </c>
      <c r="D25" s="113">
        <f>C7</f>
        <v>2.1000000000000001E-2</v>
      </c>
      <c r="E25" s="76"/>
      <c r="F25" s="76"/>
      <c r="G25" s="76"/>
      <c r="H25" s="76"/>
      <c r="I25" s="76"/>
      <c r="J25" s="76"/>
      <c r="K25" s="76"/>
      <c r="L25" s="76"/>
      <c r="M25" s="76"/>
      <c r="N25" s="111"/>
      <c r="O25" s="111"/>
    </row>
    <row r="26" spans="2:15">
      <c r="B26" s="68">
        <v>2005</v>
      </c>
      <c r="D26" s="75">
        <f t="shared" ref="D26:D36" si="0">(1+D25)*(1+C8)-1</f>
        <v>3.2230999999999899E-2</v>
      </c>
      <c r="E26" s="113">
        <f>C8</f>
        <v>1.0999999999999999E-2</v>
      </c>
      <c r="F26" s="76"/>
      <c r="G26" s="76"/>
      <c r="H26" s="76"/>
      <c r="I26" s="76"/>
      <c r="J26" s="76"/>
      <c r="K26" s="76"/>
      <c r="L26" s="76"/>
      <c r="M26" s="76"/>
      <c r="N26" s="111"/>
      <c r="O26" s="111"/>
    </row>
    <row r="27" spans="2:15">
      <c r="B27" s="68">
        <v>2006</v>
      </c>
      <c r="D27" s="75">
        <f t="shared" si="0"/>
        <v>5.0811157999999912E-2</v>
      </c>
      <c r="E27" s="75">
        <f t="shared" ref="E27:E36" si="1">(1+E26)*(1+C9)-1</f>
        <v>2.9197999999999835E-2</v>
      </c>
      <c r="F27" s="113">
        <f>C9</f>
        <v>1.7999999999999999E-2</v>
      </c>
      <c r="G27" s="76"/>
      <c r="H27" s="76"/>
      <c r="I27" s="76"/>
      <c r="J27" s="76"/>
      <c r="K27" s="76"/>
      <c r="L27" s="76"/>
      <c r="M27" s="76"/>
      <c r="N27" s="111"/>
      <c r="O27" s="111"/>
    </row>
    <row r="28" spans="2:15">
      <c r="B28" s="68">
        <v>2007</v>
      </c>
      <c r="C28" s="70"/>
      <c r="D28" s="75">
        <f t="shared" si="0"/>
        <v>6.5522514211999949E-2</v>
      </c>
      <c r="E28" s="75">
        <f t="shared" si="1"/>
        <v>4.3606771999999738E-2</v>
      </c>
      <c r="F28" s="75">
        <f t="shared" ref="F28:F36" si="2">(1+F27)*(1+C10)-1</f>
        <v>3.2251999999999947E-2</v>
      </c>
      <c r="G28" s="75">
        <f>C10</f>
        <v>1.4E-2</v>
      </c>
      <c r="H28" s="76"/>
      <c r="I28" s="76"/>
      <c r="J28" s="76"/>
      <c r="K28" s="76"/>
      <c r="L28" s="76"/>
      <c r="M28" s="76"/>
      <c r="N28" s="111"/>
      <c r="O28" s="111"/>
    </row>
    <row r="29" spans="2:15">
      <c r="B29" s="68">
        <v>2008</v>
      </c>
      <c r="C29" s="70"/>
      <c r="D29" s="75">
        <f t="shared" si="0"/>
        <v>7.7243261868331858E-2</v>
      </c>
      <c r="E29" s="75">
        <f t="shared" si="1"/>
        <v>5.5086446491999563E-2</v>
      </c>
      <c r="F29" s="75">
        <f t="shared" si="2"/>
        <v>4.3606771999999738E-2</v>
      </c>
      <c r="G29" s="75">
        <f t="shared" ref="G29:G36" si="3">(1+G28)*(1+C11)-1</f>
        <v>2.5153999999999899E-2</v>
      </c>
      <c r="H29" s="75">
        <f>C11</f>
        <v>1.0999999999999999E-2</v>
      </c>
      <c r="I29" s="76"/>
      <c r="J29" s="76"/>
      <c r="K29" s="76"/>
      <c r="L29" s="76"/>
      <c r="M29" s="76"/>
      <c r="N29" s="111"/>
      <c r="O29" s="111"/>
    </row>
    <row r="30" spans="2:15">
      <c r="B30" s="68">
        <v>2009</v>
      </c>
      <c r="C30" s="70"/>
      <c r="D30" s="75">
        <f t="shared" si="0"/>
        <v>0.11171504624811845</v>
      </c>
      <c r="E30" s="75">
        <f t="shared" si="1"/>
        <v>8.8849212779743558E-2</v>
      </c>
      <c r="F30" s="75">
        <f t="shared" si="2"/>
        <v>7.7002188703999774E-2</v>
      </c>
      <c r="G30" s="75">
        <f t="shared" si="3"/>
        <v>5.795892799999991E-2</v>
      </c>
      <c r="H30" s="75">
        <f t="shared" ref="H30:H36" si="4">(1+H29)*(1+C12)-1</f>
        <v>4.3351999999999835E-2</v>
      </c>
      <c r="I30" s="75">
        <f>C12</f>
        <v>3.2000000000000001E-2</v>
      </c>
      <c r="J30" s="76"/>
      <c r="K30" s="76"/>
      <c r="L30" s="76"/>
      <c r="M30" s="76"/>
      <c r="N30" s="111"/>
      <c r="O30" s="111"/>
    </row>
    <row r="31" spans="2:15">
      <c r="B31" s="68">
        <v>2010</v>
      </c>
      <c r="C31" s="70"/>
      <c r="D31" s="75">
        <f t="shared" si="0"/>
        <v>0.11505019138686268</v>
      </c>
      <c r="E31" s="75">
        <f t="shared" si="1"/>
        <v>9.2115760418082671E-2</v>
      </c>
      <c r="F31" s="75">
        <f t="shared" si="2"/>
        <v>8.0233195270111635E-2</v>
      </c>
      <c r="G31" s="75">
        <f t="shared" si="3"/>
        <v>6.113280478399985E-2</v>
      </c>
      <c r="H31" s="75">
        <f t="shared" si="4"/>
        <v>4.6482055999999661E-2</v>
      </c>
      <c r="I31" s="75">
        <f t="shared" ref="I31:I36" si="5">(1+I30)*(1+C13)-1</f>
        <v>3.5096000000000016E-2</v>
      </c>
      <c r="J31" s="75">
        <f>C13</f>
        <v>3.0000000000000001E-3</v>
      </c>
      <c r="K31" s="76"/>
      <c r="L31" s="76"/>
      <c r="M31" s="76"/>
      <c r="N31" s="111"/>
      <c r="O31" s="111"/>
    </row>
    <row r="32" spans="2:15">
      <c r="B32" s="68">
        <v>2011</v>
      </c>
      <c r="C32" s="70"/>
      <c r="D32" s="75">
        <f t="shared" si="0"/>
        <v>0.13177594425766559</v>
      </c>
      <c r="E32" s="75">
        <f t="shared" si="1"/>
        <v>0.10849749682435372</v>
      </c>
      <c r="F32" s="75">
        <f t="shared" si="2"/>
        <v>9.6436693199163148E-2</v>
      </c>
      <c r="G32" s="75">
        <f t="shared" si="3"/>
        <v>7.7049796855759745E-2</v>
      </c>
      <c r="H32" s="75">
        <f t="shared" si="4"/>
        <v>6.2179286839999515E-2</v>
      </c>
      <c r="I32" s="75">
        <f t="shared" si="5"/>
        <v>5.0622439999999935E-2</v>
      </c>
      <c r="J32" s="75">
        <f>(1+J31)*(1+C14)-1</f>
        <v>1.8044999999999867E-2</v>
      </c>
      <c r="K32" s="75">
        <f>C14</f>
        <v>1.4999999999999999E-2</v>
      </c>
      <c r="L32" s="76"/>
      <c r="M32" s="76"/>
      <c r="N32" s="111"/>
      <c r="O32" s="111"/>
    </row>
    <row r="33" spans="2:24">
      <c r="B33" s="68">
        <v>2012</v>
      </c>
      <c r="C33" s="70"/>
      <c r="D33" s="75">
        <f t="shared" si="0"/>
        <v>0.16120211880836499</v>
      </c>
      <c r="E33" s="75">
        <f t="shared" si="1"/>
        <v>0.13731843174178704</v>
      </c>
      <c r="F33" s="75">
        <f t="shared" si="2"/>
        <v>0.12494404722234131</v>
      </c>
      <c r="G33" s="75">
        <f t="shared" si="3"/>
        <v>0.10505309157400955</v>
      </c>
      <c r="H33" s="75">
        <f t="shared" si="4"/>
        <v>8.9795948297839434E-2</v>
      </c>
      <c r="I33" s="75">
        <f t="shared" si="5"/>
        <v>7.793862343999991E-2</v>
      </c>
      <c r="J33" s="75">
        <f>(1+J32)*(1+C15)-1</f>
        <v>4.4514169999999798E-2</v>
      </c>
      <c r="K33" s="75">
        <f>(1+K32)*(1+C15)-1</f>
        <v>4.1389999999999816E-2</v>
      </c>
      <c r="L33" s="75">
        <f>C15</f>
        <v>2.5999999999999999E-2</v>
      </c>
      <c r="M33" s="77"/>
      <c r="N33" s="112"/>
      <c r="O33" s="112"/>
    </row>
    <row r="34" spans="2:24">
      <c r="B34" s="68">
        <v>2013</v>
      </c>
      <c r="C34" s="62"/>
      <c r="D34" s="75">
        <f t="shared" si="0"/>
        <v>0.18790976754095734</v>
      </c>
      <c r="E34" s="75">
        <f t="shared" si="1"/>
        <v>0.16347675567184794</v>
      </c>
      <c r="F34" s="75">
        <f t="shared" si="2"/>
        <v>0.15081776030845506</v>
      </c>
      <c r="G34" s="75">
        <f t="shared" si="3"/>
        <v>0.13046931268021167</v>
      </c>
      <c r="H34" s="75">
        <f t="shared" si="4"/>
        <v>0.11486125510868961</v>
      </c>
      <c r="I34" s="75">
        <f t="shared" si="5"/>
        <v>0.1027312117791197</v>
      </c>
      <c r="J34" s="75">
        <f>(1+J33)*(1+C16)-1</f>
        <v>6.8537995909999649E-2</v>
      </c>
      <c r="K34" s="75">
        <f>(1+K33)*(1+C16)-1</f>
        <v>6.5341969999999749E-2</v>
      </c>
      <c r="L34" s="75">
        <f>(1+L33)*(1+C16)-1</f>
        <v>4.9598000000000031E-2</v>
      </c>
      <c r="M34" s="75">
        <f>C16</f>
        <v>2.3E-2</v>
      </c>
      <c r="N34" s="112"/>
      <c r="O34" s="112"/>
    </row>
    <row r="35" spans="2:24">
      <c r="B35">
        <v>2014</v>
      </c>
      <c r="C35"/>
      <c r="D35" s="75">
        <f t="shared" si="0"/>
        <v>0.22117124103210428</v>
      </c>
      <c r="E35" s="75">
        <f t="shared" si="1"/>
        <v>0.19605410483065966</v>
      </c>
      <c r="F35" s="75">
        <f t="shared" si="2"/>
        <v>0.18304065759709176</v>
      </c>
      <c r="G35" s="113">
        <f t="shared" si="3"/>
        <v>0.16212245343525766</v>
      </c>
      <c r="H35" s="113">
        <f t="shared" si="4"/>
        <v>0.14607737025173284</v>
      </c>
      <c r="I35" s="113">
        <f t="shared" si="5"/>
        <v>0.133607685708935</v>
      </c>
      <c r="J35" s="113">
        <f>(1+J34)*(1+C17)-1</f>
        <v>9.8457059795479696E-2</v>
      </c>
      <c r="K35" s="113">
        <f>(1+K34)*(1+C17)-1</f>
        <v>9.5171545159999704E-2</v>
      </c>
      <c r="L35" s="113">
        <f>(1+L34)*(1+C17)-1</f>
        <v>7.8986744000000053E-2</v>
      </c>
      <c r="M35" s="113">
        <f>(1+M34)*(1+C17)-1</f>
        <v>5.1644000000000023E-2</v>
      </c>
      <c r="N35" s="113">
        <f>C17</f>
        <v>2.8000000000000001E-2</v>
      </c>
      <c r="O35" s="112"/>
      <c r="P35" s="128"/>
      <c r="Q35" s="128"/>
      <c r="R35" s="128"/>
      <c r="S35" s="128"/>
      <c r="T35" s="128"/>
      <c r="U35" s="128"/>
      <c r="V35" s="128"/>
      <c r="W35" s="128"/>
      <c r="X35" s="128"/>
    </row>
    <row r="36" spans="2:24">
      <c r="B36" s="68">
        <v>2015</v>
      </c>
      <c r="D36" s="75">
        <f t="shared" si="0"/>
        <v>0.23338295344242543</v>
      </c>
      <c r="E36" s="75">
        <f t="shared" si="1"/>
        <v>0.20801464587896623</v>
      </c>
      <c r="F36" s="75">
        <f t="shared" si="2"/>
        <v>0.19487106417306266</v>
      </c>
      <c r="G36" s="113">
        <f t="shared" si="3"/>
        <v>0.17374367796961021</v>
      </c>
      <c r="H36" s="113">
        <f t="shared" si="4"/>
        <v>0.15753814395425025</v>
      </c>
      <c r="I36" s="113">
        <f t="shared" si="5"/>
        <v>0.14494376256602437</v>
      </c>
      <c r="J36" s="113">
        <f>(1+J35)*(1+C18)-1</f>
        <v>0.10944163039343446</v>
      </c>
      <c r="K36" s="113">
        <f>(1+K35)*(1+C18)-1</f>
        <v>0.1061232606115996</v>
      </c>
      <c r="L36" s="113">
        <f>(1+L35)*(1+C18)-1</f>
        <v>8.9776611440000043E-2</v>
      </c>
      <c r="M36" s="113">
        <f>(1+M35)*(1+C18)-1</f>
        <v>6.2160439999999983E-2</v>
      </c>
      <c r="N36" s="113">
        <f>(1+C18)*(1+N35)-1</f>
        <v>3.8280000000000092E-2</v>
      </c>
      <c r="O36" s="154">
        <f>C18</f>
        <v>0.01</v>
      </c>
    </row>
    <row r="37" spans="2:24">
      <c r="G37" s="70"/>
      <c r="H37" s="70"/>
      <c r="I37" s="70"/>
      <c r="J37" s="70"/>
      <c r="K37" s="70"/>
      <c r="L37" s="70"/>
    </row>
    <row r="38" spans="2:24">
      <c r="G38" s="70"/>
      <c r="H38" s="70"/>
      <c r="I38" s="70"/>
      <c r="J38" s="70"/>
      <c r="K38" s="70"/>
      <c r="L38" s="70"/>
    </row>
    <row r="39" spans="2:24">
      <c r="G39" s="70"/>
      <c r="H39" s="70"/>
      <c r="I39" s="70"/>
      <c r="J39" s="70"/>
      <c r="K39" s="70"/>
      <c r="L39" s="70"/>
    </row>
    <row r="40" spans="2:24">
      <c r="G40" s="70"/>
      <c r="H40" s="70"/>
      <c r="I40" s="70"/>
      <c r="J40" s="70"/>
      <c r="K40" s="70"/>
      <c r="L40" s="70"/>
    </row>
  </sheetData>
  <phoneticPr fontId="2" type="noConversion"/>
  <pageMargins left="0.75" right="0.75" top="1" bottom="1" header="0.5" footer="0.5"/>
  <pageSetup paperSize="9" scale="5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enableFormatConditionsCalculation="0">
    <tabColor theme="8" tint="0.39997558519241921"/>
    <pageSetUpPr fitToPage="1"/>
  </sheetPr>
  <dimension ref="B2:R68"/>
  <sheetViews>
    <sheetView showGridLines="0" zoomScale="85" workbookViewId="0">
      <pane ySplit="2" topLeftCell="A12" activePane="bottomLeft" state="frozenSplit"/>
      <selection pane="bottomLeft" activeCell="B20" sqref="B20"/>
    </sheetView>
  </sheetViews>
  <sheetFormatPr defaultRowHeight="12.75"/>
  <cols>
    <col min="1" max="1" width="3.42578125" style="49" customWidth="1"/>
    <col min="2" max="2" width="67.85546875" style="49" customWidth="1"/>
    <col min="3" max="3" width="1" style="49" customWidth="1"/>
    <col min="4" max="4" width="10.28515625" style="49" customWidth="1"/>
    <col min="5" max="5" width="13" style="49" customWidth="1"/>
    <col min="6" max="6" width="5.28515625" style="49" customWidth="1"/>
    <col min="7" max="9" width="14.42578125" style="49" customWidth="1"/>
    <col min="10" max="10" width="15.28515625" style="49" bestFit="1" customWidth="1"/>
    <col min="11" max="14" width="14.42578125" style="49" customWidth="1"/>
    <col min="15" max="15" width="11.85546875" style="49" customWidth="1"/>
    <col min="16" max="16" width="5.5703125" style="49" customWidth="1"/>
    <col min="17" max="17" width="11.85546875" style="49" customWidth="1"/>
    <col min="18" max="18" width="16.7109375" style="49" bestFit="1" customWidth="1"/>
    <col min="19" max="16384" width="9.140625" style="49"/>
  </cols>
  <sheetData>
    <row r="2" spans="2:18" s="298" customFormat="1" ht="18">
      <c r="B2" s="311" t="s">
        <v>206</v>
      </c>
      <c r="C2" s="297"/>
      <c r="E2" s="299"/>
      <c r="F2" s="300"/>
      <c r="G2" s="300" t="s">
        <v>34</v>
      </c>
      <c r="H2" s="300" t="s">
        <v>7</v>
      </c>
      <c r="I2" s="300" t="s">
        <v>37</v>
      </c>
      <c r="J2" s="300" t="s">
        <v>40</v>
      </c>
      <c r="K2" s="300" t="s">
        <v>38</v>
      </c>
      <c r="L2" s="300" t="s">
        <v>8</v>
      </c>
      <c r="M2" s="300" t="s">
        <v>35</v>
      </c>
      <c r="N2" s="300" t="s">
        <v>39</v>
      </c>
      <c r="O2" s="301" t="s">
        <v>41</v>
      </c>
      <c r="P2" s="299"/>
    </row>
    <row r="4" spans="2:18" s="83" customFormat="1">
      <c r="B4" s="50" t="s">
        <v>90</v>
      </c>
      <c r="C4" s="82"/>
      <c r="D4" s="82"/>
    </row>
    <row r="5" spans="2:18">
      <c r="G5" s="52"/>
      <c r="H5" s="52"/>
      <c r="I5" s="52"/>
      <c r="J5" s="52"/>
      <c r="K5" s="52"/>
      <c r="L5" s="52"/>
      <c r="M5" s="52"/>
      <c r="N5" s="52"/>
      <c r="O5" s="52"/>
      <c r="P5" s="52"/>
      <c r="Q5" s="52"/>
    </row>
    <row r="6" spans="2:18" customFormat="1">
      <c r="B6" s="137" t="s">
        <v>324</v>
      </c>
      <c r="C6" s="54"/>
      <c r="D6" s="137" t="s">
        <v>43</v>
      </c>
      <c r="G6" s="101">
        <v>22155782.462519988</v>
      </c>
      <c r="H6" s="101">
        <v>30603336.272270575</v>
      </c>
      <c r="I6" s="101">
        <v>62282919.272606239</v>
      </c>
      <c r="J6" s="101">
        <v>320334771.2753402</v>
      </c>
      <c r="K6" s="101">
        <v>342731735.95406991</v>
      </c>
      <c r="L6" s="101">
        <v>18354485.758633368</v>
      </c>
      <c r="M6" s="101">
        <v>297632151.81264526</v>
      </c>
      <c r="N6" s="101">
        <v>18389510.971848741</v>
      </c>
      <c r="O6" s="101">
        <v>6440014.167166301</v>
      </c>
      <c r="P6" s="98"/>
      <c r="Q6" s="127" t="s">
        <v>392</v>
      </c>
    </row>
    <row r="7" spans="2:18">
      <c r="B7" t="s">
        <v>56</v>
      </c>
      <c r="C7" s="54"/>
      <c r="E7" s="53"/>
      <c r="F7" s="53"/>
      <c r="G7" s="114">
        <v>7.56</v>
      </c>
      <c r="H7" s="114">
        <v>6.75</v>
      </c>
      <c r="I7" s="114">
        <v>6.8</v>
      </c>
      <c r="J7" s="114">
        <v>6.75</v>
      </c>
      <c r="K7" s="114">
        <v>6.17</v>
      </c>
      <c r="L7" s="114">
        <v>6.97</v>
      </c>
      <c r="M7" s="114">
        <v>6.45</v>
      </c>
      <c r="N7" s="114">
        <v>5.68</v>
      </c>
      <c r="O7" s="114">
        <v>10.67</v>
      </c>
      <c r="Q7" s="127" t="s">
        <v>393</v>
      </c>
      <c r="R7" s="53"/>
    </row>
    <row r="8" spans="2:18">
      <c r="B8" s="49" t="s">
        <v>57</v>
      </c>
      <c r="E8" s="102">
        <f>CPI!C17</f>
        <v>2.8000000000000001E-2</v>
      </c>
      <c r="F8" s="58"/>
      <c r="G8" s="44"/>
      <c r="H8" s="44"/>
      <c r="I8" s="44"/>
      <c r="J8" s="44"/>
      <c r="K8" s="44"/>
      <c r="L8" s="44"/>
      <c r="M8" s="44"/>
      <c r="N8" s="44"/>
      <c r="O8" s="44"/>
      <c r="P8" s="54"/>
    </row>
    <row r="9" spans="2:18">
      <c r="B9" s="49" t="s">
        <v>207</v>
      </c>
      <c r="E9" s="102">
        <f>CPI!C18</f>
        <v>0.01</v>
      </c>
      <c r="F9" s="58"/>
      <c r="G9" s="445"/>
      <c r="H9" s="445"/>
      <c r="I9" s="445"/>
      <c r="J9" s="445"/>
      <c r="K9" s="445"/>
      <c r="L9" s="445"/>
      <c r="M9" s="445"/>
      <c r="N9" s="445"/>
      <c r="O9" s="445"/>
      <c r="P9" s="54"/>
    </row>
    <row r="10" spans="2:18">
      <c r="B10" s="78" t="s">
        <v>91</v>
      </c>
      <c r="D10" s="137" t="s">
        <v>55</v>
      </c>
      <c r="E10" s="320"/>
      <c r="F10" s="58"/>
      <c r="G10" s="56">
        <f>G6*((1-G7/100)+ $E$8)</f>
        <v>21101167.217304036</v>
      </c>
      <c r="H10" s="56">
        <f t="shared" ref="H10:O10" si="0">H6*((1-H7/100)+ $E$8)</f>
        <v>29394504.489515889</v>
      </c>
      <c r="I10" s="56">
        <f t="shared" si="0"/>
        <v>59791602.501701988</v>
      </c>
      <c r="J10" s="56">
        <f t="shared" si="0"/>
        <v>307681547.80996424</v>
      </c>
      <c r="K10" s="56">
        <f t="shared" si="0"/>
        <v>331181676.45241779</v>
      </c>
      <c r="L10" s="56">
        <f t="shared" si="0"/>
        <v>17589103.702498358</v>
      </c>
      <c r="M10" s="56">
        <f t="shared" si="0"/>
        <v>286768578.27148372</v>
      </c>
      <c r="N10" s="56">
        <f t="shared" si="0"/>
        <v>17859893.055859499</v>
      </c>
      <c r="O10" s="56">
        <f t="shared" si="0"/>
        <v>5933185.0522103133</v>
      </c>
      <c r="P10" s="54"/>
    </row>
    <row r="11" spans="2:18">
      <c r="B11" s="78" t="s">
        <v>208</v>
      </c>
      <c r="C11" s="54"/>
      <c r="D11" s="78" t="s">
        <v>209</v>
      </c>
      <c r="E11" s="54"/>
      <c r="F11" s="55"/>
      <c r="G11" s="56">
        <f>G10*((1-G7/100)+ $E$9)</f>
        <v>19716930.647848893</v>
      </c>
      <c r="H11" s="56">
        <f t="shared" ref="H11:O11" si="1">H10*((1-H7/100)+ $E$9)</f>
        <v>27704320.481368724</v>
      </c>
      <c r="I11" s="56">
        <f t="shared" si="1"/>
        <v>56323689.556603268</v>
      </c>
      <c r="J11" s="56">
        <f t="shared" si="1"/>
        <v>289989858.81089127</v>
      </c>
      <c r="K11" s="56">
        <f t="shared" si="1"/>
        <v>314059583.77982777</v>
      </c>
      <c r="L11" s="56">
        <f t="shared" si="1"/>
        <v>16539034.211459206</v>
      </c>
      <c r="M11" s="56">
        <f t="shared" si="1"/>
        <v>271139690.75568783</v>
      </c>
      <c r="N11" s="56">
        <f>N10*((1-N7/100)+ $E$9)</f>
        <v>17024050.060845274</v>
      </c>
      <c r="O11" s="56">
        <f t="shared" si="1"/>
        <v>5359446.0576615762</v>
      </c>
      <c r="P11" s="7"/>
      <c r="Q11" s="7"/>
    </row>
    <row r="12" spans="2:18">
      <c r="F12" s="54"/>
    </row>
    <row r="13" spans="2:18" s="51" customFormat="1">
      <c r="C13" s="50"/>
      <c r="D13" s="50"/>
    </row>
    <row r="15" spans="2:18">
      <c r="B15" s="371" t="s">
        <v>327</v>
      </c>
    </row>
    <row r="16" spans="2:18">
      <c r="B16" s="138" t="s">
        <v>94</v>
      </c>
      <c r="C16" s="115"/>
      <c r="D16" s="78" t="s">
        <v>209</v>
      </c>
      <c r="G16" s="6">
        <f>'Nacalculaties en correcties'!F43</f>
        <v>0</v>
      </c>
      <c r="H16" s="6">
        <f>'Nacalculaties en correcties'!G43</f>
        <v>0</v>
      </c>
      <c r="I16" s="6">
        <f>'Nacalculaties en correcties'!H43</f>
        <v>0</v>
      </c>
      <c r="J16" s="6">
        <f>'Nacalculaties en correcties'!I43</f>
        <v>0</v>
      </c>
      <c r="K16" s="6">
        <f>'Nacalculaties en correcties'!J43</f>
        <v>0</v>
      </c>
      <c r="L16" s="6">
        <f>'Nacalculaties en correcties'!K43</f>
        <v>0</v>
      </c>
      <c r="M16" s="6">
        <f>'Nacalculaties en correcties'!L43</f>
        <v>0</v>
      </c>
      <c r="N16" s="6">
        <f>'Nacalculaties en correcties'!M43</f>
        <v>0</v>
      </c>
      <c r="O16" s="6">
        <f>'Nacalculaties en correcties'!N43</f>
        <v>0</v>
      </c>
    </row>
    <row r="17" spans="2:15">
      <c r="B17" s="138" t="s">
        <v>214</v>
      </c>
      <c r="C17" s="115"/>
      <c r="D17" s="78" t="s">
        <v>209</v>
      </c>
      <c r="G17" s="6">
        <f>'Nacalculaties en correcties'!F44</f>
        <v>0</v>
      </c>
      <c r="H17" s="6">
        <f>'Nacalculaties en correcties'!G44</f>
        <v>0</v>
      </c>
      <c r="I17" s="6">
        <f>'Nacalculaties en correcties'!H44</f>
        <v>0</v>
      </c>
      <c r="J17" s="6">
        <f>'Nacalculaties en correcties'!I44</f>
        <v>0</v>
      </c>
      <c r="K17" s="6">
        <f>'Nacalculaties en correcties'!J44</f>
        <v>0</v>
      </c>
      <c r="L17" s="6">
        <f>'Nacalculaties en correcties'!K44</f>
        <v>0</v>
      </c>
      <c r="M17" s="6">
        <f>'Nacalculaties en correcties'!L44</f>
        <v>0</v>
      </c>
      <c r="N17" s="6">
        <f>'Nacalculaties en correcties'!M44</f>
        <v>0</v>
      </c>
      <c r="O17" s="6">
        <f>'Nacalculaties en correcties'!N44</f>
        <v>0</v>
      </c>
    </row>
    <row r="18" spans="2:15">
      <c r="B18" s="138" t="s">
        <v>215</v>
      </c>
      <c r="C18" s="115"/>
      <c r="D18" s="78" t="s">
        <v>209</v>
      </c>
      <c r="G18" s="6">
        <f>'Nacalculaties en correcties'!F45</f>
        <v>0</v>
      </c>
      <c r="H18" s="6">
        <f>'Nacalculaties en correcties'!G45</f>
        <v>0</v>
      </c>
      <c r="I18" s="6">
        <f>'Nacalculaties en correcties'!H45</f>
        <v>0</v>
      </c>
      <c r="J18" s="6">
        <f>'Nacalculaties en correcties'!I45</f>
        <v>0</v>
      </c>
      <c r="K18" s="6">
        <f>'Nacalculaties en correcties'!J45</f>
        <v>0</v>
      </c>
      <c r="L18" s="6">
        <f>'Nacalculaties en correcties'!K45</f>
        <v>0</v>
      </c>
      <c r="M18" s="6">
        <f>'Nacalculaties en correcties'!L45</f>
        <v>0</v>
      </c>
      <c r="N18" s="6">
        <f>'Nacalculaties en correcties'!M45</f>
        <v>0</v>
      </c>
      <c r="O18" s="6">
        <f>'Nacalculaties en correcties'!N45</f>
        <v>0</v>
      </c>
    </row>
    <row r="19" spans="2:15">
      <c r="B19" s="137" t="s">
        <v>408</v>
      </c>
      <c r="C19" s="30"/>
      <c r="D19" s="78" t="s">
        <v>209</v>
      </c>
      <c r="G19" s="6">
        <f>'Nacalculaties en correcties'!F46</f>
        <v>-95312.840111419559</v>
      </c>
      <c r="H19" s="6">
        <f>'Nacalculaties en correcties'!G46</f>
        <v>-124218.75907931849</v>
      </c>
      <c r="I19" s="6">
        <f>'Nacalculaties en correcties'!H46</f>
        <v>-270371.49173153937</v>
      </c>
      <c r="J19" s="6">
        <f>'Nacalculaties en correcties'!I46</f>
        <v>-1352917.8168934584</v>
      </c>
      <c r="K19" s="6">
        <f>'Nacalculaties en correcties'!J46</f>
        <v>-1503801.0380548239</v>
      </c>
      <c r="L19" s="6">
        <f>'Nacalculaties en correcties'!K46</f>
        <v>-65529.988532882184</v>
      </c>
      <c r="M19" s="6">
        <f>'Nacalculaties en correcties'!L46</f>
        <v>-1187079.9025073647</v>
      </c>
      <c r="N19" s="6">
        <f>'Nacalculaties en correcties'!M46</f>
        <v>-37055.591751217842</v>
      </c>
      <c r="O19" s="6">
        <f>'Nacalculaties en correcties'!N46</f>
        <v>0</v>
      </c>
    </row>
    <row r="20" spans="2:15">
      <c r="B20" s="140" t="s">
        <v>286</v>
      </c>
      <c r="D20" s="127" t="s">
        <v>209</v>
      </c>
      <c r="G20" s="6">
        <f>'Nacalculaties en correcties'!F47</f>
        <v>-341299.19405953959</v>
      </c>
      <c r="H20" s="6">
        <f>'Nacalculaties en correcties'!G47</f>
        <v>-659937.68817594647</v>
      </c>
      <c r="I20" s="6">
        <f>'Nacalculaties en correcties'!H47</f>
        <v>-1108040.5383441374</v>
      </c>
      <c r="J20" s="6">
        <f>'Nacalculaties en correcties'!I47</f>
        <v>-5641546.9941861629</v>
      </c>
      <c r="K20" s="6">
        <f>'Nacalculaties en correcties'!J47</f>
        <v>-5552888.1761674881</v>
      </c>
      <c r="L20" s="6">
        <f>'Nacalculaties en correcties'!K47</f>
        <v>-263783.32752877846</v>
      </c>
      <c r="M20" s="6">
        <f>'Nacalculaties en correcties'!L47</f>
        <v>-4920636.2893792987</v>
      </c>
      <c r="N20" s="6">
        <f>'Nacalculaties en correcties'!M47</f>
        <v>-904233.40242341906</v>
      </c>
      <c r="O20" s="6">
        <f>'Nacalculaties en correcties'!N47</f>
        <v>-838585.67197586037</v>
      </c>
    </row>
    <row r="21" spans="2:15">
      <c r="B21" s="138" t="s">
        <v>325</v>
      </c>
      <c r="C21" s="115"/>
      <c r="D21" s="78" t="s">
        <v>209</v>
      </c>
      <c r="G21" s="6">
        <f>'Nacalculaties en correcties'!F48</f>
        <v>-901067.04005380638</v>
      </c>
      <c r="H21" s="6">
        <f>'Nacalculaties en correcties'!G48</f>
        <v>189464.04714035269</v>
      </c>
      <c r="I21" s="6">
        <f>'Nacalculaties en correcties'!H48</f>
        <v>0</v>
      </c>
      <c r="J21" s="6">
        <f>'Nacalculaties en correcties'!I48</f>
        <v>-240371.48365074716</v>
      </c>
      <c r="K21" s="6">
        <f>'Nacalculaties en correcties'!J48</f>
        <v>10624460.934561059</v>
      </c>
      <c r="L21" s="6">
        <f>'Nacalculaties en correcties'!K48</f>
        <v>-522647.25733603147</v>
      </c>
      <c r="M21" s="6">
        <f>'Nacalculaties en correcties'!L48</f>
        <v>-929285.54774746415</v>
      </c>
      <c r="N21" s="6">
        <f>'Nacalculaties en correcties'!M48</f>
        <v>0</v>
      </c>
      <c r="O21" s="6">
        <f>'Nacalculaties en correcties'!N48</f>
        <v>0</v>
      </c>
    </row>
    <row r="22" spans="2:15">
      <c r="B22" s="138" t="s">
        <v>213</v>
      </c>
      <c r="C22" s="115"/>
      <c r="D22" s="78" t="s">
        <v>209</v>
      </c>
      <c r="G22" s="6">
        <f>'Nacalculaties en correcties'!F49</f>
        <v>8955.2527999999966</v>
      </c>
      <c r="H22" s="6">
        <f>'Nacalculaties en correcties'!G49</f>
        <v>27384.375199999988</v>
      </c>
      <c r="I22" s="6">
        <f>'Nacalculaties en correcties'!H49</f>
        <v>303201.93175999989</v>
      </c>
      <c r="J22" s="6">
        <f>'Nacalculaties en correcties'!I49</f>
        <v>365050.8259493332</v>
      </c>
      <c r="K22" s="6">
        <f>'Nacalculaties en correcties'!J49</f>
        <v>1459817.1671199996</v>
      </c>
      <c r="L22" s="6">
        <f>'Nacalculaties en correcties'!K49</f>
        <v>36901.846799999992</v>
      </c>
      <c r="M22" s="6">
        <f>'Nacalculaties en correcties'!L49</f>
        <v>854755.33190666651</v>
      </c>
      <c r="N22" s="6">
        <f>'Nacalculaties en correcties'!M49</f>
        <v>4077.6885066666646</v>
      </c>
      <c r="O22" s="6">
        <f>'Nacalculaties en correcties'!N49</f>
        <v>0</v>
      </c>
    </row>
    <row r="23" spans="2:15">
      <c r="B23" s="138" t="s">
        <v>275</v>
      </c>
      <c r="C23" s="115"/>
      <c r="D23" s="78" t="s">
        <v>209</v>
      </c>
      <c r="G23" s="6">
        <f>'Nacalculaties en correcties'!F50</f>
        <v>-166304.23918370405</v>
      </c>
      <c r="H23" s="6">
        <f>'Nacalculaties en correcties'!G50</f>
        <v>-191595.93920017604</v>
      </c>
      <c r="I23" s="6">
        <f>'Nacalculaties en correcties'!H50</f>
        <v>-446496.85644454026</v>
      </c>
      <c r="J23" s="6">
        <f>'Nacalculaties en correcties'!I50</f>
        <v>-1875257.8507324636</v>
      </c>
      <c r="K23" s="6">
        <f>'Nacalculaties en correcties'!J50</f>
        <v>-1699604.9355065674</v>
      </c>
      <c r="L23" s="6">
        <f>'Nacalculaties en correcties'!K50</f>
        <v>114184.76993317276</v>
      </c>
      <c r="M23" s="6">
        <f>'Nacalculaties en correcties'!L50</f>
        <v>3249835.965709798</v>
      </c>
      <c r="N23" s="6">
        <f>'Nacalculaties en correcties'!M50</f>
        <v>-105681.38536076386</v>
      </c>
      <c r="O23" s="6">
        <f>'Nacalculaties en correcties'!N50</f>
        <v>-10957.390047567656</v>
      </c>
    </row>
    <row r="24" spans="2:15">
      <c r="B24" s="138" t="s">
        <v>276</v>
      </c>
      <c r="C24" s="115"/>
      <c r="D24" s="78" t="s">
        <v>209</v>
      </c>
      <c r="G24" s="6">
        <f>'Nacalculaties en correcties'!F51</f>
        <v>-330909.67492719664</v>
      </c>
      <c r="H24" s="6">
        <f>'Nacalculaties en correcties'!G51</f>
        <v>-381421.23343778425</v>
      </c>
      <c r="I24" s="6">
        <f>'Nacalculaties en correcties'!H51</f>
        <v>-897995.11989667185</v>
      </c>
      <c r="J24" s="6">
        <f>'Nacalculaties en correcties'!I51</f>
        <v>-3827249.7209110786</v>
      </c>
      <c r="K24" s="6">
        <f>'Nacalculaties en correcties'!J51</f>
        <v>-3457956.4820866636</v>
      </c>
      <c r="L24" s="6">
        <f>'Nacalculaties en correcties'!K51</f>
        <v>230426.66646671668</v>
      </c>
      <c r="M24" s="6">
        <f>'Nacalculaties en correcties'!L51</f>
        <v>2123515.7406601626</v>
      </c>
      <c r="N24" s="6">
        <f>'Nacalculaties en correcties'!M51</f>
        <v>-220673.93942522409</v>
      </c>
      <c r="O24" s="6">
        <f>'Nacalculaties en correcties'!N51</f>
        <v>-17365.479341778169</v>
      </c>
    </row>
    <row r="25" spans="2:15">
      <c r="B25" s="138" t="s">
        <v>277</v>
      </c>
      <c r="C25" s="115"/>
      <c r="D25" s="78" t="s">
        <v>209</v>
      </c>
      <c r="G25" s="6">
        <f>'Nacalculaties en correcties'!F52</f>
        <v>-494813.3258718336</v>
      </c>
      <c r="H25" s="6">
        <f>'Nacalculaties en correcties'!G52</f>
        <v>-570621.87526478572</v>
      </c>
      <c r="I25" s="6">
        <f>'Nacalculaties en correcties'!H52</f>
        <v>-1357212.4896777412</v>
      </c>
      <c r="J25" s="6">
        <f>'Nacalculaties en correcties'!I52</f>
        <v>-5870454.8515488189</v>
      </c>
      <c r="K25" s="6">
        <f>'Nacalculaties en correcties'!J52</f>
        <v>-5286893.858617601</v>
      </c>
      <c r="L25" s="6">
        <f>'Nacalculaties en correcties'!K52</f>
        <v>349440.15544883255</v>
      </c>
      <c r="M25" s="6">
        <f>'Nacalculaties en correcties'!L52</f>
        <v>935180.93120775861</v>
      </c>
      <c r="N25" s="6">
        <f>'Nacalculaties en correcties'!M52</f>
        <v>-346254.8778663876</v>
      </c>
      <c r="O25" s="6">
        <f>'Nacalculaties en correcties'!N52</f>
        <v>-20690.395884824255</v>
      </c>
    </row>
    <row r="26" spans="2:15">
      <c r="B26" s="138" t="s">
        <v>278</v>
      </c>
      <c r="C26" s="115"/>
      <c r="D26" s="78" t="s">
        <v>209</v>
      </c>
      <c r="G26" s="6">
        <f>'Nacalculaties en correcties'!F53</f>
        <v>43779.826145938023</v>
      </c>
      <c r="H26" s="6">
        <f>'Nacalculaties en correcties'!G53</f>
        <v>57289.445501690781</v>
      </c>
      <c r="I26" s="6">
        <f>'Nacalculaties en correcties'!H53</f>
        <v>123071.04848266537</v>
      </c>
      <c r="J26" s="6">
        <f>'Nacalculaties en correcties'!I53</f>
        <v>632981.50804005598</v>
      </c>
      <c r="K26" s="6">
        <f>'Nacalculaties en correcties'!J53</f>
        <v>641593.80970604869</v>
      </c>
      <c r="L26" s="6">
        <f>'Nacalculaties en correcties'!K53</f>
        <v>30541.864302366663</v>
      </c>
      <c r="M26" s="6">
        <f>'Nacalculaties en correcties'!L53</f>
        <v>526213.64440479258</v>
      </c>
      <c r="N26" s="6">
        <f>'Nacalculaties en correcties'!M53</f>
        <v>36337.673680373417</v>
      </c>
      <c r="O26" s="6">
        <f>'Nacalculaties en correcties'!N53</f>
        <v>6697.6147338529654</v>
      </c>
    </row>
    <row r="27" spans="2:15">
      <c r="B27" s="138" t="s">
        <v>189</v>
      </c>
      <c r="C27" s="115"/>
      <c r="D27" s="78" t="s">
        <v>209</v>
      </c>
      <c r="G27" s="19"/>
      <c r="H27" s="19"/>
      <c r="I27" s="19"/>
      <c r="J27" s="19"/>
      <c r="K27" s="19"/>
      <c r="L27" s="6">
        <f>'Nacalculaties en correcties'!K54</f>
        <v>133451.15978276441</v>
      </c>
      <c r="M27" s="19"/>
      <c r="N27" s="19"/>
      <c r="O27" s="19"/>
    </row>
    <row r="28" spans="2:15">
      <c r="B28" s="138" t="s">
        <v>190</v>
      </c>
      <c r="C28" s="115"/>
      <c r="D28" s="78" t="s">
        <v>209</v>
      </c>
      <c r="G28" s="19"/>
      <c r="H28" s="19"/>
      <c r="I28" s="19"/>
      <c r="J28" s="19"/>
      <c r="K28" s="19"/>
      <c r="L28" s="6">
        <f>'Nacalculaties en correcties'!K55</f>
        <v>261430.81941030125</v>
      </c>
      <c r="M28" s="19"/>
      <c r="N28" s="19"/>
      <c r="O28" s="19"/>
    </row>
    <row r="29" spans="2:15">
      <c r="B29" s="138" t="s">
        <v>191</v>
      </c>
      <c r="C29" s="115"/>
      <c r="D29" s="78" t="s">
        <v>209</v>
      </c>
      <c r="G29" s="19"/>
      <c r="H29" s="19"/>
      <c r="I29" s="19"/>
      <c r="J29" s="19"/>
      <c r="K29" s="19"/>
      <c r="L29" s="6">
        <f>'Nacalculaties en correcties'!K56</f>
        <v>387569.47309189325</v>
      </c>
      <c r="M29" s="19"/>
      <c r="N29" s="19"/>
      <c r="O29" s="19"/>
    </row>
    <row r="30" spans="2:15">
      <c r="B30" s="138" t="s">
        <v>192</v>
      </c>
      <c r="C30" s="115"/>
      <c r="D30" s="78" t="s">
        <v>209</v>
      </c>
      <c r="G30" s="19"/>
      <c r="H30" s="19"/>
      <c r="I30" s="19"/>
      <c r="J30" s="19"/>
      <c r="K30" s="19"/>
      <c r="L30" s="6">
        <f>'Nacalculaties en correcties'!K57</f>
        <v>23550.204667546932</v>
      </c>
      <c r="M30" s="19"/>
      <c r="N30" s="19"/>
      <c r="O30" s="19"/>
    </row>
    <row r="31" spans="2:15">
      <c r="B31" s="138" t="s">
        <v>193</v>
      </c>
      <c r="C31" s="115"/>
      <c r="D31" s="78" t="s">
        <v>209</v>
      </c>
      <c r="G31" s="19"/>
      <c r="H31" s="19"/>
      <c r="I31" s="19"/>
      <c r="J31" s="19"/>
      <c r="K31" s="19"/>
      <c r="L31" s="6">
        <f>'Nacalculaties en correcties'!K58</f>
        <v>91235.357209210968</v>
      </c>
      <c r="M31" s="19"/>
      <c r="N31" s="19"/>
      <c r="O31" s="19"/>
    </row>
    <row r="32" spans="2:15">
      <c r="B32" s="138" t="s">
        <v>194</v>
      </c>
      <c r="C32" s="115"/>
      <c r="D32" s="78" t="s">
        <v>209</v>
      </c>
      <c r="G32" s="19"/>
      <c r="H32" s="19"/>
      <c r="I32" s="19"/>
      <c r="J32" s="19"/>
      <c r="K32" s="19"/>
      <c r="L32" s="6">
        <f>'Nacalculaties en correcties'!K59</f>
        <v>199982.47506367852</v>
      </c>
      <c r="M32" s="19"/>
      <c r="N32" s="19"/>
      <c r="O32" s="19"/>
    </row>
    <row r="33" spans="2:17">
      <c r="B33" s="138" t="s">
        <v>171</v>
      </c>
      <c r="C33" s="115"/>
      <c r="D33" s="78" t="s">
        <v>209</v>
      </c>
      <c r="G33" s="19"/>
      <c r="H33" s="19"/>
      <c r="I33" s="19"/>
      <c r="J33" s="19"/>
      <c r="K33" s="19"/>
      <c r="L33" s="6">
        <f>'Nacalculaties en correcties'!K60</f>
        <v>-86350.7504476717</v>
      </c>
      <c r="M33" s="19"/>
      <c r="N33" s="19"/>
      <c r="O33" s="19"/>
    </row>
    <row r="34" spans="2:17">
      <c r="B34" s="138" t="s">
        <v>172</v>
      </c>
      <c r="C34" s="122"/>
      <c r="D34" s="78" t="s">
        <v>209</v>
      </c>
      <c r="G34" s="19"/>
      <c r="H34" s="19"/>
      <c r="I34" s="19"/>
      <c r="J34" s="19"/>
      <c r="K34" s="19"/>
      <c r="L34" s="6">
        <f>'Nacalculaties en correcties'!K61</f>
        <v>-169655.74159529954</v>
      </c>
      <c r="M34" s="19"/>
      <c r="N34" s="19"/>
      <c r="O34" s="19"/>
    </row>
    <row r="35" spans="2:17">
      <c r="B35" s="138" t="s">
        <v>173</v>
      </c>
      <c r="C35" s="122"/>
      <c r="D35" s="78" t="s">
        <v>209</v>
      </c>
      <c r="G35" s="19"/>
      <c r="H35" s="19"/>
      <c r="I35" s="19"/>
      <c r="J35" s="19"/>
      <c r="K35" s="19"/>
      <c r="L35" s="6">
        <f>'Nacalculaties en correcties'!K62</f>
        <v>-252254.53255626024</v>
      </c>
      <c r="M35" s="19"/>
      <c r="N35" s="19"/>
      <c r="O35" s="19"/>
    </row>
    <row r="36" spans="2:17">
      <c r="B36" s="121" t="s">
        <v>97</v>
      </c>
      <c r="C36" s="122"/>
      <c r="D36" s="78" t="s">
        <v>209</v>
      </c>
      <c r="G36" s="19"/>
      <c r="H36" s="19"/>
      <c r="I36" s="19"/>
      <c r="J36" s="6">
        <f>'Nacalculaties en correcties'!I63</f>
        <v>3827249.7209110786</v>
      </c>
      <c r="K36" s="19"/>
      <c r="L36" s="19"/>
      <c r="M36" s="19"/>
      <c r="N36" s="19"/>
      <c r="O36" s="19"/>
    </row>
    <row r="37" spans="2:17">
      <c r="B37" s="121" t="s">
        <v>98</v>
      </c>
      <c r="C37" s="122"/>
      <c r="D37" s="78" t="s">
        <v>209</v>
      </c>
      <c r="G37" s="19"/>
      <c r="H37" s="19"/>
      <c r="I37" s="19"/>
      <c r="J37" s="6">
        <f>'Nacalculaties en correcties'!I64</f>
        <v>5388759.8283086894</v>
      </c>
      <c r="K37" s="19"/>
      <c r="L37" s="19"/>
      <c r="M37" s="19"/>
      <c r="N37" s="19"/>
      <c r="O37" s="19"/>
    </row>
    <row r="39" spans="2:17">
      <c r="B39" s="153" t="s">
        <v>212</v>
      </c>
      <c r="D39" s="78" t="s">
        <v>209</v>
      </c>
      <c r="G39" s="60">
        <f t="shared" ref="G39:O39" si="2">SUM(G16:G37)</f>
        <v>-2276971.2352615618</v>
      </c>
      <c r="H39" s="60">
        <f t="shared" si="2"/>
        <v>-1653657.6273159676</v>
      </c>
      <c r="I39" s="60">
        <f t="shared" si="2"/>
        <v>-3653843.5158519647</v>
      </c>
      <c r="J39" s="60">
        <f t="shared" si="2"/>
        <v>-8593756.8347135708</v>
      </c>
      <c r="K39" s="60">
        <f t="shared" si="2"/>
        <v>-4775272.579046037</v>
      </c>
      <c r="L39" s="60">
        <f t="shared" si="2"/>
        <v>498493.19417956029</v>
      </c>
      <c r="M39" s="60">
        <f t="shared" si="2"/>
        <v>652499.87425505056</v>
      </c>
      <c r="N39" s="60">
        <f t="shared" si="2"/>
        <v>-1573483.8346399723</v>
      </c>
      <c r="O39" s="60">
        <f t="shared" si="2"/>
        <v>-880901.32251617755</v>
      </c>
    </row>
    <row r="41" spans="2:17" s="51" customFormat="1">
      <c r="B41" s="50" t="s">
        <v>210</v>
      </c>
      <c r="C41" s="50"/>
      <c r="D41" s="50"/>
    </row>
    <row r="43" spans="2:17">
      <c r="B43" s="78" t="s">
        <v>211</v>
      </c>
      <c r="D43" s="78" t="s">
        <v>209</v>
      </c>
      <c r="G43" s="61">
        <f t="shared" ref="G43:O43" si="3">G11+G39</f>
        <v>17439959.41258733</v>
      </c>
      <c r="H43" s="61">
        <f t="shared" si="3"/>
        <v>26050662.854052756</v>
      </c>
      <c r="I43" s="61">
        <f t="shared" si="3"/>
        <v>52669846.040751301</v>
      </c>
      <c r="J43" s="61">
        <f t="shared" si="3"/>
        <v>281396101.97617769</v>
      </c>
      <c r="K43" s="61">
        <f t="shared" si="3"/>
        <v>309284311.20078176</v>
      </c>
      <c r="L43" s="61">
        <f t="shared" si="3"/>
        <v>17037527.405638766</v>
      </c>
      <c r="M43" s="61">
        <f t="shared" si="3"/>
        <v>271792190.62994289</v>
      </c>
      <c r="N43" s="61">
        <f t="shared" si="3"/>
        <v>15450566.226205302</v>
      </c>
      <c r="O43" s="61">
        <f t="shared" si="3"/>
        <v>4478544.7351453984</v>
      </c>
    </row>
    <row r="45" spans="2:17" s="51" customFormat="1">
      <c r="B45" s="50" t="s">
        <v>197</v>
      </c>
      <c r="C45" s="50"/>
      <c r="D45" s="50"/>
    </row>
    <row r="47" spans="2:17">
      <c r="B47" s="49" t="s">
        <v>204</v>
      </c>
      <c r="D47" s="137" t="s">
        <v>43</v>
      </c>
      <c r="F47" s="142"/>
      <c r="G47" s="103">
        <v>3467749.7420662218</v>
      </c>
      <c r="H47" s="103">
        <v>4321939.906687024</v>
      </c>
      <c r="I47" s="103">
        <v>11435680.528196925</v>
      </c>
      <c r="J47" s="103">
        <v>37354460.553247526</v>
      </c>
      <c r="K47" s="103">
        <v>68946424.101342753</v>
      </c>
      <c r="L47" s="103">
        <v>2705519.6435421472</v>
      </c>
      <c r="M47" s="103">
        <v>59830747.821621023</v>
      </c>
      <c r="N47" s="103">
        <v>1037832.3857857352</v>
      </c>
      <c r="O47" s="103">
        <v>0</v>
      </c>
      <c r="Q47" s="127" t="s">
        <v>407</v>
      </c>
    </row>
    <row r="48" spans="2:17">
      <c r="B48" s="49" t="s">
        <v>205</v>
      </c>
      <c r="D48" s="137" t="s">
        <v>43</v>
      </c>
      <c r="F48" s="142"/>
      <c r="G48" s="103">
        <v>16020081.886041785</v>
      </c>
      <c r="H48" s="103">
        <v>20284234.017797168</v>
      </c>
      <c r="I48" s="103">
        <v>38655269.268704616</v>
      </c>
      <c r="J48" s="103">
        <v>195991800.37288415</v>
      </c>
      <c r="K48" s="103">
        <v>238311165.47373649</v>
      </c>
      <c r="L48" s="103">
        <v>18226325.950834468</v>
      </c>
      <c r="M48" s="103">
        <v>207182164.85223594</v>
      </c>
      <c r="N48" s="103">
        <v>17557229.20113362</v>
      </c>
      <c r="O48" s="103">
        <v>4397978.7414194029</v>
      </c>
      <c r="Q48" s="127" t="s">
        <v>407</v>
      </c>
    </row>
    <row r="49" spans="2:15" s="137" customFormat="1">
      <c r="G49" s="143"/>
      <c r="H49" s="143"/>
      <c r="I49" s="143"/>
      <c r="J49" s="143"/>
      <c r="K49" s="143"/>
      <c r="L49" s="143"/>
      <c r="M49" s="143"/>
      <c r="N49" s="143"/>
      <c r="O49" s="143"/>
    </row>
    <row r="50" spans="2:15" s="137" customFormat="1">
      <c r="B50" s="137" t="s">
        <v>198</v>
      </c>
      <c r="D50" s="137" t="s">
        <v>51</v>
      </c>
      <c r="G50" s="152">
        <f t="shared" ref="G50:N50" si="4">G47/(G48+G47)</f>
        <v>0.17794436078073256</v>
      </c>
      <c r="H50" s="141">
        <f t="shared" si="4"/>
        <v>0.17564453213859915</v>
      </c>
      <c r="I50" s="141">
        <f t="shared" si="4"/>
        <v>0.22829833681660991</v>
      </c>
      <c r="J50" s="141">
        <f t="shared" si="4"/>
        <v>0.16008167606796361</v>
      </c>
      <c r="K50" s="141">
        <f t="shared" si="4"/>
        <v>0.22439290823276961</v>
      </c>
      <c r="L50" s="141">
        <f t="shared" si="4"/>
        <v>0.12925375506634687</v>
      </c>
      <c r="M50" s="141">
        <f t="shared" si="4"/>
        <v>0.22407436113286894</v>
      </c>
      <c r="N50" s="141">
        <f t="shared" si="4"/>
        <v>5.5812258589979367E-2</v>
      </c>
      <c r="O50" s="141"/>
    </row>
    <row r="51" spans="2:15" s="137" customFormat="1">
      <c r="B51" s="137" t="s">
        <v>199</v>
      </c>
      <c r="D51" s="137" t="s">
        <v>51</v>
      </c>
      <c r="G51" s="152">
        <f t="shared" ref="G51:O51" si="5">G48/(G47+G48)</f>
        <v>0.8220556392192675</v>
      </c>
      <c r="H51" s="141">
        <f t="shared" si="5"/>
        <v>0.82435546786140079</v>
      </c>
      <c r="I51" s="141">
        <f t="shared" si="5"/>
        <v>0.77170166318339017</v>
      </c>
      <c r="J51" s="141">
        <f t="shared" si="5"/>
        <v>0.83991832393203647</v>
      </c>
      <c r="K51" s="141">
        <f t="shared" si="5"/>
        <v>0.77560709176723031</v>
      </c>
      <c r="L51" s="141">
        <f t="shared" si="5"/>
        <v>0.87074624493365305</v>
      </c>
      <c r="M51" s="141">
        <f t="shared" si="5"/>
        <v>0.77592563886713106</v>
      </c>
      <c r="N51" s="141">
        <f t="shared" si="5"/>
        <v>0.9441877414100206</v>
      </c>
      <c r="O51" s="141">
        <f t="shared" si="5"/>
        <v>1</v>
      </c>
    </row>
    <row r="52" spans="2:15" s="137" customFormat="1">
      <c r="G52" s="144"/>
      <c r="H52" s="140"/>
      <c r="I52" s="140"/>
    </row>
    <row r="53" spans="2:15" s="137" customFormat="1">
      <c r="B53" s="137" t="s">
        <v>200</v>
      </c>
      <c r="D53" s="137" t="s">
        <v>209</v>
      </c>
      <c r="G53" s="61">
        <f>G43*G50</f>
        <v>3103342.4297147724</v>
      </c>
      <c r="H53" s="61">
        <f t="shared" ref="H53:O53" si="6">H43*H50</f>
        <v>4575656.4889004808</v>
      </c>
      <c r="I53" s="61">
        <f t="shared" si="6"/>
        <v>12024438.251490429</v>
      </c>
      <c r="J53" s="61">
        <f t="shared" si="6"/>
        <v>45046359.643338136</v>
      </c>
      <c r="K53" s="61">
        <f t="shared" si="6"/>
        <v>69401206.061112374</v>
      </c>
      <c r="L53" s="61">
        <f t="shared" si="6"/>
        <v>2202164.3942246051</v>
      </c>
      <c r="M53" s="61">
        <f>M43*M50</f>
        <v>60901661.476307385</v>
      </c>
      <c r="N53" s="61">
        <f t="shared" si="6"/>
        <v>862330.99757857202</v>
      </c>
      <c r="O53" s="61">
        <f t="shared" si="6"/>
        <v>0</v>
      </c>
    </row>
    <row r="54" spans="2:15" s="137" customFormat="1">
      <c r="B54" s="137" t="s">
        <v>201</v>
      </c>
      <c r="D54" s="137" t="s">
        <v>209</v>
      </c>
      <c r="G54" s="61">
        <f>G43*G51</f>
        <v>14336616.982872559</v>
      </c>
      <c r="H54" s="61">
        <f t="shared" ref="H54:O54" si="7">H43*H51</f>
        <v>21475006.365152273</v>
      </c>
      <c r="I54" s="61">
        <f t="shared" si="7"/>
        <v>40645407.789260879</v>
      </c>
      <c r="J54" s="61">
        <f t="shared" si="7"/>
        <v>236349742.33283958</v>
      </c>
      <c r="K54" s="61">
        <f t="shared" si="7"/>
        <v>239883105.13966936</v>
      </c>
      <c r="L54" s="61">
        <f t="shared" si="7"/>
        <v>14835363.011414159</v>
      </c>
      <c r="M54" s="61">
        <f>M43*M51</f>
        <v>210890529.1536355</v>
      </c>
      <c r="N54" s="61">
        <f t="shared" si="7"/>
        <v>14588235.22862673</v>
      </c>
      <c r="O54" s="61">
        <f t="shared" si="7"/>
        <v>4478544.7351453984</v>
      </c>
    </row>
    <row r="55" spans="2:15" s="140" customFormat="1"/>
    <row r="56" spans="2:15" s="54" customFormat="1">
      <c r="D56" s="151"/>
      <c r="G56" s="419"/>
      <c r="H56" s="419"/>
      <c r="I56" s="419"/>
      <c r="J56" s="419"/>
      <c r="K56" s="419"/>
      <c r="L56" s="419"/>
      <c r="M56" s="419"/>
      <c r="N56" s="419"/>
      <c r="O56" s="419"/>
    </row>
    <row r="57" spans="2:15" s="54" customFormat="1">
      <c r="D57" s="151"/>
      <c r="G57" s="62"/>
      <c r="H57" s="62"/>
      <c r="I57" s="62"/>
      <c r="J57" s="62"/>
      <c r="K57" s="62"/>
      <c r="L57" s="62"/>
      <c r="M57" s="62"/>
      <c r="N57" s="62"/>
      <c r="O57" s="62"/>
    </row>
    <row r="59" spans="2:15">
      <c r="E59" s="54"/>
      <c r="F59" s="54"/>
      <c r="G59" s="19"/>
      <c r="H59" s="19"/>
      <c r="I59" s="19"/>
      <c r="J59" s="19"/>
      <c r="K59" s="19"/>
      <c r="L59" s="19"/>
      <c r="M59" s="19"/>
      <c r="N59" s="19"/>
      <c r="O59" s="19"/>
    </row>
    <row r="60" spans="2:15">
      <c r="E60" s="54"/>
      <c r="F60" s="54"/>
      <c r="G60" s="54"/>
      <c r="H60" s="54"/>
      <c r="I60" s="54"/>
      <c r="J60" s="54"/>
      <c r="K60" s="54"/>
      <c r="L60" s="54"/>
      <c r="M60" s="54"/>
      <c r="N60" s="54"/>
      <c r="O60" s="54"/>
    </row>
    <row r="61" spans="2:15">
      <c r="G61" s="58"/>
      <c r="H61" s="54"/>
      <c r="I61" s="54"/>
      <c r="J61" s="54"/>
      <c r="K61" s="54"/>
      <c r="L61" s="54"/>
      <c r="M61" s="54"/>
      <c r="N61" s="54"/>
      <c r="O61" s="54"/>
    </row>
    <row r="62" spans="2:15">
      <c r="G62" s="149"/>
      <c r="H62" s="54"/>
      <c r="I62" s="54"/>
      <c r="J62" s="54"/>
      <c r="K62" s="54"/>
      <c r="L62" s="54"/>
      <c r="M62" s="54"/>
      <c r="N62" s="54"/>
      <c r="O62" s="54"/>
    </row>
    <row r="63" spans="2:15">
      <c r="G63" s="149"/>
      <c r="H63" s="54"/>
      <c r="I63" s="54"/>
      <c r="J63" s="54"/>
      <c r="K63" s="54"/>
      <c r="L63" s="54"/>
      <c r="M63" s="54"/>
      <c r="N63" s="54"/>
      <c r="O63" s="54"/>
    </row>
    <row r="64" spans="2:15">
      <c r="G64" s="54"/>
      <c r="H64" s="54"/>
      <c r="I64" s="54"/>
      <c r="J64" s="54"/>
      <c r="K64" s="54"/>
      <c r="L64" s="54"/>
      <c r="M64" s="54"/>
      <c r="N64" s="54"/>
      <c r="O64" s="54"/>
    </row>
    <row r="67" spans="7:17">
      <c r="G67" s="148"/>
      <c r="H67" s="148"/>
      <c r="I67" s="148"/>
      <c r="J67" s="148"/>
      <c r="K67" s="148"/>
      <c r="L67" s="148"/>
      <c r="M67" s="148"/>
      <c r="N67" s="148"/>
      <c r="O67" s="148"/>
      <c r="P67" s="148"/>
      <c r="Q67" s="148"/>
    </row>
    <row r="68" spans="7:17">
      <c r="G68" s="148"/>
      <c r="H68" s="148"/>
      <c r="I68" s="148"/>
      <c r="J68" s="148"/>
      <c r="K68" s="148"/>
      <c r="L68" s="148"/>
      <c r="M68" s="148"/>
      <c r="N68" s="148"/>
      <c r="O68" s="148"/>
      <c r="P68" s="148"/>
      <c r="Q68" s="148"/>
    </row>
  </sheetData>
  <phoneticPr fontId="2" type="noConversion"/>
  <pageMargins left="0.75" right="0.75" top="1" bottom="1" header="0.5" footer="0.5"/>
  <pageSetup paperSize="9" scale="45" orientation="landscape"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3" enableFormatConditionsCalculation="0">
    <tabColor theme="8" tint="0.39997558519241921"/>
    <pageSetUpPr fitToPage="1"/>
  </sheetPr>
  <dimension ref="B2:Q76"/>
  <sheetViews>
    <sheetView showGridLines="0" zoomScale="80" zoomScaleNormal="80" workbookViewId="0">
      <pane xSplit="4" ySplit="3" topLeftCell="E10" activePane="bottomRight" state="frozen"/>
      <selection activeCell="E41" sqref="E41"/>
      <selection pane="topRight" activeCell="E41" sqref="E41"/>
      <selection pane="bottomLeft" activeCell="E41" sqref="E41"/>
      <selection pane="bottomRight" activeCell="C48" sqref="C48"/>
    </sheetView>
  </sheetViews>
  <sheetFormatPr defaultRowHeight="12.75"/>
  <cols>
    <col min="1" max="1" width="3.5703125" style="28" customWidth="1"/>
    <col min="2" max="2" width="64.42578125" style="28" customWidth="1"/>
    <col min="3" max="3" width="8.5703125" style="28" customWidth="1"/>
    <col min="4" max="4" width="12" style="28" customWidth="1"/>
    <col min="5" max="5" width="11.85546875" style="28" customWidth="1"/>
    <col min="6" max="7" width="13.5703125" style="28" customWidth="1"/>
    <col min="8" max="8" width="14.85546875" style="28" customWidth="1"/>
    <col min="9" max="9" width="13.5703125" style="28" customWidth="1"/>
    <col min="10" max="11" width="14.85546875" style="28" customWidth="1"/>
    <col min="12" max="14" width="13.5703125" style="28" customWidth="1"/>
    <col min="15" max="15" width="5.28515625" style="28" customWidth="1"/>
    <col min="16" max="16" width="13.5703125" style="28" customWidth="1"/>
    <col min="17" max="16384" width="9.140625" style="28"/>
  </cols>
  <sheetData>
    <row r="2" spans="2:16" s="24" customFormat="1" ht="18">
      <c r="B2" s="312" t="s">
        <v>14</v>
      </c>
      <c r="C2" s="23"/>
      <c r="E2" s="25"/>
      <c r="F2" s="296" t="s">
        <v>34</v>
      </c>
      <c r="G2" s="296" t="s">
        <v>7</v>
      </c>
      <c r="H2" s="296" t="s">
        <v>37</v>
      </c>
      <c r="I2" s="296" t="s">
        <v>40</v>
      </c>
      <c r="J2" s="296" t="s">
        <v>38</v>
      </c>
      <c r="K2" s="296" t="s">
        <v>8</v>
      </c>
      <c r="L2" s="296" t="s">
        <v>35</v>
      </c>
      <c r="M2" s="296" t="s">
        <v>39</v>
      </c>
      <c r="N2" s="296" t="s">
        <v>41</v>
      </c>
      <c r="O2" s="25"/>
      <c r="P2" s="25"/>
    </row>
    <row r="6" spans="2:16" s="27" customFormat="1">
      <c r="B6" s="26" t="s">
        <v>15</v>
      </c>
      <c r="C6" s="26"/>
    </row>
    <row r="8" spans="2:16" customFormat="1">
      <c r="B8" s="138" t="s">
        <v>94</v>
      </c>
      <c r="C8" s="115"/>
      <c r="D8" s="127" t="s">
        <v>43</v>
      </c>
      <c r="F8" s="6">
        <f>'Overname private netten'!G35</f>
        <v>0</v>
      </c>
      <c r="G8" s="6">
        <f>'Overname private netten'!H35</f>
        <v>0</v>
      </c>
      <c r="H8" s="6">
        <f>'Overname private netten'!I35</f>
        <v>0</v>
      </c>
      <c r="I8" s="6">
        <f>'Overname private netten'!J35</f>
        <v>0</v>
      </c>
      <c r="J8" s="6">
        <f>'Overname private netten'!K35</f>
        <v>0</v>
      </c>
      <c r="K8" s="6">
        <f>'Overname private netten'!L35</f>
        <v>0</v>
      </c>
      <c r="L8" s="6">
        <f>'Overname private netten'!M35</f>
        <v>0</v>
      </c>
      <c r="M8" s="6">
        <f>'Overname private netten'!N35</f>
        <v>0</v>
      </c>
      <c r="N8" s="6">
        <f>'Overname private netten'!O35</f>
        <v>0</v>
      </c>
    </row>
    <row r="9" spans="2:16" customFormat="1">
      <c r="B9" s="138" t="s">
        <v>214</v>
      </c>
      <c r="C9" s="115"/>
      <c r="D9" s="127" t="s">
        <v>55</v>
      </c>
      <c r="F9" s="6">
        <f>'Overname private netten'!G62</f>
        <v>0</v>
      </c>
      <c r="G9" s="6">
        <f>'Overname private netten'!H62</f>
        <v>0</v>
      </c>
      <c r="H9" s="6">
        <f>'Overname private netten'!I62</f>
        <v>0</v>
      </c>
      <c r="I9" s="6">
        <f>'Overname private netten'!J62</f>
        <v>0</v>
      </c>
      <c r="J9" s="6">
        <f>'Overname private netten'!K62</f>
        <v>0</v>
      </c>
      <c r="K9" s="6">
        <f>'Overname private netten'!L62</f>
        <v>0</v>
      </c>
      <c r="L9" s="6">
        <f>'Overname private netten'!M62</f>
        <v>0</v>
      </c>
      <c r="M9" s="6">
        <f>'Overname private netten'!N62</f>
        <v>0</v>
      </c>
      <c r="N9" s="6">
        <f>'Overname private netten'!O62</f>
        <v>0</v>
      </c>
    </row>
    <row r="10" spans="2:16" customFormat="1">
      <c r="B10" s="138" t="s">
        <v>215</v>
      </c>
      <c r="C10" s="115"/>
      <c r="D10" s="127" t="s">
        <v>55</v>
      </c>
      <c r="F10" s="6">
        <f>'Overname private netten'!G84</f>
        <v>0</v>
      </c>
      <c r="G10" s="6">
        <f>'Overname private netten'!H84</f>
        <v>0</v>
      </c>
      <c r="H10" s="6">
        <f>'Overname private netten'!I84</f>
        <v>0</v>
      </c>
      <c r="I10" s="6">
        <f>'Overname private netten'!J84</f>
        <v>0</v>
      </c>
      <c r="J10" s="6">
        <f>'Overname private netten'!K84</f>
        <v>0</v>
      </c>
      <c r="K10" s="6">
        <f>'Overname private netten'!L84</f>
        <v>0</v>
      </c>
      <c r="L10" s="6">
        <f>'Overname private netten'!M84</f>
        <v>0</v>
      </c>
      <c r="M10" s="6">
        <f>'Overname private netten'!N84</f>
        <v>0</v>
      </c>
      <c r="N10" s="6">
        <f>'Overname private netten'!O84</f>
        <v>0</v>
      </c>
    </row>
    <row r="11" spans="2:16">
      <c r="B11" s="137" t="s">
        <v>408</v>
      </c>
      <c r="C11" s="30"/>
      <c r="D11" s="89" t="s">
        <v>55</v>
      </c>
      <c r="F11" s="120">
        <f>corrIMM!F29</f>
        <v>-95312.840111419559</v>
      </c>
      <c r="G11" s="120">
        <f>corrIMM!G29</f>
        <v>-124218.75907931849</v>
      </c>
      <c r="H11" s="120">
        <f>corrIMM!H29</f>
        <v>-270371.49173153937</v>
      </c>
      <c r="I11" s="120">
        <f>corrIMM!I29</f>
        <v>-1352917.8168934584</v>
      </c>
      <c r="J11" s="120">
        <f>corrIMM!J29</f>
        <v>-1503801.0380548239</v>
      </c>
      <c r="K11" s="120">
        <f>corrIMM!K29</f>
        <v>-65529.988532882184</v>
      </c>
      <c r="L11" s="120">
        <f>corrIMM!L29</f>
        <v>-1187079.9025073647</v>
      </c>
      <c r="M11" s="120">
        <f>corrIMM!M29</f>
        <v>-37055.591751217842</v>
      </c>
      <c r="N11" s="120">
        <f>corrIMM!N29</f>
        <v>0</v>
      </c>
    </row>
    <row r="12" spans="2:16">
      <c r="B12" s="140" t="s">
        <v>286</v>
      </c>
      <c r="C12" s="30"/>
      <c r="D12" s="127" t="s">
        <v>209</v>
      </c>
      <c r="F12" s="120">
        <f>corrNVG!G28</f>
        <v>-341299.19405953959</v>
      </c>
      <c r="G12" s="120">
        <f>corrNVG!H28</f>
        <v>-659937.68817594647</v>
      </c>
      <c r="H12" s="120">
        <f>corrNVG!I28</f>
        <v>-1108040.5383441374</v>
      </c>
      <c r="I12" s="120">
        <f>corrNVG!J28</f>
        <v>-5641546.9941861629</v>
      </c>
      <c r="J12" s="120">
        <f>corrNVG!K28</f>
        <v>-5552888.1761674881</v>
      </c>
      <c r="K12" s="120">
        <f>corrNVG!L28</f>
        <v>-263783.32752877846</v>
      </c>
      <c r="L12" s="120">
        <f>corrNVG!M28</f>
        <v>-4920636.2893792987</v>
      </c>
      <c r="M12" s="120">
        <f>corrNVG!N28</f>
        <v>-904233.40242341906</v>
      </c>
      <c r="N12" s="120">
        <f>corrNVG!O28</f>
        <v>-838585.67197586037</v>
      </c>
      <c r="P12" s="373"/>
    </row>
    <row r="13" spans="2:16">
      <c r="B13" s="138" t="s">
        <v>325</v>
      </c>
      <c r="C13" s="115"/>
      <c r="D13" s="127" t="s">
        <v>43</v>
      </c>
      <c r="F13" s="6">
        <f>'LH 2013'!F96</f>
        <v>-839145.96641571075</v>
      </c>
      <c r="G13" s="6">
        <f>'LH 2013'!G96</f>
        <v>176444.13109276444</v>
      </c>
      <c r="H13" s="6">
        <f>'LH 2013'!H96</f>
        <v>0</v>
      </c>
      <c r="I13" s="6">
        <f>'LH 2013'!I96</f>
        <v>-223853.22287988663</v>
      </c>
      <c r="J13" s="6">
        <f>'LH 2013'!J96</f>
        <v>9894350.9664340019</v>
      </c>
      <c r="K13" s="6">
        <f>'LH 2013'!K96</f>
        <v>-486731.08476543054</v>
      </c>
      <c r="L13" s="6">
        <f>'LH 2013'!L96</f>
        <v>-865425.30619490147</v>
      </c>
      <c r="M13" s="6">
        <f>'LH 2013'!M96</f>
        <v>0</v>
      </c>
      <c r="N13" s="6">
        <f>'LH 2013'!N96</f>
        <v>0</v>
      </c>
    </row>
    <row r="14" spans="2:16">
      <c r="B14" s="138" t="s">
        <v>213</v>
      </c>
      <c r="C14" s="115"/>
      <c r="D14" s="89" t="s">
        <v>55</v>
      </c>
      <c r="F14" s="6">
        <f>Volumeverschuivingen!H117</f>
        <v>8610.82</v>
      </c>
      <c r="G14" s="6">
        <f>Volumeverschuivingen!I117</f>
        <v>26331.129999999997</v>
      </c>
      <c r="H14" s="6">
        <f>Volumeverschuivingen!J117</f>
        <v>291540.31900000002</v>
      </c>
      <c r="I14" s="6">
        <f>Volumeverschuivingen!K117</f>
        <v>351010.4095666667</v>
      </c>
      <c r="J14" s="6">
        <f>Volumeverschuivingen!L117</f>
        <v>1403670.3530000001</v>
      </c>
      <c r="K14" s="6">
        <f>Volumeverschuivingen!M117</f>
        <v>35482.545000000006</v>
      </c>
      <c r="L14" s="6">
        <f>Volumeverschuivingen!N117</f>
        <v>821880.12683333352</v>
      </c>
      <c r="M14" s="6">
        <f>Volumeverschuivingen!O117</f>
        <v>3920.8543333333328</v>
      </c>
      <c r="N14" s="6">
        <f>Volumeverschuivingen!P117</f>
        <v>0</v>
      </c>
    </row>
    <row r="15" spans="2:16">
      <c r="B15" s="138" t="s">
        <v>275</v>
      </c>
      <c r="C15" s="115"/>
      <c r="D15" s="127" t="s">
        <v>19</v>
      </c>
      <c r="F15" s="6">
        <f>'TI2011-2014'!G31</f>
        <v>-146822.82397358119</v>
      </c>
      <c r="G15" s="6">
        <f>'TI2011-2014'!H31</f>
        <v>-169151.77263861895</v>
      </c>
      <c r="H15" s="6">
        <f>'TI2011-2014'!I31</f>
        <v>-394192.77392020822</v>
      </c>
      <c r="I15" s="6">
        <f>'TI2011-2014'!J31</f>
        <v>-1655584.0949973091</v>
      </c>
      <c r="J15" s="6">
        <f>'TI2011-2014'!L31</f>
        <v>-1500507.7290595174</v>
      </c>
      <c r="K15" s="6">
        <f>'TI2011-2014'!M31</f>
        <v>100808.79753066972</v>
      </c>
      <c r="L15" s="6">
        <f>'TI2011-2014'!N31</f>
        <v>2869139.6940841079</v>
      </c>
      <c r="M15" s="6">
        <f>'TI2011-2014'!O31</f>
        <v>-93301.526865877211</v>
      </c>
      <c r="N15" s="6">
        <f>'TI2011-2014'!P31</f>
        <v>-9673.8060199823231</v>
      </c>
    </row>
    <row r="16" spans="2:16">
      <c r="B16" s="138" t="s">
        <v>276</v>
      </c>
      <c r="C16" s="115"/>
      <c r="D16" s="89" t="s">
        <v>61</v>
      </c>
      <c r="F16" s="6">
        <f>'TI2011-2014'!G32</f>
        <v>-300105.85220200196</v>
      </c>
      <c r="G16" s="6">
        <f>'TI2011-2014'!H32</f>
        <v>-345915.37504598126</v>
      </c>
      <c r="H16" s="6">
        <f>'TI2011-2014'!I32</f>
        <v>-814402.27091915905</v>
      </c>
      <c r="I16" s="6">
        <f>'TI2011-2014'!J32</f>
        <v>-3470977.5087011047</v>
      </c>
      <c r="J16" s="6">
        <f>'TI2011-2014'!L32</f>
        <v>-3136061.153734386</v>
      </c>
      <c r="K16" s="6">
        <f>'TI2011-2014'!M32</f>
        <v>208976.63728107885</v>
      </c>
      <c r="L16" s="6">
        <f>'TI2011-2014'!N32</f>
        <v>1925841.2470272779</v>
      </c>
      <c r="M16" s="6">
        <f>'TI2011-2014'!O32</f>
        <v>-200131.77512730658</v>
      </c>
      <c r="N16" s="6">
        <f>'TI2011-2014'!P32</f>
        <v>-15748.956200531684</v>
      </c>
    </row>
    <row r="17" spans="2:17">
      <c r="B17" s="138" t="s">
        <v>277</v>
      </c>
      <c r="C17" s="115"/>
      <c r="D17" s="89" t="s">
        <v>43</v>
      </c>
      <c r="F17" s="6">
        <f>'TI2011-2014'!G33</f>
        <v>-460809.89324534312</v>
      </c>
      <c r="G17" s="6">
        <f>'TI2011-2014'!H33</f>
        <v>-531408.90043921769</v>
      </c>
      <c r="H17" s="6">
        <f>'TI2011-2014'!I33</f>
        <v>-1263945.2289966047</v>
      </c>
      <c r="I17" s="6">
        <f>'TI2011-2014'!J33</f>
        <v>-5467038.8447551802</v>
      </c>
      <c r="J17" s="6">
        <f>'TI2011-2014'!L33</f>
        <v>-4923579.9991774559</v>
      </c>
      <c r="K17" s="6">
        <f>'TI2011-2014'!M33</f>
        <v>325426.72621901333</v>
      </c>
      <c r="L17" s="6">
        <f>'TI2011-2014'!N33</f>
        <v>870915.56056141853</v>
      </c>
      <c r="M17" s="6">
        <f>'TI2011-2014'!O33</f>
        <v>-322460.34001642466</v>
      </c>
      <c r="N17" s="6">
        <f>'TI2011-2014'!P33</f>
        <v>-19268.557697169483</v>
      </c>
    </row>
    <row r="18" spans="2:17">
      <c r="B18" s="138" t="s">
        <v>278</v>
      </c>
      <c r="C18" s="115"/>
      <c r="D18" s="89" t="s">
        <v>55</v>
      </c>
      <c r="F18" s="6">
        <f>'TI2011-2014'!G49</f>
        <v>42095.986678786576</v>
      </c>
      <c r="G18" s="6">
        <f>'TI2011-2014'!H49</f>
        <v>55086.005290087312</v>
      </c>
      <c r="H18" s="6">
        <f>'TI2011-2014'!I49</f>
        <v>118337.54661794752</v>
      </c>
      <c r="I18" s="6">
        <f>'TI2011-2014'!J49</f>
        <v>608636.06542313099</v>
      </c>
      <c r="J18" s="6">
        <f>'TI2011-2014'!K49</f>
        <v>616917.12471735477</v>
      </c>
      <c r="K18" s="6">
        <f>'TI2011-2014'!L49</f>
        <v>29367.17721381411</v>
      </c>
      <c r="L18" s="6">
        <f>'TI2011-2014'!M49</f>
        <v>505974.65808153152</v>
      </c>
      <c r="M18" s="6">
        <f>'TI2011-2014'!N49</f>
        <v>34940.070846512914</v>
      </c>
      <c r="N18" s="6">
        <f>'TI2011-2014'!O49</f>
        <v>6440.014167166315</v>
      </c>
    </row>
    <row r="19" spans="2:17">
      <c r="B19" s="138" t="s">
        <v>331</v>
      </c>
      <c r="C19" s="115"/>
      <c r="D19" s="89" t="s">
        <v>95</v>
      </c>
      <c r="K19" s="294">
        <f>'BOB Rendo_2013 - deel 1'!L67</f>
        <v>213987.03169921413</v>
      </c>
    </row>
    <row r="20" spans="2:17">
      <c r="B20" s="138" t="s">
        <v>330</v>
      </c>
      <c r="C20" s="115"/>
      <c r="D20" s="89" t="s">
        <v>96</v>
      </c>
      <c r="K20" s="294">
        <f>'BOB Rendo_2013 - deel 1'!L72</f>
        <v>439101.38904678635</v>
      </c>
    </row>
    <row r="21" spans="2:17">
      <c r="B21" s="138" t="s">
        <v>191</v>
      </c>
      <c r="C21" s="115"/>
      <c r="D21" s="89" t="s">
        <v>16</v>
      </c>
      <c r="K21" s="294">
        <f>'BOB Rendo_2013 - deel 1'!L77</f>
        <v>667645.5305384323</v>
      </c>
    </row>
    <row r="22" spans="2:17">
      <c r="B22" s="138" t="s">
        <v>192</v>
      </c>
      <c r="C22" s="115"/>
      <c r="D22" s="89" t="s">
        <v>95</v>
      </c>
      <c r="K22" s="294">
        <f>'BOB Rendo_2013 - deel 2'!L34</f>
        <v>37762.417358685285</v>
      </c>
    </row>
    <row r="23" spans="2:17">
      <c r="B23" s="138" t="s">
        <v>193</v>
      </c>
      <c r="C23" s="115"/>
      <c r="D23" s="89" t="s">
        <v>96</v>
      </c>
      <c r="K23" s="294">
        <f>'BOB Rendo_2013 - deel 2'!L35</f>
        <v>153239.66841824353</v>
      </c>
    </row>
    <row r="24" spans="2:17">
      <c r="B24" s="138" t="s">
        <v>194</v>
      </c>
      <c r="C24" s="115"/>
      <c r="D24" s="89" t="s">
        <v>16</v>
      </c>
      <c r="K24" s="295">
        <f>'BOB Rendo_2013 - deel 2'!L36</f>
        <v>344499.28317915089</v>
      </c>
    </row>
    <row r="25" spans="2:17">
      <c r="B25" s="138" t="s">
        <v>171</v>
      </c>
      <c r="C25" s="115"/>
      <c r="D25" s="89" t="s">
        <v>95</v>
      </c>
      <c r="K25" s="294">
        <f>'BOB Rendo_2013 - deel 3'!L85</f>
        <v>-138462.19698184542</v>
      </c>
    </row>
    <row r="26" spans="2:17">
      <c r="B26" s="138" t="s">
        <v>172</v>
      </c>
      <c r="C26" s="115"/>
      <c r="D26" s="89" t="s">
        <v>96</v>
      </c>
      <c r="K26" s="294">
        <f>'BOB Rendo_2013 - deel 3'!L89</f>
        <v>-284955.2013886366</v>
      </c>
    </row>
    <row r="27" spans="2:17">
      <c r="B27" s="138" t="s">
        <v>173</v>
      </c>
      <c r="C27" s="115"/>
      <c r="D27" s="89" t="s">
        <v>16</v>
      </c>
      <c r="K27" s="294">
        <f>'BOB Rendo_2013 - deel 3'!L93</f>
        <v>-434545.60514191166</v>
      </c>
    </row>
    <row r="28" spans="2:17" customFormat="1">
      <c r="B28" s="121" t="s">
        <v>97</v>
      </c>
      <c r="C28" s="122"/>
      <c r="D28" t="s">
        <v>61</v>
      </c>
      <c r="G28" s="90"/>
      <c r="H28" s="90"/>
      <c r="I28" s="294">
        <f>'Lagere tarieven Enexis'!D30</f>
        <v>3470977.5087011047</v>
      </c>
      <c r="J28" s="28"/>
      <c r="K28" s="90"/>
      <c r="L28" s="90"/>
      <c r="M28" s="90"/>
      <c r="N28" s="90"/>
      <c r="P28" s="289"/>
      <c r="Q28" s="28"/>
    </row>
    <row r="29" spans="2:17" customFormat="1">
      <c r="B29" s="121" t="s">
        <v>98</v>
      </c>
      <c r="C29" s="122"/>
      <c r="D29" s="89" t="s">
        <v>43</v>
      </c>
      <c r="G29" s="90"/>
      <c r="H29" s="90"/>
      <c r="I29" s="294">
        <f>'Lagere tarieven Enexis'!D48</f>
        <v>5018445.7680731844</v>
      </c>
      <c r="J29" s="28"/>
      <c r="K29" s="90"/>
      <c r="L29" s="90"/>
      <c r="M29" s="90"/>
      <c r="N29" s="90"/>
      <c r="P29" s="289"/>
    </row>
    <row r="30" spans="2:17">
      <c r="F30" s="19"/>
      <c r="G30" s="19"/>
      <c r="H30" s="19"/>
      <c r="J30" s="19"/>
      <c r="K30" s="19"/>
      <c r="L30" s="19"/>
      <c r="M30" s="19"/>
    </row>
    <row r="31" spans="2:17" s="27" customFormat="1">
      <c r="B31" s="26" t="s">
        <v>6</v>
      </c>
      <c r="F31" s="29"/>
      <c r="G31" s="29"/>
      <c r="H31" s="29"/>
      <c r="J31" s="29"/>
      <c r="K31" s="29"/>
      <c r="L31" s="29"/>
      <c r="M31" s="29"/>
    </row>
    <row r="32" spans="2:17">
      <c r="F32" s="19"/>
      <c r="G32" s="19"/>
      <c r="H32" s="19"/>
      <c r="J32" s="19"/>
      <c r="K32" s="19"/>
      <c r="L32" s="19"/>
      <c r="M32" s="19"/>
    </row>
    <row r="33" spans="2:14" customFormat="1">
      <c r="B33" s="127" t="s">
        <v>234</v>
      </c>
      <c r="F33" s="116">
        <f>Heffingsrente!D11</f>
        <v>0.24728268552597998</v>
      </c>
      <c r="G33" s="90"/>
      <c r="H33" s="90"/>
      <c r="I33" s="90"/>
      <c r="J33" s="90"/>
      <c r="K33" s="90"/>
      <c r="L33" s="90"/>
      <c r="M33" s="90"/>
      <c r="N33" s="90"/>
    </row>
    <row r="34" spans="2:14" customFormat="1">
      <c r="B34" s="127" t="s">
        <v>235</v>
      </c>
      <c r="C34" s="117"/>
      <c r="E34" s="118"/>
      <c r="F34" s="116">
        <f>Heffingsrente!D12</f>
        <v>0.19075378002252563</v>
      </c>
      <c r="G34" s="119"/>
      <c r="H34" s="119"/>
      <c r="I34" s="90"/>
      <c r="J34" s="90"/>
      <c r="K34" s="90"/>
      <c r="L34" s="90"/>
      <c r="M34" s="90"/>
      <c r="N34" s="90"/>
    </row>
    <row r="35" spans="2:14" customFormat="1">
      <c r="B35" s="127" t="s">
        <v>236</v>
      </c>
      <c r="C35" s="117"/>
      <c r="E35" s="84"/>
      <c r="F35" s="116">
        <f>Heffingsrente!D13</f>
        <v>0.16100372237744875</v>
      </c>
      <c r="G35" s="119"/>
      <c r="H35" s="119"/>
      <c r="I35" s="90"/>
      <c r="J35" s="90"/>
      <c r="K35" s="90"/>
      <c r="L35" s="90"/>
      <c r="M35" s="90"/>
      <c r="N35" s="90"/>
    </row>
    <row r="36" spans="2:14" customFormat="1">
      <c r="B36" s="127" t="s">
        <v>237</v>
      </c>
      <c r="C36" s="117"/>
      <c r="E36" s="84"/>
      <c r="F36" s="116">
        <f>Heffingsrente!D14</f>
        <v>0.13268655841702293</v>
      </c>
      <c r="G36" s="118"/>
      <c r="H36" s="119"/>
      <c r="I36" s="90"/>
      <c r="J36" s="90"/>
      <c r="K36" s="90"/>
      <c r="L36" s="90"/>
      <c r="M36" s="90"/>
      <c r="N36" s="90"/>
    </row>
    <row r="37" spans="2:14" customFormat="1">
      <c r="B37" s="127" t="s">
        <v>238</v>
      </c>
      <c r="C37" s="117"/>
      <c r="E37" s="84"/>
      <c r="F37" s="116">
        <f>Heffingsrente!D15</f>
        <v>0.10264319239086528</v>
      </c>
      <c r="G37" s="84"/>
      <c r="H37" s="118"/>
      <c r="I37" s="84"/>
    </row>
    <row r="38" spans="2:14" customFormat="1">
      <c r="B38" s="127" t="s">
        <v>326</v>
      </c>
      <c r="C38" s="117"/>
      <c r="E38" s="84"/>
      <c r="F38" s="116">
        <f>Heffingsrente!D16</f>
        <v>7.3790587235475158E-2</v>
      </c>
      <c r="G38" s="84"/>
      <c r="H38" s="118"/>
      <c r="I38" s="84"/>
    </row>
    <row r="39" spans="2:14" s="126" customFormat="1">
      <c r="B39" s="127" t="s">
        <v>233</v>
      </c>
      <c r="C39" s="117"/>
      <c r="E39" s="84"/>
      <c r="F39" s="116">
        <f>Heffingsrente!D29</f>
        <v>3.9999999999999591E-2</v>
      </c>
      <c r="G39" s="84"/>
      <c r="H39" s="118"/>
      <c r="I39" s="84"/>
    </row>
    <row r="40" spans="2:14">
      <c r="G40" s="31"/>
    </row>
    <row r="41" spans="2:14" s="27" customFormat="1">
      <c r="B41" s="26" t="s">
        <v>18</v>
      </c>
      <c r="C41" s="26"/>
    </row>
    <row r="43" spans="2:14">
      <c r="B43" s="138" t="s">
        <v>94</v>
      </c>
      <c r="C43" s="115"/>
      <c r="D43" s="78" t="s">
        <v>209</v>
      </c>
      <c r="F43" s="123">
        <f t="shared" ref="F43:N43" si="0">(1+$F$38)*F8</f>
        <v>0</v>
      </c>
      <c r="G43" s="123">
        <f t="shared" si="0"/>
        <v>0</v>
      </c>
      <c r="H43" s="123">
        <f t="shared" si="0"/>
        <v>0</v>
      </c>
      <c r="I43" s="123">
        <f t="shared" si="0"/>
        <v>0</v>
      </c>
      <c r="J43" s="123">
        <f t="shared" si="0"/>
        <v>0</v>
      </c>
      <c r="K43" s="123">
        <f t="shared" si="0"/>
        <v>0</v>
      </c>
      <c r="L43" s="123">
        <f t="shared" si="0"/>
        <v>0</v>
      </c>
      <c r="M43" s="123">
        <f t="shared" si="0"/>
        <v>0</v>
      </c>
      <c r="N43" s="123">
        <f t="shared" si="0"/>
        <v>0</v>
      </c>
    </row>
    <row r="44" spans="2:14">
      <c r="B44" s="138" t="s">
        <v>214</v>
      </c>
      <c r="C44" s="115"/>
      <c r="D44" s="78" t="s">
        <v>209</v>
      </c>
      <c r="F44" s="123">
        <f t="shared" ref="F44:N44" si="1">(1+$F$39)*F9</f>
        <v>0</v>
      </c>
      <c r="G44" s="123">
        <f t="shared" si="1"/>
        <v>0</v>
      </c>
      <c r="H44" s="123">
        <f t="shared" si="1"/>
        <v>0</v>
      </c>
      <c r="I44" s="123">
        <f t="shared" si="1"/>
        <v>0</v>
      </c>
      <c r="J44" s="123">
        <f t="shared" si="1"/>
        <v>0</v>
      </c>
      <c r="K44" s="123">
        <f t="shared" si="1"/>
        <v>0</v>
      </c>
      <c r="L44" s="123">
        <f t="shared" si="1"/>
        <v>0</v>
      </c>
      <c r="M44" s="123">
        <f t="shared" si="1"/>
        <v>0</v>
      </c>
      <c r="N44" s="123">
        <f t="shared" si="1"/>
        <v>0</v>
      </c>
    </row>
    <row r="45" spans="2:14">
      <c r="B45" s="138" t="s">
        <v>215</v>
      </c>
      <c r="C45" s="115"/>
      <c r="D45" s="78" t="s">
        <v>209</v>
      </c>
      <c r="F45" s="123">
        <f t="shared" ref="F45:N45" si="2">(1+$F$39)*F10</f>
        <v>0</v>
      </c>
      <c r="G45" s="123">
        <f t="shared" si="2"/>
        <v>0</v>
      </c>
      <c r="H45" s="123">
        <f t="shared" si="2"/>
        <v>0</v>
      </c>
      <c r="I45" s="123">
        <f t="shared" si="2"/>
        <v>0</v>
      </c>
      <c r="J45" s="123">
        <f t="shared" si="2"/>
        <v>0</v>
      </c>
      <c r="K45" s="123">
        <f t="shared" si="2"/>
        <v>0</v>
      </c>
      <c r="L45" s="123">
        <f t="shared" si="2"/>
        <v>0</v>
      </c>
      <c r="M45" s="123">
        <f t="shared" si="2"/>
        <v>0</v>
      </c>
      <c r="N45" s="123">
        <f t="shared" si="2"/>
        <v>0</v>
      </c>
    </row>
    <row r="46" spans="2:14">
      <c r="B46" s="137" t="s">
        <v>408</v>
      </c>
      <c r="C46" s="115"/>
      <c r="D46" s="78" t="s">
        <v>209</v>
      </c>
      <c r="F46" s="123">
        <f>F11</f>
        <v>-95312.840111419559</v>
      </c>
      <c r="G46" s="123">
        <f t="shared" ref="G46:N46" si="3">G11</f>
        <v>-124218.75907931849</v>
      </c>
      <c r="H46" s="123">
        <f t="shared" si="3"/>
        <v>-270371.49173153937</v>
      </c>
      <c r="I46" s="123">
        <f t="shared" si="3"/>
        <v>-1352917.8168934584</v>
      </c>
      <c r="J46" s="123">
        <f t="shared" si="3"/>
        <v>-1503801.0380548239</v>
      </c>
      <c r="K46" s="123">
        <f t="shared" si="3"/>
        <v>-65529.988532882184</v>
      </c>
      <c r="L46" s="123">
        <f t="shared" si="3"/>
        <v>-1187079.9025073647</v>
      </c>
      <c r="M46" s="123">
        <f t="shared" si="3"/>
        <v>-37055.591751217842</v>
      </c>
      <c r="N46" s="123">
        <f t="shared" si="3"/>
        <v>0</v>
      </c>
    </row>
    <row r="47" spans="2:14">
      <c r="B47" s="137" t="s">
        <v>286</v>
      </c>
      <c r="C47" s="30"/>
      <c r="D47" s="127" t="s">
        <v>209</v>
      </c>
      <c r="F47" s="123">
        <f t="shared" ref="F47:N47" si="4">F12</f>
        <v>-341299.19405953959</v>
      </c>
      <c r="G47" s="123">
        <f t="shared" si="4"/>
        <v>-659937.68817594647</v>
      </c>
      <c r="H47" s="123">
        <f t="shared" si="4"/>
        <v>-1108040.5383441374</v>
      </c>
      <c r="I47" s="123">
        <f t="shared" si="4"/>
        <v>-5641546.9941861629</v>
      </c>
      <c r="J47" s="123">
        <f t="shared" si="4"/>
        <v>-5552888.1761674881</v>
      </c>
      <c r="K47" s="123">
        <f t="shared" si="4"/>
        <v>-263783.32752877846</v>
      </c>
      <c r="L47" s="123">
        <f t="shared" si="4"/>
        <v>-4920636.2893792987</v>
      </c>
      <c r="M47" s="123">
        <f t="shared" si="4"/>
        <v>-904233.40242341906</v>
      </c>
      <c r="N47" s="123">
        <f t="shared" si="4"/>
        <v>-838585.67197586037</v>
      </c>
    </row>
    <row r="48" spans="2:14">
      <c r="B48" s="138" t="s">
        <v>325</v>
      </c>
      <c r="D48" s="78" t="s">
        <v>209</v>
      </c>
      <c r="F48" s="123">
        <f>F13*(1+$F$38)</f>
        <v>-901067.04005380638</v>
      </c>
      <c r="G48" s="123">
        <f t="shared" ref="G48:N48" si="5">G13*(1+$F$38)</f>
        <v>189464.04714035269</v>
      </c>
      <c r="H48" s="123">
        <f t="shared" si="5"/>
        <v>0</v>
      </c>
      <c r="I48" s="123">
        <f t="shared" si="5"/>
        <v>-240371.48365074716</v>
      </c>
      <c r="J48" s="123">
        <f t="shared" si="5"/>
        <v>10624460.934561059</v>
      </c>
      <c r="K48" s="123">
        <f t="shared" si="5"/>
        <v>-522647.25733603147</v>
      </c>
      <c r="L48" s="123">
        <f t="shared" si="5"/>
        <v>-929285.54774746415</v>
      </c>
      <c r="M48" s="123">
        <f t="shared" si="5"/>
        <v>0</v>
      </c>
      <c r="N48" s="123">
        <f t="shared" si="5"/>
        <v>0</v>
      </c>
    </row>
    <row r="49" spans="2:16">
      <c r="B49" s="138" t="s">
        <v>213</v>
      </c>
      <c r="C49" s="30"/>
      <c r="D49" s="78" t="s">
        <v>209</v>
      </c>
      <c r="F49" s="123">
        <f>F14*(1+$F$39)</f>
        <v>8955.2527999999966</v>
      </c>
      <c r="G49" s="123">
        <f t="shared" ref="G49:N49" si="6">G14*(1+$F$39)</f>
        <v>27384.375199999988</v>
      </c>
      <c r="H49" s="123">
        <f t="shared" si="6"/>
        <v>303201.93175999989</v>
      </c>
      <c r="I49" s="123">
        <f t="shared" si="6"/>
        <v>365050.8259493332</v>
      </c>
      <c r="J49" s="123">
        <f t="shared" si="6"/>
        <v>1459817.1671199996</v>
      </c>
      <c r="K49" s="123">
        <f t="shared" si="6"/>
        <v>36901.846799999992</v>
      </c>
      <c r="L49" s="123">
        <f t="shared" si="6"/>
        <v>854755.33190666651</v>
      </c>
      <c r="M49" s="123">
        <f t="shared" si="6"/>
        <v>4077.6885066666646</v>
      </c>
      <c r="N49" s="123">
        <f t="shared" si="6"/>
        <v>0</v>
      </c>
    </row>
    <row r="50" spans="2:16">
      <c r="B50" s="138" t="s">
        <v>275</v>
      </c>
      <c r="C50" s="30"/>
      <c r="D50" s="78" t="s">
        <v>209</v>
      </c>
      <c r="F50" s="123">
        <f>(1+$F$36)*F15</f>
        <v>-166304.23918370405</v>
      </c>
      <c r="G50" s="123">
        <f t="shared" ref="G50:N50" si="7">(1+$F$36)*G15</f>
        <v>-191595.93920017604</v>
      </c>
      <c r="H50" s="123">
        <f t="shared" si="7"/>
        <v>-446496.85644454026</v>
      </c>
      <c r="I50" s="123">
        <f t="shared" si="7"/>
        <v>-1875257.8507324636</v>
      </c>
      <c r="J50" s="123">
        <f t="shared" si="7"/>
        <v>-1699604.9355065674</v>
      </c>
      <c r="K50" s="123">
        <f t="shared" si="7"/>
        <v>114184.76993317276</v>
      </c>
      <c r="L50" s="123">
        <f>(1+$F$36)*L15</f>
        <v>3249835.965709798</v>
      </c>
      <c r="M50" s="123">
        <f t="shared" si="7"/>
        <v>-105681.38536076386</v>
      </c>
      <c r="N50" s="123">
        <f t="shared" si="7"/>
        <v>-10957.390047567656</v>
      </c>
    </row>
    <row r="51" spans="2:16">
      <c r="B51" s="138" t="s">
        <v>276</v>
      </c>
      <c r="C51" s="30"/>
      <c r="D51" s="78" t="s">
        <v>209</v>
      </c>
      <c r="F51" s="123">
        <f>(1+$F$37)*F16</f>
        <v>-330909.67492719664</v>
      </c>
      <c r="G51" s="123">
        <f t="shared" ref="G51:N51" si="8">(1+$F$37)*G16</f>
        <v>-381421.23343778425</v>
      </c>
      <c r="H51" s="123">
        <f t="shared" si="8"/>
        <v>-897995.11989667185</v>
      </c>
      <c r="I51" s="123">
        <f t="shared" si="8"/>
        <v>-3827249.7209110786</v>
      </c>
      <c r="J51" s="123">
        <f t="shared" si="8"/>
        <v>-3457956.4820866636</v>
      </c>
      <c r="K51" s="123">
        <f>(1+$F$37)*K16</f>
        <v>230426.66646671668</v>
      </c>
      <c r="L51" s="123">
        <f>(1+$F$37)*L16</f>
        <v>2123515.7406601626</v>
      </c>
      <c r="M51" s="123">
        <f t="shared" si="8"/>
        <v>-220673.93942522409</v>
      </c>
      <c r="N51" s="123">
        <f t="shared" si="8"/>
        <v>-17365.479341778169</v>
      </c>
    </row>
    <row r="52" spans="2:16">
      <c r="B52" s="138" t="s">
        <v>277</v>
      </c>
      <c r="C52" s="30"/>
      <c r="D52" s="78" t="s">
        <v>209</v>
      </c>
      <c r="F52" s="123">
        <f>(1+$F$38)*F17</f>
        <v>-494813.3258718336</v>
      </c>
      <c r="G52" s="123">
        <f t="shared" ref="G52:N52" si="9">(1+$F$38)*G17</f>
        <v>-570621.87526478572</v>
      </c>
      <c r="H52" s="123">
        <f t="shared" si="9"/>
        <v>-1357212.4896777412</v>
      </c>
      <c r="I52" s="123">
        <f t="shared" si="9"/>
        <v>-5870454.8515488189</v>
      </c>
      <c r="J52" s="123">
        <f t="shared" si="9"/>
        <v>-5286893.858617601</v>
      </c>
      <c r="K52" s="123">
        <f t="shared" si="9"/>
        <v>349440.15544883255</v>
      </c>
      <c r="L52" s="123">
        <f>(1+$F$38)*L17</f>
        <v>935180.93120775861</v>
      </c>
      <c r="M52" s="123">
        <f t="shared" si="9"/>
        <v>-346254.8778663876</v>
      </c>
      <c r="N52" s="123">
        <f t="shared" si="9"/>
        <v>-20690.395884824255</v>
      </c>
    </row>
    <row r="53" spans="2:16">
      <c r="B53" s="138" t="s">
        <v>278</v>
      </c>
      <c r="C53" s="30"/>
      <c r="D53" s="78" t="s">
        <v>209</v>
      </c>
      <c r="F53" s="123">
        <f>(1+$F$39)*F18</f>
        <v>43779.826145938023</v>
      </c>
      <c r="G53" s="123">
        <f t="shared" ref="G53:N53" si="10">(1+$F$39)*G18</f>
        <v>57289.445501690781</v>
      </c>
      <c r="H53" s="123">
        <f t="shared" si="10"/>
        <v>123071.04848266537</v>
      </c>
      <c r="I53" s="123">
        <f t="shared" si="10"/>
        <v>632981.50804005598</v>
      </c>
      <c r="J53" s="123">
        <f t="shared" si="10"/>
        <v>641593.80970604869</v>
      </c>
      <c r="K53" s="123">
        <f t="shared" si="10"/>
        <v>30541.864302366663</v>
      </c>
      <c r="L53" s="123">
        <f>(1+$F$39)*L18</f>
        <v>526213.64440479258</v>
      </c>
      <c r="M53" s="123">
        <f t="shared" si="10"/>
        <v>36337.673680373417</v>
      </c>
      <c r="N53" s="123">
        <f t="shared" si="10"/>
        <v>6697.6147338529654</v>
      </c>
    </row>
    <row r="54" spans="2:16">
      <c r="B54" s="138" t="s">
        <v>189</v>
      </c>
      <c r="C54" s="115"/>
      <c r="D54" s="78" t="s">
        <v>209</v>
      </c>
      <c r="K54" s="123">
        <f>K19/2*(1+$F$33)</f>
        <v>133451.15978276441</v>
      </c>
    </row>
    <row r="55" spans="2:16">
      <c r="B55" s="138" t="s">
        <v>190</v>
      </c>
      <c r="C55" s="115"/>
      <c r="D55" s="78" t="s">
        <v>209</v>
      </c>
      <c r="K55" s="123">
        <f>K20/2*(1+$F$34)</f>
        <v>261430.81941030125</v>
      </c>
    </row>
    <row r="56" spans="2:16">
      <c r="B56" s="138" t="s">
        <v>191</v>
      </c>
      <c r="C56" s="115"/>
      <c r="D56" s="78" t="s">
        <v>209</v>
      </c>
      <c r="K56" s="123">
        <f>K21/2*(1+$F$35)</f>
        <v>387569.47309189325</v>
      </c>
    </row>
    <row r="57" spans="2:16">
      <c r="B57" s="138" t="s">
        <v>192</v>
      </c>
      <c r="C57" s="115"/>
      <c r="D57" s="78" t="s">
        <v>209</v>
      </c>
      <c r="K57" s="123">
        <f>K22/2*(1+$F$33)</f>
        <v>23550.204667546932</v>
      </c>
      <c r="M57" s="238"/>
      <c r="N57" s="238"/>
      <c r="O57" s="238"/>
      <c r="P57" s="238"/>
    </row>
    <row r="58" spans="2:16">
      <c r="B58" s="138" t="s">
        <v>193</v>
      </c>
      <c r="C58" s="115"/>
      <c r="D58" s="78" t="s">
        <v>209</v>
      </c>
      <c r="K58" s="123">
        <f>K23/2*(1+$F$34)</f>
        <v>91235.357209210968</v>
      </c>
    </row>
    <row r="59" spans="2:16">
      <c r="B59" s="138" t="s">
        <v>194</v>
      </c>
      <c r="C59" s="115"/>
      <c r="D59" s="78" t="s">
        <v>209</v>
      </c>
      <c r="K59" s="123">
        <f>K24/2*(1+$F$35)</f>
        <v>199982.47506367852</v>
      </c>
    </row>
    <row r="60" spans="2:16">
      <c r="B60" s="138" t="s">
        <v>171</v>
      </c>
      <c r="C60" s="115"/>
      <c r="D60" s="78" t="s">
        <v>209</v>
      </c>
      <c r="K60" s="123">
        <f>K25/2*(1+$F$33)</f>
        <v>-86350.7504476717</v>
      </c>
    </row>
    <row r="61" spans="2:16">
      <c r="B61" s="138" t="s">
        <v>172</v>
      </c>
      <c r="C61" s="115"/>
      <c r="D61" s="78" t="s">
        <v>209</v>
      </c>
      <c r="K61" s="123">
        <f>K26/2*(1+$F$34)</f>
        <v>-169655.74159529954</v>
      </c>
    </row>
    <row r="62" spans="2:16">
      <c r="B62" s="138" t="s">
        <v>173</v>
      </c>
      <c r="C62" s="115"/>
      <c r="D62" s="78" t="s">
        <v>209</v>
      </c>
      <c r="K62" s="123">
        <f>K27/2*(1+$F$35)</f>
        <v>-252254.53255626024</v>
      </c>
    </row>
    <row r="63" spans="2:16">
      <c r="B63" s="121" t="s">
        <v>97</v>
      </c>
      <c r="C63" s="115"/>
      <c r="D63" s="78" t="s">
        <v>209</v>
      </c>
      <c r="I63" s="123">
        <f>I28*(1+$F$37)</f>
        <v>3827249.7209110786</v>
      </c>
    </row>
    <row r="64" spans="2:16">
      <c r="B64" s="121" t="s">
        <v>98</v>
      </c>
      <c r="C64" s="122"/>
      <c r="D64" s="78" t="s">
        <v>209</v>
      </c>
      <c r="F64"/>
      <c r="G64" s="90"/>
      <c r="H64" s="90"/>
      <c r="I64" s="123">
        <f>I29*(1+$F$38)</f>
        <v>5388759.8283086894</v>
      </c>
      <c r="K64" s="90"/>
      <c r="L64" s="90"/>
      <c r="M64" s="90"/>
      <c r="N64" s="90"/>
    </row>
    <row r="65" spans="2:14">
      <c r="B65" s="121"/>
      <c r="C65" s="122"/>
      <c r="D65" s="78"/>
      <c r="F65"/>
      <c r="G65" s="90"/>
      <c r="H65" s="90"/>
      <c r="I65" s="368"/>
      <c r="K65" s="90"/>
      <c r="L65" s="90"/>
      <c r="M65" s="90"/>
      <c r="N65" s="90"/>
    </row>
    <row r="68" spans="2:14">
      <c r="B68" s="138"/>
    </row>
    <row r="69" spans="2:14">
      <c r="B69" s="138"/>
    </row>
    <row r="70" spans="2:14">
      <c r="B70" s="138"/>
    </row>
    <row r="71" spans="2:14">
      <c r="B71" s="138"/>
    </row>
    <row r="72" spans="2:14">
      <c r="B72" s="138"/>
    </row>
    <row r="73" spans="2:14">
      <c r="B73" s="138"/>
    </row>
    <row r="74" spans="2:14">
      <c r="B74" s="138"/>
    </row>
    <row r="75" spans="2:14">
      <c r="B75" s="138"/>
    </row>
    <row r="76" spans="2:14">
      <c r="B76" s="138"/>
    </row>
  </sheetData>
  <phoneticPr fontId="2" type="noConversion"/>
  <pageMargins left="0.75" right="0.75" top="1" bottom="1" header="0.5" footer="0.5"/>
  <pageSetup paperSize="9" scale="44"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
  <sheetViews>
    <sheetView showGridLines="0" workbookViewId="0"/>
  </sheetViews>
  <sheetFormatPr defaultRowHeight="12.75"/>
  <cols>
    <col min="1" max="16384" width="9.140625" style="372"/>
  </cols>
  <sheetData/>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tabColor rgb="FF92D050"/>
    <pageSetUpPr fitToPage="1"/>
  </sheetPr>
  <dimension ref="A2:Q84"/>
  <sheetViews>
    <sheetView showGridLines="0" zoomScale="80" zoomScaleNormal="80" workbookViewId="0"/>
  </sheetViews>
  <sheetFormatPr defaultRowHeight="12.75"/>
  <cols>
    <col min="1" max="1" width="3.42578125" style="158" customWidth="1"/>
    <col min="2" max="2" width="61.5703125" style="158" customWidth="1"/>
    <col min="3" max="3" width="5.5703125" style="158" customWidth="1"/>
    <col min="4" max="4" width="17.7109375" style="158" customWidth="1"/>
    <col min="5" max="5" width="12.85546875" style="158" customWidth="1"/>
    <col min="6" max="6" width="3.28515625" style="158" customWidth="1"/>
    <col min="7" max="8" width="12.5703125" style="158" customWidth="1"/>
    <col min="9" max="9" width="15.140625" style="158" customWidth="1"/>
    <col min="10" max="10" width="15.28515625" style="158" bestFit="1" customWidth="1"/>
    <col min="11" max="11" width="14.42578125" style="158" customWidth="1"/>
    <col min="12" max="15" width="12.5703125" style="158" customWidth="1"/>
    <col min="16" max="16" width="7.5703125" style="158" customWidth="1"/>
    <col min="17" max="17" width="21.28515625" style="158" customWidth="1"/>
    <col min="18" max="16384" width="9.140625" style="158"/>
  </cols>
  <sheetData>
    <row r="2" spans="2:15" s="241" customFormat="1" ht="15.75">
      <c r="B2" s="305" t="s">
        <v>230</v>
      </c>
      <c r="C2" s="240"/>
    </row>
    <row r="4" spans="2:15" s="160" customFormat="1">
      <c r="B4" s="159" t="s">
        <v>1</v>
      </c>
    </row>
    <row r="5" spans="2:15" s="162" customFormat="1">
      <c r="B5" s="161"/>
    </row>
    <row r="6" spans="2:15" s="162" customFormat="1" ht="37.5" customHeight="1">
      <c r="B6" s="448" t="s">
        <v>287</v>
      </c>
      <c r="C6" s="449"/>
      <c r="D6" s="449"/>
      <c r="E6" s="449"/>
      <c r="F6" s="449"/>
      <c r="G6" s="449"/>
      <c r="H6" s="449"/>
      <c r="I6" s="449"/>
      <c r="J6" s="449"/>
      <c r="K6" s="449"/>
      <c r="L6" s="449"/>
      <c r="M6" s="449"/>
      <c r="N6" s="449"/>
      <c r="O6" s="163"/>
    </row>
    <row r="7" spans="2:15" s="162" customFormat="1">
      <c r="B7" s="161"/>
    </row>
    <row r="8" spans="2:15" s="162" customFormat="1" ht="52.5" customHeight="1">
      <c r="B8" s="450" t="s">
        <v>332</v>
      </c>
      <c r="C8" s="451"/>
      <c r="D8" s="451"/>
      <c r="E8" s="451"/>
      <c r="F8" s="451"/>
      <c r="G8" s="451"/>
      <c r="H8" s="451"/>
      <c r="I8" s="451"/>
      <c r="J8" s="451"/>
      <c r="K8" s="451"/>
      <c r="L8" s="451"/>
      <c r="M8" s="451"/>
      <c r="N8" s="451"/>
      <c r="O8" s="164"/>
    </row>
    <row r="10" spans="2:15">
      <c r="B10" s="165" t="s">
        <v>333</v>
      </c>
    </row>
    <row r="11" spans="2:15">
      <c r="B11" s="165" t="s">
        <v>58</v>
      </c>
    </row>
    <row r="12" spans="2:15">
      <c r="B12" s="165" t="s">
        <v>334</v>
      </c>
    </row>
    <row r="13" spans="2:15">
      <c r="B13" s="165" t="s">
        <v>59</v>
      </c>
    </row>
    <row r="15" spans="2:15" s="167" customFormat="1">
      <c r="B15" s="166" t="s">
        <v>70</v>
      </c>
    </row>
    <row r="17" spans="1:17">
      <c r="G17" s="302" t="s">
        <v>34</v>
      </c>
      <c r="H17" s="302" t="s">
        <v>7</v>
      </c>
      <c r="I17" s="302" t="s">
        <v>37</v>
      </c>
      <c r="J17" s="302" t="s">
        <v>40</v>
      </c>
      <c r="K17" s="302" t="s">
        <v>38</v>
      </c>
      <c r="L17" s="302" t="s">
        <v>8</v>
      </c>
      <c r="M17" s="302" t="s">
        <v>35</v>
      </c>
      <c r="N17" s="302" t="s">
        <v>39</v>
      </c>
      <c r="O17" s="302" t="s">
        <v>41</v>
      </c>
      <c r="Q17" s="168" t="s">
        <v>60</v>
      </c>
    </row>
    <row r="18" spans="1:17">
      <c r="B18" s="130" t="s">
        <v>156</v>
      </c>
      <c r="D18" s="169"/>
      <c r="Q18" s="170"/>
    </row>
    <row r="19" spans="1:17">
      <c r="B19" s="158" t="s">
        <v>71</v>
      </c>
      <c r="D19" s="169" t="s">
        <v>43</v>
      </c>
      <c r="G19" s="171"/>
      <c r="H19" s="171"/>
      <c r="I19" s="171"/>
      <c r="J19" s="171"/>
      <c r="K19" s="171"/>
      <c r="L19" s="171"/>
      <c r="M19" s="171"/>
      <c r="N19" s="171"/>
      <c r="O19" s="171"/>
      <c r="Q19" s="172" t="s">
        <v>291</v>
      </c>
    </row>
    <row r="20" spans="1:17">
      <c r="B20" s="158" t="s">
        <v>72</v>
      </c>
      <c r="D20" s="169" t="s">
        <v>43</v>
      </c>
      <c r="G20" s="171"/>
      <c r="H20" s="171"/>
      <c r="I20" s="171"/>
      <c r="J20" s="171"/>
      <c r="K20" s="171"/>
      <c r="L20" s="171"/>
      <c r="M20" s="171"/>
      <c r="N20" s="171"/>
      <c r="O20" s="171"/>
      <c r="Q20" s="172" t="s">
        <v>291</v>
      </c>
    </row>
    <row r="21" spans="1:17">
      <c r="B21" s="158" t="s">
        <v>73</v>
      </c>
      <c r="D21" s="169" t="s">
        <v>43</v>
      </c>
      <c r="G21" s="173">
        <f>G19+G20</f>
        <v>0</v>
      </c>
      <c r="H21" s="173">
        <f t="shared" ref="H21:O21" si="0">H19+H20</f>
        <v>0</v>
      </c>
      <c r="I21" s="173">
        <f t="shared" si="0"/>
        <v>0</v>
      </c>
      <c r="J21" s="173">
        <f t="shared" si="0"/>
        <v>0</v>
      </c>
      <c r="K21" s="173">
        <f t="shared" si="0"/>
        <v>0</v>
      </c>
      <c r="L21" s="173">
        <f t="shared" si="0"/>
        <v>0</v>
      </c>
      <c r="M21" s="173">
        <f t="shared" si="0"/>
        <v>0</v>
      </c>
      <c r="N21" s="173">
        <f t="shared" si="0"/>
        <v>0</v>
      </c>
      <c r="O21" s="173">
        <f t="shared" si="0"/>
        <v>0</v>
      </c>
    </row>
    <row r="22" spans="1:17" s="165" customFormat="1">
      <c r="D22" s="174"/>
      <c r="G22" s="175"/>
      <c r="H22" s="175"/>
      <c r="I22" s="175"/>
      <c r="J22" s="175"/>
      <c r="K22" s="175"/>
      <c r="L22" s="175"/>
      <c r="M22" s="175"/>
      <c r="N22" s="175"/>
      <c r="O22" s="175"/>
    </row>
    <row r="23" spans="1:17">
      <c r="B23" s="158" t="s">
        <v>62</v>
      </c>
      <c r="D23" s="169"/>
      <c r="E23" s="285"/>
      <c r="G23" s="171">
        <v>45</v>
      </c>
      <c r="H23" s="171">
        <v>45</v>
      </c>
      <c r="I23" s="171">
        <v>45</v>
      </c>
      <c r="J23" s="171">
        <v>45</v>
      </c>
      <c r="K23" s="171">
        <v>45</v>
      </c>
      <c r="L23" s="171">
        <v>45</v>
      </c>
      <c r="M23" s="171">
        <v>45</v>
      </c>
      <c r="N23" s="171">
        <v>45</v>
      </c>
      <c r="O23" s="171">
        <v>45</v>
      </c>
      <c r="Q23" s="172" t="s">
        <v>291</v>
      </c>
    </row>
    <row r="24" spans="1:17">
      <c r="B24" s="158" t="s">
        <v>64</v>
      </c>
      <c r="D24" s="169" t="s">
        <v>43</v>
      </c>
      <c r="G24" s="173">
        <f>G21/G23*0.5</f>
        <v>0</v>
      </c>
      <c r="H24" s="173">
        <f t="shared" ref="H24:O24" si="1">H21/H23*0.5</f>
        <v>0</v>
      </c>
      <c r="I24" s="173">
        <f t="shared" si="1"/>
        <v>0</v>
      </c>
      <c r="J24" s="173">
        <f t="shared" si="1"/>
        <v>0</v>
      </c>
      <c r="K24" s="173">
        <f t="shared" si="1"/>
        <v>0</v>
      </c>
      <c r="L24" s="173">
        <f t="shared" si="1"/>
        <v>0</v>
      </c>
      <c r="M24" s="173">
        <f t="shared" si="1"/>
        <v>0</v>
      </c>
      <c r="N24" s="173">
        <f t="shared" si="1"/>
        <v>0</v>
      </c>
      <c r="O24" s="173">
        <f t="shared" si="1"/>
        <v>0</v>
      </c>
    </row>
    <row r="25" spans="1:17">
      <c r="B25" s="158" t="s">
        <v>65</v>
      </c>
      <c r="D25" s="169" t="s">
        <v>43</v>
      </c>
      <c r="G25" s="173">
        <f>G21-G24</f>
        <v>0</v>
      </c>
      <c r="H25" s="173">
        <f t="shared" ref="H25:O25" si="2">H21-H24</f>
        <v>0</v>
      </c>
      <c r="I25" s="173">
        <f t="shared" si="2"/>
        <v>0</v>
      </c>
      <c r="J25" s="173">
        <f t="shared" si="2"/>
        <v>0</v>
      </c>
      <c r="K25" s="173">
        <f t="shared" si="2"/>
        <v>0</v>
      </c>
      <c r="L25" s="173">
        <f t="shared" si="2"/>
        <v>0</v>
      </c>
      <c r="M25" s="173">
        <f t="shared" si="2"/>
        <v>0</v>
      </c>
      <c r="N25" s="173">
        <f t="shared" si="2"/>
        <v>0</v>
      </c>
      <c r="O25" s="173">
        <f t="shared" si="2"/>
        <v>0</v>
      </c>
    </row>
    <row r="26" spans="1:17" s="165" customFormat="1">
      <c r="D26" s="174"/>
      <c r="G26" s="176"/>
      <c r="H26" s="176"/>
      <c r="I26" s="176"/>
      <c r="J26" s="176"/>
      <c r="K26" s="176"/>
      <c r="L26" s="176"/>
      <c r="M26" s="176"/>
      <c r="N26" s="176"/>
      <c r="O26" s="176"/>
    </row>
    <row r="27" spans="1:17">
      <c r="B27" s="158" t="s">
        <v>47</v>
      </c>
      <c r="D27" s="169"/>
      <c r="E27" s="177">
        <v>6.2E-2</v>
      </c>
      <c r="G27" s="175"/>
      <c r="H27" s="175"/>
      <c r="I27" s="175"/>
      <c r="J27" s="175"/>
      <c r="K27" s="175"/>
      <c r="L27" s="175"/>
      <c r="M27" s="175"/>
      <c r="N27" s="175"/>
      <c r="O27" s="175"/>
    </row>
    <row r="28" spans="1:17">
      <c r="B28" s="158" t="s">
        <v>66</v>
      </c>
      <c r="D28" s="169" t="s">
        <v>43</v>
      </c>
      <c r="G28" s="173">
        <f>G21*$E$27+G24</f>
        <v>0</v>
      </c>
      <c r="H28" s="173">
        <f t="shared" ref="H28:O28" si="3">H21*$E$27+H24</f>
        <v>0</v>
      </c>
      <c r="I28" s="173">
        <f t="shared" si="3"/>
        <v>0</v>
      </c>
      <c r="J28" s="173">
        <f t="shared" si="3"/>
        <v>0</v>
      </c>
      <c r="K28" s="173">
        <f t="shared" si="3"/>
        <v>0</v>
      </c>
      <c r="L28" s="173">
        <f t="shared" si="3"/>
        <v>0</v>
      </c>
      <c r="M28" s="173">
        <f t="shared" si="3"/>
        <v>0</v>
      </c>
      <c r="N28" s="173">
        <f t="shared" si="3"/>
        <v>0</v>
      </c>
      <c r="O28" s="173">
        <f t="shared" si="3"/>
        <v>0</v>
      </c>
    </row>
    <row r="29" spans="1:17" s="165" customFormat="1">
      <c r="A29" s="158"/>
      <c r="D29" s="174"/>
      <c r="G29" s="178"/>
      <c r="H29" s="176"/>
      <c r="I29" s="176"/>
      <c r="J29" s="176"/>
      <c r="K29" s="176"/>
      <c r="L29" s="176"/>
      <c r="M29" s="176"/>
      <c r="N29" s="176"/>
      <c r="O29" s="176"/>
    </row>
    <row r="30" spans="1:17" s="165" customFormat="1">
      <c r="B30" s="165" t="s">
        <v>63</v>
      </c>
      <c r="D30" s="174"/>
      <c r="E30" s="179">
        <v>0.01</v>
      </c>
      <c r="G30" s="178"/>
      <c r="H30" s="176"/>
      <c r="I30" s="176"/>
      <c r="J30" s="176"/>
      <c r="K30" s="176"/>
      <c r="L30" s="176"/>
      <c r="M30" s="176"/>
      <c r="N30" s="176"/>
      <c r="O30" s="176"/>
    </row>
    <row r="31" spans="1:17">
      <c r="A31" s="165"/>
      <c r="B31" s="158" t="s">
        <v>67</v>
      </c>
      <c r="D31" s="169" t="s">
        <v>43</v>
      </c>
      <c r="G31" s="173">
        <f>G21*$E$30*0.5</f>
        <v>0</v>
      </c>
      <c r="H31" s="173">
        <f t="shared" ref="H31:O31" si="4">H21*$E$30*0.5</f>
        <v>0</v>
      </c>
      <c r="I31" s="173">
        <f t="shared" si="4"/>
        <v>0</v>
      </c>
      <c r="J31" s="173">
        <f t="shared" si="4"/>
        <v>0</v>
      </c>
      <c r="K31" s="173">
        <f t="shared" si="4"/>
        <v>0</v>
      </c>
      <c r="L31" s="173">
        <f t="shared" si="4"/>
        <v>0</v>
      </c>
      <c r="M31" s="173">
        <f t="shared" si="4"/>
        <v>0</v>
      </c>
      <c r="N31" s="173">
        <f t="shared" si="4"/>
        <v>0</v>
      </c>
      <c r="O31" s="173">
        <f t="shared" si="4"/>
        <v>0</v>
      </c>
    </row>
    <row r="32" spans="1:17">
      <c r="A32" s="165"/>
      <c r="G32" s="175"/>
      <c r="H32" s="175"/>
      <c r="I32" s="175"/>
      <c r="J32" s="175"/>
      <c r="K32" s="175"/>
      <c r="L32" s="175"/>
      <c r="M32" s="175"/>
      <c r="N32" s="175"/>
      <c r="O32" s="175"/>
    </row>
    <row r="33" spans="1:17">
      <c r="A33" s="165"/>
      <c r="B33" s="158" t="s">
        <v>68</v>
      </c>
      <c r="D33" s="169" t="s">
        <v>43</v>
      </c>
      <c r="G33" s="171"/>
      <c r="H33" s="171"/>
      <c r="I33" s="171"/>
      <c r="J33" s="171"/>
      <c r="K33" s="171"/>
      <c r="L33" s="171"/>
      <c r="M33" s="171"/>
      <c r="N33" s="171"/>
      <c r="O33" s="171"/>
      <c r="Q33" s="172" t="s">
        <v>291</v>
      </c>
    </row>
    <row r="34" spans="1:17">
      <c r="A34" s="165"/>
    </row>
    <row r="35" spans="1:17">
      <c r="A35" s="165"/>
      <c r="B35" s="158" t="s">
        <v>69</v>
      </c>
      <c r="D35" s="169" t="s">
        <v>43</v>
      </c>
      <c r="G35" s="180">
        <f>G28+G31-G33</f>
        <v>0</v>
      </c>
      <c r="H35" s="180">
        <f t="shared" ref="H35:M35" si="5">H28+H31-H33</f>
        <v>0</v>
      </c>
      <c r="I35" s="180">
        <f t="shared" si="5"/>
        <v>0</v>
      </c>
      <c r="J35" s="180">
        <f t="shared" si="5"/>
        <v>0</v>
      </c>
      <c r="K35" s="180">
        <f t="shared" si="5"/>
        <v>0</v>
      </c>
      <c r="L35" s="180">
        <f t="shared" si="5"/>
        <v>0</v>
      </c>
      <c r="M35" s="180">
        <f t="shared" si="5"/>
        <v>0</v>
      </c>
      <c r="N35" s="180">
        <f>N28+N31-N33</f>
        <v>0</v>
      </c>
      <c r="O35" s="180">
        <f>O28+O31-O33</f>
        <v>0</v>
      </c>
    </row>
    <row r="36" spans="1:17">
      <c r="A36" s="165"/>
    </row>
    <row r="37" spans="1:17">
      <c r="A37" s="165"/>
      <c r="B37" s="162" t="s">
        <v>227</v>
      </c>
      <c r="E37" s="181">
        <f>CPI!C17</f>
        <v>2.8000000000000001E-2</v>
      </c>
    </row>
    <row r="38" spans="1:17">
      <c r="B38" s="158" t="s">
        <v>221</v>
      </c>
      <c r="D38" s="169" t="s">
        <v>55</v>
      </c>
      <c r="G38" s="173">
        <f>G21/G23*(1+$E$37)</f>
        <v>0</v>
      </c>
      <c r="H38" s="173">
        <f t="shared" ref="H38:O38" si="6">H21/H23*(1+$E$37)</f>
        <v>0</v>
      </c>
      <c r="I38" s="173">
        <f t="shared" si="6"/>
        <v>0</v>
      </c>
      <c r="J38" s="173">
        <f t="shared" si="6"/>
        <v>0</v>
      </c>
      <c r="K38" s="173">
        <f t="shared" si="6"/>
        <v>0</v>
      </c>
      <c r="L38" s="173">
        <f t="shared" si="6"/>
        <v>0</v>
      </c>
      <c r="M38" s="173">
        <f t="shared" si="6"/>
        <v>0</v>
      </c>
      <c r="N38" s="173">
        <f t="shared" si="6"/>
        <v>0</v>
      </c>
      <c r="O38" s="173">
        <f t="shared" si="6"/>
        <v>0</v>
      </c>
    </row>
    <row r="39" spans="1:17">
      <c r="A39" s="165"/>
      <c r="B39" s="158" t="s">
        <v>222</v>
      </c>
      <c r="D39" s="169" t="s">
        <v>55</v>
      </c>
      <c r="G39" s="173">
        <f>G25*(1+$E$37)-G38</f>
        <v>0</v>
      </c>
      <c r="H39" s="173">
        <f t="shared" ref="H39:O39" si="7">H25*(1+$E$37)-H38</f>
        <v>0</v>
      </c>
      <c r="I39" s="173">
        <f t="shared" si="7"/>
        <v>0</v>
      </c>
      <c r="J39" s="173">
        <f t="shared" si="7"/>
        <v>0</v>
      </c>
      <c r="K39" s="173">
        <f t="shared" si="7"/>
        <v>0</v>
      </c>
      <c r="L39" s="173">
        <f t="shared" si="7"/>
        <v>0</v>
      </c>
      <c r="M39" s="173">
        <f t="shared" si="7"/>
        <v>0</v>
      </c>
      <c r="N39" s="173">
        <f t="shared" si="7"/>
        <v>0</v>
      </c>
      <c r="O39" s="173">
        <f t="shared" si="7"/>
        <v>0</v>
      </c>
    </row>
    <row r="40" spans="1:17" s="165" customFormat="1">
      <c r="D40" s="174"/>
      <c r="G40" s="176"/>
      <c r="H40" s="176"/>
      <c r="I40" s="176"/>
      <c r="J40" s="176"/>
      <c r="K40" s="176"/>
      <c r="L40" s="176"/>
      <c r="M40" s="176"/>
      <c r="N40" s="176"/>
      <c r="O40" s="176"/>
    </row>
    <row r="41" spans="1:17" s="443" customFormat="1">
      <c r="B41" s="443" t="s">
        <v>231</v>
      </c>
      <c r="D41" s="127"/>
      <c r="E41" s="444">
        <v>3.5999999999999997E-2</v>
      </c>
      <c r="G41" s="447"/>
      <c r="H41" s="447"/>
      <c r="I41" s="447"/>
      <c r="J41" s="447"/>
      <c r="K41" s="447"/>
      <c r="L41" s="447"/>
      <c r="M41" s="447"/>
      <c r="N41" s="447"/>
    </row>
    <row r="42" spans="1:17">
      <c r="A42" s="165"/>
      <c r="B42" s="158" t="s">
        <v>223</v>
      </c>
      <c r="D42" s="169" t="s">
        <v>55</v>
      </c>
      <c r="G42" s="173">
        <f>G39*$E$41+G38</f>
        <v>0</v>
      </c>
      <c r="H42" s="446">
        <f t="shared" ref="H42:O42" si="8">H39*$E$41+H38</f>
        <v>0</v>
      </c>
      <c r="I42" s="446">
        <f t="shared" si="8"/>
        <v>0</v>
      </c>
      <c r="J42" s="446">
        <f t="shared" si="8"/>
        <v>0</v>
      </c>
      <c r="K42" s="446">
        <f t="shared" si="8"/>
        <v>0</v>
      </c>
      <c r="L42" s="446">
        <f t="shared" si="8"/>
        <v>0</v>
      </c>
      <c r="M42" s="446">
        <f t="shared" si="8"/>
        <v>0</v>
      </c>
      <c r="N42" s="446">
        <f t="shared" si="8"/>
        <v>0</v>
      </c>
      <c r="O42" s="446">
        <f t="shared" si="8"/>
        <v>0</v>
      </c>
    </row>
    <row r="43" spans="1:17" s="165" customFormat="1">
      <c r="D43" s="174"/>
      <c r="G43" s="176"/>
      <c r="H43" s="176"/>
      <c r="I43" s="176"/>
      <c r="J43" s="176"/>
      <c r="K43" s="176"/>
      <c r="L43" s="176"/>
      <c r="M43" s="176"/>
      <c r="N43" s="178"/>
      <c r="O43" s="178"/>
    </row>
    <row r="44" spans="1:17">
      <c r="A44" s="165"/>
      <c r="B44" s="158" t="s">
        <v>224</v>
      </c>
      <c r="D44" s="169" t="s">
        <v>55</v>
      </c>
      <c r="G44" s="173">
        <f>G21*$E$30*(1+$E$37)</f>
        <v>0</v>
      </c>
      <c r="H44" s="173">
        <f>H21*$E$30*(1+$E$37)</f>
        <v>0</v>
      </c>
      <c r="I44" s="173">
        <f t="shared" ref="I44:N44" si="9">I21*$E$30*(1+$E$37)</f>
        <v>0</v>
      </c>
      <c r="J44" s="173">
        <f t="shared" si="9"/>
        <v>0</v>
      </c>
      <c r="K44" s="173">
        <f>K21*$E$30*(1+$E$37)</f>
        <v>0</v>
      </c>
      <c r="L44" s="173">
        <f t="shared" si="9"/>
        <v>0</v>
      </c>
      <c r="M44" s="173">
        <f t="shared" si="9"/>
        <v>0</v>
      </c>
      <c r="N44" s="173">
        <f t="shared" si="9"/>
        <v>0</v>
      </c>
      <c r="O44" s="173">
        <f>O21*$E$30*(1+$E$37)</f>
        <v>0</v>
      </c>
      <c r="P44" s="182"/>
      <c r="Q44" s="172"/>
    </row>
    <row r="45" spans="1:17" s="129" customFormat="1">
      <c r="D45" s="169"/>
      <c r="P45" s="170"/>
    </row>
    <row r="46" spans="1:17" s="129" customFormat="1">
      <c r="B46" s="130" t="s">
        <v>228</v>
      </c>
      <c r="D46" s="169"/>
      <c r="P46" s="170"/>
    </row>
    <row r="47" spans="1:17" s="129" customFormat="1">
      <c r="B47" s="129" t="s">
        <v>219</v>
      </c>
      <c r="D47" s="169" t="s">
        <v>55</v>
      </c>
      <c r="G47" s="171"/>
      <c r="H47" s="171"/>
      <c r="I47" s="171"/>
      <c r="J47" s="171"/>
      <c r="K47" s="171"/>
      <c r="L47" s="171"/>
      <c r="M47" s="171"/>
      <c r="N47" s="171"/>
      <c r="O47" s="171"/>
      <c r="Q47" s="172" t="s">
        <v>291</v>
      </c>
    </row>
    <row r="48" spans="1:17" s="129" customFormat="1">
      <c r="B48" s="129" t="s">
        <v>229</v>
      </c>
      <c r="D48" s="169" t="s">
        <v>55</v>
      </c>
      <c r="G48" s="131">
        <f>G47</f>
        <v>0</v>
      </c>
      <c r="H48" s="131">
        <f t="shared" ref="H48:O48" si="10">H47</f>
        <v>0</v>
      </c>
      <c r="I48" s="131">
        <f t="shared" si="10"/>
        <v>0</v>
      </c>
      <c r="J48" s="131">
        <f t="shared" si="10"/>
        <v>0</v>
      </c>
      <c r="K48" s="131">
        <f t="shared" si="10"/>
        <v>0</v>
      </c>
      <c r="L48" s="131">
        <f t="shared" si="10"/>
        <v>0</v>
      </c>
      <c r="M48" s="131">
        <f t="shared" si="10"/>
        <v>0</v>
      </c>
      <c r="N48" s="131">
        <f t="shared" si="10"/>
        <v>0</v>
      </c>
      <c r="O48" s="131">
        <f t="shared" si="10"/>
        <v>0</v>
      </c>
    </row>
    <row r="49" spans="1:17" s="132" customFormat="1">
      <c r="D49" s="174"/>
      <c r="G49" s="175"/>
      <c r="H49" s="175"/>
      <c r="I49" s="175"/>
      <c r="J49" s="175"/>
      <c r="K49" s="175"/>
      <c r="L49" s="175"/>
      <c r="M49" s="175"/>
      <c r="N49" s="175"/>
      <c r="O49" s="175"/>
    </row>
    <row r="50" spans="1:17" s="129" customFormat="1">
      <c r="B50" s="129" t="s">
        <v>62</v>
      </c>
      <c r="D50" s="169"/>
      <c r="E50" s="169"/>
      <c r="G50" s="171">
        <v>45</v>
      </c>
      <c r="H50" s="171">
        <v>45</v>
      </c>
      <c r="I50" s="171">
        <v>45</v>
      </c>
      <c r="J50" s="171">
        <v>45</v>
      </c>
      <c r="K50" s="171">
        <v>45</v>
      </c>
      <c r="L50" s="171">
        <v>45</v>
      </c>
      <c r="M50" s="171">
        <v>45</v>
      </c>
      <c r="N50" s="171">
        <v>45</v>
      </c>
      <c r="O50" s="171">
        <v>45</v>
      </c>
      <c r="Q50" s="172" t="s">
        <v>291</v>
      </c>
    </row>
    <row r="51" spans="1:17" s="129" customFormat="1">
      <c r="B51" s="129" t="s">
        <v>221</v>
      </c>
      <c r="D51" s="169" t="s">
        <v>55</v>
      </c>
      <c r="G51" s="131">
        <f>G48/G50*0.5</f>
        <v>0</v>
      </c>
      <c r="H51" s="131">
        <f t="shared" ref="H51:O51" si="11">H48/H50*0.5</f>
        <v>0</v>
      </c>
      <c r="I51" s="131">
        <f t="shared" si="11"/>
        <v>0</v>
      </c>
      <c r="J51" s="131">
        <f t="shared" si="11"/>
        <v>0</v>
      </c>
      <c r="K51" s="131">
        <f t="shared" si="11"/>
        <v>0</v>
      </c>
      <c r="L51" s="131">
        <f t="shared" si="11"/>
        <v>0</v>
      </c>
      <c r="M51" s="131">
        <f t="shared" si="11"/>
        <v>0</v>
      </c>
      <c r="N51" s="131">
        <f t="shared" si="11"/>
        <v>0</v>
      </c>
      <c r="O51" s="131">
        <f t="shared" si="11"/>
        <v>0</v>
      </c>
    </row>
    <row r="52" spans="1:17" s="129" customFormat="1">
      <c r="B52" s="129" t="s">
        <v>222</v>
      </c>
      <c r="D52" s="169" t="s">
        <v>55</v>
      </c>
      <c r="G52" s="131">
        <f>G48-G51</f>
        <v>0</v>
      </c>
      <c r="H52" s="131">
        <f t="shared" ref="H52:O52" si="12">H48-H51</f>
        <v>0</v>
      </c>
      <c r="I52" s="131">
        <f t="shared" si="12"/>
        <v>0</v>
      </c>
      <c r="J52" s="131">
        <f t="shared" si="12"/>
        <v>0</v>
      </c>
      <c r="K52" s="131">
        <f t="shared" si="12"/>
        <v>0</v>
      </c>
      <c r="L52" s="131">
        <f t="shared" si="12"/>
        <v>0</v>
      </c>
      <c r="M52" s="131">
        <f t="shared" si="12"/>
        <v>0</v>
      </c>
      <c r="N52" s="131">
        <f t="shared" si="12"/>
        <v>0</v>
      </c>
      <c r="O52" s="131">
        <f t="shared" si="12"/>
        <v>0</v>
      </c>
    </row>
    <row r="53" spans="1:17" s="132" customFormat="1">
      <c r="D53" s="174"/>
      <c r="G53" s="19"/>
      <c r="H53" s="19"/>
      <c r="I53" s="19"/>
      <c r="J53" s="19"/>
      <c r="K53" s="19"/>
      <c r="L53" s="19"/>
      <c r="M53" s="19"/>
      <c r="N53" s="19"/>
      <c r="O53" s="19"/>
    </row>
    <row r="54" spans="1:17" s="129" customFormat="1">
      <c r="B54" s="158" t="s">
        <v>231</v>
      </c>
      <c r="D54" s="169"/>
      <c r="E54" s="133">
        <v>3.5999999999999997E-2</v>
      </c>
      <c r="G54" s="175"/>
      <c r="H54" s="175"/>
      <c r="I54" s="175"/>
      <c r="J54" s="175"/>
      <c r="K54" s="175"/>
      <c r="L54" s="175"/>
      <c r="M54" s="175"/>
      <c r="N54" s="175"/>
      <c r="O54" s="175"/>
    </row>
    <row r="55" spans="1:17" s="129" customFormat="1">
      <c r="B55" s="129" t="s">
        <v>223</v>
      </c>
      <c r="D55" s="169" t="s">
        <v>55</v>
      </c>
      <c r="G55" s="131">
        <f>G48*$E$54+G51</f>
        <v>0</v>
      </c>
      <c r="H55" s="131">
        <f t="shared" ref="H55:O55" si="13">H48*$E$54+H51</f>
        <v>0</v>
      </c>
      <c r="I55" s="131">
        <f t="shared" si="13"/>
        <v>0</v>
      </c>
      <c r="J55" s="131">
        <f t="shared" si="13"/>
        <v>0</v>
      </c>
      <c r="K55" s="131">
        <f t="shared" si="13"/>
        <v>0</v>
      </c>
      <c r="L55" s="131">
        <f t="shared" si="13"/>
        <v>0</v>
      </c>
      <c r="M55" s="131">
        <f t="shared" si="13"/>
        <v>0</v>
      </c>
      <c r="N55" s="131">
        <f t="shared" si="13"/>
        <v>0</v>
      </c>
      <c r="O55" s="131">
        <f t="shared" si="13"/>
        <v>0</v>
      </c>
    </row>
    <row r="56" spans="1:17" s="132" customFormat="1">
      <c r="D56" s="174"/>
      <c r="G56" s="134"/>
      <c r="H56" s="19"/>
      <c r="I56" s="19"/>
      <c r="J56" s="19"/>
      <c r="K56" s="19"/>
      <c r="L56" s="19"/>
      <c r="M56" s="19"/>
      <c r="N56" s="19"/>
      <c r="O56" s="19"/>
    </row>
    <row r="57" spans="1:17" s="132" customFormat="1">
      <c r="B57" s="132" t="s">
        <v>63</v>
      </c>
      <c r="D57" s="174"/>
      <c r="E57" s="135">
        <v>0.01</v>
      </c>
      <c r="G57" s="134"/>
      <c r="H57" s="19"/>
      <c r="I57" s="19"/>
      <c r="J57" s="19"/>
      <c r="K57" s="19"/>
      <c r="L57" s="19"/>
      <c r="M57" s="19"/>
      <c r="N57" s="19"/>
      <c r="O57" s="19"/>
    </row>
    <row r="58" spans="1:17" s="129" customFormat="1">
      <c r="A58" s="132"/>
      <c r="B58" s="129" t="s">
        <v>224</v>
      </c>
      <c r="D58" s="169" t="s">
        <v>55</v>
      </c>
      <c r="G58" s="131">
        <f>G48*$E$57*0.5</f>
        <v>0</v>
      </c>
      <c r="H58" s="131">
        <f t="shared" ref="H58:N58" si="14">H48*$E$57*0.5</f>
        <v>0</v>
      </c>
      <c r="I58" s="131">
        <f t="shared" si="14"/>
        <v>0</v>
      </c>
      <c r="J58" s="131">
        <f t="shared" si="14"/>
        <v>0</v>
      </c>
      <c r="K58" s="131">
        <f t="shared" si="14"/>
        <v>0</v>
      </c>
      <c r="L58" s="131">
        <f t="shared" si="14"/>
        <v>0</v>
      </c>
      <c r="M58" s="131">
        <f t="shared" si="14"/>
        <v>0</v>
      </c>
      <c r="N58" s="131">
        <f t="shared" si="14"/>
        <v>0</v>
      </c>
      <c r="O58" s="131">
        <f>O48*$E$57*0.5</f>
        <v>0</v>
      </c>
    </row>
    <row r="59" spans="1:17" s="165" customFormat="1">
      <c r="D59" s="174"/>
      <c r="G59" s="176"/>
      <c r="H59" s="176"/>
      <c r="I59" s="176"/>
      <c r="J59" s="176"/>
      <c r="K59" s="176"/>
      <c r="L59" s="176"/>
      <c r="M59" s="176"/>
      <c r="N59" s="176"/>
      <c r="O59" s="176"/>
      <c r="P59" s="176"/>
    </row>
    <row r="60" spans="1:17">
      <c r="A60" s="165"/>
      <c r="B60" s="158" t="s">
        <v>225</v>
      </c>
      <c r="D60" s="169" t="s">
        <v>55</v>
      </c>
      <c r="G60" s="171"/>
      <c r="H60" s="171"/>
      <c r="I60" s="171"/>
      <c r="J60" s="171"/>
      <c r="K60" s="171"/>
      <c r="L60" s="171"/>
      <c r="M60" s="171"/>
      <c r="N60" s="171"/>
      <c r="O60" s="171"/>
      <c r="Q60" s="172" t="s">
        <v>291</v>
      </c>
    </row>
    <row r="61" spans="1:17">
      <c r="A61" s="165"/>
      <c r="G61" s="182"/>
      <c r="H61" s="182"/>
      <c r="I61" s="182"/>
      <c r="J61" s="182"/>
      <c r="K61" s="182"/>
      <c r="L61" s="182"/>
      <c r="M61" s="182"/>
      <c r="N61" s="182"/>
      <c r="O61" s="182"/>
      <c r="P61" s="182"/>
    </row>
    <row r="62" spans="1:17">
      <c r="B62" s="158" t="s">
        <v>226</v>
      </c>
      <c r="D62" s="169" t="s">
        <v>55</v>
      </c>
      <c r="G62" s="180">
        <f t="shared" ref="G62:O62" si="15">G42+G44+G55+G58-G60</f>
        <v>0</v>
      </c>
      <c r="H62" s="180">
        <f t="shared" si="15"/>
        <v>0</v>
      </c>
      <c r="I62" s="180">
        <f t="shared" si="15"/>
        <v>0</v>
      </c>
      <c r="J62" s="180">
        <f t="shared" si="15"/>
        <v>0</v>
      </c>
      <c r="K62" s="180">
        <f t="shared" si="15"/>
        <v>0</v>
      </c>
      <c r="L62" s="180">
        <f t="shared" si="15"/>
        <v>0</v>
      </c>
      <c r="M62" s="180">
        <f t="shared" si="15"/>
        <v>0</v>
      </c>
      <c r="N62" s="180">
        <f t="shared" si="15"/>
        <v>0</v>
      </c>
      <c r="O62" s="180">
        <f t="shared" si="15"/>
        <v>0</v>
      </c>
    </row>
    <row r="64" spans="1:17" s="167" customFormat="1">
      <c r="B64" s="166" t="s">
        <v>216</v>
      </c>
    </row>
    <row r="66" spans="1:17">
      <c r="G66" s="302" t="s">
        <v>34</v>
      </c>
      <c r="H66" s="302" t="s">
        <v>7</v>
      </c>
      <c r="I66" s="302" t="s">
        <v>37</v>
      </c>
      <c r="J66" s="302" t="s">
        <v>40</v>
      </c>
      <c r="K66" s="302" t="s">
        <v>38</v>
      </c>
      <c r="L66" s="302" t="s">
        <v>8</v>
      </c>
      <c r="M66" s="302" t="s">
        <v>35</v>
      </c>
      <c r="N66" s="302" t="s">
        <v>39</v>
      </c>
      <c r="O66" s="302" t="s">
        <v>41</v>
      </c>
      <c r="Q66" s="168" t="s">
        <v>60</v>
      </c>
    </row>
    <row r="67" spans="1:17">
      <c r="B67" s="130" t="s">
        <v>217</v>
      </c>
      <c r="D67" s="169"/>
      <c r="Q67" s="170"/>
    </row>
    <row r="68" spans="1:17">
      <c r="B68" s="158" t="s">
        <v>218</v>
      </c>
      <c r="D68" s="169" t="s">
        <v>55</v>
      </c>
      <c r="G68" s="171"/>
      <c r="H68" s="171"/>
      <c r="I68" s="171"/>
      <c r="J68" s="171"/>
      <c r="K68" s="171"/>
      <c r="L68" s="171"/>
      <c r="M68" s="171"/>
      <c r="N68" s="171"/>
      <c r="O68" s="171"/>
      <c r="Q68" s="172" t="s">
        <v>291</v>
      </c>
    </row>
    <row r="69" spans="1:17">
      <c r="B69" s="158" t="s">
        <v>219</v>
      </c>
      <c r="D69" s="169" t="s">
        <v>55</v>
      </c>
      <c r="G69" s="171"/>
      <c r="H69" s="171"/>
      <c r="I69" s="171"/>
      <c r="J69" s="171"/>
      <c r="K69" s="171"/>
      <c r="L69" s="171"/>
      <c r="M69" s="171"/>
      <c r="N69" s="171"/>
      <c r="O69" s="171"/>
      <c r="Q69" s="172" t="s">
        <v>291</v>
      </c>
    </row>
    <row r="70" spans="1:17">
      <c r="B70" s="158" t="s">
        <v>220</v>
      </c>
      <c r="D70" s="169" t="s">
        <v>55</v>
      </c>
      <c r="G70" s="173">
        <f>G68+G69</f>
        <v>0</v>
      </c>
      <c r="H70" s="173">
        <f t="shared" ref="H70:O70" si="16">H68+H69</f>
        <v>0</v>
      </c>
      <c r="I70" s="173">
        <f t="shared" si="16"/>
        <v>0</v>
      </c>
      <c r="J70" s="173">
        <f t="shared" si="16"/>
        <v>0</v>
      </c>
      <c r="K70" s="173">
        <f t="shared" si="16"/>
        <v>0</v>
      </c>
      <c r="L70" s="173">
        <f t="shared" si="16"/>
        <v>0</v>
      </c>
      <c r="M70" s="173">
        <f t="shared" si="16"/>
        <v>0</v>
      </c>
      <c r="N70" s="173">
        <f t="shared" si="16"/>
        <v>0</v>
      </c>
      <c r="O70" s="173">
        <f t="shared" si="16"/>
        <v>0</v>
      </c>
    </row>
    <row r="71" spans="1:17" s="165" customFormat="1">
      <c r="D71" s="174"/>
      <c r="G71" s="175"/>
      <c r="H71" s="175"/>
      <c r="I71" s="175"/>
      <c r="J71" s="175"/>
      <c r="K71" s="175"/>
      <c r="L71" s="175"/>
      <c r="M71" s="175"/>
      <c r="N71" s="175"/>
      <c r="O71" s="175"/>
    </row>
    <row r="72" spans="1:17">
      <c r="B72" s="158" t="s">
        <v>62</v>
      </c>
      <c r="D72" s="169"/>
      <c r="E72" s="169"/>
      <c r="G72" s="171">
        <v>45</v>
      </c>
      <c r="H72" s="171">
        <v>45</v>
      </c>
      <c r="I72" s="171">
        <v>45</v>
      </c>
      <c r="J72" s="171">
        <v>45</v>
      </c>
      <c r="K72" s="171">
        <v>45</v>
      </c>
      <c r="L72" s="171">
        <v>45</v>
      </c>
      <c r="M72" s="171">
        <v>45</v>
      </c>
      <c r="N72" s="171">
        <v>45</v>
      </c>
      <c r="O72" s="171">
        <v>45</v>
      </c>
      <c r="Q72" s="172" t="s">
        <v>291</v>
      </c>
    </row>
    <row r="73" spans="1:17">
      <c r="B73" s="158" t="s">
        <v>221</v>
      </c>
      <c r="D73" s="169" t="s">
        <v>55</v>
      </c>
      <c r="G73" s="173">
        <f>G70/G72*0.5</f>
        <v>0</v>
      </c>
      <c r="H73" s="173">
        <f t="shared" ref="H73:O73" si="17">H70/H72*0.5</f>
        <v>0</v>
      </c>
      <c r="I73" s="173">
        <f t="shared" si="17"/>
        <v>0</v>
      </c>
      <c r="J73" s="173">
        <f t="shared" si="17"/>
        <v>0</v>
      </c>
      <c r="K73" s="173">
        <f t="shared" si="17"/>
        <v>0</v>
      </c>
      <c r="L73" s="173">
        <f t="shared" si="17"/>
        <v>0</v>
      </c>
      <c r="M73" s="173">
        <f t="shared" si="17"/>
        <v>0</v>
      </c>
      <c r="N73" s="173">
        <f t="shared" si="17"/>
        <v>0</v>
      </c>
      <c r="O73" s="173">
        <f t="shared" si="17"/>
        <v>0</v>
      </c>
    </row>
    <row r="74" spans="1:17">
      <c r="B74" s="158" t="s">
        <v>222</v>
      </c>
      <c r="D74" s="169" t="s">
        <v>55</v>
      </c>
      <c r="G74" s="173">
        <f>G70-G73</f>
        <v>0</v>
      </c>
      <c r="H74" s="173">
        <f t="shared" ref="H74:O74" si="18">H70-H73</f>
        <v>0</v>
      </c>
      <c r="I74" s="173">
        <f t="shared" si="18"/>
        <v>0</v>
      </c>
      <c r="J74" s="173">
        <f t="shared" si="18"/>
        <v>0</v>
      </c>
      <c r="K74" s="173">
        <f t="shared" si="18"/>
        <v>0</v>
      </c>
      <c r="L74" s="173">
        <f t="shared" si="18"/>
        <v>0</v>
      </c>
      <c r="M74" s="173">
        <f t="shared" si="18"/>
        <v>0</v>
      </c>
      <c r="N74" s="173">
        <f t="shared" si="18"/>
        <v>0</v>
      </c>
      <c r="O74" s="173">
        <f t="shared" si="18"/>
        <v>0</v>
      </c>
    </row>
    <row r="75" spans="1:17" s="165" customFormat="1">
      <c r="D75" s="174"/>
      <c r="G75" s="176"/>
      <c r="H75" s="176"/>
      <c r="I75" s="176"/>
      <c r="J75" s="176"/>
      <c r="K75" s="176"/>
      <c r="L75" s="176"/>
      <c r="M75" s="176"/>
      <c r="N75" s="176"/>
      <c r="O75" s="176"/>
    </row>
    <row r="76" spans="1:17">
      <c r="B76" s="158" t="s">
        <v>231</v>
      </c>
      <c r="D76" s="169"/>
      <c r="E76" s="177">
        <v>3.5999999999999997E-2</v>
      </c>
      <c r="G76" s="175"/>
      <c r="H76" s="175"/>
      <c r="I76" s="175"/>
      <c r="J76" s="175"/>
      <c r="K76" s="175"/>
      <c r="L76" s="175"/>
      <c r="M76" s="175"/>
      <c r="N76" s="175"/>
      <c r="O76" s="175"/>
    </row>
    <row r="77" spans="1:17">
      <c r="B77" s="158" t="s">
        <v>223</v>
      </c>
      <c r="D77" s="169" t="s">
        <v>55</v>
      </c>
      <c r="G77" s="173">
        <f>G70*$E$76+G73</f>
        <v>0</v>
      </c>
      <c r="H77" s="173">
        <f t="shared" ref="H77:N77" si="19">H70*$E$76+H73</f>
        <v>0</v>
      </c>
      <c r="I77" s="173">
        <f t="shared" si="19"/>
        <v>0</v>
      </c>
      <c r="J77" s="173">
        <f t="shared" si="19"/>
        <v>0</v>
      </c>
      <c r="K77" s="173">
        <f t="shared" si="19"/>
        <v>0</v>
      </c>
      <c r="L77" s="173">
        <f t="shared" si="19"/>
        <v>0</v>
      </c>
      <c r="M77" s="173">
        <f t="shared" si="19"/>
        <v>0</v>
      </c>
      <c r="N77" s="173">
        <f t="shared" si="19"/>
        <v>0</v>
      </c>
      <c r="O77" s="173">
        <f>O70*$E$76+O73</f>
        <v>0</v>
      </c>
    </row>
    <row r="78" spans="1:17" s="165" customFormat="1">
      <c r="D78" s="174"/>
      <c r="G78" s="178"/>
      <c r="H78" s="176"/>
      <c r="I78" s="176"/>
      <c r="J78" s="176"/>
      <c r="K78" s="176"/>
      <c r="L78" s="176"/>
      <c r="M78" s="176"/>
      <c r="N78" s="176"/>
      <c r="O78" s="176"/>
    </row>
    <row r="79" spans="1:17" s="165" customFormat="1">
      <c r="B79" s="165" t="s">
        <v>63</v>
      </c>
      <c r="D79" s="174"/>
      <c r="E79" s="179">
        <v>0.01</v>
      </c>
      <c r="G79" s="178"/>
      <c r="H79" s="176"/>
      <c r="I79" s="176"/>
      <c r="J79" s="176"/>
      <c r="K79" s="176"/>
      <c r="L79" s="176"/>
      <c r="M79" s="176"/>
      <c r="N79" s="176"/>
      <c r="O79" s="176"/>
    </row>
    <row r="80" spans="1:17">
      <c r="A80" s="165"/>
      <c r="B80" s="158" t="s">
        <v>224</v>
      </c>
      <c r="D80" s="169" t="s">
        <v>55</v>
      </c>
      <c r="G80" s="173">
        <f>G70*$E$79*0.5</f>
        <v>0</v>
      </c>
      <c r="H80" s="173">
        <f>H70*$E$79*0.5</f>
        <v>0</v>
      </c>
      <c r="I80" s="173">
        <f t="shared" ref="I80:O80" si="20">I70*$E$79*0.5</f>
        <v>0</v>
      </c>
      <c r="J80" s="173">
        <f t="shared" si="20"/>
        <v>0</v>
      </c>
      <c r="K80" s="173">
        <f t="shared" si="20"/>
        <v>0</v>
      </c>
      <c r="L80" s="173">
        <f t="shared" si="20"/>
        <v>0</v>
      </c>
      <c r="M80" s="173">
        <f t="shared" si="20"/>
        <v>0</v>
      </c>
      <c r="N80" s="173">
        <f t="shared" si="20"/>
        <v>0</v>
      </c>
      <c r="O80" s="173">
        <f t="shared" si="20"/>
        <v>0</v>
      </c>
    </row>
    <row r="81" spans="1:17">
      <c r="A81" s="165"/>
      <c r="G81" s="175"/>
      <c r="H81" s="175"/>
      <c r="I81" s="175"/>
      <c r="J81" s="175"/>
      <c r="K81" s="175"/>
      <c r="L81" s="175"/>
      <c r="M81" s="175"/>
      <c r="N81" s="175"/>
      <c r="O81" s="175"/>
    </row>
    <row r="82" spans="1:17">
      <c r="A82" s="165"/>
      <c r="B82" s="158" t="s">
        <v>225</v>
      </c>
      <c r="D82" s="169" t="s">
        <v>55</v>
      </c>
      <c r="G82" s="171"/>
      <c r="H82" s="171"/>
      <c r="I82" s="171"/>
      <c r="J82" s="171"/>
      <c r="K82" s="171"/>
      <c r="L82" s="171"/>
      <c r="M82" s="171"/>
      <c r="N82" s="171"/>
      <c r="O82" s="171"/>
      <c r="Q82" s="172" t="s">
        <v>291</v>
      </c>
    </row>
    <row r="84" spans="1:17">
      <c r="B84" s="158" t="s">
        <v>226</v>
      </c>
      <c r="D84" s="169" t="s">
        <v>55</v>
      </c>
      <c r="G84" s="180">
        <f>G77+G80-G82</f>
        <v>0</v>
      </c>
      <c r="H84" s="180">
        <f t="shared" ref="H84:M84" si="21">H77+H80-H82</f>
        <v>0</v>
      </c>
      <c r="I84" s="180">
        <f t="shared" si="21"/>
        <v>0</v>
      </c>
      <c r="J84" s="180">
        <f t="shared" si="21"/>
        <v>0</v>
      </c>
      <c r="K84" s="180">
        <f t="shared" si="21"/>
        <v>0</v>
      </c>
      <c r="L84" s="180">
        <f t="shared" si="21"/>
        <v>0</v>
      </c>
      <c r="M84" s="180">
        <f t="shared" si="21"/>
        <v>0</v>
      </c>
      <c r="N84" s="180">
        <f>N77+N80-N82</f>
        <v>0</v>
      </c>
      <c r="O84" s="180">
        <f>O77+O80-O82</f>
        <v>0</v>
      </c>
    </row>
  </sheetData>
  <mergeCells count="2">
    <mergeCell ref="B6:N6"/>
    <mergeCell ref="B8:N8"/>
  </mergeCells>
  <pageMargins left="0.75" right="0.75" top="1" bottom="1" header="0.5" footer="0.5"/>
  <pageSetup paperSize="9" scale="3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tabColor rgb="FF92D050"/>
    <pageSetUpPr fitToPage="1"/>
  </sheetPr>
  <dimension ref="A2:Q35"/>
  <sheetViews>
    <sheetView showGridLines="0" zoomScale="85" zoomScaleNormal="85" workbookViewId="0"/>
  </sheetViews>
  <sheetFormatPr defaultRowHeight="12.75"/>
  <cols>
    <col min="1" max="1" width="3.42578125" style="158" customWidth="1"/>
    <col min="2" max="2" width="87.5703125" style="158" customWidth="1"/>
    <col min="3" max="3" width="5.5703125" style="158" customWidth="1"/>
    <col min="4" max="4" width="10.140625" style="158" customWidth="1"/>
    <col min="5" max="5" width="6.42578125" style="158" bestFit="1" customWidth="1"/>
    <col min="6" max="6" width="3.28515625" style="158" customWidth="1"/>
    <col min="7" max="8" width="12.5703125" style="158" customWidth="1"/>
    <col min="9" max="9" width="15.140625" style="158" customWidth="1"/>
    <col min="10" max="10" width="15.28515625" style="158" bestFit="1" customWidth="1"/>
    <col min="11" max="11" width="14.42578125" style="158" customWidth="1"/>
    <col min="12" max="15" width="12.5703125" style="158" customWidth="1"/>
    <col min="16" max="16" width="7.5703125" style="158" customWidth="1"/>
    <col min="17" max="17" width="21.28515625" style="158" customWidth="1"/>
    <col min="18" max="16384" width="9.140625" style="158"/>
  </cols>
  <sheetData>
    <row r="2" spans="2:17" s="156" customFormat="1" ht="15.75">
      <c r="B2" s="155" t="s">
        <v>285</v>
      </c>
    </row>
    <row r="3" spans="2:17">
      <c r="B3" s="157"/>
    </row>
    <row r="4" spans="2:17" s="83" customFormat="1">
      <c r="B4" s="82" t="s">
        <v>1</v>
      </c>
    </row>
    <row r="5" spans="2:17" s="126" customFormat="1">
      <c r="B5" s="84"/>
    </row>
    <row r="6" spans="2:17" s="126" customFormat="1">
      <c r="B6" s="442" t="s">
        <v>401</v>
      </c>
    </row>
    <row r="7" spans="2:17" s="126" customFormat="1">
      <c r="B7" s="442" t="s">
        <v>400</v>
      </c>
    </row>
    <row r="8" spans="2:17" s="126" customFormat="1">
      <c r="B8" s="442" t="s">
        <v>402</v>
      </c>
    </row>
    <row r="9" spans="2:17">
      <c r="B9" s="442" t="s">
        <v>403</v>
      </c>
    </row>
    <row r="10" spans="2:17">
      <c r="B10" s="442" t="s">
        <v>404</v>
      </c>
    </row>
    <row r="12" spans="2:17" s="167" customFormat="1">
      <c r="B12" s="166" t="s">
        <v>378</v>
      </c>
    </row>
    <row r="14" spans="2:17">
      <c r="G14" s="302" t="s">
        <v>34</v>
      </c>
      <c r="H14" s="302" t="s">
        <v>7</v>
      </c>
      <c r="I14" s="302" t="s">
        <v>37</v>
      </c>
      <c r="J14" s="302" t="s">
        <v>40</v>
      </c>
      <c r="K14" s="302" t="s">
        <v>38</v>
      </c>
      <c r="L14" s="302" t="s">
        <v>8</v>
      </c>
      <c r="M14" s="302" t="s">
        <v>35</v>
      </c>
      <c r="N14" s="302" t="s">
        <v>39</v>
      </c>
      <c r="O14" s="302" t="s">
        <v>41</v>
      </c>
      <c r="Q14" s="168" t="s">
        <v>60</v>
      </c>
    </row>
    <row r="15" spans="2:17">
      <c r="D15" s="127"/>
    </row>
    <row r="16" spans="2:17">
      <c r="B16" s="137" t="s">
        <v>364</v>
      </c>
      <c r="D16" s="137" t="s">
        <v>209</v>
      </c>
      <c r="G16" s="145">
        <f>'TI-berekening 2015'!G11</f>
        <v>19716930.647848893</v>
      </c>
      <c r="H16" s="145">
        <f>'TI-berekening 2015'!H11</f>
        <v>27704320.481368724</v>
      </c>
      <c r="I16" s="145">
        <f>'TI-berekening 2015'!I11</f>
        <v>56323689.556603268</v>
      </c>
      <c r="J16" s="145">
        <f>'TI-berekening 2015'!J11</f>
        <v>289989858.81089127</v>
      </c>
      <c r="K16" s="145">
        <f>'TI-berekening 2015'!K11</f>
        <v>314059583.77982777</v>
      </c>
      <c r="L16" s="145">
        <f>'TI-berekening 2015'!L11</f>
        <v>16539034.211459206</v>
      </c>
      <c r="M16" s="145">
        <f>'TI-berekening 2015'!M11</f>
        <v>271139690.75568783</v>
      </c>
      <c r="N16" s="145">
        <f>'TI-berekening 2015'!N11</f>
        <v>17024050.060845274</v>
      </c>
      <c r="O16" s="145">
        <f>'TI-berekening 2015'!O11</f>
        <v>5359446.0576615762</v>
      </c>
    </row>
    <row r="17" spans="1:17">
      <c r="D17" s="127"/>
    </row>
    <row r="18" spans="1:17">
      <c r="A18" s="126"/>
      <c r="B18" s="127" t="s">
        <v>265</v>
      </c>
      <c r="C18" s="84"/>
      <c r="D18" s="126" t="s">
        <v>43</v>
      </c>
      <c r="E18" s="126"/>
      <c r="F18" s="126"/>
      <c r="G18" s="145">
        <f>'TI-berekening 2015'!G6</f>
        <v>22155782.462519988</v>
      </c>
      <c r="H18" s="145">
        <f>'TI-berekening 2015'!H6</f>
        <v>30603336.272270575</v>
      </c>
      <c r="I18" s="145">
        <f>'TI-berekening 2015'!I6</f>
        <v>62282919.272606239</v>
      </c>
      <c r="J18" s="145">
        <f>'TI-berekening 2015'!J6</f>
        <v>320334771.2753402</v>
      </c>
      <c r="K18" s="145">
        <f>'TI-berekening 2015'!K6</f>
        <v>342731735.95406991</v>
      </c>
      <c r="L18" s="145">
        <f>'TI-berekening 2015'!L6</f>
        <v>18354485.758633368</v>
      </c>
      <c r="M18" s="145">
        <f>'TI-berekening 2015'!M6</f>
        <v>297632151.81264526</v>
      </c>
      <c r="N18" s="145">
        <f>'TI-berekening 2015'!N6</f>
        <v>18389510.971848741</v>
      </c>
      <c r="O18" s="145">
        <f>'TI-berekening 2015'!O6</f>
        <v>6440014.167166301</v>
      </c>
      <c r="P18" s="362"/>
      <c r="Q18" s="127"/>
    </row>
    <row r="19" spans="1:17">
      <c r="A19" s="49"/>
      <c r="B19" s="127" t="s">
        <v>363</v>
      </c>
      <c r="C19" s="54"/>
      <c r="D19" s="49"/>
      <c r="E19" s="53"/>
      <c r="F19" s="53"/>
      <c r="G19" s="418">
        <v>8.3800000000000008</v>
      </c>
      <c r="H19" s="418">
        <v>7.89</v>
      </c>
      <c r="I19" s="418">
        <v>7.74</v>
      </c>
      <c r="J19" s="418">
        <v>7.68</v>
      </c>
      <c r="K19" s="418">
        <v>7.02</v>
      </c>
      <c r="L19" s="418">
        <v>7.73</v>
      </c>
      <c r="M19" s="418">
        <v>7.32</v>
      </c>
      <c r="N19" s="418">
        <v>8.27</v>
      </c>
      <c r="O19" s="418">
        <v>18.11</v>
      </c>
      <c r="P19" s="49"/>
      <c r="Q19" s="289" t="s">
        <v>384</v>
      </c>
    </row>
    <row r="20" spans="1:17">
      <c r="A20" s="49"/>
      <c r="B20" s="127"/>
      <c r="C20" s="54"/>
      <c r="D20" s="49"/>
      <c r="E20" s="53"/>
      <c r="F20" s="53"/>
      <c r="G20" s="44"/>
      <c r="H20" s="44"/>
      <c r="I20" s="44"/>
      <c r="J20" s="44"/>
      <c r="K20" s="44"/>
      <c r="L20" s="44"/>
      <c r="M20" s="44"/>
      <c r="N20" s="44"/>
      <c r="O20" s="44"/>
      <c r="P20" s="49"/>
      <c r="Q20" s="289"/>
    </row>
    <row r="21" spans="1:17">
      <c r="A21" s="49"/>
      <c r="B21" s="137" t="s">
        <v>57</v>
      </c>
      <c r="C21" s="54"/>
      <c r="D21" s="49" t="s">
        <v>51</v>
      </c>
      <c r="E21" s="102">
        <f>CPI!C17</f>
        <v>2.8000000000000001E-2</v>
      </c>
      <c r="F21" s="58"/>
      <c r="G21" s="44"/>
      <c r="H21" s="44"/>
      <c r="I21" s="44"/>
      <c r="J21" s="44"/>
      <c r="K21" s="44"/>
      <c r="L21" s="44"/>
      <c r="M21" s="44"/>
      <c r="N21" s="44"/>
      <c r="O21" s="44"/>
      <c r="P21" s="54"/>
      <c r="Q21" s="49"/>
    </row>
    <row r="22" spans="1:17">
      <c r="A22" s="49"/>
      <c r="B22" s="137" t="s">
        <v>207</v>
      </c>
      <c r="C22" s="54"/>
      <c r="D22" s="49" t="s">
        <v>51</v>
      </c>
      <c r="E22" s="102">
        <f>CPI!C18</f>
        <v>0.01</v>
      </c>
      <c r="F22" s="58"/>
      <c r="G22" s="44"/>
      <c r="H22" s="44"/>
      <c r="I22" s="44"/>
      <c r="J22" s="44"/>
      <c r="K22" s="44"/>
      <c r="L22" s="44"/>
      <c r="M22" s="44"/>
      <c r="N22" s="44"/>
      <c r="O22" s="44"/>
      <c r="P22" s="54"/>
      <c r="Q22" s="49"/>
    </row>
    <row r="23" spans="1:17">
      <c r="A23" s="49"/>
      <c r="B23" s="137"/>
      <c r="C23" s="54"/>
      <c r="D23" s="49"/>
      <c r="E23" s="44"/>
      <c r="F23" s="58"/>
      <c r="G23" s="44"/>
      <c r="H23" s="44"/>
      <c r="I23" s="44"/>
      <c r="J23" s="44"/>
      <c r="K23" s="44"/>
      <c r="L23" s="44"/>
      <c r="M23" s="44"/>
      <c r="N23" s="44"/>
      <c r="O23" s="44"/>
      <c r="P23" s="54"/>
      <c r="Q23" s="49"/>
    </row>
    <row r="24" spans="1:17">
      <c r="A24" s="49"/>
      <c r="B24" s="137" t="s">
        <v>365</v>
      </c>
      <c r="C24" s="54"/>
      <c r="D24" s="137" t="s">
        <v>209</v>
      </c>
      <c r="E24" s="54"/>
      <c r="F24" s="55"/>
      <c r="G24" s="56">
        <f>G18*(1-G19/100+$E$21)*(1-G19/100+$E$22)</f>
        <v>19375631.453789353</v>
      </c>
      <c r="H24" s="56">
        <f t="shared" ref="H24:O24" si="0">H18*(1-H19/100+$E$21)*(1-H19/100+$E$22)</f>
        <v>27044382.793192778</v>
      </c>
      <c r="I24" s="56">
        <f t="shared" si="0"/>
        <v>55215649.01825913</v>
      </c>
      <c r="J24" s="56">
        <f t="shared" si="0"/>
        <v>284348311.81670511</v>
      </c>
      <c r="K24" s="56">
        <f t="shared" si="0"/>
        <v>308506695.60366029</v>
      </c>
      <c r="L24" s="56">
        <f t="shared" si="0"/>
        <v>16275250.883930428</v>
      </c>
      <c r="M24" s="56">
        <f t="shared" si="0"/>
        <v>266219054.46630853</v>
      </c>
      <c r="N24" s="56">
        <f t="shared" si="0"/>
        <v>16119816.658421855</v>
      </c>
      <c r="O24" s="56">
        <f t="shared" si="0"/>
        <v>4520860.3856857158</v>
      </c>
      <c r="P24" s="7"/>
      <c r="Q24" s="7"/>
    </row>
    <row r="25" spans="1:17">
      <c r="D25" s="127"/>
    </row>
    <row r="26" spans="1:17">
      <c r="B26" s="158" t="s">
        <v>366</v>
      </c>
      <c r="D26" s="127" t="s">
        <v>209</v>
      </c>
      <c r="G26" s="56">
        <f t="shared" ref="G26:O26" si="1">G16-G24</f>
        <v>341299.19405953959</v>
      </c>
      <c r="H26" s="56">
        <f t="shared" si="1"/>
        <v>659937.68817594647</v>
      </c>
      <c r="I26" s="56">
        <f t="shared" si="1"/>
        <v>1108040.5383441374</v>
      </c>
      <c r="J26" s="56">
        <f t="shared" si="1"/>
        <v>5641546.9941861629</v>
      </c>
      <c r="K26" s="56">
        <f t="shared" si="1"/>
        <v>5552888.1761674881</v>
      </c>
      <c r="L26" s="56">
        <f t="shared" si="1"/>
        <v>263783.32752877846</v>
      </c>
      <c r="M26" s="56">
        <f t="shared" si="1"/>
        <v>4920636.2893792987</v>
      </c>
      <c r="N26" s="56">
        <f t="shared" si="1"/>
        <v>904233.40242341906</v>
      </c>
      <c r="O26" s="56">
        <f t="shared" si="1"/>
        <v>838585.67197586037</v>
      </c>
      <c r="Q26" s="127"/>
    </row>
    <row r="28" spans="1:17">
      <c r="B28" s="158" t="s">
        <v>367</v>
      </c>
      <c r="D28" s="127" t="s">
        <v>209</v>
      </c>
      <c r="G28" s="363">
        <f>-G26</f>
        <v>-341299.19405953959</v>
      </c>
      <c r="H28" s="363">
        <f t="shared" ref="H28:O28" si="2">-H26</f>
        <v>-659937.68817594647</v>
      </c>
      <c r="I28" s="363">
        <f t="shared" si="2"/>
        <v>-1108040.5383441374</v>
      </c>
      <c r="J28" s="363">
        <f t="shared" si="2"/>
        <v>-5641546.9941861629</v>
      </c>
      <c r="K28" s="363">
        <f t="shared" si="2"/>
        <v>-5552888.1761674881</v>
      </c>
      <c r="L28" s="363">
        <f t="shared" si="2"/>
        <v>-263783.32752877846</v>
      </c>
      <c r="M28" s="363">
        <f t="shared" si="2"/>
        <v>-4920636.2893792987</v>
      </c>
      <c r="N28" s="363">
        <f t="shared" si="2"/>
        <v>-904233.40242341906</v>
      </c>
      <c r="O28" s="363">
        <f t="shared" si="2"/>
        <v>-838585.67197586037</v>
      </c>
    </row>
    <row r="34" spans="7:16">
      <c r="G34" s="182"/>
      <c r="H34" s="182"/>
      <c r="I34" s="182"/>
      <c r="J34" s="182"/>
      <c r="K34" s="182"/>
      <c r="L34" s="182"/>
      <c r="M34" s="182"/>
      <c r="N34" s="182"/>
      <c r="O34" s="182"/>
      <c r="P34" s="182"/>
    </row>
    <row r="35" spans="7:16">
      <c r="G35" s="182"/>
      <c r="H35" s="182"/>
      <c r="I35" s="182"/>
      <c r="J35" s="182"/>
      <c r="K35" s="182"/>
      <c r="L35" s="182"/>
      <c r="M35" s="182"/>
      <c r="N35" s="182"/>
      <c r="O35" s="182"/>
      <c r="P35" s="182"/>
    </row>
  </sheetData>
  <pageMargins left="0.75" right="0.75" top="1" bottom="1" header="0.5" footer="0.5"/>
  <pageSetup paperSize="9" scale="41"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tabColor rgb="FF92D050"/>
    <pageSetUpPr fitToPage="1"/>
  </sheetPr>
  <dimension ref="A2:AD44"/>
  <sheetViews>
    <sheetView showGridLines="0" zoomScale="85" workbookViewId="0">
      <selection activeCell="B53" sqref="B53"/>
    </sheetView>
  </sheetViews>
  <sheetFormatPr defaultRowHeight="12.75"/>
  <cols>
    <col min="1" max="1" width="3.42578125" style="81" customWidth="1"/>
    <col min="2" max="2" width="64.85546875" style="81" customWidth="1"/>
    <col min="3" max="3" width="9.85546875" style="353" customWidth="1"/>
    <col min="4" max="4" width="10.140625" style="81" customWidth="1"/>
    <col min="5" max="5" width="3.28515625" style="81" customWidth="1"/>
    <col min="6" max="14" width="16.7109375" style="81" customWidth="1"/>
    <col min="15" max="15" width="7.5703125" style="81" customWidth="1"/>
    <col min="16" max="16" width="21.28515625" style="81" customWidth="1"/>
    <col min="17" max="16384" width="9.140625" style="81"/>
  </cols>
  <sheetData>
    <row r="2" spans="2:3" s="241" customFormat="1" ht="15.75">
      <c r="B2" s="305" t="s">
        <v>157</v>
      </c>
    </row>
    <row r="3" spans="2:3">
      <c r="B3" s="80"/>
    </row>
    <row r="4" spans="2:3" s="83" customFormat="1">
      <c r="B4" s="82" t="s">
        <v>1</v>
      </c>
      <c r="C4" s="354"/>
    </row>
    <row r="5" spans="2:3" s="126" customFormat="1">
      <c r="B5" s="84"/>
      <c r="C5" s="355"/>
    </row>
    <row r="6" spans="2:3" s="126" customFormat="1">
      <c r="B6" s="125" t="s">
        <v>280</v>
      </c>
      <c r="C6" s="355"/>
    </row>
    <row r="7" spans="2:3" s="126" customFormat="1">
      <c r="B7" s="125" t="s">
        <v>281</v>
      </c>
      <c r="C7" s="355"/>
    </row>
    <row r="8" spans="2:3" s="126" customFormat="1">
      <c r="B8" s="81"/>
      <c r="C8" s="355"/>
    </row>
    <row r="9" spans="2:3">
      <c r="B9" s="136" t="s">
        <v>282</v>
      </c>
    </row>
    <row r="10" spans="2:3">
      <c r="B10" s="139" t="s">
        <v>283</v>
      </c>
    </row>
    <row r="11" spans="2:3">
      <c r="B11" s="139" t="s">
        <v>284</v>
      </c>
    </row>
    <row r="12" spans="2:3">
      <c r="B12" s="139"/>
    </row>
    <row r="13" spans="2:3">
      <c r="B13" s="139" t="s">
        <v>405</v>
      </c>
    </row>
    <row r="15" spans="2:3" s="87" customFormat="1">
      <c r="B15" s="86" t="s">
        <v>408</v>
      </c>
      <c r="C15" s="356"/>
    </row>
    <row r="17" spans="1:30">
      <c r="F17" s="303" t="s">
        <v>34</v>
      </c>
      <c r="G17" s="303" t="s">
        <v>7</v>
      </c>
      <c r="H17" s="303" t="s">
        <v>37</v>
      </c>
      <c r="I17" s="303" t="s">
        <v>40</v>
      </c>
      <c r="J17" s="303" t="s">
        <v>38</v>
      </c>
      <c r="K17" s="303" t="s">
        <v>8</v>
      </c>
      <c r="L17" s="303" t="s">
        <v>35</v>
      </c>
      <c r="M17" s="303" t="s">
        <v>39</v>
      </c>
      <c r="N17" s="303" t="s">
        <v>41</v>
      </c>
      <c r="P17" s="88" t="s">
        <v>60</v>
      </c>
    </row>
    <row r="19" spans="1:30">
      <c r="B19" s="137" t="s">
        <v>279</v>
      </c>
      <c r="C19" s="357" t="s">
        <v>209</v>
      </c>
      <c r="F19" s="145">
        <f>'TI-berekening 2015'!G11</f>
        <v>19716930.647848893</v>
      </c>
      <c r="G19" s="145">
        <f>'TI-berekening 2015'!H11</f>
        <v>27704320.481368724</v>
      </c>
      <c r="H19" s="145">
        <f>'TI-berekening 2015'!I11</f>
        <v>56323689.556603268</v>
      </c>
      <c r="I19" s="145">
        <f>'TI-berekening 2015'!J11</f>
        <v>289989858.81089127</v>
      </c>
      <c r="J19" s="145">
        <f>'TI-berekening 2015'!K11</f>
        <v>314059583.77982777</v>
      </c>
      <c r="K19" s="145">
        <f>'TI-berekening 2015'!L11</f>
        <v>16539034.211459206</v>
      </c>
      <c r="L19" s="145">
        <f>'TI-berekening 2015'!M11</f>
        <v>271139690.75568783</v>
      </c>
      <c r="M19" s="145">
        <f>'TI-berekening 2015'!N11</f>
        <v>17024050.060845274</v>
      </c>
      <c r="N19" s="145">
        <f>'TI-berekening 2015'!O11</f>
        <v>5359446.0576615762</v>
      </c>
      <c r="P19" s="136"/>
    </row>
    <row r="21" spans="1:30">
      <c r="B21" s="127" t="s">
        <v>202</v>
      </c>
      <c r="C21" s="357" t="s">
        <v>43</v>
      </c>
      <c r="D21" s="127"/>
      <c r="E21" s="127"/>
      <c r="F21" s="146">
        <v>21839813.156255476</v>
      </c>
      <c r="G21" s="146">
        <v>30192586.525951568</v>
      </c>
      <c r="H21" s="146">
        <v>61388577.210334063</v>
      </c>
      <c r="I21" s="146">
        <v>315779375.08651531</v>
      </c>
      <c r="J21" s="146">
        <v>337906092.51713097</v>
      </c>
      <c r="K21" s="146">
        <v>18136261.925676413</v>
      </c>
      <c r="L21" s="146">
        <v>293615619.17440403</v>
      </c>
      <c r="M21" s="146">
        <v>18277223.718503132</v>
      </c>
      <c r="N21" s="146">
        <v>6440014.167166301</v>
      </c>
      <c r="P21" s="127" t="s">
        <v>385</v>
      </c>
    </row>
    <row r="22" spans="1:30">
      <c r="B22" s="127" t="s">
        <v>203</v>
      </c>
      <c r="C22" s="358"/>
      <c r="D22" s="127"/>
      <c r="E22" s="127"/>
      <c r="F22" s="147">
        <v>7.11</v>
      </c>
      <c r="G22" s="147">
        <v>6.32</v>
      </c>
      <c r="H22" s="147">
        <v>6.34</v>
      </c>
      <c r="I22" s="147">
        <v>6.29</v>
      </c>
      <c r="J22" s="147">
        <v>5.72</v>
      </c>
      <c r="K22" s="147">
        <v>6.59</v>
      </c>
      <c r="L22" s="147">
        <v>6.01</v>
      </c>
      <c r="M22" s="147">
        <v>5.49</v>
      </c>
      <c r="N22" s="147">
        <v>10.67</v>
      </c>
      <c r="P22" s="127" t="s">
        <v>386</v>
      </c>
    </row>
    <row r="23" spans="1:30">
      <c r="B23" s="127"/>
      <c r="C23" s="358"/>
      <c r="D23" s="127"/>
      <c r="E23" s="127"/>
      <c r="F23" s="44"/>
      <c r="G23" s="44"/>
      <c r="H23" s="44"/>
      <c r="I23" s="44"/>
      <c r="J23" s="44"/>
      <c r="K23" s="44"/>
      <c r="L23" s="44"/>
      <c r="M23" s="44"/>
      <c r="N23" s="44"/>
      <c r="P23" s="127"/>
    </row>
    <row r="24" spans="1:30">
      <c r="A24" s="49"/>
      <c r="B24" s="78" t="s">
        <v>57</v>
      </c>
      <c r="C24" s="351" t="s">
        <v>51</v>
      </c>
      <c r="D24" s="350">
        <f>CPI!C17</f>
        <v>2.8000000000000001E-2</v>
      </c>
      <c r="E24" s="58"/>
      <c r="F24" s="44"/>
      <c r="G24" s="44"/>
      <c r="H24" s="44"/>
      <c r="I24" s="44"/>
      <c r="J24" s="44"/>
      <c r="K24" s="44"/>
      <c r="L24" s="44"/>
      <c r="M24" s="44"/>
      <c r="N24" s="44"/>
      <c r="O24" s="54"/>
      <c r="P24" s="49"/>
    </row>
    <row r="25" spans="1:30">
      <c r="A25" s="49"/>
      <c r="B25" s="78" t="s">
        <v>207</v>
      </c>
      <c r="C25" s="351" t="s">
        <v>51</v>
      </c>
      <c r="D25" s="350">
        <f>CPI!C18</f>
        <v>0.01</v>
      </c>
      <c r="E25" s="58"/>
      <c r="F25" s="44"/>
      <c r="G25" s="44"/>
      <c r="H25" s="44"/>
      <c r="I25" s="44"/>
      <c r="J25" s="44"/>
      <c r="K25" s="44"/>
      <c r="L25" s="44"/>
      <c r="M25" s="44"/>
      <c r="N25" s="44"/>
      <c r="O25" s="54"/>
      <c r="P25" s="49"/>
    </row>
    <row r="26" spans="1:30">
      <c r="A26" s="49"/>
      <c r="B26" s="78"/>
      <c r="C26" s="352"/>
      <c r="D26" s="44"/>
      <c r="E26" s="58"/>
      <c r="F26" s="44"/>
      <c r="G26" s="44"/>
      <c r="H26" s="44"/>
      <c r="I26" s="44"/>
      <c r="J26" s="44"/>
      <c r="K26" s="44"/>
      <c r="L26" s="44"/>
      <c r="M26" s="44"/>
      <c r="N26" s="44"/>
      <c r="O26" s="54"/>
      <c r="P26" s="49"/>
    </row>
    <row r="27" spans="1:30">
      <c r="A27" s="49"/>
      <c r="B27" s="137" t="s">
        <v>292</v>
      </c>
      <c r="C27" s="357" t="s">
        <v>209</v>
      </c>
      <c r="D27" s="54"/>
      <c r="E27" s="55"/>
      <c r="F27" s="56">
        <f>(F21*(1-F22/100+$D$24))*(1-F22/100+$D$25)</f>
        <v>19621617.807737473</v>
      </c>
      <c r="G27" s="56">
        <f t="shared" ref="G27:N27" si="0">(G21*(1-G22/100+$D$24))*(1-G22/100+$D$25)</f>
        <v>27580101.722289406</v>
      </c>
      <c r="H27" s="56">
        <f t="shared" si="0"/>
        <v>56053318.064871728</v>
      </c>
      <c r="I27" s="56">
        <f t="shared" si="0"/>
        <v>288636940.99399781</v>
      </c>
      <c r="J27" s="56">
        <f t="shared" si="0"/>
        <v>312555782.74177295</v>
      </c>
      <c r="K27" s="56">
        <f t="shared" si="0"/>
        <v>16473504.222926324</v>
      </c>
      <c r="L27" s="56">
        <f t="shared" si="0"/>
        <v>269952610.85318047</v>
      </c>
      <c r="M27" s="56">
        <f t="shared" si="0"/>
        <v>16986994.469094057</v>
      </c>
      <c r="N27" s="56">
        <f t="shared" si="0"/>
        <v>5359446.0576615762</v>
      </c>
      <c r="O27" s="7"/>
      <c r="P27" s="7"/>
    </row>
    <row r="29" spans="1:30">
      <c r="B29" s="136" t="s">
        <v>293</v>
      </c>
      <c r="C29" s="358" t="s">
        <v>209</v>
      </c>
      <c r="F29" s="91">
        <f>F27-F19</f>
        <v>-95312.840111419559</v>
      </c>
      <c r="G29" s="91">
        <f t="shared" ref="G29:N29" si="1">G27-G19</f>
        <v>-124218.75907931849</v>
      </c>
      <c r="H29" s="91">
        <f t="shared" si="1"/>
        <v>-270371.49173153937</v>
      </c>
      <c r="I29" s="91">
        <f t="shared" si="1"/>
        <v>-1352917.8168934584</v>
      </c>
      <c r="J29" s="91">
        <f t="shared" si="1"/>
        <v>-1503801.0380548239</v>
      </c>
      <c r="K29" s="91">
        <f t="shared" si="1"/>
        <v>-65529.988532882184</v>
      </c>
      <c r="L29" s="91">
        <f t="shared" si="1"/>
        <v>-1187079.9025073647</v>
      </c>
      <c r="M29" s="91">
        <f>M27-M19</f>
        <v>-37055.591751217842</v>
      </c>
      <c r="N29" s="91">
        <f t="shared" si="1"/>
        <v>0</v>
      </c>
    </row>
    <row r="32" spans="1:30">
      <c r="F32" s="44"/>
      <c r="G32" s="44"/>
      <c r="H32" s="44"/>
      <c r="I32" s="44"/>
      <c r="J32" s="44"/>
      <c r="K32" s="44"/>
      <c r="L32" s="44"/>
      <c r="M32" s="44"/>
      <c r="N32" s="44"/>
      <c r="O32" s="85"/>
      <c r="P32" s="85"/>
      <c r="Q32" s="85"/>
      <c r="R32" s="85"/>
      <c r="S32" s="85"/>
      <c r="T32" s="85"/>
      <c r="U32" s="85"/>
      <c r="V32" s="85"/>
      <c r="W32" s="85"/>
      <c r="X32" s="85"/>
      <c r="Y32" s="85"/>
      <c r="Z32" s="85"/>
      <c r="AA32" s="85"/>
      <c r="AB32" s="85"/>
      <c r="AC32" s="85"/>
      <c r="AD32" s="85"/>
    </row>
    <row r="33" spans="3:30">
      <c r="F33" s="150"/>
      <c r="G33" s="150"/>
      <c r="H33" s="150"/>
      <c r="I33" s="150"/>
      <c r="J33" s="150"/>
      <c r="K33" s="150"/>
      <c r="L33" s="150"/>
      <c r="M33" s="150"/>
      <c r="N33" s="150"/>
      <c r="O33" s="85"/>
      <c r="P33" s="85"/>
      <c r="Q33" s="85"/>
      <c r="R33" s="85"/>
      <c r="S33" s="85"/>
      <c r="T33" s="85"/>
      <c r="U33" s="85"/>
      <c r="V33" s="85"/>
      <c r="W33" s="85"/>
      <c r="X33" s="85"/>
      <c r="Y33" s="85"/>
      <c r="Z33" s="85"/>
      <c r="AA33" s="85"/>
      <c r="AB33" s="85"/>
      <c r="AC33" s="85"/>
      <c r="AD33" s="85"/>
    </row>
    <row r="34" spans="3:30">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row>
    <row r="36" spans="3:30">
      <c r="C36" s="360"/>
      <c r="F36" s="361"/>
      <c r="G36" s="361"/>
      <c r="H36" s="361"/>
      <c r="I36" s="361"/>
      <c r="J36" s="361"/>
      <c r="K36" s="361"/>
      <c r="L36" s="361"/>
      <c r="M36" s="361"/>
      <c r="N36" s="361"/>
    </row>
    <row r="37" spans="3:30">
      <c r="C37" s="360"/>
      <c r="F37" s="361"/>
      <c r="G37" s="361"/>
      <c r="H37" s="361"/>
      <c r="I37" s="361"/>
      <c r="J37" s="361"/>
      <c r="K37" s="361"/>
      <c r="L37" s="361"/>
      <c r="M37" s="361"/>
      <c r="N37" s="361"/>
    </row>
    <row r="39" spans="3:30">
      <c r="F39" s="359"/>
    </row>
    <row r="40" spans="3:30">
      <c r="F40" s="359"/>
      <c r="G40" s="359"/>
      <c r="H40" s="359"/>
      <c r="I40" s="359"/>
      <c r="J40" s="359"/>
      <c r="K40" s="359"/>
      <c r="L40" s="359"/>
      <c r="M40" s="359"/>
      <c r="N40" s="359"/>
    </row>
    <row r="41" spans="3:30">
      <c r="C41" s="360"/>
      <c r="F41" s="361"/>
      <c r="G41" s="361"/>
      <c r="H41" s="361"/>
      <c r="I41" s="361"/>
      <c r="J41" s="361"/>
      <c r="K41" s="361"/>
      <c r="L41" s="361"/>
      <c r="M41" s="361"/>
      <c r="N41" s="361"/>
    </row>
    <row r="44" spans="3:30">
      <c r="F44" s="359"/>
    </row>
  </sheetData>
  <pageMargins left="0.75" right="0.75" top="1" bottom="1" header="0.5" footer="0.5"/>
  <pageSetup paperSize="9" scale="32" orientation="landscape"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8">
    <tabColor rgb="FF92D050"/>
    <pageSetUpPr fitToPage="1"/>
  </sheetPr>
  <dimension ref="A2:BG96"/>
  <sheetViews>
    <sheetView showGridLines="0" tabSelected="1" topLeftCell="A10" zoomScale="80" zoomScaleNormal="80" workbookViewId="0">
      <selection activeCell="I46" sqref="I46"/>
    </sheetView>
  </sheetViews>
  <sheetFormatPr defaultRowHeight="12.75"/>
  <cols>
    <col min="1" max="1" width="4.28515625" style="226" customWidth="1"/>
    <col min="2" max="2" width="65" style="226" customWidth="1"/>
    <col min="3" max="3" width="13" style="226" customWidth="1"/>
    <col min="4" max="4" width="7.140625" style="226" customWidth="1"/>
    <col min="5" max="5" width="2.28515625" style="226" customWidth="1"/>
    <col min="6" max="15" width="14" style="226" customWidth="1"/>
    <col min="16" max="17" width="12.42578125" style="226" customWidth="1"/>
    <col min="18" max="18" width="9.28515625" style="226" bestFit="1" customWidth="1"/>
    <col min="19" max="16384" width="9.140625" style="226"/>
  </cols>
  <sheetData>
    <row r="2" spans="1:16" s="241" customFormat="1" ht="15.75">
      <c r="B2" s="305" t="s">
        <v>274</v>
      </c>
      <c r="C2" s="240"/>
    </row>
    <row r="4" spans="1:16" s="242" customFormat="1">
      <c r="B4" s="92" t="s">
        <v>1</v>
      </c>
      <c r="C4" s="10"/>
    </row>
    <row r="6" spans="1:16">
      <c r="B6" s="243" t="s">
        <v>318</v>
      </c>
      <c r="C6" s="33"/>
      <c r="D6" s="33"/>
      <c r="E6" s="33"/>
      <c r="F6" s="33"/>
      <c r="G6" s="33"/>
      <c r="H6" s="33"/>
    </row>
    <row r="7" spans="1:16">
      <c r="B7" s="243" t="s">
        <v>99</v>
      </c>
      <c r="C7" s="33"/>
      <c r="D7" s="33"/>
      <c r="E7" s="33"/>
      <c r="F7" s="33"/>
      <c r="G7" s="33"/>
      <c r="H7" s="33"/>
    </row>
    <row r="8" spans="1:16">
      <c r="B8" s="174" t="s">
        <v>395</v>
      </c>
      <c r="C8" s="33"/>
      <c r="D8" s="33"/>
      <c r="E8" s="33"/>
      <c r="F8" s="33"/>
      <c r="G8" s="33"/>
      <c r="H8" s="33"/>
    </row>
    <row r="9" spans="1:16">
      <c r="B9" s="244" t="s">
        <v>307</v>
      </c>
      <c r="C9" s="33"/>
      <c r="D9" s="33"/>
      <c r="E9" s="33"/>
      <c r="F9" s="33"/>
      <c r="G9" s="33"/>
      <c r="H9" s="33"/>
    </row>
    <row r="10" spans="1:16" s="247" customFormat="1">
      <c r="A10" s="226"/>
      <c r="B10" s="245"/>
      <c r="C10" s="246"/>
    </row>
    <row r="11" spans="1:16" s="247" customFormat="1">
      <c r="A11" s="226"/>
      <c r="B11" s="93" t="s">
        <v>74</v>
      </c>
      <c r="C11" s="246"/>
    </row>
    <row r="12" spans="1:16" s="247" customFormat="1">
      <c r="A12" s="226"/>
      <c r="B12" s="245" t="s">
        <v>75</v>
      </c>
      <c r="C12" s="248">
        <f>CPI!C12</f>
        <v>3.2000000000000001E-2</v>
      </c>
    </row>
    <row r="13" spans="1:16" s="247" customFormat="1">
      <c r="A13" s="226"/>
      <c r="B13" s="245" t="s">
        <v>76</v>
      </c>
      <c r="C13" s="248">
        <f>CPI!C13</f>
        <v>3.0000000000000001E-3</v>
      </c>
      <c r="G13" s="94"/>
    </row>
    <row r="14" spans="1:16" s="247" customFormat="1">
      <c r="A14" s="226"/>
      <c r="B14" s="245" t="s">
        <v>77</v>
      </c>
      <c r="C14" s="248">
        <f>CPI!C14</f>
        <v>1.4999999999999999E-2</v>
      </c>
      <c r="F14" s="422"/>
      <c r="G14" s="422"/>
      <c r="H14" s="422"/>
      <c r="I14" s="422"/>
      <c r="J14" s="422"/>
      <c r="K14" s="422"/>
      <c r="L14" s="422"/>
      <c r="M14" s="422"/>
      <c r="N14" s="422"/>
      <c r="O14" s="422"/>
    </row>
    <row r="15" spans="1:16" s="247" customFormat="1">
      <c r="A15" s="226"/>
      <c r="B15" s="245" t="s">
        <v>78</v>
      </c>
      <c r="C15" s="248">
        <f>CPI!C15</f>
        <v>2.5999999999999999E-2</v>
      </c>
      <c r="G15" s="94"/>
    </row>
    <row r="16" spans="1:16" s="247" customFormat="1">
      <c r="A16" s="226"/>
      <c r="B16" s="245" t="s">
        <v>240</v>
      </c>
      <c r="C16" s="248">
        <f>CPI!C16</f>
        <v>2.3E-2</v>
      </c>
      <c r="F16" s="420"/>
      <c r="G16" s="421"/>
      <c r="H16" s="420"/>
      <c r="I16" s="420"/>
      <c r="J16" s="420"/>
      <c r="K16" s="420"/>
      <c r="L16" s="420"/>
      <c r="M16" s="420"/>
      <c r="N16" s="420"/>
      <c r="O16" s="420"/>
      <c r="P16" s="420"/>
    </row>
    <row r="17" spans="1:17" s="247" customFormat="1">
      <c r="A17" s="226"/>
      <c r="B17" s="245"/>
      <c r="F17" s="420"/>
      <c r="G17" s="420"/>
      <c r="H17" s="420"/>
      <c r="I17" s="420"/>
      <c r="J17" s="420"/>
      <c r="K17" s="420"/>
      <c r="L17" s="420"/>
      <c r="M17" s="420"/>
      <c r="N17" s="420"/>
      <c r="O17" s="420"/>
      <c r="P17" s="420"/>
    </row>
    <row r="18" spans="1:17" s="247" customFormat="1">
      <c r="A18" s="226"/>
      <c r="B18" s="245" t="s">
        <v>101</v>
      </c>
      <c r="C18" s="249">
        <v>6.2E-2</v>
      </c>
      <c r="F18" s="94" t="s">
        <v>100</v>
      </c>
      <c r="I18" s="271"/>
      <c r="J18" s="271"/>
      <c r="K18" s="285"/>
      <c r="L18" s="285"/>
    </row>
    <row r="19" spans="1:17" s="247" customFormat="1">
      <c r="A19" s="226"/>
      <c r="B19" s="245"/>
      <c r="C19" s="246"/>
      <c r="G19" s="94"/>
    </row>
    <row r="20" spans="1:17">
      <c r="B20" s="13"/>
      <c r="C20" s="13"/>
    </row>
    <row r="21" spans="1:17" s="250" customFormat="1">
      <c r="A21" s="95"/>
      <c r="B21" s="185" t="s">
        <v>345</v>
      </c>
    </row>
    <row r="22" spans="1:17" s="247" customFormat="1">
      <c r="A22" s="226"/>
    </row>
    <row r="23" spans="1:17" s="247" customFormat="1">
      <c r="A23" s="226"/>
      <c r="E23" s="251"/>
      <c r="F23" s="239" t="s">
        <v>34</v>
      </c>
      <c r="G23" s="239" t="s">
        <v>7</v>
      </c>
      <c r="H23" s="239" t="s">
        <v>37</v>
      </c>
      <c r="I23" s="239" t="s">
        <v>40</v>
      </c>
      <c r="J23" s="239" t="s">
        <v>36</v>
      </c>
      <c r="K23" s="239" t="s">
        <v>38</v>
      </c>
      <c r="L23" s="239" t="s">
        <v>8</v>
      </c>
      <c r="M23" s="239" t="s">
        <v>35</v>
      </c>
      <c r="N23" s="239" t="s">
        <v>39</v>
      </c>
      <c r="O23" s="239" t="s">
        <v>41</v>
      </c>
    </row>
    <row r="24" spans="1:17" s="247" customFormat="1">
      <c r="A24" s="226"/>
      <c r="B24" s="252"/>
      <c r="C24" s="252"/>
      <c r="D24" s="252"/>
      <c r="E24" s="252"/>
      <c r="F24" s="252"/>
      <c r="G24" s="252"/>
      <c r="H24" s="252"/>
      <c r="I24" s="252"/>
      <c r="J24" s="252"/>
      <c r="K24" s="252"/>
      <c r="L24" s="252"/>
      <c r="M24" s="252"/>
      <c r="N24" s="252"/>
    </row>
    <row r="25" spans="1:17" s="251" customFormat="1">
      <c r="A25" s="124"/>
      <c r="B25" s="124" t="s">
        <v>46</v>
      </c>
      <c r="C25" s="124"/>
      <c r="D25" s="124"/>
      <c r="E25" s="253"/>
      <c r="F25" s="253"/>
      <c r="G25" s="253"/>
      <c r="H25" s="253"/>
      <c r="I25" s="253"/>
      <c r="J25" s="253"/>
      <c r="K25" s="253"/>
      <c r="L25" s="253"/>
      <c r="M25" s="253"/>
      <c r="N25" s="253"/>
      <c r="O25" s="253"/>
    </row>
    <row r="26" spans="1:17" s="247" customFormat="1">
      <c r="A26" s="226"/>
      <c r="B26" s="252"/>
      <c r="C26" s="252"/>
      <c r="D26" s="252"/>
      <c r="E26" s="252"/>
      <c r="F26" s="252"/>
      <c r="G26" s="252"/>
      <c r="H26" s="252"/>
      <c r="I26" s="252"/>
      <c r="J26" s="252"/>
      <c r="K26" s="252"/>
      <c r="L26" s="252"/>
      <c r="M26" s="252"/>
      <c r="N26" s="252"/>
      <c r="O26" s="252"/>
    </row>
    <row r="27" spans="1:17" s="247" customFormat="1">
      <c r="A27" s="226"/>
      <c r="B27" s="252" t="s">
        <v>80</v>
      </c>
      <c r="C27" s="254" t="s">
        <v>16</v>
      </c>
      <c r="D27" s="252"/>
      <c r="E27" s="252"/>
      <c r="F27" s="255">
        <v>20974689.139083423</v>
      </c>
      <c r="G27" s="255">
        <v>28191962.10643756</v>
      </c>
      <c r="H27" s="255">
        <v>56313253.417172283</v>
      </c>
      <c r="I27" s="255">
        <v>255402247.48385102</v>
      </c>
      <c r="J27" s="255">
        <v>24634122.018842854</v>
      </c>
      <c r="K27" s="255">
        <v>300101545.81190544</v>
      </c>
      <c r="L27" s="255">
        <v>16801466.255111758</v>
      </c>
      <c r="M27" s="255">
        <v>264252163.266929</v>
      </c>
      <c r="N27" s="255">
        <v>15550254.477646317</v>
      </c>
      <c r="O27" s="255">
        <v>9673806.0199826322</v>
      </c>
      <c r="P27" s="96"/>
      <c r="Q27" s="125" t="s">
        <v>394</v>
      </c>
    </row>
    <row r="28" spans="1:17" s="247" customFormat="1">
      <c r="A28" s="226"/>
      <c r="B28" s="252"/>
      <c r="C28" s="252"/>
      <c r="D28" s="252"/>
      <c r="E28" s="252"/>
      <c r="F28" s="252"/>
      <c r="G28" s="252"/>
      <c r="H28" s="252"/>
      <c r="I28" s="252"/>
      <c r="J28" s="252"/>
      <c r="K28" s="252"/>
      <c r="L28" s="252"/>
      <c r="M28" s="252"/>
      <c r="N28" s="252"/>
      <c r="O28" s="252"/>
      <c r="P28" s="257"/>
    </row>
    <row r="29" spans="1:17" s="251" customFormat="1">
      <c r="A29" s="124"/>
      <c r="B29" s="124" t="s">
        <v>42</v>
      </c>
      <c r="C29" s="124"/>
      <c r="D29" s="253"/>
      <c r="E29" s="253"/>
      <c r="F29" s="253"/>
      <c r="G29" s="253"/>
      <c r="H29" s="253"/>
      <c r="I29" s="253"/>
      <c r="J29" s="253"/>
      <c r="K29" s="253"/>
      <c r="L29" s="253"/>
      <c r="M29" s="253"/>
      <c r="N29" s="253"/>
      <c r="O29" s="253"/>
      <c r="P29" s="258"/>
    </row>
    <row r="30" spans="1:17" s="247" customFormat="1">
      <c r="A30" s="226"/>
      <c r="B30" s="252"/>
      <c r="C30" s="252"/>
      <c r="D30" s="252"/>
      <c r="E30" s="252"/>
      <c r="F30" s="252"/>
      <c r="G30" s="252"/>
      <c r="H30" s="252"/>
      <c r="I30" s="252"/>
      <c r="L30" s="252"/>
      <c r="O30" s="252"/>
      <c r="P30" s="257"/>
    </row>
    <row r="31" spans="1:17" s="247" customFormat="1">
      <c r="A31" s="226"/>
      <c r="B31" s="252" t="s">
        <v>42</v>
      </c>
      <c r="C31" s="254" t="s">
        <v>16</v>
      </c>
      <c r="D31" s="252"/>
      <c r="E31" s="252"/>
      <c r="F31" s="255">
        <v>20842088.467926275</v>
      </c>
      <c r="G31" s="255">
        <v>28052306.479089014</v>
      </c>
      <c r="H31" s="255">
        <v>57826238.81549073</v>
      </c>
      <c r="I31" s="255">
        <v>276828216.56428647</v>
      </c>
      <c r="J31" s="255">
        <v>23472756.319182783</v>
      </c>
      <c r="K31" s="255">
        <v>319407771.88374025</v>
      </c>
      <c r="L31" s="255">
        <v>17764134.506136276</v>
      </c>
      <c r="M31" s="255">
        <v>283593804.99398702</v>
      </c>
      <c r="N31" s="255">
        <v>17935145.109825619</v>
      </c>
      <c r="O31" s="255">
        <v>4818132.1975846197</v>
      </c>
      <c r="P31" s="96"/>
      <c r="Q31" s="125" t="s">
        <v>394</v>
      </c>
    </row>
    <row r="32" spans="1:17" s="247" customFormat="1">
      <c r="A32" s="226"/>
      <c r="B32" s="252"/>
      <c r="C32" s="252"/>
      <c r="D32" s="252"/>
      <c r="E32" s="252"/>
      <c r="F32" s="259"/>
      <c r="G32" s="259"/>
      <c r="H32" s="259"/>
      <c r="I32" s="259"/>
      <c r="J32" s="259"/>
      <c r="K32" s="259"/>
      <c r="L32" s="259"/>
      <c r="M32" s="259"/>
      <c r="N32" s="259"/>
      <c r="O32" s="259"/>
      <c r="P32" s="94"/>
    </row>
    <row r="33" spans="1:17" s="247" customFormat="1">
      <c r="A33" s="226"/>
      <c r="B33" s="252" t="s">
        <v>81</v>
      </c>
      <c r="C33" s="254" t="s">
        <v>16</v>
      </c>
      <c r="D33" s="252"/>
      <c r="E33" s="252"/>
      <c r="F33" s="255">
        <v>827490.28196408215</v>
      </c>
      <c r="G33" s="255">
        <v>273735.85129999998</v>
      </c>
      <c r="H33" s="255">
        <v>0</v>
      </c>
      <c r="I33" s="255">
        <v>612833</v>
      </c>
      <c r="J33" s="255">
        <v>1442418.7881454069</v>
      </c>
      <c r="K33" s="255">
        <v>7025708.1134089027</v>
      </c>
      <c r="L33" s="255">
        <v>3175333.3683898957</v>
      </c>
      <c r="M33" s="255">
        <v>12979225.211999999</v>
      </c>
      <c r="N33" s="255">
        <v>2501.482</v>
      </c>
      <c r="O33" s="255">
        <v>0</v>
      </c>
      <c r="P33" s="96"/>
      <c r="Q33" s="125" t="s">
        <v>394</v>
      </c>
    </row>
    <row r="34" spans="1:17" s="247" customFormat="1">
      <c r="A34" s="226"/>
      <c r="B34" s="252"/>
      <c r="C34" s="252"/>
      <c r="D34" s="252"/>
      <c r="E34" s="252"/>
      <c r="F34" s="260"/>
      <c r="G34" s="260"/>
      <c r="H34" s="260"/>
      <c r="I34" s="260"/>
      <c r="J34" s="260"/>
      <c r="K34" s="260"/>
      <c r="L34" s="260"/>
      <c r="M34" s="260"/>
      <c r="N34" s="260"/>
      <c r="O34" s="260"/>
    </row>
    <row r="35" spans="1:17" s="247" customFormat="1">
      <c r="A35" s="124"/>
      <c r="B35" s="261" t="s">
        <v>102</v>
      </c>
      <c r="C35" s="261"/>
      <c r="D35" s="261"/>
      <c r="E35" s="261"/>
      <c r="F35" s="407">
        <v>0.2</v>
      </c>
      <c r="G35" s="407">
        <v>0.1</v>
      </c>
      <c r="H35" s="407">
        <v>-0.9</v>
      </c>
      <c r="I35" s="407">
        <v>-2.8000000000000003</v>
      </c>
      <c r="J35" s="407">
        <v>1.5</v>
      </c>
      <c r="K35" s="407">
        <v>-2.2000000000000002</v>
      </c>
      <c r="L35" s="407">
        <v>-1.9000000000000001</v>
      </c>
      <c r="M35" s="407">
        <v>-2.4</v>
      </c>
      <c r="N35" s="407">
        <v>-4.8999999999999995</v>
      </c>
      <c r="O35" s="407">
        <v>20.7</v>
      </c>
      <c r="P35" s="96"/>
      <c r="Q35" s="125" t="s">
        <v>394</v>
      </c>
    </row>
    <row r="36" spans="1:17" s="247" customFormat="1">
      <c r="A36" s="226"/>
    </row>
    <row r="37" spans="1:17" s="247" customFormat="1">
      <c r="A37" s="226"/>
    </row>
    <row r="38" spans="1:17" s="247" customFormat="1">
      <c r="A38" s="226"/>
      <c r="B38" s="97" t="s">
        <v>82</v>
      </c>
      <c r="C38" s="254" t="s">
        <v>19</v>
      </c>
      <c r="F38" s="262">
        <f>F27*((1-F35/100)+$C$14)</f>
        <v>21247360.097891506</v>
      </c>
      <c r="G38" s="262">
        <f t="shared" ref="G38:O38" si="0">G27*(1-G35/100+$C$14)</f>
        <v>28586649.575927686</v>
      </c>
      <c r="H38" s="262">
        <f t="shared" si="0"/>
        <v>57664771.499184407</v>
      </c>
      <c r="I38" s="262">
        <f t="shared" si="0"/>
        <v>266384544.1256566</v>
      </c>
      <c r="J38" s="262">
        <f t="shared" si="0"/>
        <v>24634122.018842854</v>
      </c>
      <c r="K38" s="262">
        <f t="shared" si="0"/>
        <v>311205303.00694591</v>
      </c>
      <c r="L38" s="262">
        <f t="shared" si="0"/>
        <v>17372716.107785553</v>
      </c>
      <c r="M38" s="262">
        <f t="shared" si="0"/>
        <v>274557997.63433921</v>
      </c>
      <c r="N38" s="262">
        <f t="shared" si="0"/>
        <v>16545470.76421568</v>
      </c>
      <c r="O38" s="262">
        <f t="shared" si="0"/>
        <v>7816435.2641459676</v>
      </c>
    </row>
    <row r="39" spans="1:17" s="247" customFormat="1">
      <c r="A39" s="226"/>
      <c r="B39" s="97" t="s">
        <v>83</v>
      </c>
      <c r="C39" s="254" t="s">
        <v>61</v>
      </c>
      <c r="F39" s="262">
        <f>F38*(1-F35/100+$C$15)</f>
        <v>21757296.740240902</v>
      </c>
      <c r="G39" s="262">
        <f t="shared" ref="G39:O39" si="1">G38*(1-G35/100+$C$15)</f>
        <v>29301315.815325875</v>
      </c>
      <c r="H39" s="262">
        <f t="shared" si="1"/>
        <v>59683038.501655854</v>
      </c>
      <c r="I39" s="262">
        <f t="shared" si="1"/>
        <v>280769309.5084421</v>
      </c>
      <c r="J39" s="262">
        <f t="shared" si="1"/>
        <v>24905097.361050121</v>
      </c>
      <c r="K39" s="262">
        <f t="shared" si="1"/>
        <v>326143157.55127931</v>
      </c>
      <c r="L39" s="262">
        <f t="shared" si="1"/>
        <v>18154488.332635902</v>
      </c>
      <c r="M39" s="262">
        <f t="shared" si="1"/>
        <v>288285897.51605618</v>
      </c>
      <c r="N39" s="262">
        <f t="shared" si="1"/>
        <v>17786381.071531855</v>
      </c>
      <c r="O39" s="262">
        <f t="shared" si="1"/>
        <v>6401660.4813355478</v>
      </c>
    </row>
    <row r="40" spans="1:17" s="247" customFormat="1">
      <c r="A40" s="226"/>
      <c r="B40" s="97" t="s">
        <v>239</v>
      </c>
      <c r="C40" s="254" t="s">
        <v>43</v>
      </c>
      <c r="F40" s="262">
        <f>F39*(1-F35/100+$C$16)</f>
        <v>22214199.971785959</v>
      </c>
      <c r="G40" s="262">
        <f t="shared" ref="G40:O40" si="2">G39*(1-G35/100+$C$16)</f>
        <v>29945944.763263043</v>
      </c>
      <c r="H40" s="262">
        <f t="shared" si="2"/>
        <v>61592895.733708829</v>
      </c>
      <c r="I40" s="262">
        <f t="shared" si="2"/>
        <v>295088544.29337263</v>
      </c>
      <c r="J40" s="262">
        <f t="shared" si="2"/>
        <v>25104338.139938522</v>
      </c>
      <c r="K40" s="262">
        <f t="shared" si="2"/>
        <v>340819599.64108688</v>
      </c>
      <c r="L40" s="262">
        <f t="shared" si="2"/>
        <v>18916976.842606608</v>
      </c>
      <c r="M40" s="262">
        <f t="shared" si="2"/>
        <v>301835334.69931078</v>
      </c>
      <c r="N40" s="262">
        <f t="shared" si="2"/>
        <v>19067000.508682147</v>
      </c>
      <c r="O40" s="262">
        <f t="shared" si="2"/>
        <v>5223754.9527698075</v>
      </c>
    </row>
    <row r="41" spans="1:17" s="247" customFormat="1">
      <c r="A41" s="226"/>
    </row>
    <row r="42" spans="1:17" s="250" customFormat="1">
      <c r="B42" s="95" t="s">
        <v>84</v>
      </c>
      <c r="C42" s="95"/>
    </row>
    <row r="43" spans="1:17" s="247" customFormat="1"/>
    <row r="44" spans="1:17" s="247" customFormat="1">
      <c r="E44" s="251"/>
      <c r="F44" s="239" t="s">
        <v>34</v>
      </c>
      <c r="G44" s="239" t="s">
        <v>7</v>
      </c>
      <c r="H44" s="239" t="s">
        <v>37</v>
      </c>
      <c r="I44" s="239" t="s">
        <v>40</v>
      </c>
      <c r="J44" s="239" t="s">
        <v>36</v>
      </c>
      <c r="K44" s="239" t="s">
        <v>38</v>
      </c>
      <c r="L44" s="239" t="s">
        <v>8</v>
      </c>
      <c r="M44" s="239" t="s">
        <v>35</v>
      </c>
      <c r="N44" s="239" t="s">
        <v>39</v>
      </c>
      <c r="O44" s="239" t="s">
        <v>41</v>
      </c>
    </row>
    <row r="45" spans="1:17" s="247" customFormat="1">
      <c r="B45" s="97" t="s">
        <v>49</v>
      </c>
      <c r="C45" s="97"/>
    </row>
    <row r="46" spans="1:17" s="247" customFormat="1">
      <c r="B46" s="247" t="s">
        <v>309</v>
      </c>
      <c r="C46" s="254" t="s">
        <v>43</v>
      </c>
      <c r="F46" s="263"/>
      <c r="G46" s="263"/>
      <c r="H46" s="263"/>
      <c r="I46" s="264"/>
      <c r="J46" s="264">
        <v>7657820.2989759436</v>
      </c>
      <c r="K46" s="263"/>
      <c r="L46" s="264">
        <v>10547207.368485067</v>
      </c>
      <c r="M46" s="263"/>
      <c r="N46" s="263"/>
      <c r="O46" s="263"/>
      <c r="Q46" s="367" t="s">
        <v>342</v>
      </c>
    </row>
    <row r="47" spans="1:17" s="247" customFormat="1">
      <c r="B47" s="247" t="s">
        <v>310</v>
      </c>
      <c r="C47" s="254" t="s">
        <v>43</v>
      </c>
      <c r="F47" s="263"/>
      <c r="G47" s="263"/>
      <c r="H47" s="263"/>
      <c r="I47" s="265"/>
      <c r="J47" s="265">
        <v>850868.9221084381</v>
      </c>
      <c r="K47" s="263"/>
      <c r="L47" s="265">
        <v>2109441.4736970025</v>
      </c>
      <c r="M47" s="263"/>
      <c r="N47" s="263"/>
      <c r="O47" s="263"/>
      <c r="Q47" s="367" t="s">
        <v>342</v>
      </c>
    </row>
    <row r="48" spans="1:17" s="247" customFormat="1">
      <c r="L48" s="266"/>
    </row>
    <row r="49" spans="1:17" s="247" customFormat="1">
      <c r="B49" s="247" t="s">
        <v>85</v>
      </c>
      <c r="C49" s="254" t="s">
        <v>43</v>
      </c>
      <c r="F49" s="262">
        <f t="shared" ref="F49:H49" si="3">F46*$C$18</f>
        <v>0</v>
      </c>
      <c r="G49" s="262">
        <f t="shared" si="3"/>
        <v>0</v>
      </c>
      <c r="H49" s="262">
        <f t="shared" si="3"/>
        <v>0</v>
      </c>
      <c r="I49" s="262">
        <f>I46*$C$18</f>
        <v>0</v>
      </c>
      <c r="J49" s="262">
        <f t="shared" ref="J49" si="4">J46*$C$18</f>
        <v>474784.85853650852</v>
      </c>
      <c r="K49" s="262">
        <f>K46*$C$18</f>
        <v>0</v>
      </c>
      <c r="L49" s="262">
        <f>L46*$C$18</f>
        <v>653926.85684607411</v>
      </c>
      <c r="M49" s="262">
        <f>M46*$C$18</f>
        <v>0</v>
      </c>
      <c r="N49" s="262">
        <f>N46*$C$18</f>
        <v>0</v>
      </c>
      <c r="O49" s="262">
        <f>O46*$C$18</f>
        <v>0</v>
      </c>
    </row>
    <row r="50" spans="1:17" s="247" customFormat="1"/>
    <row r="51" spans="1:17" s="247" customFormat="1">
      <c r="B51" s="97" t="s">
        <v>48</v>
      </c>
    </row>
    <row r="52" spans="1:17" s="247" customFormat="1">
      <c r="B52" s="247" t="s">
        <v>319</v>
      </c>
      <c r="C52" s="254" t="s">
        <v>43</v>
      </c>
      <c r="F52" s="255"/>
      <c r="G52" s="255">
        <v>451449</v>
      </c>
      <c r="H52" s="255"/>
      <c r="I52" s="255"/>
      <c r="J52" s="255"/>
      <c r="K52" s="255">
        <v>17769008.27</v>
      </c>
      <c r="L52" s="255">
        <v>96750.48</v>
      </c>
      <c r="M52" s="255">
        <v>12227935</v>
      </c>
      <c r="N52" s="255"/>
      <c r="O52" s="255"/>
      <c r="Q52" s="94" t="s">
        <v>308</v>
      </c>
    </row>
    <row r="53" spans="1:17" s="247" customFormat="1">
      <c r="B53" s="247" t="s">
        <v>320</v>
      </c>
      <c r="C53" s="254" t="s">
        <v>43</v>
      </c>
      <c r="F53" s="255">
        <v>540.23069999999996</v>
      </c>
      <c r="G53" s="255"/>
      <c r="H53" s="255"/>
      <c r="I53" s="255">
        <v>787547.461689958</v>
      </c>
      <c r="J53" s="255"/>
      <c r="K53" s="255"/>
      <c r="L53" s="255"/>
      <c r="M53" s="255"/>
      <c r="N53" s="255"/>
      <c r="O53" s="255"/>
      <c r="Q53" s="94" t="s">
        <v>308</v>
      </c>
    </row>
    <row r="54" spans="1:17" s="247" customFormat="1"/>
    <row r="55" spans="1:17" s="247" customFormat="1">
      <c r="B55" s="247" t="s">
        <v>311</v>
      </c>
      <c r="C55" s="254" t="s">
        <v>43</v>
      </c>
      <c r="F55" s="267">
        <f>F47+F49+F52+F53</f>
        <v>540.23069999999996</v>
      </c>
      <c r="G55" s="267">
        <f t="shared" ref="G55:O55" si="5">G47+G49+G52+G53</f>
        <v>451449</v>
      </c>
      <c r="H55" s="267">
        <f t="shared" si="5"/>
        <v>0</v>
      </c>
      <c r="I55" s="267">
        <f t="shared" si="5"/>
        <v>787547.461689958</v>
      </c>
      <c r="J55" s="267">
        <f t="shared" si="5"/>
        <v>1325653.7806449467</v>
      </c>
      <c r="K55" s="267">
        <f t="shared" si="5"/>
        <v>17769008.27</v>
      </c>
      <c r="L55" s="267">
        <f t="shared" si="5"/>
        <v>2860118.8105430766</v>
      </c>
      <c r="M55" s="267">
        <f t="shared" si="5"/>
        <v>12227935</v>
      </c>
      <c r="N55" s="267">
        <f t="shared" si="5"/>
        <v>0</v>
      </c>
      <c r="O55" s="267">
        <f t="shared" si="5"/>
        <v>0</v>
      </c>
    </row>
    <row r="56" spans="1:17" s="247" customFormat="1">
      <c r="B56" s="247" t="s">
        <v>312</v>
      </c>
      <c r="C56" s="254" t="s">
        <v>16</v>
      </c>
      <c r="F56" s="268">
        <f>F55/(1+$C$14)/(1+$C$15)/(1+$C$16)</f>
        <v>507.0960454134742</v>
      </c>
      <c r="G56" s="268">
        <f t="shared" ref="G56:O56" si="6">G55/(1+$C$14)/(1+$C$15)/(1+$C$16)</f>
        <v>423759.70600313443</v>
      </c>
      <c r="H56" s="268">
        <f t="shared" si="6"/>
        <v>0</v>
      </c>
      <c r="I56" s="268">
        <f t="shared" si="6"/>
        <v>739243.81453774706</v>
      </c>
      <c r="J56" s="268">
        <f>J55/(1+$C$14)/(1+$C$15)/(1+$C$16)</f>
        <v>1244345.776262759</v>
      </c>
      <c r="K56" s="268">
        <f t="shared" si="6"/>
        <v>16679159.152999485</v>
      </c>
      <c r="L56" s="268">
        <f t="shared" si="6"/>
        <v>2684695.5166359185</v>
      </c>
      <c r="M56" s="268">
        <f t="shared" si="6"/>
        <v>11477943.556471359</v>
      </c>
      <c r="N56" s="268">
        <f t="shared" si="6"/>
        <v>0</v>
      </c>
      <c r="O56" s="268">
        <f t="shared" si="6"/>
        <v>0</v>
      </c>
    </row>
    <row r="57" spans="1:17" s="247" customFormat="1">
      <c r="F57" s="269"/>
    </row>
    <row r="58" spans="1:17" s="247" customFormat="1">
      <c r="B58" s="97" t="s">
        <v>86</v>
      </c>
    </row>
    <row r="59" spans="1:17" s="247" customFormat="1">
      <c r="B59" s="247" t="s">
        <v>87</v>
      </c>
      <c r="C59" s="254" t="s">
        <v>16</v>
      </c>
      <c r="F59" s="270">
        <f>F56</f>
        <v>507.0960454134742</v>
      </c>
      <c r="G59" s="270">
        <f t="shared" ref="G59:J59" si="7">G56</f>
        <v>423759.70600313443</v>
      </c>
      <c r="H59" s="270">
        <f t="shared" si="7"/>
        <v>0</v>
      </c>
      <c r="I59" s="270">
        <f t="shared" si="7"/>
        <v>739243.81453774706</v>
      </c>
      <c r="J59" s="270">
        <f t="shared" si="7"/>
        <v>1244345.776262759</v>
      </c>
      <c r="K59" s="270">
        <f>K56</f>
        <v>16679159.152999485</v>
      </c>
      <c r="L59" s="270">
        <f>L56</f>
        <v>2684695.5166359185</v>
      </c>
      <c r="M59" s="270">
        <f>M56</f>
        <v>11477943.556471359</v>
      </c>
      <c r="N59" s="270">
        <f>N56</f>
        <v>0</v>
      </c>
      <c r="O59" s="270">
        <f t="shared" ref="O59" si="8">O56</f>
        <v>0</v>
      </c>
    </row>
    <row r="60" spans="1:17" s="247" customFormat="1">
      <c r="G60" s="271"/>
      <c r="H60" s="271"/>
      <c r="I60" s="271"/>
      <c r="J60" s="271"/>
      <c r="K60" s="271"/>
      <c r="L60" s="271"/>
      <c r="M60" s="271"/>
      <c r="N60" s="271"/>
    </row>
    <row r="61" spans="1:17" s="10" customFormat="1">
      <c r="B61" s="185" t="s">
        <v>346</v>
      </c>
    </row>
    <row r="62" spans="1:17" s="247" customFormat="1"/>
    <row r="63" spans="1:17" s="247" customFormat="1">
      <c r="E63" s="251"/>
      <c r="F63" s="239" t="s">
        <v>34</v>
      </c>
      <c r="G63" s="239" t="s">
        <v>7</v>
      </c>
      <c r="H63" s="239" t="s">
        <v>37</v>
      </c>
      <c r="I63" s="239" t="s">
        <v>40</v>
      </c>
      <c r="J63" s="239" t="s">
        <v>36</v>
      </c>
      <c r="K63" s="239" t="s">
        <v>38</v>
      </c>
      <c r="L63" s="239" t="s">
        <v>8</v>
      </c>
      <c r="M63" s="239" t="s">
        <v>35</v>
      </c>
      <c r="N63" s="239" t="s">
        <v>39</v>
      </c>
      <c r="O63" s="239" t="s">
        <v>41</v>
      </c>
    </row>
    <row r="64" spans="1:17" s="247" customFormat="1">
      <c r="A64" s="252"/>
      <c r="B64" s="252"/>
      <c r="C64" s="252"/>
      <c r="D64" s="252"/>
      <c r="E64" s="252"/>
      <c r="F64" s="252"/>
      <c r="G64" s="252"/>
      <c r="H64" s="252"/>
      <c r="I64" s="252"/>
      <c r="J64" s="252"/>
      <c r="K64" s="252"/>
      <c r="L64" s="252"/>
      <c r="M64" s="252"/>
      <c r="N64" s="252"/>
    </row>
    <row r="65" spans="1:59" s="251" customFormat="1">
      <c r="A65" s="253"/>
      <c r="B65" s="124" t="s">
        <v>46</v>
      </c>
      <c r="C65" s="124"/>
      <c r="D65" s="124"/>
      <c r="E65" s="253"/>
      <c r="F65" s="253"/>
      <c r="G65" s="253"/>
      <c r="H65" s="253"/>
      <c r="I65" s="253"/>
      <c r="J65" s="253"/>
      <c r="K65" s="253"/>
      <c r="L65" s="253"/>
      <c r="M65" s="253"/>
      <c r="N65" s="253"/>
      <c r="O65" s="253"/>
    </row>
    <row r="66" spans="1:59" s="247" customFormat="1">
      <c r="A66" s="252"/>
      <c r="B66" s="252"/>
      <c r="C66" s="252"/>
      <c r="D66" s="252"/>
      <c r="E66" s="252"/>
      <c r="F66" s="252"/>
      <c r="G66" s="252"/>
      <c r="H66" s="252"/>
      <c r="I66" s="252"/>
      <c r="J66" s="252"/>
      <c r="K66" s="252"/>
      <c r="L66" s="252"/>
      <c r="M66" s="252"/>
      <c r="N66" s="252"/>
      <c r="O66" s="252"/>
    </row>
    <row r="67" spans="1:59" s="247" customFormat="1">
      <c r="A67" s="252"/>
      <c r="B67" s="252" t="s">
        <v>80</v>
      </c>
      <c r="C67" s="254" t="s">
        <v>16</v>
      </c>
      <c r="D67" s="252"/>
      <c r="E67" s="252"/>
      <c r="F67" s="369">
        <f t="shared" ref="F67:O67" si="9">F27</f>
        <v>20974689.139083423</v>
      </c>
      <c r="G67" s="369">
        <f t="shared" si="9"/>
        <v>28191962.10643756</v>
      </c>
      <c r="H67" s="369">
        <f t="shared" si="9"/>
        <v>56313253.417172283</v>
      </c>
      <c r="I67" s="369">
        <f t="shared" si="9"/>
        <v>255402247.48385102</v>
      </c>
      <c r="J67" s="369">
        <f t="shared" si="9"/>
        <v>24634122.018842854</v>
      </c>
      <c r="K67" s="369">
        <f t="shared" si="9"/>
        <v>300101545.81190544</v>
      </c>
      <c r="L67" s="369">
        <f t="shared" si="9"/>
        <v>16801466.255111758</v>
      </c>
      <c r="M67" s="369">
        <f t="shared" si="9"/>
        <v>264252163.266929</v>
      </c>
      <c r="N67" s="369">
        <f t="shared" si="9"/>
        <v>15550254.477646317</v>
      </c>
      <c r="O67" s="369">
        <f t="shared" si="9"/>
        <v>9673806.0199826322</v>
      </c>
      <c r="P67" s="96"/>
    </row>
    <row r="68" spans="1:59" s="247" customFormat="1">
      <c r="A68" s="252"/>
      <c r="B68" s="252"/>
      <c r="C68" s="252"/>
      <c r="D68" s="252"/>
      <c r="E68" s="252"/>
      <c r="F68" s="252"/>
      <c r="G68" s="252"/>
      <c r="H68" s="252"/>
      <c r="I68" s="252"/>
      <c r="J68" s="252"/>
      <c r="K68" s="252"/>
      <c r="L68" s="252"/>
      <c r="M68" s="252"/>
      <c r="N68" s="252"/>
      <c r="O68" s="252"/>
      <c r="P68" s="257"/>
    </row>
    <row r="69" spans="1:59" s="222" customFormat="1">
      <c r="B69" s="20" t="s">
        <v>42</v>
      </c>
      <c r="C69" s="20"/>
      <c r="P69" s="223"/>
      <c r="Q69" s="247"/>
      <c r="R69" s="223"/>
      <c r="S69" s="223"/>
      <c r="T69" s="223"/>
      <c r="U69" s="223"/>
      <c r="V69" s="223"/>
      <c r="W69" s="223"/>
      <c r="X69" s="223"/>
      <c r="Y69" s="223"/>
      <c r="Z69" s="223"/>
      <c r="AA69" s="223"/>
      <c r="AB69" s="223"/>
      <c r="AC69" s="223"/>
      <c r="AD69" s="223"/>
      <c r="AE69" s="223"/>
      <c r="AF69" s="223"/>
      <c r="AG69" s="223"/>
      <c r="AH69" s="223"/>
      <c r="AI69" s="223"/>
      <c r="AJ69" s="223"/>
      <c r="AK69" s="223"/>
      <c r="AL69" s="223"/>
      <c r="AM69" s="223"/>
      <c r="AN69" s="223"/>
      <c r="AO69" s="223"/>
      <c r="AP69" s="223"/>
      <c r="AQ69" s="223"/>
      <c r="AR69" s="223"/>
      <c r="AS69" s="223"/>
      <c r="AT69" s="223"/>
      <c r="AU69" s="223"/>
      <c r="AV69" s="223"/>
      <c r="AW69" s="223"/>
      <c r="AX69" s="223"/>
      <c r="AY69" s="223"/>
      <c r="AZ69" s="223"/>
      <c r="BA69" s="223"/>
      <c r="BB69" s="223"/>
      <c r="BC69" s="223"/>
      <c r="BD69" s="223"/>
      <c r="BE69" s="223"/>
      <c r="BF69" s="223"/>
      <c r="BG69" s="223"/>
    </row>
    <row r="70" spans="1:59" s="17" customFormat="1">
      <c r="P70" s="272"/>
      <c r="Q70" s="247"/>
      <c r="R70" s="223"/>
      <c r="S70" s="223"/>
      <c r="T70" s="223"/>
      <c r="U70" s="223"/>
      <c r="V70" s="223"/>
      <c r="W70" s="223"/>
      <c r="X70" s="223"/>
      <c r="Y70" s="223"/>
      <c r="Z70" s="223"/>
      <c r="AA70" s="223"/>
      <c r="AB70" s="223"/>
      <c r="AC70" s="223"/>
      <c r="AD70" s="223"/>
      <c r="AE70" s="223"/>
      <c r="AF70" s="223"/>
      <c r="AG70" s="223"/>
      <c r="AH70" s="223"/>
      <c r="AI70" s="223"/>
      <c r="AJ70" s="223"/>
      <c r="AK70" s="223"/>
      <c r="AL70" s="223"/>
      <c r="AM70" s="223"/>
      <c r="AN70" s="223"/>
      <c r="AO70" s="223"/>
      <c r="AP70" s="223"/>
      <c r="AQ70" s="223"/>
      <c r="AR70" s="223"/>
      <c r="AS70" s="223"/>
      <c r="AT70" s="223"/>
      <c r="AU70" s="223"/>
      <c r="AV70" s="223"/>
      <c r="AW70" s="223"/>
      <c r="AX70" s="223"/>
      <c r="AY70" s="223"/>
      <c r="AZ70" s="223"/>
      <c r="BA70" s="223"/>
      <c r="BB70" s="223"/>
      <c r="BC70" s="223"/>
      <c r="BD70" s="223"/>
      <c r="BE70" s="223"/>
      <c r="BF70" s="223"/>
      <c r="BG70" s="223"/>
    </row>
    <row r="71" spans="1:59" s="17" customFormat="1">
      <c r="B71" s="17" t="s">
        <v>343</v>
      </c>
      <c r="C71" s="32" t="s">
        <v>16</v>
      </c>
      <c r="F71" s="369">
        <f>F31</f>
        <v>20842088.467926275</v>
      </c>
      <c r="G71" s="369">
        <f t="shared" ref="G71:O71" si="10">G31</f>
        <v>28052306.479089014</v>
      </c>
      <c r="H71" s="369">
        <f t="shared" si="10"/>
        <v>57826238.81549073</v>
      </c>
      <c r="I71" s="369">
        <f t="shared" si="10"/>
        <v>276828216.56428647</v>
      </c>
      <c r="J71" s="369">
        <f t="shared" si="10"/>
        <v>23472756.319182783</v>
      </c>
      <c r="K71" s="369">
        <f t="shared" si="10"/>
        <v>319407771.88374025</v>
      </c>
      <c r="L71" s="369">
        <f t="shared" si="10"/>
        <v>17764134.506136276</v>
      </c>
      <c r="M71" s="369">
        <f t="shared" si="10"/>
        <v>283593804.99398702</v>
      </c>
      <c r="N71" s="369">
        <f t="shared" si="10"/>
        <v>17935145.109825619</v>
      </c>
      <c r="O71" s="369">
        <f t="shared" si="10"/>
        <v>4818132.1975846197</v>
      </c>
      <c r="P71" s="272"/>
      <c r="Q71" s="247"/>
      <c r="R71" s="256"/>
      <c r="S71" s="223"/>
      <c r="T71" s="223"/>
      <c r="U71" s="223"/>
      <c r="V71" s="223"/>
      <c r="W71" s="223"/>
      <c r="X71" s="223"/>
      <c r="Y71" s="223"/>
      <c r="Z71" s="223"/>
      <c r="AA71" s="223"/>
      <c r="AB71" s="223"/>
      <c r="AC71" s="223"/>
      <c r="AD71" s="223"/>
      <c r="AE71" s="223"/>
      <c r="AF71" s="223"/>
      <c r="AG71" s="223"/>
      <c r="AH71" s="223"/>
      <c r="AI71" s="223"/>
      <c r="AJ71" s="223"/>
      <c r="AK71" s="223"/>
      <c r="AL71" s="223"/>
      <c r="AM71" s="223"/>
      <c r="AN71" s="223"/>
      <c r="AO71" s="223"/>
      <c r="AP71" s="223"/>
      <c r="AQ71" s="223"/>
      <c r="AR71" s="223"/>
      <c r="AS71" s="223"/>
      <c r="AT71" s="223"/>
      <c r="AU71" s="223"/>
      <c r="AV71" s="223"/>
      <c r="AW71" s="223"/>
      <c r="AX71" s="223"/>
      <c r="AY71" s="223"/>
      <c r="AZ71" s="223"/>
      <c r="BA71" s="223"/>
      <c r="BB71" s="223"/>
      <c r="BC71" s="223"/>
      <c r="BD71" s="223"/>
      <c r="BE71" s="223"/>
      <c r="BF71" s="223"/>
      <c r="BG71" s="223"/>
    </row>
    <row r="72" spans="1:59" s="17" customFormat="1">
      <c r="B72" s="17" t="s">
        <v>54</v>
      </c>
      <c r="C72" s="32" t="s">
        <v>16</v>
      </c>
      <c r="F72" s="369">
        <f t="shared" ref="F72:O72" si="11">F33</f>
        <v>827490.28196408215</v>
      </c>
      <c r="G72" s="369">
        <f t="shared" si="11"/>
        <v>273735.85129999998</v>
      </c>
      <c r="H72" s="369">
        <f t="shared" si="11"/>
        <v>0</v>
      </c>
      <c r="I72" s="369">
        <f t="shared" si="11"/>
        <v>612833</v>
      </c>
      <c r="J72" s="369">
        <f t="shared" si="11"/>
        <v>1442418.7881454069</v>
      </c>
      <c r="K72" s="369">
        <f t="shared" si="11"/>
        <v>7025708.1134089027</v>
      </c>
      <c r="L72" s="369">
        <f t="shared" si="11"/>
        <v>3175333.3683898957</v>
      </c>
      <c r="M72" s="369">
        <f t="shared" si="11"/>
        <v>12979225.211999999</v>
      </c>
      <c r="N72" s="369">
        <f t="shared" si="11"/>
        <v>2501.482</v>
      </c>
      <c r="O72" s="369">
        <f t="shared" si="11"/>
        <v>0</v>
      </c>
      <c r="P72" s="272"/>
      <c r="Q72" s="247"/>
      <c r="R72" s="256"/>
      <c r="S72" s="223"/>
      <c r="T72" s="223"/>
      <c r="U72" s="223"/>
      <c r="V72" s="223"/>
      <c r="W72" s="223"/>
      <c r="X72" s="223"/>
      <c r="Y72" s="223"/>
      <c r="Z72" s="223"/>
      <c r="AA72" s="223"/>
      <c r="AB72" s="223"/>
      <c r="AC72" s="223"/>
      <c r="AD72" s="223"/>
      <c r="AE72" s="223"/>
      <c r="AF72" s="223"/>
      <c r="AG72" s="223"/>
      <c r="AH72" s="223"/>
      <c r="AI72" s="223"/>
      <c r="AJ72" s="223"/>
      <c r="AK72" s="223"/>
      <c r="AL72" s="223"/>
      <c r="AM72" s="223"/>
      <c r="AN72" s="223"/>
      <c r="AO72" s="223"/>
      <c r="AP72" s="223"/>
      <c r="AQ72" s="223"/>
      <c r="AR72" s="223"/>
      <c r="AS72" s="223"/>
      <c r="AT72" s="223"/>
      <c r="AU72" s="223"/>
      <c r="AV72" s="223"/>
      <c r="AW72" s="223"/>
      <c r="AX72" s="223"/>
      <c r="AY72" s="223"/>
      <c r="AZ72" s="223"/>
      <c r="BA72" s="223"/>
      <c r="BB72" s="223"/>
      <c r="BC72" s="223"/>
      <c r="BD72" s="223"/>
      <c r="BE72" s="223"/>
      <c r="BF72" s="223"/>
      <c r="BG72" s="223"/>
    </row>
    <row r="73" spans="1:59" s="17" customFormat="1">
      <c r="B73" s="17" t="s">
        <v>313</v>
      </c>
      <c r="C73" s="32" t="s">
        <v>16</v>
      </c>
      <c r="F73" s="273">
        <f t="shared" ref="F73:O73" si="12">F59</f>
        <v>507.0960454134742</v>
      </c>
      <c r="G73" s="273">
        <f t="shared" si="12"/>
        <v>423759.70600313443</v>
      </c>
      <c r="H73" s="273">
        <f t="shared" si="12"/>
        <v>0</v>
      </c>
      <c r="I73" s="273">
        <f t="shared" si="12"/>
        <v>739243.81453774706</v>
      </c>
      <c r="J73" s="273">
        <f t="shared" si="12"/>
        <v>1244345.776262759</v>
      </c>
      <c r="K73" s="273">
        <f t="shared" si="12"/>
        <v>16679159.152999485</v>
      </c>
      <c r="L73" s="273">
        <f t="shared" si="12"/>
        <v>2684695.5166359185</v>
      </c>
      <c r="M73" s="273">
        <f t="shared" si="12"/>
        <v>11477943.556471359</v>
      </c>
      <c r="N73" s="273">
        <f t="shared" si="12"/>
        <v>0</v>
      </c>
      <c r="O73" s="273">
        <f t="shared" si="12"/>
        <v>0</v>
      </c>
      <c r="P73" s="272"/>
      <c r="Q73" s="247"/>
      <c r="R73" s="223"/>
      <c r="S73" s="223"/>
      <c r="T73" s="223"/>
      <c r="U73" s="223"/>
      <c r="V73" s="223"/>
      <c r="W73" s="223"/>
      <c r="X73" s="223"/>
      <c r="Y73" s="223"/>
      <c r="Z73" s="223"/>
      <c r="AA73" s="223"/>
      <c r="AB73" s="223"/>
      <c r="AC73" s="223"/>
      <c r="AD73" s="223"/>
      <c r="AE73" s="223"/>
      <c r="AF73" s="223"/>
      <c r="AG73" s="223"/>
      <c r="AH73" s="223"/>
      <c r="AI73" s="223"/>
      <c r="AJ73" s="223"/>
      <c r="AK73" s="223"/>
      <c r="AL73" s="223"/>
      <c r="AM73" s="223"/>
      <c r="AN73" s="223"/>
      <c r="AO73" s="223"/>
      <c r="AP73" s="223"/>
      <c r="AQ73" s="223"/>
      <c r="AR73" s="223"/>
      <c r="AS73" s="223"/>
      <c r="AT73" s="223"/>
      <c r="AU73" s="223"/>
      <c r="AV73" s="223"/>
      <c r="AW73" s="223"/>
      <c r="AX73" s="223"/>
      <c r="AY73" s="223"/>
      <c r="AZ73" s="223"/>
      <c r="BA73" s="223"/>
      <c r="BB73" s="223"/>
      <c r="BC73" s="223"/>
      <c r="BD73" s="223"/>
      <c r="BE73" s="223"/>
      <c r="BF73" s="223"/>
      <c r="BG73" s="223"/>
    </row>
    <row r="74" spans="1:59" s="17" customFormat="1">
      <c r="B74" s="17" t="s">
        <v>344</v>
      </c>
      <c r="C74" s="32" t="s">
        <v>16</v>
      </c>
      <c r="F74" s="267">
        <f>F71-F72+F73</f>
        <v>20015105.282007605</v>
      </c>
      <c r="G74" s="267">
        <f t="shared" ref="G74:O74" si="13">G71-G72+G73</f>
        <v>28202330.333792146</v>
      </c>
      <c r="H74" s="267">
        <f t="shared" si="13"/>
        <v>57826238.81549073</v>
      </c>
      <c r="I74" s="267">
        <f t="shared" si="13"/>
        <v>276954627.37882423</v>
      </c>
      <c r="J74" s="267">
        <f t="shared" si="13"/>
        <v>23274683.307300135</v>
      </c>
      <c r="K74" s="267">
        <f t="shared" si="13"/>
        <v>329061222.92333078</v>
      </c>
      <c r="L74" s="267">
        <f>L71-L72+L73</f>
        <v>17273496.6543823</v>
      </c>
      <c r="M74" s="267">
        <f>M71-M72+M73</f>
        <v>282092523.33845836</v>
      </c>
      <c r="N74" s="267">
        <f t="shared" si="13"/>
        <v>17932643.627825618</v>
      </c>
      <c r="O74" s="267">
        <f t="shared" si="13"/>
        <v>4818132.1975846197</v>
      </c>
      <c r="P74" s="272"/>
      <c r="Q74" s="247"/>
      <c r="R74" s="223"/>
      <c r="S74" s="223"/>
      <c r="T74" s="223"/>
      <c r="U74" s="223"/>
      <c r="V74" s="223"/>
      <c r="W74" s="223"/>
      <c r="X74" s="223"/>
      <c r="Y74" s="223"/>
      <c r="Z74" s="223"/>
      <c r="AA74" s="223"/>
      <c r="AB74" s="223"/>
      <c r="AC74" s="223"/>
      <c r="AD74" s="223"/>
      <c r="AE74" s="223"/>
      <c r="AF74" s="223"/>
      <c r="AG74" s="223"/>
      <c r="AH74" s="223"/>
      <c r="AI74" s="223"/>
      <c r="AJ74" s="223"/>
      <c r="AK74" s="223"/>
      <c r="AL74" s="223"/>
      <c r="AM74" s="223"/>
      <c r="AN74" s="223"/>
      <c r="AO74" s="223"/>
      <c r="AP74" s="223"/>
      <c r="AQ74" s="223"/>
      <c r="AR74" s="223"/>
      <c r="AS74" s="223"/>
      <c r="AT74" s="223"/>
      <c r="AU74" s="223"/>
      <c r="AV74" s="223"/>
      <c r="AW74" s="223"/>
      <c r="AX74" s="223"/>
      <c r="AY74" s="223"/>
      <c r="AZ74" s="223"/>
      <c r="BA74" s="223"/>
      <c r="BB74" s="223"/>
      <c r="BC74" s="223"/>
      <c r="BD74" s="223"/>
      <c r="BE74" s="223"/>
      <c r="BF74" s="223"/>
      <c r="BG74" s="223"/>
    </row>
    <row r="75" spans="1:59" s="17" customFormat="1">
      <c r="P75" s="272"/>
      <c r="Q75" s="223"/>
      <c r="R75" s="223"/>
      <c r="S75" s="223"/>
      <c r="T75" s="223"/>
      <c r="U75" s="223"/>
      <c r="V75" s="223"/>
      <c r="W75" s="223"/>
      <c r="X75" s="223"/>
      <c r="Y75" s="223"/>
      <c r="Z75" s="223"/>
      <c r="AA75" s="223"/>
      <c r="AB75" s="223"/>
      <c r="AC75" s="223"/>
      <c r="AD75" s="223"/>
      <c r="AE75" s="223"/>
      <c r="AF75" s="223"/>
      <c r="AG75" s="223"/>
      <c r="AH75" s="223"/>
      <c r="AI75" s="223"/>
      <c r="AJ75" s="223"/>
      <c r="AK75" s="223"/>
      <c r="AL75" s="223"/>
      <c r="AM75" s="223"/>
      <c r="AN75" s="223"/>
      <c r="AO75" s="223"/>
      <c r="AP75" s="223"/>
      <c r="AQ75" s="223"/>
      <c r="AR75" s="223"/>
      <c r="AS75" s="223"/>
      <c r="AT75" s="223"/>
      <c r="AU75" s="223"/>
      <c r="AV75" s="223"/>
      <c r="AW75" s="223"/>
      <c r="AX75" s="223"/>
      <c r="AY75" s="223"/>
      <c r="AZ75" s="223"/>
      <c r="BA75" s="223"/>
      <c r="BB75" s="223"/>
      <c r="BC75" s="223"/>
      <c r="BD75" s="223"/>
      <c r="BE75" s="223"/>
      <c r="BF75" s="223"/>
      <c r="BG75" s="223"/>
    </row>
    <row r="76" spans="1:59" s="222" customFormat="1">
      <c r="B76" s="20" t="s">
        <v>50</v>
      </c>
      <c r="C76" s="20"/>
      <c r="P76" s="223"/>
      <c r="Q76" s="223"/>
      <c r="R76" s="223"/>
      <c r="S76" s="223"/>
      <c r="T76" s="223"/>
      <c r="U76" s="223"/>
      <c r="V76" s="223"/>
      <c r="W76" s="223"/>
      <c r="X76" s="223"/>
      <c r="Y76" s="223"/>
      <c r="Z76" s="223"/>
      <c r="AA76" s="223"/>
      <c r="AB76" s="223"/>
      <c r="AC76" s="223"/>
      <c r="AD76" s="223"/>
      <c r="AE76" s="223"/>
      <c r="AF76" s="223"/>
      <c r="AG76" s="223"/>
      <c r="AH76" s="223"/>
      <c r="AI76" s="223"/>
      <c r="AJ76" s="223"/>
      <c r="AK76" s="223"/>
      <c r="AL76" s="223"/>
      <c r="AM76" s="223"/>
      <c r="AN76" s="223"/>
      <c r="AO76" s="223"/>
      <c r="AP76" s="223"/>
      <c r="AQ76" s="223"/>
      <c r="AR76" s="223"/>
      <c r="AS76" s="223"/>
      <c r="AT76" s="223"/>
      <c r="AU76" s="223"/>
      <c r="AV76" s="223"/>
      <c r="AW76" s="223"/>
      <c r="AX76" s="223"/>
      <c r="AY76" s="223"/>
      <c r="AZ76" s="223"/>
      <c r="BA76" s="223"/>
      <c r="BB76" s="223"/>
      <c r="BC76" s="223"/>
      <c r="BD76" s="223"/>
      <c r="BE76" s="223"/>
      <c r="BF76" s="223"/>
      <c r="BG76" s="223"/>
    </row>
    <row r="77" spans="1:59" s="17" customFormat="1">
      <c r="P77" s="272"/>
      <c r="Q77" s="223"/>
      <c r="R77" s="223"/>
      <c r="S77" s="223"/>
      <c r="T77" s="223"/>
      <c r="U77" s="223"/>
      <c r="V77" s="223"/>
      <c r="W77" s="223"/>
      <c r="X77" s="223"/>
      <c r="Y77" s="223"/>
      <c r="Z77" s="223"/>
      <c r="AA77" s="223"/>
      <c r="AB77" s="223"/>
      <c r="AC77" s="223"/>
      <c r="AD77" s="223"/>
      <c r="AE77" s="223"/>
      <c r="AF77" s="223"/>
      <c r="AG77" s="223"/>
      <c r="AH77" s="223"/>
      <c r="AI77" s="223"/>
      <c r="AJ77" s="223"/>
      <c r="AK77" s="223"/>
      <c r="AL77" s="223"/>
      <c r="AM77" s="223"/>
      <c r="AN77" s="223"/>
      <c r="AO77" s="223"/>
      <c r="AP77" s="223"/>
      <c r="AQ77" s="223"/>
      <c r="AR77" s="223"/>
      <c r="AS77" s="223"/>
      <c r="AT77" s="223"/>
      <c r="AU77" s="223"/>
      <c r="AV77" s="223"/>
      <c r="AW77" s="223"/>
      <c r="AX77" s="223"/>
      <c r="AY77" s="223"/>
      <c r="AZ77" s="223"/>
      <c r="BA77" s="223"/>
      <c r="BB77" s="223"/>
      <c r="BC77" s="223"/>
      <c r="BD77" s="223"/>
      <c r="BE77" s="223"/>
      <c r="BF77" s="223"/>
      <c r="BG77" s="223"/>
    </row>
    <row r="78" spans="1:59" s="17" customFormat="1">
      <c r="B78" s="17" t="s">
        <v>9</v>
      </c>
      <c r="F78" s="375">
        <f>100*(1-(F74/F67)^(1/3))</f>
        <v>1.5488526046487205</v>
      </c>
      <c r="G78" s="375">
        <f t="shared" ref="G78:O78" si="14">100*(1-(G74/G67)^(1/3))</f>
        <v>-1.2257579572483301E-2</v>
      </c>
      <c r="H78" s="375">
        <f t="shared" si="14"/>
        <v>-0.88767389429158516</v>
      </c>
      <c r="I78" s="375">
        <f t="shared" si="14"/>
        <v>-2.7372579786944407</v>
      </c>
      <c r="J78" s="375">
        <f t="shared" si="14"/>
        <v>1.8744213751266336</v>
      </c>
      <c r="K78" s="375">
        <f t="shared" si="14"/>
        <v>-3.1183982156259615</v>
      </c>
      <c r="L78" s="375">
        <f t="shared" si="14"/>
        <v>-0.92785082079944736</v>
      </c>
      <c r="M78" s="375">
        <f t="shared" si="14"/>
        <v>-2.2015952716340381</v>
      </c>
      <c r="N78" s="375">
        <f t="shared" si="14"/>
        <v>-4.8662180769659669</v>
      </c>
      <c r="O78" s="375">
        <f t="shared" si="14"/>
        <v>20.732752286146059</v>
      </c>
      <c r="P78" s="272"/>
      <c r="Q78" s="275"/>
      <c r="R78" s="223"/>
      <c r="S78" s="223"/>
      <c r="T78" s="223"/>
      <c r="U78" s="223"/>
      <c r="V78" s="223"/>
      <c r="W78" s="223"/>
      <c r="X78" s="223"/>
      <c r="Y78" s="223"/>
      <c r="Z78" s="223"/>
      <c r="AA78" s="223"/>
      <c r="AB78" s="223"/>
      <c r="AC78" s="223"/>
      <c r="AD78" s="223"/>
      <c r="AE78" s="223"/>
      <c r="AF78" s="223"/>
      <c r="AG78" s="223"/>
      <c r="AH78" s="223"/>
      <c r="AI78" s="223"/>
      <c r="AJ78" s="223"/>
      <c r="AK78" s="223"/>
      <c r="AL78" s="223"/>
      <c r="AM78" s="223"/>
      <c r="AN78" s="223"/>
      <c r="AO78" s="223"/>
      <c r="AP78" s="223"/>
      <c r="AQ78" s="223"/>
      <c r="AR78" s="223"/>
      <c r="AS78" s="223"/>
      <c r="AT78" s="223"/>
      <c r="AU78" s="223"/>
      <c r="AV78" s="223"/>
      <c r="AW78" s="223"/>
      <c r="AX78" s="223"/>
      <c r="AY78" s="223"/>
      <c r="AZ78" s="223"/>
      <c r="BA78" s="223"/>
      <c r="BB78" s="223"/>
      <c r="BC78" s="223"/>
      <c r="BD78" s="223"/>
      <c r="BE78" s="223"/>
      <c r="BF78" s="223"/>
      <c r="BG78" s="223"/>
    </row>
    <row r="79" spans="1:59" s="224" customFormat="1">
      <c r="B79" s="22" t="s">
        <v>32</v>
      </c>
      <c r="C79" s="22"/>
      <c r="F79" s="276">
        <f>IF(F78&gt;0,ROUNDDOWN(F78,1),ROUNDUP(F78,1))</f>
        <v>1.5</v>
      </c>
      <c r="G79" s="276">
        <f t="shared" ref="G79:O79" si="15">IF(G78&gt;0,ROUNDDOWN(G78,1),ROUNDUP(G78,1))</f>
        <v>-0.1</v>
      </c>
      <c r="H79" s="276">
        <f t="shared" si="15"/>
        <v>-0.9</v>
      </c>
      <c r="I79" s="276">
        <f t="shared" si="15"/>
        <v>-2.8000000000000003</v>
      </c>
      <c r="J79" s="276">
        <f t="shared" si="15"/>
        <v>1.8</v>
      </c>
      <c r="K79" s="276">
        <f t="shared" si="15"/>
        <v>-3.2</v>
      </c>
      <c r="L79" s="276">
        <f t="shared" si="15"/>
        <v>-1</v>
      </c>
      <c r="M79" s="276">
        <f t="shared" si="15"/>
        <v>-2.3000000000000003</v>
      </c>
      <c r="N79" s="276">
        <f t="shared" si="15"/>
        <v>-4.8999999999999995</v>
      </c>
      <c r="O79" s="276">
        <f t="shared" si="15"/>
        <v>20.7</v>
      </c>
      <c r="P79" s="272"/>
      <c r="Q79" s="225"/>
      <c r="R79" s="223"/>
      <c r="S79" s="223"/>
      <c r="T79" s="223"/>
      <c r="U79" s="223"/>
      <c r="V79" s="223"/>
      <c r="W79" s="223"/>
      <c r="X79" s="223"/>
      <c r="Y79" s="223"/>
      <c r="Z79" s="223"/>
      <c r="AA79" s="223"/>
      <c r="AB79" s="223"/>
      <c r="AC79" s="223"/>
      <c r="AD79" s="223"/>
      <c r="AE79" s="223"/>
      <c r="AF79" s="223"/>
      <c r="AG79" s="223"/>
      <c r="AH79" s="223"/>
      <c r="AI79" s="223"/>
      <c r="AJ79" s="223"/>
      <c r="AK79" s="223"/>
      <c r="AL79" s="223"/>
      <c r="AM79" s="223"/>
      <c r="AN79" s="223"/>
      <c r="AO79" s="223"/>
      <c r="AP79" s="223"/>
      <c r="AQ79" s="223"/>
      <c r="AR79" s="223"/>
      <c r="AS79" s="223"/>
      <c r="AT79" s="223"/>
      <c r="AU79" s="223"/>
      <c r="AV79" s="223"/>
      <c r="AW79" s="223"/>
      <c r="AX79" s="223"/>
      <c r="AY79" s="223"/>
      <c r="AZ79" s="223"/>
      <c r="BA79" s="223"/>
      <c r="BB79" s="223"/>
      <c r="BC79" s="223"/>
      <c r="BD79" s="223"/>
      <c r="BE79" s="223"/>
      <c r="BF79" s="223"/>
      <c r="BG79" s="223"/>
    </row>
    <row r="80" spans="1:59" s="247" customFormat="1"/>
    <row r="81" spans="2:59" s="247" customFormat="1"/>
    <row r="82" spans="2:59" s="247" customFormat="1">
      <c r="B82" s="208" t="s">
        <v>321</v>
      </c>
      <c r="C82" s="254" t="s">
        <v>19</v>
      </c>
      <c r="F82" s="262">
        <f>F67*(1-F79/100+$C$14)</f>
        <v>20974689.139083423</v>
      </c>
      <c r="G82" s="262">
        <f t="shared" ref="G82:O82" si="16">G67*(1-G79/100+$C$14)</f>
        <v>28643033.500140555</v>
      </c>
      <c r="H82" s="262">
        <f t="shared" si="16"/>
        <v>57664771.499184407</v>
      </c>
      <c r="I82" s="262">
        <f t="shared" si="16"/>
        <v>266384544.1256566</v>
      </c>
      <c r="J82" s="262">
        <f t="shared" si="16"/>
        <v>24560219.652786326</v>
      </c>
      <c r="K82" s="262">
        <f t="shared" si="16"/>
        <v>314206318.465065</v>
      </c>
      <c r="L82" s="262">
        <f t="shared" si="16"/>
        <v>17221502.91148955</v>
      </c>
      <c r="M82" s="262">
        <f t="shared" si="16"/>
        <v>274293745.47107226</v>
      </c>
      <c r="N82" s="262">
        <f t="shared" si="16"/>
        <v>16545470.76421568</v>
      </c>
      <c r="O82" s="262">
        <f t="shared" si="16"/>
        <v>7816435.2641459676</v>
      </c>
    </row>
    <row r="83" spans="2:59" s="247" customFormat="1">
      <c r="B83" s="208" t="s">
        <v>322</v>
      </c>
      <c r="C83" s="254" t="s">
        <v>61</v>
      </c>
      <c r="F83" s="262">
        <f>F82*(1-F79/100+$C$15)</f>
        <v>21205410.71961334</v>
      </c>
      <c r="G83" s="262">
        <f t="shared" ref="G83:O83" si="17">G82*(1-G79/100+$C$15)</f>
        <v>29416395.404644348</v>
      </c>
      <c r="H83" s="262">
        <f t="shared" si="17"/>
        <v>59683038.501655854</v>
      </c>
      <c r="I83" s="262">
        <f t="shared" si="17"/>
        <v>280769309.5084421</v>
      </c>
      <c r="J83" s="262">
        <f t="shared" si="17"/>
        <v>24756701.410008617</v>
      </c>
      <c r="K83" s="262">
        <f t="shared" si="17"/>
        <v>332430284.93603879</v>
      </c>
      <c r="L83" s="262">
        <f t="shared" si="17"/>
        <v>17841477.016303174</v>
      </c>
      <c r="M83" s="262">
        <f t="shared" si="17"/>
        <v>287734138.99915481</v>
      </c>
      <c r="N83" s="262">
        <f t="shared" si="17"/>
        <v>17786381.071531855</v>
      </c>
      <c r="O83" s="262">
        <f t="shared" si="17"/>
        <v>6401660.4813355478</v>
      </c>
    </row>
    <row r="84" spans="2:59" s="247" customFormat="1">
      <c r="B84" s="208" t="s">
        <v>323</v>
      </c>
      <c r="C84" s="254" t="s">
        <v>43</v>
      </c>
      <c r="F84" s="262">
        <f>F83*(1-F79/100+$C$16)</f>
        <v>21375054.005370248</v>
      </c>
      <c r="G84" s="262">
        <f t="shared" ref="G84:O84" si="18">G83*(1-G79/100+$C$16)</f>
        <v>30122388.894355807</v>
      </c>
      <c r="H84" s="262">
        <f t="shared" si="18"/>
        <v>61592895.733708829</v>
      </c>
      <c r="I84" s="262">
        <f t="shared" si="18"/>
        <v>295088544.29337263</v>
      </c>
      <c r="J84" s="262">
        <f t="shared" si="18"/>
        <v>24880484.917058658</v>
      </c>
      <c r="K84" s="262">
        <f t="shared" si="18"/>
        <v>350713950.60752088</v>
      </c>
      <c r="L84" s="262">
        <f t="shared" si="18"/>
        <v>18430245.757841177</v>
      </c>
      <c r="M84" s="262">
        <f t="shared" si="18"/>
        <v>300969909.39311588</v>
      </c>
      <c r="N84" s="262">
        <f>N83*(1-N79/100+$C$16)</f>
        <v>19067000.508682147</v>
      </c>
      <c r="O84" s="262">
        <f t="shared" si="18"/>
        <v>5223754.9527698075</v>
      </c>
    </row>
    <row r="85" spans="2:59">
      <c r="P85" s="277"/>
      <c r="Q85" s="223"/>
      <c r="R85" s="223"/>
      <c r="S85" s="223"/>
      <c r="T85" s="223"/>
      <c r="U85" s="223"/>
      <c r="V85" s="223"/>
      <c r="W85" s="223"/>
      <c r="X85" s="223"/>
      <c r="Y85" s="223"/>
      <c r="Z85" s="223"/>
      <c r="AA85" s="223"/>
      <c r="AB85" s="223"/>
      <c r="AC85" s="223"/>
      <c r="AD85" s="223"/>
      <c r="AE85" s="223"/>
      <c r="AF85" s="223"/>
      <c r="AG85" s="223"/>
      <c r="AH85" s="223"/>
      <c r="AI85" s="223"/>
      <c r="AJ85" s="223"/>
      <c r="AK85" s="223"/>
      <c r="AL85" s="223"/>
      <c r="AM85" s="223"/>
      <c r="AN85" s="223"/>
      <c r="AO85" s="223"/>
      <c r="AP85" s="223"/>
      <c r="AQ85" s="223"/>
      <c r="AR85" s="223"/>
      <c r="AS85" s="223"/>
      <c r="AT85" s="223"/>
      <c r="AU85" s="223"/>
      <c r="AV85" s="223"/>
      <c r="AW85" s="223"/>
      <c r="AX85" s="223"/>
      <c r="AY85" s="223"/>
      <c r="AZ85" s="223"/>
      <c r="BA85" s="223"/>
      <c r="BB85" s="223"/>
      <c r="BC85" s="223"/>
      <c r="BD85" s="223"/>
      <c r="BE85" s="223"/>
      <c r="BF85" s="223"/>
      <c r="BG85" s="223"/>
    </row>
    <row r="86" spans="2:59" s="10" customFormat="1">
      <c r="B86" s="10" t="s">
        <v>314</v>
      </c>
    </row>
    <row r="87" spans="2:59">
      <c r="R87" s="223"/>
      <c r="S87" s="223"/>
      <c r="T87" s="223"/>
      <c r="U87" s="223"/>
      <c r="V87" s="223"/>
      <c r="W87" s="223"/>
      <c r="X87" s="223"/>
      <c r="Y87" s="223"/>
      <c r="Z87" s="223"/>
      <c r="AA87" s="223"/>
      <c r="AB87" s="223"/>
      <c r="AC87" s="223"/>
      <c r="AD87" s="223"/>
      <c r="AE87" s="223"/>
      <c r="AF87" s="223"/>
      <c r="AG87" s="223"/>
      <c r="AH87" s="223"/>
      <c r="AI87" s="223"/>
      <c r="AJ87" s="223"/>
      <c r="AK87" s="223"/>
      <c r="AL87" s="223"/>
      <c r="AM87" s="223"/>
      <c r="AN87" s="223"/>
      <c r="AO87" s="223"/>
      <c r="AP87" s="223"/>
      <c r="AQ87" s="223"/>
      <c r="AR87" s="223"/>
      <c r="AS87" s="223"/>
      <c r="AT87" s="223"/>
      <c r="AU87" s="223"/>
      <c r="AV87" s="223"/>
      <c r="AW87" s="223"/>
      <c r="AX87" s="223"/>
      <c r="AY87" s="223"/>
      <c r="AZ87" s="223"/>
      <c r="BA87" s="223"/>
      <c r="BB87" s="223"/>
      <c r="BC87" s="223"/>
      <c r="BD87" s="223"/>
      <c r="BE87" s="223"/>
      <c r="BF87" s="223"/>
      <c r="BG87" s="223"/>
    </row>
    <row r="88" spans="2:59" s="247" customFormat="1">
      <c r="E88" s="251"/>
      <c r="F88" s="239" t="s">
        <v>34</v>
      </c>
      <c r="G88" s="239" t="s">
        <v>7</v>
      </c>
      <c r="H88" s="239" t="s">
        <v>37</v>
      </c>
      <c r="I88" s="239" t="s">
        <v>40</v>
      </c>
      <c r="J88" s="239" t="s">
        <v>38</v>
      </c>
      <c r="K88" s="239" t="s">
        <v>8</v>
      </c>
      <c r="L88" s="239" t="s">
        <v>35</v>
      </c>
      <c r="M88" s="239" t="s">
        <v>39</v>
      </c>
      <c r="N88" s="239" t="s">
        <v>41</v>
      </c>
    </row>
    <row r="89" spans="2:59" s="278" customFormat="1">
      <c r="B89" s="99"/>
      <c r="C89" s="99"/>
      <c r="F89" s="100"/>
      <c r="G89" s="100"/>
      <c r="H89" s="100"/>
      <c r="I89" s="100"/>
      <c r="J89" s="100"/>
      <c r="K89" s="100"/>
      <c r="L89" s="100"/>
      <c r="M89" s="100"/>
      <c r="N89" s="100"/>
      <c r="P89" s="100"/>
      <c r="Q89" s="100"/>
      <c r="R89" s="100"/>
    </row>
    <row r="90" spans="2:59" s="278" customFormat="1">
      <c r="B90" s="254" t="s">
        <v>315</v>
      </c>
      <c r="C90" s="254" t="s">
        <v>43</v>
      </c>
      <c r="E90" s="243"/>
      <c r="F90" s="279">
        <f>F40</f>
        <v>22214199.971785959</v>
      </c>
      <c r="G90" s="279">
        <f>G40</f>
        <v>29945944.763263043</v>
      </c>
      <c r="H90" s="279">
        <f>H40</f>
        <v>61592895.733708829</v>
      </c>
      <c r="I90" s="279">
        <f>I40+J40</f>
        <v>320192882.43331116</v>
      </c>
      <c r="J90" s="279">
        <f>K40</f>
        <v>340819599.64108688</v>
      </c>
      <c r="K90" s="279">
        <f>L40</f>
        <v>18916976.842606608</v>
      </c>
      <c r="L90" s="279">
        <f>M40</f>
        <v>301835334.69931078</v>
      </c>
      <c r="M90" s="279">
        <f>N40</f>
        <v>19067000.508682147</v>
      </c>
      <c r="N90" s="279">
        <f>O40</f>
        <v>5223754.9527698075</v>
      </c>
      <c r="P90" s="96"/>
      <c r="Q90" s="280"/>
      <c r="R90" s="280"/>
    </row>
    <row r="91" spans="2:59" s="278" customFormat="1">
      <c r="B91" s="281" t="s">
        <v>88</v>
      </c>
      <c r="F91" s="282"/>
      <c r="G91" s="282"/>
      <c r="H91" s="282"/>
      <c r="I91" s="282"/>
      <c r="J91" s="282"/>
      <c r="K91" s="282"/>
      <c r="L91" s="282"/>
      <c r="M91" s="282"/>
      <c r="N91" s="282"/>
      <c r="P91" s="100"/>
      <c r="Q91" s="100"/>
      <c r="R91" s="100"/>
    </row>
    <row r="92" spans="2:59" s="278" customFormat="1">
      <c r="B92" s="99"/>
      <c r="F92" s="282"/>
      <c r="G92" s="282"/>
      <c r="H92" s="282"/>
      <c r="I92" s="282"/>
      <c r="J92" s="282"/>
      <c r="K92" s="282"/>
      <c r="L92" s="282"/>
      <c r="M92" s="282"/>
      <c r="N92" s="282"/>
      <c r="P92" s="100"/>
      <c r="Q92" s="100"/>
      <c r="R92" s="100"/>
    </row>
    <row r="93" spans="2:59" s="254" customFormat="1">
      <c r="B93" s="254" t="s">
        <v>316</v>
      </c>
      <c r="C93" s="254" t="s">
        <v>43</v>
      </c>
      <c r="E93" s="243"/>
      <c r="F93" s="279">
        <f>F84</f>
        <v>21375054.005370248</v>
      </c>
      <c r="G93" s="279">
        <f t="shared" ref="G93:H93" si="19">G84</f>
        <v>30122388.894355807</v>
      </c>
      <c r="H93" s="279">
        <f t="shared" si="19"/>
        <v>61592895.733708829</v>
      </c>
      <c r="I93" s="279">
        <f>I84+J84</f>
        <v>319969029.21043128</v>
      </c>
      <c r="J93" s="279">
        <f>K84</f>
        <v>350713950.60752088</v>
      </c>
      <c r="K93" s="279">
        <f>L84</f>
        <v>18430245.757841177</v>
      </c>
      <c r="L93" s="279">
        <f>M84</f>
        <v>300969909.39311588</v>
      </c>
      <c r="M93" s="279">
        <f>N84</f>
        <v>19067000.508682147</v>
      </c>
      <c r="N93" s="279">
        <f>O84</f>
        <v>5223754.9527698075</v>
      </c>
      <c r="P93" s="96"/>
      <c r="Q93" s="280"/>
      <c r="R93" s="280"/>
      <c r="S93" s="278"/>
      <c r="T93" s="278"/>
      <c r="U93" s="278"/>
      <c r="V93" s="278"/>
      <c r="W93" s="278"/>
      <c r="X93" s="278"/>
      <c r="Y93" s="278"/>
      <c r="Z93" s="278"/>
    </row>
    <row r="94" spans="2:59" s="254" customFormat="1">
      <c r="B94" s="281" t="s">
        <v>89</v>
      </c>
      <c r="E94" s="243"/>
    </row>
    <row r="95" spans="2:59" s="254" customFormat="1">
      <c r="B95" s="99"/>
      <c r="E95" s="243"/>
    </row>
    <row r="96" spans="2:59" s="254" customFormat="1">
      <c r="B96" s="370" t="s">
        <v>317</v>
      </c>
      <c r="C96" s="254" t="s">
        <v>43</v>
      </c>
      <c r="E96" s="243"/>
      <c r="F96" s="284">
        <f>F93-F90</f>
        <v>-839145.96641571075</v>
      </c>
      <c r="G96" s="284">
        <f t="shared" ref="G96:I96" si="20">G93-G90</f>
        <v>176444.13109276444</v>
      </c>
      <c r="H96" s="284">
        <f t="shared" si="20"/>
        <v>0</v>
      </c>
      <c r="I96" s="284">
        <f t="shared" si="20"/>
        <v>-223853.22287988663</v>
      </c>
      <c r="J96" s="284">
        <f>J93-J90</f>
        <v>9894350.9664340019</v>
      </c>
      <c r="K96" s="284">
        <f>K93-K90</f>
        <v>-486731.08476543054</v>
      </c>
      <c r="L96" s="284">
        <f>L93-L90</f>
        <v>-865425.30619490147</v>
      </c>
      <c r="M96" s="284">
        <f>M93-M90</f>
        <v>0</v>
      </c>
      <c r="N96" s="284">
        <f>N93-N90</f>
        <v>0</v>
      </c>
      <c r="P96" s="283"/>
      <c r="Q96" s="283"/>
      <c r="R96" s="283"/>
      <c r="S96" s="278"/>
      <c r="T96" s="278"/>
      <c r="U96" s="278"/>
      <c r="V96" s="278"/>
      <c r="W96" s="278"/>
      <c r="X96" s="278"/>
      <c r="Y96" s="278"/>
      <c r="Z96" s="278"/>
    </row>
  </sheetData>
  <pageMargins left="0.75" right="0.75" top="1" bottom="1" header="0.5" footer="0.5"/>
  <pageSetup paperSize="9" scale="37"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tabColor rgb="FF92D050"/>
    <pageSetUpPr fitToPage="1"/>
  </sheetPr>
  <dimension ref="A2:T118"/>
  <sheetViews>
    <sheetView showGridLines="0" zoomScale="80" zoomScaleNormal="80" workbookViewId="0">
      <pane ySplit="15" topLeftCell="A91" activePane="bottomLeft" state="frozenSplit"/>
      <selection pane="bottomLeft" activeCell="H117" sqref="H117"/>
    </sheetView>
  </sheetViews>
  <sheetFormatPr defaultRowHeight="12.75"/>
  <cols>
    <col min="2" max="2" width="3.7109375" customWidth="1"/>
    <col min="3" max="3" width="3.7109375" style="126" customWidth="1"/>
    <col min="4" max="4" width="53.42578125" style="126" customWidth="1"/>
    <col min="5" max="5" width="2.7109375" style="126" customWidth="1"/>
    <col min="6" max="6" width="10.28515625" style="126" bestFit="1" customWidth="1"/>
    <col min="7" max="7" width="2.7109375" customWidth="1"/>
    <col min="8" max="16" width="17.140625" customWidth="1"/>
  </cols>
  <sheetData>
    <row r="2" spans="1:20" s="156" customFormat="1" ht="15.75">
      <c r="B2" s="155" t="s">
        <v>261</v>
      </c>
      <c r="C2" s="155"/>
      <c r="D2" s="155"/>
      <c r="E2" s="155"/>
      <c r="F2" s="155"/>
    </row>
    <row r="3" spans="1:20" s="158" customFormat="1"/>
    <row r="4" spans="1:20" s="158" customFormat="1">
      <c r="B4" s="157"/>
      <c r="C4" s="157"/>
      <c r="D4" s="157"/>
      <c r="E4" s="157"/>
      <c r="F4" s="157"/>
    </row>
    <row r="5" spans="1:20" s="160" customFormat="1">
      <c r="B5" s="159" t="s">
        <v>1</v>
      </c>
      <c r="C5" s="159"/>
      <c r="D5" s="159"/>
      <c r="E5" s="159"/>
      <c r="F5" s="159"/>
    </row>
    <row r="6" spans="1:20" s="162" customFormat="1">
      <c r="B6" s="161"/>
      <c r="C6" s="161"/>
      <c r="D6" s="161"/>
      <c r="E6" s="161"/>
      <c r="F6" s="161"/>
    </row>
    <row r="7" spans="1:20" s="162" customFormat="1" ht="12.75" customHeight="1">
      <c r="B7" s="415" t="s">
        <v>406</v>
      </c>
      <c r="C7" s="414"/>
      <c r="D7" s="414"/>
      <c r="E7" s="414"/>
      <c r="F7" s="414"/>
      <c r="G7" s="414"/>
      <c r="H7" s="414"/>
      <c r="I7" s="414"/>
      <c r="J7" s="414"/>
      <c r="K7" s="414"/>
      <c r="L7" s="414"/>
      <c r="M7" s="414"/>
      <c r="N7" s="414"/>
      <c r="O7" s="414"/>
      <c r="P7" s="414"/>
      <c r="Q7" s="414"/>
      <c r="R7" s="414"/>
      <c r="S7" s="414"/>
      <c r="T7" s="414"/>
    </row>
    <row r="8" spans="1:20" s="162" customFormat="1">
      <c r="B8" s="416" t="s">
        <v>396</v>
      </c>
      <c r="D8" s="411"/>
      <c r="E8" s="410"/>
      <c r="F8" s="410"/>
      <c r="G8" s="410"/>
      <c r="H8" s="410"/>
      <c r="I8" s="410"/>
      <c r="J8" s="410"/>
      <c r="K8" s="410"/>
      <c r="L8" s="410"/>
      <c r="M8" s="410"/>
      <c r="N8" s="410"/>
      <c r="O8" s="410"/>
      <c r="P8" s="410"/>
      <c r="Q8" s="410"/>
      <c r="R8" s="410"/>
      <c r="S8" s="410"/>
      <c r="T8" s="410"/>
    </row>
    <row r="9" spans="1:20" s="162" customFormat="1">
      <c r="B9" s="416" t="s">
        <v>288</v>
      </c>
      <c r="C9" s="409"/>
      <c r="D9" s="411"/>
      <c r="E9" s="410"/>
      <c r="F9" s="410"/>
      <c r="G9" s="410"/>
      <c r="H9" s="410"/>
      <c r="I9" s="410"/>
      <c r="J9" s="410"/>
      <c r="K9" s="410"/>
      <c r="L9" s="410"/>
      <c r="M9" s="410"/>
      <c r="N9" s="410"/>
      <c r="O9" s="410"/>
      <c r="P9" s="410"/>
      <c r="Q9" s="410"/>
      <c r="R9" s="410"/>
      <c r="S9" s="410"/>
      <c r="T9" s="410"/>
    </row>
    <row r="10" spans="1:20" s="162" customFormat="1">
      <c r="B10" s="416" t="s">
        <v>289</v>
      </c>
      <c r="C10" s="409"/>
      <c r="D10" s="411"/>
      <c r="E10" s="410"/>
      <c r="F10" s="410"/>
      <c r="G10" s="410"/>
      <c r="H10" s="410"/>
      <c r="I10" s="410"/>
      <c r="J10" s="410"/>
      <c r="K10" s="410"/>
      <c r="L10" s="410"/>
      <c r="M10" s="410"/>
      <c r="N10" s="410"/>
      <c r="O10" s="410"/>
      <c r="P10" s="410"/>
      <c r="Q10" s="410"/>
      <c r="R10" s="410"/>
      <c r="S10" s="410"/>
      <c r="T10" s="410"/>
    </row>
    <row r="11" spans="1:20" s="162" customFormat="1">
      <c r="B11" s="416" t="s">
        <v>397</v>
      </c>
      <c r="C11" s="409"/>
      <c r="D11" s="411"/>
      <c r="E11" s="410"/>
      <c r="F11" s="410"/>
      <c r="G11" s="410"/>
      <c r="H11" s="410"/>
      <c r="I11" s="410"/>
      <c r="J11" s="410"/>
      <c r="K11" s="410"/>
      <c r="L11" s="410"/>
      <c r="M11" s="410"/>
      <c r="N11" s="410"/>
      <c r="O11" s="410"/>
      <c r="P11" s="410"/>
      <c r="Q11" s="410"/>
      <c r="R11" s="410"/>
      <c r="S11" s="410"/>
      <c r="T11" s="410"/>
    </row>
    <row r="12" spans="1:20" s="158" customFormat="1"/>
    <row r="13" spans="1:20" s="167" customFormat="1">
      <c r="B13" s="166" t="s">
        <v>295</v>
      </c>
      <c r="C13" s="166"/>
      <c r="D13" s="166"/>
      <c r="E13" s="166"/>
      <c r="F13" s="166"/>
    </row>
    <row r="15" spans="1:20" s="286" customFormat="1">
      <c r="H15" s="364" t="s">
        <v>34</v>
      </c>
      <c r="I15" s="364" t="s">
        <v>7</v>
      </c>
      <c r="J15" s="364" t="s">
        <v>37</v>
      </c>
      <c r="K15" s="364" t="s">
        <v>40</v>
      </c>
      <c r="L15" s="364" t="s">
        <v>38</v>
      </c>
      <c r="M15" s="364" t="s">
        <v>8</v>
      </c>
      <c r="N15" s="364" t="s">
        <v>35</v>
      </c>
      <c r="O15" s="364" t="s">
        <v>39</v>
      </c>
      <c r="P15" s="364" t="s">
        <v>41</v>
      </c>
    </row>
    <row r="16" spans="1:20" s="126" customFormat="1">
      <c r="A16" s="290" t="s">
        <v>294</v>
      </c>
    </row>
    <row r="17" spans="2:16">
      <c r="B17" s="290" t="s">
        <v>253</v>
      </c>
      <c r="C17" s="288"/>
      <c r="D17" s="288"/>
      <c r="E17" s="288"/>
      <c r="F17" s="288"/>
    </row>
    <row r="18" spans="2:16" s="126" customFormat="1">
      <c r="B18" s="287"/>
      <c r="C18" s="289" t="s">
        <v>248</v>
      </c>
      <c r="D18" s="287"/>
      <c r="E18" s="287"/>
      <c r="F18" s="287"/>
    </row>
    <row r="19" spans="2:16">
      <c r="D19" t="s">
        <v>241</v>
      </c>
      <c r="H19" s="146">
        <v>0</v>
      </c>
      <c r="I19" s="146">
        <v>7</v>
      </c>
      <c r="J19" s="146">
        <v>27</v>
      </c>
      <c r="K19" s="146">
        <v>17</v>
      </c>
      <c r="L19" s="146">
        <v>151</v>
      </c>
      <c r="M19" s="146">
        <v>1</v>
      </c>
      <c r="N19" s="146">
        <v>43</v>
      </c>
      <c r="O19" s="146">
        <v>0</v>
      </c>
      <c r="P19" s="146">
        <v>0</v>
      </c>
    </row>
    <row r="20" spans="2:16">
      <c r="D20" t="s">
        <v>242</v>
      </c>
      <c r="H20" s="146">
        <v>0</v>
      </c>
      <c r="I20" s="146">
        <v>31</v>
      </c>
      <c r="J20" s="146">
        <v>473</v>
      </c>
      <c r="K20" s="146">
        <v>559</v>
      </c>
      <c r="L20" s="146">
        <v>1634</v>
      </c>
      <c r="M20" s="146">
        <v>23</v>
      </c>
      <c r="N20" s="146">
        <v>773</v>
      </c>
      <c r="O20" s="146">
        <v>0</v>
      </c>
      <c r="P20" s="146">
        <v>0</v>
      </c>
    </row>
    <row r="21" spans="2:16">
      <c r="D21" t="s">
        <v>243</v>
      </c>
      <c r="H21" s="146">
        <v>20</v>
      </c>
      <c r="I21" s="146">
        <v>22</v>
      </c>
      <c r="J21" s="146">
        <v>230</v>
      </c>
      <c r="K21" s="146">
        <v>462</v>
      </c>
      <c r="L21" s="146">
        <v>1423</v>
      </c>
      <c r="M21" s="146">
        <v>39</v>
      </c>
      <c r="N21" s="146">
        <v>1150</v>
      </c>
      <c r="O21" s="146">
        <v>0</v>
      </c>
      <c r="P21" s="146">
        <v>0</v>
      </c>
    </row>
    <row r="22" spans="2:16">
      <c r="D22" t="s">
        <v>244</v>
      </c>
      <c r="H22" s="146">
        <v>13</v>
      </c>
      <c r="I22" s="146">
        <v>12</v>
      </c>
      <c r="J22" s="146">
        <v>-83</v>
      </c>
      <c r="K22" s="146">
        <v>-9</v>
      </c>
      <c r="L22" s="146">
        <v>-396</v>
      </c>
      <c r="M22" s="146">
        <v>5</v>
      </c>
      <c r="N22" s="146">
        <v>-102</v>
      </c>
      <c r="O22" s="146">
        <v>0</v>
      </c>
      <c r="P22" s="146">
        <v>0</v>
      </c>
    </row>
    <row r="23" spans="2:16">
      <c r="D23" t="s">
        <v>245</v>
      </c>
      <c r="H23" s="146">
        <v>-33</v>
      </c>
      <c r="I23" s="146">
        <v>-62</v>
      </c>
      <c r="J23" s="146">
        <v>-508</v>
      </c>
      <c r="K23" s="146">
        <v>-1019</v>
      </c>
      <c r="L23" s="146">
        <v>-1706</v>
      </c>
      <c r="M23" s="146">
        <v>-44</v>
      </c>
      <c r="N23" s="146">
        <v>-1442</v>
      </c>
      <c r="O23" s="146">
        <v>0</v>
      </c>
      <c r="P23" s="146">
        <v>0</v>
      </c>
    </row>
    <row r="24" spans="2:16">
      <c r="D24" t="s">
        <v>246</v>
      </c>
      <c r="H24" s="146">
        <v>0</v>
      </c>
      <c r="I24" s="146">
        <v>-10</v>
      </c>
      <c r="J24" s="146">
        <v>-139</v>
      </c>
      <c r="K24" s="146">
        <v>-10</v>
      </c>
      <c r="L24" s="146">
        <v>-1106</v>
      </c>
      <c r="M24" s="146">
        <v>-24</v>
      </c>
      <c r="N24" s="146">
        <v>-422</v>
      </c>
      <c r="O24" s="146">
        <v>0</v>
      </c>
      <c r="P24" s="146">
        <v>0</v>
      </c>
    </row>
    <row r="25" spans="2:16">
      <c r="C25" s="289" t="s">
        <v>254</v>
      </c>
    </row>
    <row r="26" spans="2:16">
      <c r="C26" s="127"/>
      <c r="D26" s="291" t="s">
        <v>255</v>
      </c>
      <c r="E26" s="291"/>
      <c r="F26" s="291"/>
      <c r="H26" s="146">
        <v>0</v>
      </c>
      <c r="I26" s="146">
        <v>0</v>
      </c>
      <c r="J26" s="146">
        <v>0</v>
      </c>
      <c r="K26" s="146">
        <v>0</v>
      </c>
      <c r="L26" s="146">
        <v>0</v>
      </c>
      <c r="M26" s="146">
        <v>0</v>
      </c>
      <c r="N26" s="146">
        <v>0</v>
      </c>
      <c r="O26" s="146">
        <v>0</v>
      </c>
      <c r="P26" s="146">
        <v>0</v>
      </c>
    </row>
    <row r="27" spans="2:16">
      <c r="B27" s="287"/>
      <c r="C27" s="289" t="s">
        <v>256</v>
      </c>
      <c r="D27" s="287"/>
      <c r="E27" s="287"/>
      <c r="F27" s="287"/>
    </row>
    <row r="28" spans="2:16">
      <c r="D28" s="126" t="s">
        <v>249</v>
      </c>
      <c r="G28" s="126"/>
      <c r="H28" s="146">
        <v>20</v>
      </c>
      <c r="I28" s="146">
        <v>60</v>
      </c>
      <c r="J28" s="146">
        <v>730</v>
      </c>
      <c r="K28" s="146">
        <v>1038</v>
      </c>
      <c r="L28" s="146">
        <v>3208</v>
      </c>
      <c r="M28" s="146">
        <v>63</v>
      </c>
      <c r="N28" s="146">
        <v>1966</v>
      </c>
      <c r="O28" s="146">
        <v>0</v>
      </c>
      <c r="P28" s="146">
        <v>0</v>
      </c>
    </row>
    <row r="29" spans="2:16">
      <c r="D29" s="126" t="s">
        <v>250</v>
      </c>
      <c r="G29" s="126"/>
      <c r="H29" s="146">
        <v>13</v>
      </c>
      <c r="I29" s="146">
        <v>12</v>
      </c>
      <c r="J29" s="146">
        <v>-83</v>
      </c>
      <c r="K29" s="146">
        <v>-9</v>
      </c>
      <c r="L29" s="146">
        <v>-396</v>
      </c>
      <c r="M29" s="146">
        <v>5</v>
      </c>
      <c r="N29" s="146">
        <v>-102</v>
      </c>
      <c r="O29" s="146">
        <v>0</v>
      </c>
      <c r="P29" s="146">
        <v>0</v>
      </c>
    </row>
    <row r="30" spans="2:16">
      <c r="D30" s="126" t="s">
        <v>251</v>
      </c>
      <c r="G30" s="126"/>
      <c r="H30" s="146">
        <v>-33</v>
      </c>
      <c r="I30" s="146">
        <v>-62</v>
      </c>
      <c r="J30" s="146">
        <v>-508</v>
      </c>
      <c r="K30" s="146">
        <v>-1019</v>
      </c>
      <c r="L30" s="146">
        <v>-1706</v>
      </c>
      <c r="M30" s="146">
        <v>-44</v>
      </c>
      <c r="N30" s="146">
        <v>-1442</v>
      </c>
      <c r="O30" s="146">
        <v>0</v>
      </c>
      <c r="P30" s="146">
        <v>0</v>
      </c>
    </row>
    <row r="31" spans="2:16">
      <c r="D31" s="126" t="s">
        <v>252</v>
      </c>
      <c r="G31" s="126"/>
      <c r="H31" s="146">
        <v>0</v>
      </c>
      <c r="I31" s="146">
        <v>-10</v>
      </c>
      <c r="J31" s="146">
        <v>-139</v>
      </c>
      <c r="K31" s="146">
        <v>-10</v>
      </c>
      <c r="L31" s="146">
        <v>-1106</v>
      </c>
      <c r="M31" s="146">
        <v>-24</v>
      </c>
      <c r="N31" s="146">
        <v>-422</v>
      </c>
      <c r="O31" s="146">
        <v>0</v>
      </c>
      <c r="P31" s="146">
        <v>0</v>
      </c>
    </row>
    <row r="33" spans="2:16">
      <c r="B33" s="290" t="s">
        <v>257</v>
      </c>
      <c r="C33" s="288"/>
      <c r="D33" s="288"/>
      <c r="E33" s="288"/>
      <c r="F33" s="288"/>
      <c r="G33" s="126"/>
      <c r="H33" s="126"/>
      <c r="I33" s="126"/>
      <c r="J33" s="126"/>
      <c r="K33" s="126"/>
      <c r="L33" s="126"/>
      <c r="M33" s="126"/>
      <c r="N33" s="126"/>
      <c r="O33" s="126"/>
      <c r="P33" s="126"/>
    </row>
    <row r="34" spans="2:16">
      <c r="B34" s="287"/>
      <c r="C34" s="289" t="s">
        <v>248</v>
      </c>
      <c r="D34" s="287"/>
      <c r="E34" s="287"/>
      <c r="F34" s="287"/>
      <c r="G34" s="126"/>
      <c r="H34" s="126"/>
      <c r="I34" s="126"/>
      <c r="J34" s="126"/>
      <c r="K34" s="126"/>
      <c r="L34" s="126"/>
      <c r="M34" s="126"/>
      <c r="N34" s="126"/>
      <c r="O34" s="126"/>
      <c r="P34" s="126"/>
    </row>
    <row r="35" spans="2:16">
      <c r="B35" s="126"/>
      <c r="D35" s="126" t="s">
        <v>241</v>
      </c>
      <c r="G35" s="126"/>
      <c r="H35" s="146">
        <v>0</v>
      </c>
      <c r="I35" s="146">
        <v>7</v>
      </c>
      <c r="J35" s="146">
        <v>29</v>
      </c>
      <c r="K35" s="146">
        <v>18</v>
      </c>
      <c r="L35" s="146">
        <v>161</v>
      </c>
      <c r="M35" s="146">
        <v>1</v>
      </c>
      <c r="N35" s="146">
        <v>52</v>
      </c>
      <c r="O35" s="146">
        <v>0</v>
      </c>
      <c r="P35" s="146">
        <v>0</v>
      </c>
    </row>
    <row r="36" spans="2:16">
      <c r="B36" s="126"/>
      <c r="D36" s="126" t="s">
        <v>242</v>
      </c>
      <c r="G36" s="126"/>
      <c r="H36" s="146">
        <v>0</v>
      </c>
      <c r="I36" s="146">
        <v>32</v>
      </c>
      <c r="J36" s="146">
        <v>510</v>
      </c>
      <c r="K36" s="146">
        <v>576</v>
      </c>
      <c r="L36" s="146">
        <v>1694</v>
      </c>
      <c r="M36" s="146">
        <v>23</v>
      </c>
      <c r="N36" s="146">
        <v>902</v>
      </c>
      <c r="O36" s="146">
        <v>32</v>
      </c>
      <c r="P36" s="146">
        <v>0</v>
      </c>
    </row>
    <row r="37" spans="2:16">
      <c r="B37" s="126"/>
      <c r="D37" s="126" t="s">
        <v>243</v>
      </c>
      <c r="G37" s="126"/>
      <c r="H37" s="146">
        <v>22</v>
      </c>
      <c r="I37" s="146">
        <v>22</v>
      </c>
      <c r="J37" s="146">
        <v>250</v>
      </c>
      <c r="K37" s="146">
        <v>478</v>
      </c>
      <c r="L37" s="146">
        <v>1456</v>
      </c>
      <c r="M37" s="146">
        <v>39</v>
      </c>
      <c r="N37" s="146">
        <v>1164</v>
      </c>
      <c r="O37" s="146">
        <v>0</v>
      </c>
      <c r="P37" s="146">
        <v>0</v>
      </c>
    </row>
    <row r="38" spans="2:16">
      <c r="B38" s="126"/>
      <c r="D38" s="126" t="s">
        <v>244</v>
      </c>
      <c r="G38" s="126"/>
      <c r="H38" s="146">
        <v>14</v>
      </c>
      <c r="I38" s="146">
        <v>12</v>
      </c>
      <c r="J38" s="146">
        <v>-86</v>
      </c>
      <c r="K38" s="146">
        <v>-8</v>
      </c>
      <c r="L38" s="146">
        <v>-405</v>
      </c>
      <c r="M38" s="146">
        <v>5</v>
      </c>
      <c r="N38" s="146">
        <v>-78</v>
      </c>
      <c r="O38" s="146">
        <v>-26</v>
      </c>
      <c r="P38" s="146">
        <v>0</v>
      </c>
    </row>
    <row r="39" spans="2:16">
      <c r="B39" s="126"/>
      <c r="D39" s="126" t="s">
        <v>245</v>
      </c>
      <c r="G39" s="126"/>
      <c r="H39" s="146">
        <v>-36</v>
      </c>
      <c r="I39" s="146">
        <v>-62</v>
      </c>
      <c r="J39" s="146">
        <v>-542</v>
      </c>
      <c r="K39" s="146">
        <v>-1051</v>
      </c>
      <c r="L39" s="146">
        <v>-1763</v>
      </c>
      <c r="M39" s="146">
        <v>-44</v>
      </c>
      <c r="N39" s="146">
        <v>-1523</v>
      </c>
      <c r="O39" s="146">
        <v>-5</v>
      </c>
      <c r="P39" s="146">
        <v>0</v>
      </c>
    </row>
    <row r="40" spans="2:16">
      <c r="B40" s="126"/>
      <c r="D40" s="126" t="s">
        <v>246</v>
      </c>
      <c r="G40" s="126"/>
      <c r="H40" s="146">
        <v>0</v>
      </c>
      <c r="I40" s="146">
        <v>-11</v>
      </c>
      <c r="J40" s="146">
        <v>-161</v>
      </c>
      <c r="K40" s="146">
        <v>-13</v>
      </c>
      <c r="L40" s="146">
        <v>-1143</v>
      </c>
      <c r="M40" s="146">
        <v>-24</v>
      </c>
      <c r="N40" s="146">
        <v>-517</v>
      </c>
      <c r="O40" s="146">
        <v>-1</v>
      </c>
      <c r="P40" s="146">
        <v>0</v>
      </c>
    </row>
    <row r="41" spans="2:16">
      <c r="B41" s="126"/>
      <c r="C41" s="289" t="s">
        <v>254</v>
      </c>
      <c r="G41" s="126"/>
      <c r="H41" s="126"/>
      <c r="I41" s="126"/>
      <c r="J41" s="126"/>
      <c r="K41" s="126"/>
      <c r="L41" s="126"/>
      <c r="M41" s="126"/>
      <c r="N41" s="126"/>
      <c r="O41" s="126"/>
      <c r="P41" s="126"/>
    </row>
    <row r="42" spans="2:16">
      <c r="B42" s="126"/>
      <c r="C42" s="127"/>
      <c r="D42" s="291" t="s">
        <v>255</v>
      </c>
      <c r="E42" s="291"/>
      <c r="F42" s="291"/>
      <c r="G42" s="126"/>
      <c r="H42" s="146">
        <v>0</v>
      </c>
      <c r="I42" s="146">
        <v>0</v>
      </c>
      <c r="J42" s="146">
        <v>0</v>
      </c>
      <c r="K42" s="146">
        <v>0</v>
      </c>
      <c r="L42" s="146">
        <v>0</v>
      </c>
      <c r="M42" s="146">
        <v>0</v>
      </c>
      <c r="N42" s="146">
        <v>0</v>
      </c>
      <c r="O42" s="146">
        <v>0</v>
      </c>
      <c r="P42" s="146">
        <v>0</v>
      </c>
    </row>
    <row r="43" spans="2:16">
      <c r="B43" s="287"/>
      <c r="C43" s="289" t="s">
        <v>256</v>
      </c>
      <c r="D43" s="287"/>
      <c r="E43" s="287"/>
      <c r="F43" s="287"/>
      <c r="G43" s="126"/>
      <c r="H43" s="126"/>
      <c r="I43" s="126"/>
      <c r="J43" s="126"/>
      <c r="K43" s="126"/>
      <c r="L43" s="126"/>
      <c r="M43" s="126"/>
      <c r="N43" s="126"/>
      <c r="O43" s="126"/>
      <c r="P43" s="126"/>
    </row>
    <row r="44" spans="2:16">
      <c r="B44" s="126"/>
      <c r="D44" s="126" t="s">
        <v>249</v>
      </c>
      <c r="G44" s="126"/>
      <c r="H44" s="146">
        <v>22</v>
      </c>
      <c r="I44" s="146">
        <v>61</v>
      </c>
      <c r="J44" s="146">
        <v>789</v>
      </c>
      <c r="K44" s="146">
        <v>576</v>
      </c>
      <c r="L44" s="146">
        <v>3311</v>
      </c>
      <c r="M44" s="146">
        <v>63</v>
      </c>
      <c r="N44" s="146">
        <v>2118</v>
      </c>
      <c r="O44" s="146">
        <v>32</v>
      </c>
      <c r="P44" s="146">
        <v>0</v>
      </c>
    </row>
    <row r="45" spans="2:16">
      <c r="B45" s="126"/>
      <c r="D45" s="126" t="s">
        <v>250</v>
      </c>
      <c r="G45" s="126"/>
      <c r="H45" s="146">
        <v>14</v>
      </c>
      <c r="I45" s="146">
        <v>12</v>
      </c>
      <c r="J45" s="146">
        <v>-86</v>
      </c>
      <c r="K45" s="146">
        <v>-8</v>
      </c>
      <c r="L45" s="146">
        <v>-405</v>
      </c>
      <c r="M45" s="146">
        <v>5</v>
      </c>
      <c r="N45" s="146">
        <v>-78</v>
      </c>
      <c r="O45" s="146">
        <v>-26</v>
      </c>
      <c r="P45" s="146">
        <v>0</v>
      </c>
    </row>
    <row r="46" spans="2:16">
      <c r="B46" s="126"/>
      <c r="D46" s="126" t="s">
        <v>251</v>
      </c>
      <c r="G46" s="126"/>
      <c r="H46" s="146">
        <v>-36</v>
      </c>
      <c r="I46" s="146">
        <v>-62</v>
      </c>
      <c r="J46" s="146">
        <v>-542</v>
      </c>
      <c r="K46" s="146">
        <v>-1051</v>
      </c>
      <c r="L46" s="146">
        <v>-1763</v>
      </c>
      <c r="M46" s="146">
        <v>-44</v>
      </c>
      <c r="N46" s="146">
        <v>-1523</v>
      </c>
      <c r="O46" s="146">
        <v>-5</v>
      </c>
      <c r="P46" s="146">
        <v>0</v>
      </c>
    </row>
    <row r="47" spans="2:16">
      <c r="B47" s="126"/>
      <c r="D47" s="126" t="s">
        <v>252</v>
      </c>
      <c r="G47" s="126"/>
      <c r="H47" s="146">
        <v>0</v>
      </c>
      <c r="I47" s="146">
        <v>-11</v>
      </c>
      <c r="J47" s="146">
        <v>-161</v>
      </c>
      <c r="K47" s="146">
        <v>-13</v>
      </c>
      <c r="L47" s="146">
        <v>-1143</v>
      </c>
      <c r="M47" s="146">
        <v>-24</v>
      </c>
      <c r="N47" s="146">
        <v>-517</v>
      </c>
      <c r="O47" s="146">
        <v>-1</v>
      </c>
      <c r="P47" s="146">
        <v>0</v>
      </c>
    </row>
    <row r="49" spans="2:16">
      <c r="B49" s="290" t="s">
        <v>258</v>
      </c>
      <c r="C49" s="288"/>
      <c r="D49" s="288"/>
      <c r="E49" s="288"/>
      <c r="F49" s="288"/>
      <c r="G49" s="126"/>
      <c r="H49" s="126"/>
      <c r="I49" s="126"/>
      <c r="J49" s="126"/>
      <c r="K49" s="126"/>
      <c r="L49" s="126"/>
      <c r="M49" s="126"/>
      <c r="N49" s="126"/>
      <c r="O49" s="126"/>
      <c r="P49" s="126"/>
    </row>
    <row r="50" spans="2:16">
      <c r="B50" s="287"/>
      <c r="C50" s="289" t="s">
        <v>248</v>
      </c>
      <c r="D50" s="287"/>
      <c r="E50" s="287"/>
      <c r="F50" s="287"/>
      <c r="G50" s="126"/>
      <c r="H50" s="126"/>
      <c r="I50" s="126"/>
      <c r="J50" s="126"/>
      <c r="K50" s="126"/>
      <c r="L50" s="126"/>
      <c r="M50" s="126"/>
      <c r="N50" s="126"/>
      <c r="O50" s="126"/>
      <c r="P50" s="126"/>
    </row>
    <row r="51" spans="2:16">
      <c r="B51" s="126"/>
      <c r="D51" s="126" t="s">
        <v>241</v>
      </c>
      <c r="G51" s="126"/>
      <c r="H51" s="146">
        <v>0</v>
      </c>
      <c r="I51" s="146">
        <v>8</v>
      </c>
      <c r="J51" s="146">
        <v>30</v>
      </c>
      <c r="K51" s="146">
        <v>19</v>
      </c>
      <c r="L51" s="146">
        <v>172</v>
      </c>
      <c r="M51" s="146">
        <v>1</v>
      </c>
      <c r="N51" s="146">
        <v>68</v>
      </c>
      <c r="O51" s="146">
        <v>0</v>
      </c>
      <c r="P51" s="146">
        <v>0</v>
      </c>
    </row>
    <row r="52" spans="2:16">
      <c r="B52" s="126"/>
      <c r="D52" s="126" t="s">
        <v>242</v>
      </c>
      <c r="G52" s="126"/>
      <c r="H52" s="146">
        <v>0</v>
      </c>
      <c r="I52" s="146">
        <v>32</v>
      </c>
      <c r="J52" s="146">
        <v>546</v>
      </c>
      <c r="K52" s="146">
        <v>600</v>
      </c>
      <c r="L52" s="146">
        <v>1773</v>
      </c>
      <c r="M52" s="146">
        <v>23</v>
      </c>
      <c r="N52" s="146">
        <v>1030</v>
      </c>
      <c r="O52" s="146">
        <v>32</v>
      </c>
      <c r="P52" s="146">
        <v>0</v>
      </c>
    </row>
    <row r="53" spans="2:16">
      <c r="B53" s="126"/>
      <c r="D53" s="126" t="s">
        <v>243</v>
      </c>
      <c r="G53" s="126"/>
      <c r="H53" s="146">
        <v>26</v>
      </c>
      <c r="I53" s="146">
        <v>22</v>
      </c>
      <c r="J53" s="146">
        <v>265</v>
      </c>
      <c r="K53" s="146">
        <v>486</v>
      </c>
      <c r="L53" s="146">
        <v>1512</v>
      </c>
      <c r="M53" s="146">
        <v>39</v>
      </c>
      <c r="N53" s="146">
        <v>1175</v>
      </c>
      <c r="O53" s="146">
        <v>0</v>
      </c>
      <c r="P53" s="146">
        <v>0</v>
      </c>
    </row>
    <row r="54" spans="2:16">
      <c r="B54" s="126"/>
      <c r="D54" s="126" t="s">
        <v>244</v>
      </c>
      <c r="G54" s="126"/>
      <c r="H54" s="146">
        <v>14</v>
      </c>
      <c r="I54" s="146">
        <v>14</v>
      </c>
      <c r="J54" s="146">
        <v>-97</v>
      </c>
      <c r="K54" s="146">
        <v>-5</v>
      </c>
      <c r="L54" s="146">
        <v>-383</v>
      </c>
      <c r="M54" s="146">
        <v>5</v>
      </c>
      <c r="N54" s="146">
        <v>-92</v>
      </c>
      <c r="O54" s="146">
        <v>-26</v>
      </c>
      <c r="P54" s="146">
        <v>0</v>
      </c>
    </row>
    <row r="55" spans="2:16">
      <c r="B55" s="126"/>
      <c r="D55" s="126" t="s">
        <v>245</v>
      </c>
      <c r="G55" s="126"/>
      <c r="H55" s="146">
        <v>-40</v>
      </c>
      <c r="I55" s="146">
        <v>-65</v>
      </c>
      <c r="J55" s="146">
        <v>-574</v>
      </c>
      <c r="K55" s="146">
        <v>-1080</v>
      </c>
      <c r="L55" s="146">
        <v>-1864</v>
      </c>
      <c r="M55" s="146">
        <v>-44</v>
      </c>
      <c r="N55" s="146">
        <v>-1624</v>
      </c>
      <c r="O55" s="146">
        <v>-5</v>
      </c>
      <c r="P55" s="146">
        <v>0</v>
      </c>
    </row>
    <row r="56" spans="2:16">
      <c r="B56" s="126"/>
      <c r="D56" s="126" t="s">
        <v>246</v>
      </c>
      <c r="G56" s="126"/>
      <c r="H56" s="146">
        <v>0</v>
      </c>
      <c r="I56" s="146">
        <v>-11</v>
      </c>
      <c r="J56" s="146">
        <v>-170</v>
      </c>
      <c r="K56" s="146">
        <v>-20</v>
      </c>
      <c r="L56" s="146">
        <v>-1210</v>
      </c>
      <c r="M56" s="146">
        <v>-24</v>
      </c>
      <c r="N56" s="146">
        <v>-557</v>
      </c>
      <c r="O56" s="146">
        <v>-1</v>
      </c>
      <c r="P56" s="146">
        <v>0</v>
      </c>
    </row>
    <row r="57" spans="2:16">
      <c r="B57" s="126"/>
      <c r="C57" s="289" t="s">
        <v>254</v>
      </c>
      <c r="G57" s="126"/>
      <c r="H57" s="126"/>
      <c r="I57" s="126"/>
      <c r="J57" s="126"/>
      <c r="K57" s="126"/>
      <c r="L57" s="126"/>
      <c r="M57" s="126"/>
      <c r="N57" s="126"/>
      <c r="O57" s="126"/>
      <c r="P57" s="126"/>
    </row>
    <row r="58" spans="2:16">
      <c r="B58" s="126"/>
      <c r="C58" s="127"/>
      <c r="D58" s="291" t="s">
        <v>255</v>
      </c>
      <c r="E58" s="291"/>
      <c r="F58" s="291"/>
      <c r="G58" s="126"/>
      <c r="H58" s="146">
        <v>0</v>
      </c>
      <c r="I58" s="146">
        <v>0</v>
      </c>
      <c r="J58" s="146">
        <v>0</v>
      </c>
      <c r="K58" s="146">
        <v>0</v>
      </c>
      <c r="L58" s="146">
        <v>0</v>
      </c>
      <c r="M58" s="146">
        <v>0</v>
      </c>
      <c r="N58" s="146">
        <v>0</v>
      </c>
      <c r="O58" s="146">
        <v>0</v>
      </c>
      <c r="P58" s="146">
        <v>0</v>
      </c>
    </row>
    <row r="59" spans="2:16">
      <c r="B59" s="287"/>
      <c r="C59" s="289" t="s">
        <v>256</v>
      </c>
      <c r="D59" s="287"/>
      <c r="E59" s="287"/>
      <c r="F59" s="287"/>
      <c r="G59" s="126"/>
      <c r="H59" s="287"/>
      <c r="I59" s="126"/>
      <c r="J59" s="126"/>
      <c r="K59" s="126"/>
      <c r="L59" s="126"/>
      <c r="M59" s="126"/>
      <c r="N59" s="126"/>
      <c r="O59" s="126"/>
      <c r="P59" s="126"/>
    </row>
    <row r="60" spans="2:16">
      <c r="B60" s="126"/>
      <c r="D60" s="126" t="s">
        <v>249</v>
      </c>
      <c r="G60" s="126"/>
      <c r="H60" s="146">
        <v>26</v>
      </c>
      <c r="I60" s="146">
        <v>62</v>
      </c>
      <c r="J60" s="146">
        <v>841</v>
      </c>
      <c r="K60" s="146">
        <v>1105</v>
      </c>
      <c r="L60" s="146">
        <v>3457</v>
      </c>
      <c r="M60" s="146">
        <v>63</v>
      </c>
      <c r="N60" s="146">
        <v>2273</v>
      </c>
      <c r="O60" s="146">
        <v>32</v>
      </c>
      <c r="P60" s="146">
        <v>0</v>
      </c>
    </row>
    <row r="61" spans="2:16">
      <c r="B61" s="126"/>
      <c r="D61" s="126" t="s">
        <v>250</v>
      </c>
      <c r="G61" s="126"/>
      <c r="H61" s="146">
        <v>14</v>
      </c>
      <c r="I61" s="146">
        <v>14</v>
      </c>
      <c r="J61" s="146">
        <v>-97</v>
      </c>
      <c r="K61" s="146">
        <v>-5</v>
      </c>
      <c r="L61" s="146">
        <v>-383</v>
      </c>
      <c r="M61" s="146">
        <v>5</v>
      </c>
      <c r="N61" s="146">
        <v>-92</v>
      </c>
      <c r="O61" s="146">
        <v>-26</v>
      </c>
      <c r="P61" s="146">
        <v>0</v>
      </c>
    </row>
    <row r="62" spans="2:16">
      <c r="B62" s="126"/>
      <c r="D62" s="126" t="s">
        <v>251</v>
      </c>
      <c r="G62" s="126"/>
      <c r="H62" s="146">
        <v>-40</v>
      </c>
      <c r="I62" s="146">
        <v>-65</v>
      </c>
      <c r="J62" s="146">
        <v>-574</v>
      </c>
      <c r="K62" s="146">
        <v>-1080</v>
      </c>
      <c r="L62" s="146">
        <v>-1864</v>
      </c>
      <c r="M62" s="146">
        <v>-44</v>
      </c>
      <c r="N62" s="146">
        <v>-1624</v>
      </c>
      <c r="O62" s="146">
        <v>-5</v>
      </c>
      <c r="P62" s="146">
        <v>0</v>
      </c>
    </row>
    <row r="63" spans="2:16">
      <c r="B63" s="126"/>
      <c r="D63" s="126" t="s">
        <v>252</v>
      </c>
      <c r="G63" s="126"/>
      <c r="H63" s="146">
        <v>0</v>
      </c>
      <c r="I63" s="146">
        <v>-11</v>
      </c>
      <c r="J63" s="146">
        <v>-170</v>
      </c>
      <c r="K63" s="146">
        <v>-20</v>
      </c>
      <c r="L63" s="146">
        <v>-1210</v>
      </c>
      <c r="M63" s="146">
        <v>-24</v>
      </c>
      <c r="N63" s="146">
        <v>-557</v>
      </c>
      <c r="O63" s="146">
        <v>-1</v>
      </c>
      <c r="P63" s="146">
        <v>0</v>
      </c>
    </row>
    <row r="65" spans="2:16">
      <c r="B65" s="287" t="s">
        <v>259</v>
      </c>
    </row>
    <row r="66" spans="2:16">
      <c r="C66" s="289" t="s">
        <v>248</v>
      </c>
      <c r="D66" s="287"/>
      <c r="E66" s="287"/>
      <c r="F66" s="287"/>
    </row>
    <row r="67" spans="2:16">
      <c r="D67" s="126" t="s">
        <v>241</v>
      </c>
      <c r="H67" s="56">
        <f>(H19+H35+H51)/3</f>
        <v>0</v>
      </c>
      <c r="I67" s="56">
        <f>(I19+I35+I51)/3</f>
        <v>7.333333333333333</v>
      </c>
      <c r="J67" s="56">
        <f t="shared" ref="J67:P67" si="0">(J19+J35+J51)/3</f>
        <v>28.666666666666668</v>
      </c>
      <c r="K67" s="56">
        <f t="shared" si="0"/>
        <v>18</v>
      </c>
      <c r="L67" s="56">
        <f t="shared" si="0"/>
        <v>161.33333333333334</v>
      </c>
      <c r="M67" s="56">
        <f t="shared" si="0"/>
        <v>1</v>
      </c>
      <c r="N67" s="56">
        <f t="shared" si="0"/>
        <v>54.333333333333336</v>
      </c>
      <c r="O67" s="56">
        <f t="shared" si="0"/>
        <v>0</v>
      </c>
      <c r="P67" s="56">
        <f t="shared" si="0"/>
        <v>0</v>
      </c>
    </row>
    <row r="68" spans="2:16">
      <c r="D68" s="126" t="s">
        <v>242</v>
      </c>
      <c r="H68" s="56">
        <f t="shared" ref="H68:P72" si="1">(H20+H36+H52)/3</f>
        <v>0</v>
      </c>
      <c r="I68" s="56">
        <f t="shared" si="1"/>
        <v>31.666666666666668</v>
      </c>
      <c r="J68" s="56">
        <f t="shared" si="1"/>
        <v>509.66666666666669</v>
      </c>
      <c r="K68" s="56">
        <f t="shared" si="1"/>
        <v>578.33333333333337</v>
      </c>
      <c r="L68" s="56">
        <f t="shared" si="1"/>
        <v>1700.3333333333333</v>
      </c>
      <c r="M68" s="56">
        <f t="shared" si="1"/>
        <v>23</v>
      </c>
      <c r="N68" s="56">
        <f t="shared" si="1"/>
        <v>901.66666666666663</v>
      </c>
      <c r="O68" s="56">
        <f t="shared" si="1"/>
        <v>21.333333333333332</v>
      </c>
      <c r="P68" s="56">
        <f t="shared" si="1"/>
        <v>0</v>
      </c>
    </row>
    <row r="69" spans="2:16">
      <c r="D69" s="126" t="s">
        <v>243</v>
      </c>
      <c r="H69" s="56">
        <f t="shared" si="1"/>
        <v>22.666666666666668</v>
      </c>
      <c r="I69" s="56">
        <f t="shared" si="1"/>
        <v>22</v>
      </c>
      <c r="J69" s="56">
        <f t="shared" si="1"/>
        <v>248.33333333333334</v>
      </c>
      <c r="K69" s="56">
        <f t="shared" si="1"/>
        <v>475.33333333333331</v>
      </c>
      <c r="L69" s="56">
        <f>(L21+L37+L53)/3</f>
        <v>1463.6666666666667</v>
      </c>
      <c r="M69" s="56">
        <f t="shared" si="1"/>
        <v>39</v>
      </c>
      <c r="N69" s="56">
        <f t="shared" si="1"/>
        <v>1163</v>
      </c>
      <c r="O69" s="56">
        <f t="shared" si="1"/>
        <v>0</v>
      </c>
      <c r="P69" s="56">
        <f t="shared" si="1"/>
        <v>0</v>
      </c>
    </row>
    <row r="70" spans="2:16">
      <c r="D70" s="126" t="s">
        <v>244</v>
      </c>
      <c r="H70" s="56">
        <f t="shared" si="1"/>
        <v>13.666666666666666</v>
      </c>
      <c r="I70" s="56">
        <f t="shared" si="1"/>
        <v>12.666666666666666</v>
      </c>
      <c r="J70" s="56">
        <f t="shared" si="1"/>
        <v>-88.666666666666671</v>
      </c>
      <c r="K70" s="56">
        <f t="shared" si="1"/>
        <v>-7.333333333333333</v>
      </c>
      <c r="L70" s="56">
        <f t="shared" si="1"/>
        <v>-394.66666666666669</v>
      </c>
      <c r="M70" s="56">
        <f t="shared" si="1"/>
        <v>5</v>
      </c>
      <c r="N70" s="56">
        <f t="shared" si="1"/>
        <v>-90.666666666666671</v>
      </c>
      <c r="O70" s="56">
        <f t="shared" si="1"/>
        <v>-17.333333333333332</v>
      </c>
      <c r="P70" s="56">
        <f t="shared" si="1"/>
        <v>0</v>
      </c>
    </row>
    <row r="71" spans="2:16">
      <c r="D71" s="126" t="s">
        <v>245</v>
      </c>
      <c r="H71" s="56">
        <f t="shared" si="1"/>
        <v>-36.333333333333336</v>
      </c>
      <c r="I71" s="56">
        <f t="shared" si="1"/>
        <v>-63</v>
      </c>
      <c r="J71" s="56">
        <f t="shared" si="1"/>
        <v>-541.33333333333337</v>
      </c>
      <c r="K71" s="56">
        <f t="shared" si="1"/>
        <v>-1050</v>
      </c>
      <c r="L71" s="56">
        <f t="shared" si="1"/>
        <v>-1777.6666666666667</v>
      </c>
      <c r="M71" s="56">
        <f t="shared" si="1"/>
        <v>-44</v>
      </c>
      <c r="N71" s="56">
        <f t="shared" si="1"/>
        <v>-1529.6666666666667</v>
      </c>
      <c r="O71" s="56">
        <f t="shared" si="1"/>
        <v>-3.3333333333333335</v>
      </c>
      <c r="P71" s="56">
        <f t="shared" si="1"/>
        <v>0</v>
      </c>
    </row>
    <row r="72" spans="2:16">
      <c r="D72" s="126" t="s">
        <v>246</v>
      </c>
      <c r="H72" s="56">
        <f t="shared" si="1"/>
        <v>0</v>
      </c>
      <c r="I72" s="56">
        <f t="shared" si="1"/>
        <v>-10.666666666666666</v>
      </c>
      <c r="J72" s="56">
        <f t="shared" si="1"/>
        <v>-156.66666666666666</v>
      </c>
      <c r="K72" s="56">
        <f t="shared" si="1"/>
        <v>-14.333333333333334</v>
      </c>
      <c r="L72" s="56">
        <f t="shared" si="1"/>
        <v>-1153</v>
      </c>
      <c r="M72" s="56">
        <f t="shared" si="1"/>
        <v>-24</v>
      </c>
      <c r="N72" s="56">
        <f t="shared" si="1"/>
        <v>-498.66666666666669</v>
      </c>
      <c r="O72" s="56">
        <f t="shared" si="1"/>
        <v>-0.66666666666666663</v>
      </c>
      <c r="P72" s="56">
        <f t="shared" si="1"/>
        <v>0</v>
      </c>
    </row>
    <row r="73" spans="2:16">
      <c r="C73" s="289" t="s">
        <v>254</v>
      </c>
    </row>
    <row r="74" spans="2:16">
      <c r="C74" s="127"/>
      <c r="D74" s="291" t="s">
        <v>255</v>
      </c>
      <c r="E74" s="291"/>
      <c r="F74" s="291"/>
      <c r="H74" s="56">
        <f>(H26+H42+H58)/3</f>
        <v>0</v>
      </c>
      <c r="I74" s="56">
        <f t="shared" ref="I74:P74" si="2">(I26+I42+I58)/3</f>
        <v>0</v>
      </c>
      <c r="J74" s="56">
        <f t="shared" si="2"/>
        <v>0</v>
      </c>
      <c r="K74" s="56">
        <f t="shared" si="2"/>
        <v>0</v>
      </c>
      <c r="L74" s="56">
        <f>(L26+L42+L58)/3</f>
        <v>0</v>
      </c>
      <c r="M74" s="56">
        <f t="shared" si="2"/>
        <v>0</v>
      </c>
      <c r="N74" s="56">
        <f t="shared" si="2"/>
        <v>0</v>
      </c>
      <c r="O74" s="56">
        <f t="shared" si="2"/>
        <v>0</v>
      </c>
      <c r="P74" s="56">
        <f t="shared" si="2"/>
        <v>0</v>
      </c>
    </row>
    <row r="75" spans="2:16">
      <c r="C75" s="289" t="s">
        <v>256</v>
      </c>
      <c r="D75" s="287"/>
      <c r="E75" s="287"/>
      <c r="F75" s="287"/>
    </row>
    <row r="76" spans="2:16">
      <c r="D76" s="126" t="s">
        <v>249</v>
      </c>
      <c r="H76" s="56">
        <f t="shared" ref="H76:P76" si="3">(H28+H44+H60)/3</f>
        <v>22.666666666666668</v>
      </c>
      <c r="I76" s="56">
        <f t="shared" si="3"/>
        <v>61</v>
      </c>
      <c r="J76" s="56">
        <f t="shared" si="3"/>
        <v>786.66666666666663</v>
      </c>
      <c r="K76" s="56">
        <f t="shared" si="3"/>
        <v>906.33333333333337</v>
      </c>
      <c r="L76" s="56">
        <f t="shared" si="3"/>
        <v>3325.3333333333335</v>
      </c>
      <c r="M76" s="56">
        <f t="shared" si="3"/>
        <v>63</v>
      </c>
      <c r="N76" s="56">
        <f t="shared" si="3"/>
        <v>2119</v>
      </c>
      <c r="O76" s="56">
        <f t="shared" si="3"/>
        <v>21.333333333333332</v>
      </c>
      <c r="P76" s="56">
        <f t="shared" si="3"/>
        <v>0</v>
      </c>
    </row>
    <row r="77" spans="2:16">
      <c r="D77" s="126" t="s">
        <v>250</v>
      </c>
      <c r="H77" s="56">
        <f t="shared" ref="H77:P77" si="4">(H29+H45+H61)/3</f>
        <v>13.666666666666666</v>
      </c>
      <c r="I77" s="56">
        <f t="shared" si="4"/>
        <v>12.666666666666666</v>
      </c>
      <c r="J77" s="56">
        <f t="shared" si="4"/>
        <v>-88.666666666666671</v>
      </c>
      <c r="K77" s="56">
        <f t="shared" si="4"/>
        <v>-7.333333333333333</v>
      </c>
      <c r="L77" s="56">
        <f t="shared" si="4"/>
        <v>-394.66666666666669</v>
      </c>
      <c r="M77" s="56">
        <f t="shared" si="4"/>
        <v>5</v>
      </c>
      <c r="N77" s="56">
        <f t="shared" si="4"/>
        <v>-90.666666666666671</v>
      </c>
      <c r="O77" s="56">
        <f t="shared" si="4"/>
        <v>-17.333333333333332</v>
      </c>
      <c r="P77" s="56">
        <f t="shared" si="4"/>
        <v>0</v>
      </c>
    </row>
    <row r="78" spans="2:16">
      <c r="D78" s="126" t="s">
        <v>251</v>
      </c>
      <c r="H78" s="56">
        <f t="shared" ref="H78:P78" si="5">(H30+H46+H62)/3</f>
        <v>-36.333333333333336</v>
      </c>
      <c r="I78" s="56">
        <f t="shared" si="5"/>
        <v>-63</v>
      </c>
      <c r="J78" s="56">
        <f t="shared" si="5"/>
        <v>-541.33333333333337</v>
      </c>
      <c r="K78" s="56">
        <f t="shared" si="5"/>
        <v>-1050</v>
      </c>
      <c r="L78" s="56">
        <f t="shared" si="5"/>
        <v>-1777.6666666666667</v>
      </c>
      <c r="M78" s="56">
        <f t="shared" si="5"/>
        <v>-44</v>
      </c>
      <c r="N78" s="56">
        <f t="shared" si="5"/>
        <v>-1529.6666666666667</v>
      </c>
      <c r="O78" s="56">
        <f t="shared" si="5"/>
        <v>-3.3333333333333335</v>
      </c>
      <c r="P78" s="56">
        <f t="shared" si="5"/>
        <v>0</v>
      </c>
    </row>
    <row r="79" spans="2:16">
      <c r="D79" s="126" t="s">
        <v>252</v>
      </c>
      <c r="H79" s="56">
        <f t="shared" ref="H79:O79" si="6">(H31+H47+H63)/3</f>
        <v>0</v>
      </c>
      <c r="I79" s="56">
        <f t="shared" si="6"/>
        <v>-10.666666666666666</v>
      </c>
      <c r="J79" s="56">
        <f t="shared" si="6"/>
        <v>-156.66666666666666</v>
      </c>
      <c r="K79" s="56">
        <f t="shared" si="6"/>
        <v>-14.333333333333334</v>
      </c>
      <c r="L79" s="56">
        <f t="shared" si="6"/>
        <v>-1153</v>
      </c>
      <c r="M79" s="56">
        <f>(M31+M47+M63)/3</f>
        <v>-24</v>
      </c>
      <c r="N79" s="56">
        <f t="shared" si="6"/>
        <v>-498.66666666666669</v>
      </c>
      <c r="O79" s="56">
        <f t="shared" si="6"/>
        <v>-0.66666666666666663</v>
      </c>
      <c r="P79" s="56">
        <f>(P31+P47+P63)/3</f>
        <v>0</v>
      </c>
    </row>
    <row r="81" spans="1:16">
      <c r="A81" s="287" t="s">
        <v>247</v>
      </c>
    </row>
    <row r="82" spans="1:16">
      <c r="C82" s="289" t="s">
        <v>248</v>
      </c>
      <c r="D82" s="287"/>
      <c r="E82" s="287"/>
      <c r="F82" s="287"/>
    </row>
    <row r="83" spans="1:16" s="126" customFormat="1">
      <c r="C83" s="289"/>
      <c r="D83" s="127" t="s">
        <v>262</v>
      </c>
      <c r="E83" s="287"/>
      <c r="F83" s="287"/>
      <c r="H83" s="292">
        <v>26.07</v>
      </c>
      <c r="I83" s="292">
        <v>27.290000000000003</v>
      </c>
      <c r="J83" s="292">
        <v>25.951499999999999</v>
      </c>
      <c r="K83" s="292">
        <v>26.517900000000001</v>
      </c>
      <c r="L83" s="292">
        <v>27.995500000000003</v>
      </c>
      <c r="M83" s="292">
        <v>35.43</v>
      </c>
      <c r="N83" s="292">
        <v>27.521000000000001</v>
      </c>
      <c r="O83" s="292">
        <v>21.863499999999998</v>
      </c>
      <c r="P83" s="292"/>
    </row>
    <row r="84" spans="1:16" s="126" customFormat="1">
      <c r="C84" s="289"/>
      <c r="D84" s="287"/>
      <c r="E84" s="287"/>
      <c r="F84" s="314" t="s">
        <v>263</v>
      </c>
    </row>
    <row r="85" spans="1:16">
      <c r="D85" s="126" t="s">
        <v>241</v>
      </c>
      <c r="F85" s="147">
        <v>1.5</v>
      </c>
      <c r="H85" s="313">
        <f>$F$85*H83</f>
        <v>39.105000000000004</v>
      </c>
      <c r="I85" s="313">
        <f t="shared" ref="I85:P85" si="7">$F$85*I83</f>
        <v>40.935000000000002</v>
      </c>
      <c r="J85" s="313">
        <f t="shared" si="7"/>
        <v>38.927250000000001</v>
      </c>
      <c r="K85" s="313">
        <f t="shared" si="7"/>
        <v>39.776850000000003</v>
      </c>
      <c r="L85" s="313">
        <f t="shared" si="7"/>
        <v>41.993250000000003</v>
      </c>
      <c r="M85" s="313">
        <f t="shared" si="7"/>
        <v>53.144999999999996</v>
      </c>
      <c r="N85" s="313">
        <f t="shared" si="7"/>
        <v>41.281500000000001</v>
      </c>
      <c r="O85" s="313">
        <f t="shared" si="7"/>
        <v>32.795249999999996</v>
      </c>
      <c r="P85" s="313">
        <f t="shared" si="7"/>
        <v>0</v>
      </c>
    </row>
    <row r="86" spans="1:16">
      <c r="D86" s="126" t="s">
        <v>242</v>
      </c>
      <c r="F86" s="147">
        <v>3</v>
      </c>
      <c r="H86" s="313">
        <f>$F$86*H83</f>
        <v>78.210000000000008</v>
      </c>
      <c r="I86" s="313">
        <f t="shared" ref="I86:P86" si="8">$F$86*I83</f>
        <v>81.87</v>
      </c>
      <c r="J86" s="313">
        <f t="shared" si="8"/>
        <v>77.854500000000002</v>
      </c>
      <c r="K86" s="313">
        <f t="shared" si="8"/>
        <v>79.553700000000006</v>
      </c>
      <c r="L86" s="313">
        <f t="shared" si="8"/>
        <v>83.986500000000007</v>
      </c>
      <c r="M86" s="313">
        <f t="shared" si="8"/>
        <v>106.28999999999999</v>
      </c>
      <c r="N86" s="313">
        <f t="shared" si="8"/>
        <v>82.563000000000002</v>
      </c>
      <c r="O86" s="313">
        <f t="shared" si="8"/>
        <v>65.590499999999992</v>
      </c>
      <c r="P86" s="313">
        <f t="shared" si="8"/>
        <v>0</v>
      </c>
    </row>
    <row r="87" spans="1:16">
      <c r="D87" s="126" t="s">
        <v>243</v>
      </c>
      <c r="F87" s="147">
        <v>6</v>
      </c>
      <c r="H87" s="313">
        <f>$F$87*H83</f>
        <v>156.42000000000002</v>
      </c>
      <c r="I87" s="313">
        <f t="shared" ref="I87:P87" si="9">$F$87*I83</f>
        <v>163.74</v>
      </c>
      <c r="J87" s="313">
        <f t="shared" si="9"/>
        <v>155.709</v>
      </c>
      <c r="K87" s="313">
        <f t="shared" si="9"/>
        <v>159.10740000000001</v>
      </c>
      <c r="L87" s="313">
        <f t="shared" si="9"/>
        <v>167.97300000000001</v>
      </c>
      <c r="M87" s="313">
        <f t="shared" si="9"/>
        <v>212.57999999999998</v>
      </c>
      <c r="N87" s="313">
        <f t="shared" si="9"/>
        <v>165.126</v>
      </c>
      <c r="O87" s="313">
        <f t="shared" si="9"/>
        <v>131.18099999999998</v>
      </c>
      <c r="P87" s="313">
        <f t="shared" si="9"/>
        <v>0</v>
      </c>
    </row>
    <row r="88" spans="1:16">
      <c r="D88" s="126" t="s">
        <v>244</v>
      </c>
      <c r="F88" s="147">
        <v>10</v>
      </c>
      <c r="H88" s="313">
        <f>$F$88*H83</f>
        <v>260.7</v>
      </c>
      <c r="I88" s="313">
        <f t="shared" ref="I88:P88" si="10">$F$88*I83</f>
        <v>272.90000000000003</v>
      </c>
      <c r="J88" s="313">
        <f t="shared" si="10"/>
        <v>259.51499999999999</v>
      </c>
      <c r="K88" s="313">
        <f t="shared" si="10"/>
        <v>265.17900000000003</v>
      </c>
      <c r="L88" s="313">
        <f t="shared" si="10"/>
        <v>279.95500000000004</v>
      </c>
      <c r="M88" s="313">
        <f t="shared" si="10"/>
        <v>354.3</v>
      </c>
      <c r="N88" s="313">
        <f t="shared" si="10"/>
        <v>275.21000000000004</v>
      </c>
      <c r="O88" s="313">
        <f t="shared" si="10"/>
        <v>218.63499999999999</v>
      </c>
      <c r="P88" s="313">
        <f t="shared" si="10"/>
        <v>0</v>
      </c>
    </row>
    <row r="89" spans="1:16">
      <c r="D89" s="126" t="s">
        <v>245</v>
      </c>
      <c r="F89" s="147">
        <v>16</v>
      </c>
      <c r="H89" s="313">
        <f>$F$89*H83</f>
        <v>417.12</v>
      </c>
      <c r="I89" s="313">
        <f t="shared" ref="I89:P89" si="11">$F$89*I83</f>
        <v>436.64000000000004</v>
      </c>
      <c r="J89" s="313">
        <f t="shared" si="11"/>
        <v>415.22399999999999</v>
      </c>
      <c r="K89" s="313">
        <f t="shared" si="11"/>
        <v>424.28640000000001</v>
      </c>
      <c r="L89" s="313">
        <f t="shared" si="11"/>
        <v>447.92800000000005</v>
      </c>
      <c r="M89" s="313">
        <f t="shared" si="11"/>
        <v>566.88</v>
      </c>
      <c r="N89" s="313">
        <f t="shared" si="11"/>
        <v>440.33600000000001</v>
      </c>
      <c r="O89" s="313">
        <f t="shared" si="11"/>
        <v>349.81599999999997</v>
      </c>
      <c r="P89" s="313">
        <f t="shared" si="11"/>
        <v>0</v>
      </c>
    </row>
    <row r="90" spans="1:16">
      <c r="D90" s="126" t="s">
        <v>246</v>
      </c>
      <c r="F90" s="147">
        <v>25</v>
      </c>
      <c r="H90" s="313">
        <f t="shared" ref="H90:P90" si="12">$F$90*H83</f>
        <v>651.75</v>
      </c>
      <c r="I90" s="313">
        <f t="shared" si="12"/>
        <v>682.25000000000011</v>
      </c>
      <c r="J90" s="313">
        <f t="shared" si="12"/>
        <v>648.78750000000002</v>
      </c>
      <c r="K90" s="313">
        <f t="shared" si="12"/>
        <v>662.94749999999999</v>
      </c>
      <c r="L90" s="313">
        <f t="shared" si="12"/>
        <v>699.88750000000005</v>
      </c>
      <c r="M90" s="313">
        <f t="shared" si="12"/>
        <v>885.75</v>
      </c>
      <c r="N90" s="313">
        <f t="shared" si="12"/>
        <v>688.02499999999998</v>
      </c>
      <c r="O90" s="313">
        <f t="shared" si="12"/>
        <v>546.58749999999998</v>
      </c>
      <c r="P90" s="313">
        <f t="shared" si="12"/>
        <v>0</v>
      </c>
    </row>
    <row r="91" spans="1:16">
      <c r="C91" s="289" t="s">
        <v>254</v>
      </c>
      <c r="H91" s="293"/>
      <c r="I91" s="293"/>
      <c r="J91" s="293"/>
      <c r="K91" s="293"/>
      <c r="L91" s="293"/>
      <c r="M91" s="293"/>
      <c r="N91" s="293"/>
      <c r="O91" s="293"/>
      <c r="P91" s="293"/>
    </row>
    <row r="92" spans="1:16">
      <c r="C92" s="127"/>
      <c r="D92" s="291" t="s">
        <v>255</v>
      </c>
      <c r="E92" s="291"/>
      <c r="H92" s="292">
        <v>18</v>
      </c>
      <c r="I92" s="292">
        <v>18</v>
      </c>
      <c r="J92" s="292">
        <v>17.994499999999999</v>
      </c>
      <c r="K92" s="292">
        <v>18</v>
      </c>
      <c r="L92" s="292">
        <v>17.994499999999999</v>
      </c>
      <c r="M92" s="292">
        <v>18</v>
      </c>
      <c r="N92" s="292">
        <v>18</v>
      </c>
      <c r="O92" s="292">
        <v>18</v>
      </c>
      <c r="P92" s="292"/>
    </row>
    <row r="93" spans="1:16">
      <c r="C93" s="289" t="s">
        <v>256</v>
      </c>
      <c r="D93" s="287"/>
      <c r="E93" s="287"/>
      <c r="H93" s="293"/>
      <c r="I93" s="293"/>
      <c r="J93" s="293"/>
      <c r="K93" s="293"/>
      <c r="L93" s="293"/>
      <c r="M93" s="293"/>
      <c r="N93" s="293"/>
      <c r="O93" s="293"/>
      <c r="P93" s="293"/>
    </row>
    <row r="94" spans="1:16">
      <c r="D94" s="126" t="s">
        <v>249</v>
      </c>
      <c r="H94" s="292">
        <v>18.57</v>
      </c>
      <c r="I94" s="292">
        <v>17.02</v>
      </c>
      <c r="J94" s="292">
        <v>19.089500000000001</v>
      </c>
      <c r="K94" s="292">
        <v>17.36</v>
      </c>
      <c r="L94" s="292">
        <v>18.615000000000002</v>
      </c>
      <c r="M94" s="292">
        <v>17.68</v>
      </c>
      <c r="N94" s="292">
        <v>17.09</v>
      </c>
      <c r="O94" s="292">
        <v>11.25</v>
      </c>
      <c r="P94" s="292"/>
    </row>
    <row r="95" spans="1:16">
      <c r="D95" s="126" t="s">
        <v>250</v>
      </c>
      <c r="H95" s="292">
        <v>42.87</v>
      </c>
      <c r="I95" s="292">
        <v>33.9</v>
      </c>
      <c r="J95" s="292">
        <v>43.179499999999997</v>
      </c>
      <c r="K95" s="292">
        <v>29.9</v>
      </c>
      <c r="L95" s="292">
        <v>33.872</v>
      </c>
      <c r="M95" s="292">
        <v>41.2</v>
      </c>
      <c r="N95" s="292">
        <v>35.42</v>
      </c>
      <c r="O95" s="292">
        <v>11.25</v>
      </c>
      <c r="P95" s="292"/>
    </row>
    <row r="96" spans="1:16">
      <c r="D96" s="126" t="s">
        <v>251</v>
      </c>
      <c r="H96" s="292">
        <v>43.23</v>
      </c>
      <c r="I96" s="292">
        <v>36.75</v>
      </c>
      <c r="J96" s="292">
        <v>43.179499999999997</v>
      </c>
      <c r="K96" s="292">
        <v>29.9</v>
      </c>
      <c r="L96" s="292">
        <v>35.842999999999996</v>
      </c>
      <c r="M96" s="292">
        <v>41.2</v>
      </c>
      <c r="N96" s="292">
        <v>35.42</v>
      </c>
      <c r="O96" s="292">
        <v>11.25</v>
      </c>
      <c r="P96" s="292"/>
    </row>
    <row r="97" spans="2:16">
      <c r="D97" s="126" t="s">
        <v>252</v>
      </c>
      <c r="H97" s="292">
        <v>56.91</v>
      </c>
      <c r="I97" s="292">
        <v>60.9</v>
      </c>
      <c r="J97" s="292">
        <v>59.933000000000007</v>
      </c>
      <c r="K97" s="292">
        <v>37.4</v>
      </c>
      <c r="L97" s="292">
        <v>60.881999999999998</v>
      </c>
      <c r="M97" s="292">
        <v>56.2</v>
      </c>
      <c r="N97" s="292">
        <v>55.78</v>
      </c>
      <c r="O97" s="292">
        <v>11.25</v>
      </c>
      <c r="P97" s="292"/>
    </row>
    <row r="99" spans="2:16">
      <c r="B99" s="287" t="s">
        <v>260</v>
      </c>
    </row>
    <row r="100" spans="2:16">
      <c r="C100" s="289" t="s">
        <v>248</v>
      </c>
      <c r="D100" s="287"/>
      <c r="E100" s="287"/>
      <c r="F100" s="287"/>
      <c r="G100" s="126"/>
      <c r="H100" s="126"/>
      <c r="I100" s="126"/>
      <c r="J100" s="126"/>
      <c r="K100" s="126"/>
      <c r="L100" s="126"/>
      <c r="M100" s="126"/>
      <c r="N100" s="126"/>
      <c r="O100" s="126"/>
      <c r="P100" s="126"/>
    </row>
    <row r="101" spans="2:16">
      <c r="D101" s="126" t="s">
        <v>241</v>
      </c>
      <c r="F101" s="254" t="s">
        <v>55</v>
      </c>
      <c r="G101" s="126"/>
      <c r="H101" s="56">
        <f>H67*H85</f>
        <v>0</v>
      </c>
      <c r="I101" s="56">
        <f t="shared" ref="I101:P101" si="13">I67*I85</f>
        <v>300.19</v>
      </c>
      <c r="J101" s="56">
        <f t="shared" si="13"/>
        <v>1115.9145000000001</v>
      </c>
      <c r="K101" s="56">
        <f t="shared" si="13"/>
        <v>715.9833000000001</v>
      </c>
      <c r="L101" s="56">
        <f t="shared" si="13"/>
        <v>6774.911000000001</v>
      </c>
      <c r="M101" s="56">
        <f t="shared" si="13"/>
        <v>53.144999999999996</v>
      </c>
      <c r="N101" s="56">
        <f t="shared" si="13"/>
        <v>2242.9615000000003</v>
      </c>
      <c r="O101" s="56">
        <f t="shared" si="13"/>
        <v>0</v>
      </c>
      <c r="P101" s="56">
        <f t="shared" si="13"/>
        <v>0</v>
      </c>
    </row>
    <row r="102" spans="2:16">
      <c r="D102" s="126" t="s">
        <v>242</v>
      </c>
      <c r="F102" s="254" t="s">
        <v>55</v>
      </c>
      <c r="G102" s="126"/>
      <c r="H102" s="56">
        <f t="shared" ref="H102:P102" si="14">H68*H86</f>
        <v>0</v>
      </c>
      <c r="I102" s="56">
        <f>I68*I86</f>
        <v>2592.5500000000002</v>
      </c>
      <c r="J102" s="56">
        <f t="shared" si="14"/>
        <v>39679.843500000003</v>
      </c>
      <c r="K102" s="56">
        <f t="shared" si="14"/>
        <v>46008.556500000006</v>
      </c>
      <c r="L102" s="56">
        <f t="shared" si="14"/>
        <v>142805.04550000001</v>
      </c>
      <c r="M102" s="56">
        <f t="shared" si="14"/>
        <v>2444.6699999999996</v>
      </c>
      <c r="N102" s="56">
        <f t="shared" si="14"/>
        <v>74444.304999999993</v>
      </c>
      <c r="O102" s="56">
        <f t="shared" si="14"/>
        <v>1399.2639999999997</v>
      </c>
      <c r="P102" s="56">
        <f t="shared" si="14"/>
        <v>0</v>
      </c>
    </row>
    <row r="103" spans="2:16">
      <c r="D103" s="126" t="s">
        <v>243</v>
      </c>
      <c r="F103" s="254" t="s">
        <v>55</v>
      </c>
      <c r="G103" s="126"/>
      <c r="H103" s="56">
        <f t="shared" ref="H103:P103" si="15">H69*H87</f>
        <v>3545.5200000000004</v>
      </c>
      <c r="I103" s="56">
        <f t="shared" si="15"/>
        <v>3602.28</v>
      </c>
      <c r="J103" s="56">
        <f t="shared" si="15"/>
        <v>38667.735000000001</v>
      </c>
      <c r="K103" s="56">
        <f t="shared" si="15"/>
        <v>75629.050799999997</v>
      </c>
      <c r="L103" s="56">
        <f t="shared" si="15"/>
        <v>245856.48100000003</v>
      </c>
      <c r="M103" s="56">
        <f t="shared" si="15"/>
        <v>8290.619999999999</v>
      </c>
      <c r="N103" s="56">
        <f t="shared" si="15"/>
        <v>192041.538</v>
      </c>
      <c r="O103" s="56">
        <f t="shared" si="15"/>
        <v>0</v>
      </c>
      <c r="P103" s="56">
        <f t="shared" si="15"/>
        <v>0</v>
      </c>
    </row>
    <row r="104" spans="2:16">
      <c r="D104" s="126" t="s">
        <v>244</v>
      </c>
      <c r="F104" s="254" t="s">
        <v>55</v>
      </c>
      <c r="G104" s="126"/>
      <c r="H104" s="56">
        <f t="shared" ref="H104:P104" si="16">H70*H88</f>
        <v>3562.8999999999996</v>
      </c>
      <c r="I104" s="56">
        <f t="shared" si="16"/>
        <v>3456.7333333333336</v>
      </c>
      <c r="J104" s="56">
        <f t="shared" si="16"/>
        <v>-23010.33</v>
      </c>
      <c r="K104" s="56">
        <f t="shared" si="16"/>
        <v>-1944.6460000000002</v>
      </c>
      <c r="L104" s="56">
        <f t="shared" si="16"/>
        <v>-110488.90666666669</v>
      </c>
      <c r="M104" s="56">
        <f t="shared" si="16"/>
        <v>1771.5</v>
      </c>
      <c r="N104" s="56">
        <f t="shared" si="16"/>
        <v>-24952.373333333337</v>
      </c>
      <c r="O104" s="56">
        <f t="shared" si="16"/>
        <v>-3789.6733333333327</v>
      </c>
      <c r="P104" s="56">
        <f t="shared" si="16"/>
        <v>0</v>
      </c>
    </row>
    <row r="105" spans="2:16">
      <c r="D105" s="126" t="s">
        <v>245</v>
      </c>
      <c r="F105" s="254" t="s">
        <v>55</v>
      </c>
      <c r="G105" s="126"/>
      <c r="H105" s="56">
        <f t="shared" ref="H105:P105" si="17">H71*H89</f>
        <v>-15155.36</v>
      </c>
      <c r="I105" s="56">
        <f t="shared" si="17"/>
        <v>-27508.320000000003</v>
      </c>
      <c r="J105" s="56">
        <f t="shared" si="17"/>
        <v>-224774.592</v>
      </c>
      <c r="K105" s="56">
        <f>K71*K89</f>
        <v>-445500.72000000003</v>
      </c>
      <c r="L105" s="56">
        <f t="shared" si="17"/>
        <v>-796266.67466666678</v>
      </c>
      <c r="M105" s="56">
        <f t="shared" si="17"/>
        <v>-24942.720000000001</v>
      </c>
      <c r="N105" s="56">
        <f t="shared" si="17"/>
        <v>-673567.30133333337</v>
      </c>
      <c r="O105" s="56">
        <f t="shared" si="17"/>
        <v>-1166.0533333333333</v>
      </c>
      <c r="P105" s="56">
        <f t="shared" si="17"/>
        <v>0</v>
      </c>
    </row>
    <row r="106" spans="2:16">
      <c r="D106" s="126" t="s">
        <v>246</v>
      </c>
      <c r="F106" s="254" t="s">
        <v>55</v>
      </c>
      <c r="G106" s="126"/>
      <c r="H106" s="56">
        <f t="shared" ref="H106:P106" si="18">H72*H90</f>
        <v>0</v>
      </c>
      <c r="I106" s="56">
        <f t="shared" si="18"/>
        <v>-7277.3333333333339</v>
      </c>
      <c r="J106" s="56">
        <f t="shared" si="18"/>
        <v>-101643.375</v>
      </c>
      <c r="K106" s="56">
        <f t="shared" si="18"/>
        <v>-9502.2474999999995</v>
      </c>
      <c r="L106" s="56">
        <f t="shared" si="18"/>
        <v>-806970.28750000009</v>
      </c>
      <c r="M106" s="56">
        <f t="shared" si="18"/>
        <v>-21258</v>
      </c>
      <c r="N106" s="56">
        <f t="shared" si="18"/>
        <v>-343095.13333333336</v>
      </c>
      <c r="O106" s="56">
        <f t="shared" si="18"/>
        <v>-364.39166666666665</v>
      </c>
      <c r="P106" s="56">
        <f t="shared" si="18"/>
        <v>0</v>
      </c>
    </row>
    <row r="107" spans="2:16">
      <c r="C107" s="289" t="s">
        <v>254</v>
      </c>
      <c r="G107" s="126"/>
      <c r="H107" s="126"/>
      <c r="I107" s="126"/>
      <c r="J107" s="126"/>
      <c r="K107" s="126"/>
      <c r="L107" s="126"/>
      <c r="M107" s="126"/>
      <c r="N107" s="126"/>
      <c r="O107" s="126"/>
      <c r="P107" s="126"/>
    </row>
    <row r="108" spans="2:16">
      <c r="C108" s="127"/>
      <c r="D108" s="291" t="s">
        <v>255</v>
      </c>
      <c r="E108" s="291"/>
      <c r="F108" s="254" t="s">
        <v>55</v>
      </c>
      <c r="G108" s="126"/>
      <c r="H108" s="56">
        <f t="shared" ref="H108:P108" si="19">H74*H92</f>
        <v>0</v>
      </c>
      <c r="I108" s="56">
        <f t="shared" si="19"/>
        <v>0</v>
      </c>
      <c r="J108" s="56">
        <f t="shared" si="19"/>
        <v>0</v>
      </c>
      <c r="K108" s="56">
        <f t="shared" si="19"/>
        <v>0</v>
      </c>
      <c r="L108" s="56">
        <f t="shared" si="19"/>
        <v>0</v>
      </c>
      <c r="M108" s="56">
        <f t="shared" si="19"/>
        <v>0</v>
      </c>
      <c r="N108" s="56">
        <f t="shared" si="19"/>
        <v>0</v>
      </c>
      <c r="O108" s="56">
        <f t="shared" si="19"/>
        <v>0</v>
      </c>
      <c r="P108" s="56">
        <f t="shared" si="19"/>
        <v>0</v>
      </c>
    </row>
    <row r="109" spans="2:16">
      <c r="C109" s="289" t="s">
        <v>256</v>
      </c>
      <c r="D109" s="287"/>
      <c r="E109" s="287"/>
      <c r="F109" s="287"/>
      <c r="G109" s="126"/>
      <c r="H109" s="126"/>
      <c r="I109" s="126"/>
      <c r="J109" s="126"/>
      <c r="K109" s="126"/>
      <c r="L109" s="126"/>
      <c r="M109" s="126"/>
      <c r="N109" s="126"/>
      <c r="O109" s="126"/>
      <c r="P109" s="126"/>
    </row>
    <row r="110" spans="2:16">
      <c r="D110" s="126" t="s">
        <v>249</v>
      </c>
      <c r="F110" s="254" t="s">
        <v>55</v>
      </c>
      <c r="G110" s="126"/>
      <c r="H110" s="56">
        <f t="shared" ref="H110:P110" si="20">H76*H94</f>
        <v>420.92</v>
      </c>
      <c r="I110" s="56">
        <f t="shared" si="20"/>
        <v>1038.22</v>
      </c>
      <c r="J110" s="56">
        <f t="shared" si="20"/>
        <v>15017.073333333334</v>
      </c>
      <c r="K110" s="56">
        <f t="shared" si="20"/>
        <v>15733.946666666667</v>
      </c>
      <c r="L110" s="56">
        <f t="shared" si="20"/>
        <v>61901.080000000009</v>
      </c>
      <c r="M110" s="56">
        <f t="shared" si="20"/>
        <v>1113.8399999999999</v>
      </c>
      <c r="N110" s="56">
        <f t="shared" si="20"/>
        <v>36213.71</v>
      </c>
      <c r="O110" s="56">
        <f t="shared" si="20"/>
        <v>240</v>
      </c>
      <c r="P110" s="56">
        <f t="shared" si="20"/>
        <v>0</v>
      </c>
    </row>
    <row r="111" spans="2:16">
      <c r="D111" s="126" t="s">
        <v>250</v>
      </c>
      <c r="F111" s="254" t="s">
        <v>55</v>
      </c>
      <c r="G111" s="126"/>
      <c r="H111" s="56">
        <f t="shared" ref="H111:P111" si="21">H77*H95</f>
        <v>585.89</v>
      </c>
      <c r="I111" s="56">
        <f t="shared" si="21"/>
        <v>429.4</v>
      </c>
      <c r="J111" s="56">
        <f t="shared" si="21"/>
        <v>-3828.5823333333333</v>
      </c>
      <c r="K111" s="56">
        <f t="shared" si="21"/>
        <v>-219.26666666666665</v>
      </c>
      <c r="L111" s="56">
        <f t="shared" si="21"/>
        <v>-13368.149333333335</v>
      </c>
      <c r="M111" s="56">
        <f t="shared" si="21"/>
        <v>206</v>
      </c>
      <c r="N111" s="56">
        <f t="shared" si="21"/>
        <v>-3211.4133333333339</v>
      </c>
      <c r="O111" s="56">
        <f t="shared" si="21"/>
        <v>-195</v>
      </c>
      <c r="P111" s="56">
        <f t="shared" si="21"/>
        <v>0</v>
      </c>
    </row>
    <row r="112" spans="2:16">
      <c r="D112" s="126" t="s">
        <v>251</v>
      </c>
      <c r="F112" s="254" t="s">
        <v>55</v>
      </c>
      <c r="G112" s="126"/>
      <c r="H112" s="56">
        <f t="shared" ref="H112:P112" si="22">H78*H96</f>
        <v>-1570.69</v>
      </c>
      <c r="I112" s="56">
        <f t="shared" si="22"/>
        <v>-2315.25</v>
      </c>
      <c r="J112" s="56">
        <f t="shared" si="22"/>
        <v>-23374.502666666667</v>
      </c>
      <c r="K112" s="56">
        <f t="shared" si="22"/>
        <v>-31395</v>
      </c>
      <c r="L112" s="56">
        <f>L78*L96</f>
        <v>-63716.906333333332</v>
      </c>
      <c r="M112" s="56">
        <f t="shared" si="22"/>
        <v>-1812.8000000000002</v>
      </c>
      <c r="N112" s="56">
        <f t="shared" si="22"/>
        <v>-54180.793333333342</v>
      </c>
      <c r="O112" s="56">
        <f t="shared" si="22"/>
        <v>-37.5</v>
      </c>
      <c r="P112" s="56">
        <f t="shared" si="22"/>
        <v>0</v>
      </c>
    </row>
    <row r="113" spans="2:16">
      <c r="D113" s="126" t="s">
        <v>252</v>
      </c>
      <c r="F113" s="254" t="s">
        <v>55</v>
      </c>
      <c r="G113" s="126"/>
      <c r="H113" s="56">
        <f t="shared" ref="H113:P113" si="23">H79*H97</f>
        <v>0</v>
      </c>
      <c r="I113" s="56">
        <f t="shared" si="23"/>
        <v>-649.59999999999991</v>
      </c>
      <c r="J113" s="56">
        <f t="shared" si="23"/>
        <v>-9389.503333333334</v>
      </c>
      <c r="K113" s="56">
        <f t="shared" si="23"/>
        <v>-536.06666666666672</v>
      </c>
      <c r="L113" s="56">
        <f t="shared" si="23"/>
        <v>-70196.945999999996</v>
      </c>
      <c r="M113" s="56">
        <f t="shared" si="23"/>
        <v>-1348.8000000000002</v>
      </c>
      <c r="N113" s="56">
        <f t="shared" si="23"/>
        <v>-27815.626666666667</v>
      </c>
      <c r="O113" s="56">
        <f t="shared" si="23"/>
        <v>-7.5</v>
      </c>
      <c r="P113" s="56">
        <f t="shared" si="23"/>
        <v>0</v>
      </c>
    </row>
    <row r="114" spans="2:16">
      <c r="B114" s="287"/>
    </row>
    <row r="115" spans="2:16">
      <c r="B115" s="287" t="s">
        <v>361</v>
      </c>
      <c r="C115" s="289"/>
      <c r="F115" s="254" t="s">
        <v>55</v>
      </c>
      <c r="H115" s="56">
        <f>SUM(H101:H106,H108,H110:H113)</f>
        <v>-8610.82</v>
      </c>
      <c r="I115" s="56">
        <f t="shared" ref="I115:P115" si="24">SUM(I101:I106,I108,I110:I113)</f>
        <v>-26331.129999999997</v>
      </c>
      <c r="J115" s="56">
        <f t="shared" si="24"/>
        <v>-291540.31900000002</v>
      </c>
      <c r="K115" s="56">
        <f t="shared" si="24"/>
        <v>-351010.4095666667</v>
      </c>
      <c r="L115" s="56">
        <f t="shared" si="24"/>
        <v>-1403670.3530000001</v>
      </c>
      <c r="M115" s="56">
        <f t="shared" si="24"/>
        <v>-35482.545000000006</v>
      </c>
      <c r="N115" s="56">
        <f t="shared" si="24"/>
        <v>-821880.12683333352</v>
      </c>
      <c r="O115" s="56">
        <f t="shared" si="24"/>
        <v>-3920.8543333333328</v>
      </c>
      <c r="P115" s="56">
        <f t="shared" si="24"/>
        <v>0</v>
      </c>
    </row>
    <row r="117" spans="2:16">
      <c r="B117" s="287" t="s">
        <v>362</v>
      </c>
      <c r="F117" s="254" t="s">
        <v>55</v>
      </c>
      <c r="H117" s="180">
        <f>-H115</f>
        <v>8610.82</v>
      </c>
      <c r="I117" s="180">
        <f t="shared" ref="I117:P117" si="25">-I115</f>
        <v>26331.129999999997</v>
      </c>
      <c r="J117" s="180">
        <f t="shared" si="25"/>
        <v>291540.31900000002</v>
      </c>
      <c r="K117" s="180">
        <f t="shared" si="25"/>
        <v>351010.4095666667</v>
      </c>
      <c r="L117" s="180">
        <f t="shared" si="25"/>
        <v>1403670.3530000001</v>
      </c>
      <c r="M117" s="180">
        <f t="shared" si="25"/>
        <v>35482.545000000006</v>
      </c>
      <c r="N117" s="180">
        <f t="shared" si="25"/>
        <v>821880.12683333352</v>
      </c>
      <c r="O117" s="180">
        <f t="shared" si="25"/>
        <v>3920.8543333333328</v>
      </c>
      <c r="P117" s="180">
        <f t="shared" si="25"/>
        <v>0</v>
      </c>
    </row>
    <row r="118" spans="2:16">
      <c r="H118" s="417"/>
      <c r="I118" s="417"/>
      <c r="J118" s="417"/>
      <c r="K118" s="417"/>
      <c r="L118" s="417"/>
      <c r="M118" s="417"/>
      <c r="N118" s="417"/>
      <c r="O118" s="417"/>
      <c r="P118" s="417"/>
    </row>
  </sheetData>
  <pageMargins left="0.7" right="0.7" top="0.75" bottom="0.75" header="0.3" footer="0.3"/>
  <pageSetup paperSize="9" scale="32" orientation="portrait" r:id="rId1"/>
  <ignoredErrors>
    <ignoredError sqref="B17 B33 B4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17</vt:i4>
      </vt:variant>
      <vt:variant>
        <vt:lpstr>Benoemde bereiken</vt:lpstr>
      </vt:variant>
      <vt:variant>
        <vt:i4>4</vt:i4>
      </vt:variant>
    </vt:vector>
  </HeadingPairs>
  <TitlesOfParts>
    <vt:vector size="21" baseType="lpstr">
      <vt:lpstr>Toelichting</vt:lpstr>
      <vt:lpstr>TI-berekening 2015</vt:lpstr>
      <vt:lpstr>Nacalculaties en correcties</vt:lpstr>
      <vt:lpstr>Nacalculaties --&gt;</vt:lpstr>
      <vt:lpstr>Overname private netten</vt:lpstr>
      <vt:lpstr>corrNVG</vt:lpstr>
      <vt:lpstr>corrIMM</vt:lpstr>
      <vt:lpstr>LH 2013</vt:lpstr>
      <vt:lpstr>Volumeverschuivingen</vt:lpstr>
      <vt:lpstr>TI2011-2014</vt:lpstr>
      <vt:lpstr>BOB Rendo_2013 - deel 1</vt:lpstr>
      <vt:lpstr>BOB Rendo_2013 - deel 2</vt:lpstr>
      <vt:lpstr>BOB Rendo_2013 - deel 3</vt:lpstr>
      <vt:lpstr>Lagere tarieven Enexis</vt:lpstr>
      <vt:lpstr>Input --&gt;</vt:lpstr>
      <vt:lpstr>Heffingsrente</vt:lpstr>
      <vt:lpstr>CPI</vt:lpstr>
      <vt:lpstr>'BOB Rendo_2013 - deel 3'!Afdrukbereik</vt:lpstr>
      <vt:lpstr>corrNVG!Afdrukbereik</vt:lpstr>
      <vt:lpstr>'LH 2013'!Afdrukbereik</vt:lpstr>
      <vt:lpstr>'TI2011-2014'!Afdrukbereik</vt:lpstr>
    </vt:vector>
  </TitlesOfParts>
  <Company>Nederlandse Mededingingsautoriteit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Berekening totale inkomsten netbeheerders gas 2015</dc:title>
  <dc:creator>Autoriteit Consument &amp; Markt (ACM)</dc:creator>
  <cp:lastModifiedBy>Muires, Mike</cp:lastModifiedBy>
  <cp:lastPrinted>2014-09-11T16:04:40Z</cp:lastPrinted>
  <dcterms:created xsi:type="dcterms:W3CDTF">2008-02-08T15:02:21Z</dcterms:created>
  <dcterms:modified xsi:type="dcterms:W3CDTF">2014-10-02T13:05:16Z</dcterms:modified>
</cp:coreProperties>
</file>