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9320" windowHeight="12120" tabRatio="900" activeTab="1"/>
  </bookViews>
  <sheets>
    <sheet name="Toelichting" sheetId="18" r:id="rId1"/>
    <sheet name="TI-berekening 2015" sheetId="20" r:id="rId2"/>
    <sheet name="Nacalculaties en correcties" sheetId="2" r:id="rId3"/>
    <sheet name="Nacalculaties --&gt;" sheetId="31" r:id="rId4"/>
    <sheet name="Overname private netten" sheetId="50" r:id="rId5"/>
    <sheet name="LH2013" sheetId="41" r:id="rId6"/>
    <sheet name="IT 2013" sheetId="51" r:id="rId7"/>
    <sheet name="TI2011-2014" sheetId="54" r:id="rId8"/>
    <sheet name="HS overdracht Stedin" sheetId="58" r:id="rId9"/>
    <sheet name="BOB Tar2012 (Rendo)" sheetId="60" r:id="rId10"/>
    <sheet name="Lagere tarieven Enexis" sheetId="66" r:id="rId11"/>
    <sheet name="Input --&gt;" sheetId="52" r:id="rId12"/>
    <sheet name="Heffingsrente" sheetId="4" r:id="rId13"/>
    <sheet name="CPI" sheetId="5" r:id="rId14"/>
    <sheet name="Berekening SO 2013" sheetId="69" r:id="rId15"/>
  </sheets>
  <externalReferences>
    <externalReference r:id="rId16"/>
    <externalReference r:id="rId17"/>
    <externalReference r:id="rId18"/>
    <externalReference r:id="rId19"/>
  </externalReferences>
  <definedNames>
    <definedName name="__CPI2001" localSheetId="10">#REF!</definedName>
    <definedName name="__CPI2001">#REF!</definedName>
    <definedName name="__CPI2002" localSheetId="10">#REF!</definedName>
    <definedName name="__CPI2002">#REF!</definedName>
    <definedName name="__CPI2003" localSheetId="10">#REF!</definedName>
    <definedName name="__CPI2003">#REF!</definedName>
    <definedName name="__CPI2004" localSheetId="10">#REF!</definedName>
    <definedName name="__CPI2004">#REF!</definedName>
    <definedName name="__CPI2005" localSheetId="10">#REF!</definedName>
    <definedName name="__CPI2005">#REF!</definedName>
    <definedName name="__CPI2006" localSheetId="10">#REF!</definedName>
    <definedName name="__CPI2006">#REF!</definedName>
    <definedName name="__CPI2007" localSheetId="10">#REF!</definedName>
    <definedName name="__CPI2007">#REF!</definedName>
    <definedName name="__CPI2008" localSheetId="10">#REF!</definedName>
    <definedName name="__CPI2008">#REF!</definedName>
    <definedName name="__CPI2009" localSheetId="10">#REF!</definedName>
    <definedName name="__CPI2009">#REF!</definedName>
    <definedName name="__CPI2010" localSheetId="10">#REF!</definedName>
    <definedName name="__CPI2010">#REF!</definedName>
    <definedName name="__CPI2011" localSheetId="10">#REF!</definedName>
    <definedName name="__CPI2011">#REF!</definedName>
    <definedName name="__CPI2012" localSheetId="10">#REF!</definedName>
    <definedName name="__CPI2012">#REF!</definedName>
    <definedName name="__CPI2013" localSheetId="10">#REF!</definedName>
    <definedName name="__CPI2013">#REF!</definedName>
    <definedName name="__CPI2014" localSheetId="10">#REF!</definedName>
    <definedName name="__CPI2014">#REF!</definedName>
    <definedName name="_CPI2001" localSheetId="9">#REF!</definedName>
    <definedName name="_CPI2001" localSheetId="8">#REF!</definedName>
    <definedName name="_CPI2001" localSheetId="11">#REF!</definedName>
    <definedName name="_CPI2001" localSheetId="10">#REF!</definedName>
    <definedName name="_CPI2001">#REF!</definedName>
    <definedName name="_CPI2002" localSheetId="9">#REF!</definedName>
    <definedName name="_CPI2002" localSheetId="11">#REF!</definedName>
    <definedName name="_CPI2002" localSheetId="10">#REF!</definedName>
    <definedName name="_CPI2002">#REF!</definedName>
    <definedName name="_CPI2003" localSheetId="9">#REF!</definedName>
    <definedName name="_CPI2003" localSheetId="11">#REF!</definedName>
    <definedName name="_CPI2003" localSheetId="10">#REF!</definedName>
    <definedName name="_CPI2003">#REF!</definedName>
    <definedName name="_CPI2004" localSheetId="9">#REF!</definedName>
    <definedName name="_CPI2004" localSheetId="11">#REF!</definedName>
    <definedName name="_CPI2004" localSheetId="10">#REF!</definedName>
    <definedName name="_CPI2004">#REF!</definedName>
    <definedName name="_CPI2005" localSheetId="9">#REF!</definedName>
    <definedName name="_CPI2005" localSheetId="11">#REF!</definedName>
    <definedName name="_CPI2005" localSheetId="10">#REF!</definedName>
    <definedName name="_CPI2005">#REF!</definedName>
    <definedName name="_CPI2006" localSheetId="9">#REF!</definedName>
    <definedName name="_CPI2006" localSheetId="11">#REF!</definedName>
    <definedName name="_CPI2006" localSheetId="10">#REF!</definedName>
    <definedName name="_CPI2006">#REF!</definedName>
    <definedName name="_CPI2007" localSheetId="9">#REF!</definedName>
    <definedName name="_CPI2007" localSheetId="11">#REF!</definedName>
    <definedName name="_CPI2007" localSheetId="10">#REF!</definedName>
    <definedName name="_CPI2007">#REF!</definedName>
    <definedName name="_CPI2008" localSheetId="9">#REF!</definedName>
    <definedName name="_CPI2008" localSheetId="11">#REF!</definedName>
    <definedName name="_CPI2008" localSheetId="10">#REF!</definedName>
    <definedName name="_CPI2008">#REF!</definedName>
    <definedName name="_CPI2009" localSheetId="9">#REF!</definedName>
    <definedName name="_CPI2009" localSheetId="11">#REF!</definedName>
    <definedName name="_CPI2009" localSheetId="10">#REF!</definedName>
    <definedName name="_CPI2009">#REF!</definedName>
    <definedName name="_CPI2010" localSheetId="9">#REF!</definedName>
    <definedName name="_CPI2010" localSheetId="11">#REF!</definedName>
    <definedName name="_CPI2010" localSheetId="10">#REF!</definedName>
    <definedName name="_CPI2010">#REF!</definedName>
    <definedName name="_CPI2011" localSheetId="9">#REF!</definedName>
    <definedName name="_CPI2011" localSheetId="11">#REF!</definedName>
    <definedName name="_CPI2011" localSheetId="10">#REF!</definedName>
    <definedName name="_CPI2011">#REF!</definedName>
    <definedName name="_CPI2012" localSheetId="9">#REF!</definedName>
    <definedName name="_CPI2012" localSheetId="11">#REF!</definedName>
    <definedName name="_CPI2012" localSheetId="10">#REF!</definedName>
    <definedName name="_CPI2012">#REF!</definedName>
    <definedName name="_CPI2013" localSheetId="9">#REF!</definedName>
    <definedName name="_CPI2013" localSheetId="11">#REF!</definedName>
    <definedName name="_CPI2013" localSheetId="10">#REF!</definedName>
    <definedName name="_CPI2013">#REF!</definedName>
    <definedName name="_CPI2014" localSheetId="9">#REF!</definedName>
    <definedName name="_CPI2014" localSheetId="11">#REF!</definedName>
    <definedName name="_CPI2014" localSheetId="10">#REF!</definedName>
    <definedName name="_CPI2014">#REF!</definedName>
    <definedName name="_xlnm.Print_Area" localSheetId="13">CPI!$A$1:$O$35</definedName>
    <definedName name="_xlnm.Print_Area" localSheetId="12">Heffingsrente!$A$1:$Q$70</definedName>
    <definedName name="_xlnm.Print_Area" localSheetId="8">'HS overdracht Stedin'!$A$1:$I$17</definedName>
    <definedName name="_xlnm.Print_Area" localSheetId="5">'LH2013'!$A$1:$R$96</definedName>
    <definedName name="_xlnm.Print_Area" localSheetId="2">'Nacalculaties en correcties'!$A$1:$Q$30</definedName>
    <definedName name="_xlnm.Print_Area" localSheetId="4">'Overname private netten'!$A$1:$P$63</definedName>
    <definedName name="_xlnm.Print_Area" localSheetId="1">'TI-berekening 2015'!$A$1:$N$46</definedName>
    <definedName name="_xlnm.Print_Area" localSheetId="0">Toelichting!$A$1:$K$23</definedName>
    <definedName name="AS2DocOpenMode" hidden="1">"AS2DocumentEdit"</definedName>
    <definedName name="CPIv2000n2001" localSheetId="9">#REF!</definedName>
    <definedName name="CPIv2000n2001" localSheetId="8">#REF!</definedName>
    <definedName name="CPIv2000n2001" localSheetId="11">#REF!</definedName>
    <definedName name="CPIv2000n2001" localSheetId="10">#REF!</definedName>
    <definedName name="CPIv2000n2001">#REF!</definedName>
    <definedName name="CPIv2000n2002" localSheetId="9">#REF!</definedName>
    <definedName name="CPIv2000n2002" localSheetId="11">#REF!</definedName>
    <definedName name="CPIv2000n2002" localSheetId="10">#REF!</definedName>
    <definedName name="CPIv2000n2002">#REF!</definedName>
    <definedName name="CPIv2000n2003" localSheetId="9">#REF!</definedName>
    <definedName name="CPIv2000n2003" localSheetId="11">#REF!</definedName>
    <definedName name="CPIv2000n2003" localSheetId="10">#REF!</definedName>
    <definedName name="CPIv2000n2003">#REF!</definedName>
    <definedName name="CPIv2000n2004" localSheetId="9">#REF!</definedName>
    <definedName name="CPIv2000n2004" localSheetId="11">#REF!</definedName>
    <definedName name="CPIv2000n2004" localSheetId="10">#REF!</definedName>
    <definedName name="CPIv2000n2004">#REF!</definedName>
    <definedName name="CPIv2000n2005" localSheetId="9">#REF!</definedName>
    <definedName name="CPIv2000n2005" localSheetId="11">#REF!</definedName>
    <definedName name="CPIv2000n2005" localSheetId="10">#REF!</definedName>
    <definedName name="CPIv2000n2005">#REF!</definedName>
    <definedName name="CPIv2000n2006" localSheetId="9">#REF!</definedName>
    <definedName name="CPIv2000n2006" localSheetId="11">#REF!</definedName>
    <definedName name="CPIv2000n2006" localSheetId="10">#REF!</definedName>
    <definedName name="CPIv2000n2006">#REF!</definedName>
    <definedName name="CPIv2000n2007" localSheetId="9">#REF!</definedName>
    <definedName name="CPIv2000n2007" localSheetId="11">#REF!</definedName>
    <definedName name="CPIv2000n2007" localSheetId="10">#REF!</definedName>
    <definedName name="CPIv2000n2007">#REF!</definedName>
    <definedName name="CPIv2000n2008" localSheetId="9">#REF!</definedName>
    <definedName name="CPIv2000n2008" localSheetId="11">#REF!</definedName>
    <definedName name="CPIv2000n2008" localSheetId="10">#REF!</definedName>
    <definedName name="CPIv2000n2008">#REF!</definedName>
    <definedName name="CPIv2000n2009" localSheetId="9">#REF!</definedName>
    <definedName name="CPIv2000n2009" localSheetId="11">#REF!</definedName>
    <definedName name="CPIv2000n2009" localSheetId="10">#REF!</definedName>
    <definedName name="CPIv2000n2009">#REF!</definedName>
    <definedName name="CPIv2000n2010" localSheetId="9">#REF!</definedName>
    <definedName name="CPIv2000n2010" localSheetId="11">#REF!</definedName>
    <definedName name="CPIv2000n2010" localSheetId="10">#REF!</definedName>
    <definedName name="CPIv2000n2010">#REF!</definedName>
    <definedName name="CPIv2000n2011" localSheetId="9">#REF!</definedName>
    <definedName name="CPIv2000n2011" localSheetId="11">#REF!</definedName>
    <definedName name="CPIv2000n2011" localSheetId="10">#REF!</definedName>
    <definedName name="CPIv2000n2011">#REF!</definedName>
    <definedName name="CPIv2000n2012" localSheetId="9">#REF!</definedName>
    <definedName name="CPIv2000n2012" localSheetId="11">#REF!</definedName>
    <definedName name="CPIv2000n2012" localSheetId="10">#REF!</definedName>
    <definedName name="CPIv2000n2012">#REF!</definedName>
    <definedName name="CPIv2000n2013" localSheetId="9">#REF!</definedName>
    <definedName name="CPIv2000n2013" localSheetId="11">#REF!</definedName>
    <definedName name="CPIv2000n2013" localSheetId="10">#REF!</definedName>
    <definedName name="CPIv2000n2013">#REF!</definedName>
    <definedName name="CPIv2001n2002" localSheetId="9">#REF!</definedName>
    <definedName name="CPIv2001n2002" localSheetId="11">#REF!</definedName>
    <definedName name="CPIv2001n2002" localSheetId="10">#REF!</definedName>
    <definedName name="CPIv2001n2002">#REF!</definedName>
    <definedName name="CPIv2001n2003" localSheetId="9">#REF!</definedName>
    <definedName name="CPIv2001n2003" localSheetId="11">#REF!</definedName>
    <definedName name="CPIv2001n2003" localSheetId="10">#REF!</definedName>
    <definedName name="CPIv2001n2003">#REF!</definedName>
    <definedName name="CPIv2001n2004" localSheetId="9">#REF!</definedName>
    <definedName name="CPIv2001n2004" localSheetId="11">#REF!</definedName>
    <definedName name="CPIv2001n2004" localSheetId="10">#REF!</definedName>
    <definedName name="CPIv2001n2004">#REF!</definedName>
    <definedName name="CPIv2001n2005" localSheetId="9">#REF!</definedName>
    <definedName name="CPIv2001n2005" localSheetId="11">#REF!</definedName>
    <definedName name="CPIv2001n2005" localSheetId="10">#REF!</definedName>
    <definedName name="CPIv2001n2005">#REF!</definedName>
    <definedName name="CPIv2001n2006" localSheetId="9">#REF!</definedName>
    <definedName name="CPIv2001n2006" localSheetId="11">#REF!</definedName>
    <definedName name="CPIv2001n2006" localSheetId="10">#REF!</definedName>
    <definedName name="CPIv2001n2006">#REF!</definedName>
    <definedName name="CPIv2001n2007" localSheetId="9">#REF!</definedName>
    <definedName name="CPIv2001n2007" localSheetId="11">#REF!</definedName>
    <definedName name="CPIv2001n2007" localSheetId="10">#REF!</definedName>
    <definedName name="CPIv2001n2007">#REF!</definedName>
    <definedName name="CPIv2001n2008" localSheetId="9">#REF!</definedName>
    <definedName name="CPIv2001n2008" localSheetId="11">#REF!</definedName>
    <definedName name="CPIv2001n2008" localSheetId="10">#REF!</definedName>
    <definedName name="CPIv2001n2008">#REF!</definedName>
    <definedName name="CPIv2001n2009" localSheetId="9">#REF!</definedName>
    <definedName name="CPIv2001n2009" localSheetId="11">#REF!</definedName>
    <definedName name="CPIv2001n2009" localSheetId="10">#REF!</definedName>
    <definedName name="CPIv2001n2009">#REF!</definedName>
    <definedName name="CPIv2001n2010" localSheetId="9">#REF!</definedName>
    <definedName name="CPIv2001n2010" localSheetId="11">#REF!</definedName>
    <definedName name="CPIv2001n2010" localSheetId="10">#REF!</definedName>
    <definedName name="CPIv2001n2010">#REF!</definedName>
    <definedName name="CPIv2001n2011" localSheetId="9">#REF!</definedName>
    <definedName name="CPIv2001n2011" localSheetId="11">#REF!</definedName>
    <definedName name="CPIv2001n2011" localSheetId="10">#REF!</definedName>
    <definedName name="CPIv2001n2011">#REF!</definedName>
    <definedName name="CPIv2001n2012" localSheetId="9">#REF!</definedName>
    <definedName name="CPIv2001n2012" localSheetId="11">#REF!</definedName>
    <definedName name="CPIv2001n2012" localSheetId="10">#REF!</definedName>
    <definedName name="CPIv2001n2012">#REF!</definedName>
    <definedName name="CPIv2001n2013" localSheetId="9">#REF!</definedName>
    <definedName name="CPIv2001n2013" localSheetId="11">#REF!</definedName>
    <definedName name="CPIv2001n2013" localSheetId="10">#REF!</definedName>
    <definedName name="CPIv2001n2013">#REF!</definedName>
    <definedName name="CPIv2002n2003" localSheetId="9">#REF!</definedName>
    <definedName name="CPIv2002n2003" localSheetId="11">#REF!</definedName>
    <definedName name="CPIv2002n2003" localSheetId="10">#REF!</definedName>
    <definedName name="CPIv2002n2003">#REF!</definedName>
    <definedName name="CPIv2002n2004" localSheetId="9">#REF!</definedName>
    <definedName name="CPIv2002n2004" localSheetId="11">#REF!</definedName>
    <definedName name="CPIv2002n2004" localSheetId="10">#REF!</definedName>
    <definedName name="CPIv2002n2004">#REF!</definedName>
    <definedName name="CPIv2002n2005" localSheetId="9">#REF!</definedName>
    <definedName name="CPIv2002n2005" localSheetId="11">#REF!</definedName>
    <definedName name="CPIv2002n2005" localSheetId="10">#REF!</definedName>
    <definedName name="CPIv2002n2005">#REF!</definedName>
    <definedName name="CPIv2002n2006" localSheetId="9">#REF!</definedName>
    <definedName name="CPIv2002n2006" localSheetId="11">#REF!</definedName>
    <definedName name="CPIv2002n2006" localSheetId="10">#REF!</definedName>
    <definedName name="CPIv2002n2006">#REF!</definedName>
    <definedName name="CPIv2002n2007" localSheetId="9">#REF!</definedName>
    <definedName name="CPIv2002n2007" localSheetId="11">#REF!</definedName>
    <definedName name="CPIv2002n2007" localSheetId="10">#REF!</definedName>
    <definedName name="CPIv2002n2007">#REF!</definedName>
    <definedName name="CPIv2002n2008" localSheetId="9">#REF!</definedName>
    <definedName name="CPIv2002n2008" localSheetId="11">#REF!</definedName>
    <definedName name="CPIv2002n2008" localSheetId="10">#REF!</definedName>
    <definedName name="CPIv2002n2008">#REF!</definedName>
    <definedName name="CPIv2002n2009" localSheetId="9">#REF!</definedName>
    <definedName name="CPIv2002n2009" localSheetId="11">#REF!</definedName>
    <definedName name="CPIv2002n2009" localSheetId="10">#REF!</definedName>
    <definedName name="CPIv2002n2009">#REF!</definedName>
    <definedName name="CPIv2002n2010" localSheetId="9">#REF!</definedName>
    <definedName name="CPIv2002n2010" localSheetId="11">#REF!</definedName>
    <definedName name="CPIv2002n2010" localSheetId="10">#REF!</definedName>
    <definedName name="CPIv2002n2010">#REF!</definedName>
    <definedName name="CPIv2002n2011" localSheetId="9">#REF!</definedName>
    <definedName name="CPIv2002n2011" localSheetId="11">#REF!</definedName>
    <definedName name="CPIv2002n2011" localSheetId="10">#REF!</definedName>
    <definedName name="CPIv2002n2011">#REF!</definedName>
    <definedName name="CPIv2002n2012" localSheetId="9">#REF!</definedName>
    <definedName name="CPIv2002n2012" localSheetId="11">#REF!</definedName>
    <definedName name="CPIv2002n2012" localSheetId="10">#REF!</definedName>
    <definedName name="CPIv2002n2012">#REF!</definedName>
    <definedName name="CPIv2002n2013" localSheetId="9">#REF!</definedName>
    <definedName name="CPIv2002n2013" localSheetId="11">#REF!</definedName>
    <definedName name="CPIv2002n2013" localSheetId="10">#REF!</definedName>
    <definedName name="CPIv2002n2013">#REF!</definedName>
    <definedName name="CPIv2003n2004" localSheetId="9">#REF!</definedName>
    <definedName name="CPIv2003n2004" localSheetId="11">#REF!</definedName>
    <definedName name="CPIv2003n2004" localSheetId="10">#REF!</definedName>
    <definedName name="CPIv2003n2004">#REF!</definedName>
    <definedName name="CPIv2003n2005" localSheetId="9">#REF!</definedName>
    <definedName name="CPIv2003n2005" localSheetId="11">#REF!</definedName>
    <definedName name="CPIv2003n2005" localSheetId="10">#REF!</definedName>
    <definedName name="CPIv2003n2005">#REF!</definedName>
    <definedName name="CPIv2003n2006" localSheetId="9">#REF!</definedName>
    <definedName name="CPIv2003n2006" localSheetId="11">#REF!</definedName>
    <definedName name="CPIv2003n2006" localSheetId="10">#REF!</definedName>
    <definedName name="CPIv2003n2006">#REF!</definedName>
    <definedName name="CPIv2003n2007" localSheetId="9">#REF!</definedName>
    <definedName name="CPIv2003n2007" localSheetId="11">#REF!</definedName>
    <definedName name="CPIv2003n2007" localSheetId="10">#REF!</definedName>
    <definedName name="CPIv2003n2007">#REF!</definedName>
    <definedName name="CPIv2003n2008" localSheetId="9">#REF!</definedName>
    <definedName name="CPIv2003n2008" localSheetId="11">#REF!</definedName>
    <definedName name="CPIv2003n2008" localSheetId="10">#REF!</definedName>
    <definedName name="CPIv2003n2008">#REF!</definedName>
    <definedName name="CPIv2003n2009" localSheetId="9">#REF!</definedName>
    <definedName name="CPIv2003n2009" localSheetId="11">#REF!</definedName>
    <definedName name="CPIv2003n2009" localSheetId="10">#REF!</definedName>
    <definedName name="CPIv2003n2009">#REF!</definedName>
    <definedName name="CPIv2003n2010" localSheetId="9">#REF!</definedName>
    <definedName name="CPIv2003n2010" localSheetId="11">#REF!</definedName>
    <definedName name="CPIv2003n2010" localSheetId="10">#REF!</definedName>
    <definedName name="CPIv2003n2010">#REF!</definedName>
    <definedName name="CPIv2003n2011" localSheetId="9">#REF!</definedName>
    <definedName name="CPIv2003n2011" localSheetId="11">#REF!</definedName>
    <definedName name="CPIv2003n2011" localSheetId="10">#REF!</definedName>
    <definedName name="CPIv2003n2011">#REF!</definedName>
    <definedName name="CPIv2003n2012" localSheetId="9">#REF!</definedName>
    <definedName name="CPIv2003n2012" localSheetId="11">#REF!</definedName>
    <definedName name="CPIv2003n2012" localSheetId="10">#REF!</definedName>
    <definedName name="CPIv2003n2012">#REF!</definedName>
    <definedName name="CPIv2003n2013" localSheetId="9">#REF!</definedName>
    <definedName name="CPIv2003n2013" localSheetId="11">#REF!</definedName>
    <definedName name="CPIv2003n2013" localSheetId="10">#REF!</definedName>
    <definedName name="CPIv2003n2013">#REF!</definedName>
    <definedName name="CPIv2004n2005" localSheetId="9">#REF!</definedName>
    <definedName name="CPIv2004n2005" localSheetId="11">#REF!</definedName>
    <definedName name="CPIv2004n2005" localSheetId="10">#REF!</definedName>
    <definedName name="CPIv2004n2005">#REF!</definedName>
    <definedName name="CPIv2004n2006" localSheetId="9">#REF!</definedName>
    <definedName name="CPIv2004n2006" localSheetId="11">#REF!</definedName>
    <definedName name="CPIv2004n2006" localSheetId="10">#REF!</definedName>
    <definedName name="CPIv2004n2006">#REF!</definedName>
    <definedName name="CPIv2004n2007" localSheetId="9">#REF!</definedName>
    <definedName name="CPIv2004n2007" localSheetId="11">#REF!</definedName>
    <definedName name="CPIv2004n2007" localSheetId="10">#REF!</definedName>
    <definedName name="CPIv2004n2007">#REF!</definedName>
    <definedName name="CPIv2004n2008" localSheetId="9">#REF!</definedName>
    <definedName name="CPIv2004n2008" localSheetId="11">#REF!</definedName>
    <definedName name="CPIv2004n2008" localSheetId="10">#REF!</definedName>
    <definedName name="CPIv2004n2008">#REF!</definedName>
    <definedName name="CPIv2004n2009" localSheetId="9">#REF!</definedName>
    <definedName name="CPIv2004n2009" localSheetId="11">#REF!</definedName>
    <definedName name="CPIv2004n2009" localSheetId="10">#REF!</definedName>
    <definedName name="CPIv2004n2009">#REF!</definedName>
    <definedName name="CPIv2004n2010" localSheetId="9">#REF!</definedName>
    <definedName name="CPIv2004n2010" localSheetId="11">#REF!</definedName>
    <definedName name="CPIv2004n2010" localSheetId="10">#REF!</definedName>
    <definedName name="CPIv2004n2010">#REF!</definedName>
    <definedName name="CPIv2004n2011" localSheetId="9">#REF!</definedName>
    <definedName name="CPIv2004n2011" localSheetId="11">#REF!</definedName>
    <definedName name="CPIv2004n2011" localSheetId="10">#REF!</definedName>
    <definedName name="CPIv2004n2011">#REF!</definedName>
    <definedName name="CPIv2004n2012" localSheetId="9">#REF!</definedName>
    <definedName name="CPIv2004n2012" localSheetId="11">#REF!</definedName>
    <definedName name="CPIv2004n2012" localSheetId="10">#REF!</definedName>
    <definedName name="CPIv2004n2012">#REF!</definedName>
    <definedName name="CPIv2004n2013" localSheetId="9">#REF!</definedName>
    <definedName name="CPIv2004n2013" localSheetId="11">#REF!</definedName>
    <definedName name="CPIv2004n2013" localSheetId="10">#REF!</definedName>
    <definedName name="CPIv2004n2013">#REF!</definedName>
    <definedName name="CPIv2005n2006" localSheetId="9">#REF!</definedName>
    <definedName name="CPIv2005n2006" localSheetId="11">#REF!</definedName>
    <definedName name="CPIv2005n2006" localSheetId="10">#REF!</definedName>
    <definedName name="CPIv2005n2006">#REF!</definedName>
    <definedName name="CPIv2005n2007" localSheetId="9">#REF!</definedName>
    <definedName name="CPIv2005n2007" localSheetId="11">#REF!</definedName>
    <definedName name="CPIv2005n2007" localSheetId="10">#REF!</definedName>
    <definedName name="CPIv2005n2007">#REF!</definedName>
    <definedName name="CPIv2005n2008" localSheetId="9">#REF!</definedName>
    <definedName name="CPIv2005n2008" localSheetId="11">#REF!</definedName>
    <definedName name="CPIv2005n2008" localSheetId="10">#REF!</definedName>
    <definedName name="CPIv2005n2008">#REF!</definedName>
    <definedName name="CPIv2005n2009" localSheetId="9">#REF!</definedName>
    <definedName name="CPIv2005n2009" localSheetId="11">#REF!</definedName>
    <definedName name="CPIv2005n2009" localSheetId="10">#REF!</definedName>
    <definedName name="CPIv2005n2009">#REF!</definedName>
    <definedName name="CPIv2005n2010" localSheetId="9">#REF!</definedName>
    <definedName name="CPIv2005n2010" localSheetId="11">#REF!</definedName>
    <definedName name="CPIv2005n2010" localSheetId="10">#REF!</definedName>
    <definedName name="CPIv2005n2010">#REF!</definedName>
    <definedName name="CPIv2005n2011" localSheetId="9">#REF!</definedName>
    <definedName name="CPIv2005n2011" localSheetId="11">#REF!</definedName>
    <definedName name="CPIv2005n2011" localSheetId="10">#REF!</definedName>
    <definedName name="CPIv2005n2011">#REF!</definedName>
    <definedName name="CPIv2005n2012" localSheetId="9">#REF!</definedName>
    <definedName name="CPIv2005n2012" localSheetId="11">#REF!</definedName>
    <definedName name="CPIv2005n2012" localSheetId="10">#REF!</definedName>
    <definedName name="CPIv2005n2012">#REF!</definedName>
    <definedName name="CPIv2005n2013" localSheetId="9">#REF!</definedName>
    <definedName name="CPIv2005n2013" localSheetId="11">#REF!</definedName>
    <definedName name="CPIv2005n2013" localSheetId="10">#REF!</definedName>
    <definedName name="CPIv2005n2013">#REF!</definedName>
    <definedName name="CPIv2006n2007" localSheetId="9">#REF!</definedName>
    <definedName name="CPIv2006n2007" localSheetId="11">#REF!</definedName>
    <definedName name="CPIv2006n2007" localSheetId="10">#REF!</definedName>
    <definedName name="CPIv2006n2007">#REF!</definedName>
    <definedName name="CPIv2006n2008" localSheetId="9">#REF!</definedName>
    <definedName name="CPIv2006n2008" localSheetId="11">#REF!</definedName>
    <definedName name="CPIv2006n2008" localSheetId="10">#REF!</definedName>
    <definedName name="CPIv2006n2008">#REF!</definedName>
    <definedName name="CPIv2006n2009" localSheetId="9">#REF!</definedName>
    <definedName name="CPIv2006n2009" localSheetId="11">#REF!</definedName>
    <definedName name="CPIv2006n2009" localSheetId="10">#REF!</definedName>
    <definedName name="CPIv2006n2009">#REF!</definedName>
    <definedName name="CPIv2006n2010" localSheetId="9">#REF!</definedName>
    <definedName name="CPIv2006n2010" localSheetId="11">#REF!</definedName>
    <definedName name="CPIv2006n2010" localSheetId="10">#REF!</definedName>
    <definedName name="CPIv2006n2010">#REF!</definedName>
    <definedName name="CPIv2006n2011" localSheetId="9">#REF!</definedName>
    <definedName name="CPIv2006n2011" localSheetId="11">#REF!</definedName>
    <definedName name="CPIv2006n2011" localSheetId="10">#REF!</definedName>
    <definedName name="CPIv2006n2011">#REF!</definedName>
    <definedName name="CPIv2006n2012" localSheetId="9">#REF!</definedName>
    <definedName name="CPIv2006n2012" localSheetId="11">#REF!</definedName>
    <definedName name="CPIv2006n2012" localSheetId="10">#REF!</definedName>
    <definedName name="CPIv2006n2012">#REF!</definedName>
    <definedName name="CPIv2006n2013" localSheetId="9">#REF!</definedName>
    <definedName name="CPIv2006n2013" localSheetId="11">#REF!</definedName>
    <definedName name="CPIv2006n2013" localSheetId="10">#REF!</definedName>
    <definedName name="CPIv2006n2013">#REF!</definedName>
    <definedName name="CPIv2007n2008" localSheetId="9">#REF!</definedName>
    <definedName name="CPIv2007n2008" localSheetId="11">#REF!</definedName>
    <definedName name="CPIv2007n2008" localSheetId="10">#REF!</definedName>
    <definedName name="CPIv2007n2008">#REF!</definedName>
    <definedName name="CPIv2007n2009" localSheetId="9">#REF!</definedName>
    <definedName name="CPIv2007n2009" localSheetId="11">#REF!</definedName>
    <definedName name="CPIv2007n2009" localSheetId="10">#REF!</definedName>
    <definedName name="CPIv2007n2009">#REF!</definedName>
    <definedName name="CPIv2007n2010" localSheetId="9">#REF!</definedName>
    <definedName name="CPIv2007n2010" localSheetId="11">#REF!</definedName>
    <definedName name="CPIv2007n2010" localSheetId="10">#REF!</definedName>
    <definedName name="CPIv2007n2010">#REF!</definedName>
    <definedName name="CPIv2007n2011" localSheetId="9">#REF!</definedName>
    <definedName name="CPIv2007n2011" localSheetId="11">#REF!</definedName>
    <definedName name="CPIv2007n2011" localSheetId="10">#REF!</definedName>
    <definedName name="CPIv2007n2011">#REF!</definedName>
    <definedName name="CPIv2007n2012" localSheetId="9">#REF!</definedName>
    <definedName name="CPIv2007n2012" localSheetId="11">#REF!</definedName>
    <definedName name="CPIv2007n2012" localSheetId="10">#REF!</definedName>
    <definedName name="CPIv2007n2012">#REF!</definedName>
    <definedName name="CPIv2007n2013" localSheetId="9">#REF!</definedName>
    <definedName name="CPIv2007n2013" localSheetId="11">#REF!</definedName>
    <definedName name="CPIv2007n2013" localSheetId="10">#REF!</definedName>
    <definedName name="CPIv2007n2013">#REF!</definedName>
    <definedName name="CPIv2008n2009" localSheetId="9">#REF!</definedName>
    <definedName name="CPIv2008n2009" localSheetId="11">#REF!</definedName>
    <definedName name="CPIv2008n2009" localSheetId="10">#REF!</definedName>
    <definedName name="CPIv2008n2009">#REF!</definedName>
    <definedName name="CPIv2008n2010" localSheetId="9">#REF!</definedName>
    <definedName name="CPIv2008n2010" localSheetId="11">#REF!</definedName>
    <definedName name="CPIv2008n2010" localSheetId="10">#REF!</definedName>
    <definedName name="CPIv2008n2010">#REF!</definedName>
    <definedName name="CPIv2008n2011" localSheetId="9">#REF!</definedName>
    <definedName name="CPIv2008n2011" localSheetId="11">#REF!</definedName>
    <definedName name="CPIv2008n2011" localSheetId="10">#REF!</definedName>
    <definedName name="CPIv2008n2011">#REF!</definedName>
    <definedName name="CPIv2008n2012" localSheetId="9">#REF!</definedName>
    <definedName name="CPIv2008n2012" localSheetId="11">#REF!</definedName>
    <definedName name="CPIv2008n2012" localSheetId="10">#REF!</definedName>
    <definedName name="CPIv2008n2012">#REF!</definedName>
    <definedName name="CPIv2008n2013" localSheetId="9">#REF!</definedName>
    <definedName name="CPIv2008n2013" localSheetId="11">#REF!</definedName>
    <definedName name="CPIv2008n2013" localSheetId="10">#REF!</definedName>
    <definedName name="CPIv2008n2013">#REF!</definedName>
    <definedName name="CPIv2009n2010" localSheetId="9">#REF!</definedName>
    <definedName name="CPIv2009n2010" localSheetId="11">#REF!</definedName>
    <definedName name="CPIv2009n2010" localSheetId="10">#REF!</definedName>
    <definedName name="CPIv2009n2010">#REF!</definedName>
    <definedName name="CPIv2009n2011" localSheetId="9">#REF!</definedName>
    <definedName name="CPIv2009n2011" localSheetId="11">#REF!</definedName>
    <definedName name="CPIv2009n2011" localSheetId="10">#REF!</definedName>
    <definedName name="CPIv2009n2011">#REF!</definedName>
    <definedName name="CPIv2009n2012" localSheetId="9">#REF!</definedName>
    <definedName name="CPIv2009n2012" localSheetId="11">#REF!</definedName>
    <definedName name="CPIv2009n2012" localSheetId="10">#REF!</definedName>
    <definedName name="CPIv2009n2012">#REF!</definedName>
    <definedName name="CPIv2009n2013" localSheetId="9">#REF!</definedName>
    <definedName name="CPIv2009n2013" localSheetId="11">#REF!</definedName>
    <definedName name="CPIv2009n2013" localSheetId="10">#REF!</definedName>
    <definedName name="CPIv2009n2013">#REF!</definedName>
    <definedName name="CPIv2010n2011" localSheetId="9">#REF!</definedName>
    <definedName name="CPIv2010n2011" localSheetId="11">#REF!</definedName>
    <definedName name="CPIv2010n2011" localSheetId="10">#REF!</definedName>
    <definedName name="CPIv2010n2011">#REF!</definedName>
    <definedName name="CPIv2010n2012" localSheetId="9">#REF!</definedName>
    <definedName name="CPIv2010n2012" localSheetId="11">#REF!</definedName>
    <definedName name="CPIv2010n2012" localSheetId="10">#REF!</definedName>
    <definedName name="CPIv2010n2012">#REF!</definedName>
    <definedName name="CPIv2010n2013" localSheetId="9">#REF!</definedName>
    <definedName name="CPIv2010n2013" localSheetId="11">#REF!</definedName>
    <definedName name="CPIv2010n2013" localSheetId="10">#REF!</definedName>
    <definedName name="CPIv2010n2013">#REF!</definedName>
    <definedName name="CPIv2011n2012" localSheetId="9">#REF!</definedName>
    <definedName name="CPIv2011n2012" localSheetId="11">#REF!</definedName>
    <definedName name="CPIv2011n2012" localSheetId="10">#REF!</definedName>
    <definedName name="CPIv2011n2012">#REF!</definedName>
    <definedName name="CPIv2011n2013" localSheetId="9">#REF!</definedName>
    <definedName name="CPIv2011n2013" localSheetId="11">#REF!</definedName>
    <definedName name="CPIv2011n2013" localSheetId="10">#REF!</definedName>
    <definedName name="CPIv2011n2013">#REF!</definedName>
    <definedName name="CPIv2012n2013" localSheetId="9">#REF!</definedName>
    <definedName name="CPIv2012n2013" localSheetId="11">#REF!</definedName>
    <definedName name="CPIv2012n2013" localSheetId="10">#REF!</definedName>
    <definedName name="CPIv2012n2013">#REF!</definedName>
    <definedName name="EofG" localSheetId="9">'[1]Lokale heffingen (LH)'!#REF!</definedName>
    <definedName name="EofG" localSheetId="11">'[1]Lokale heffingen (LH)'!#REF!</definedName>
    <definedName name="EofG" localSheetId="10">'[1]Lokale heffingen (LH)'!#REF!</definedName>
    <definedName name="EofG" localSheetId="4">'[1]Lokale heffingen (LH)'!#REF!</definedName>
    <definedName name="EofG">'[1]Lokale heffingen (LH)'!#REF!</definedName>
    <definedName name="Naam" localSheetId="9">#REF!</definedName>
    <definedName name="Naam" localSheetId="8">#REF!</definedName>
    <definedName name="Naam" localSheetId="11">#REF!</definedName>
    <definedName name="Naam" localSheetId="10">#REF!</definedName>
    <definedName name="Naam">#REF!</definedName>
    <definedName name="wacc_exc_tax">[2]constants!$E$3</definedName>
    <definedName name="WACC2011_2013">'[3]CPI&amp;WACC'!$D$14</definedName>
    <definedName name="WACCtabel">'[4]CPI en WACC'!$B$6:$D$26</definedName>
  </definedNames>
  <calcPr calcId="145621"/>
</workbook>
</file>

<file path=xl/calcChain.xml><?xml version="1.0" encoding="utf-8"?>
<calcChain xmlns="http://schemas.openxmlformats.org/spreadsheetml/2006/main">
  <c r="O47" i="51" l="1"/>
  <c r="T26" i="69" l="1"/>
  <c r="R26" i="69"/>
  <c r="R16" i="69"/>
  <c r="Q16" i="69"/>
  <c r="X86" i="69" l="1"/>
  <c r="W86" i="69"/>
  <c r="V86" i="69"/>
  <c r="U86" i="69"/>
  <c r="T86" i="69"/>
  <c r="S86" i="69"/>
  <c r="R86" i="69"/>
  <c r="Q86" i="69"/>
  <c r="X85" i="69"/>
  <c r="W85" i="69"/>
  <c r="V85" i="69"/>
  <c r="U85" i="69"/>
  <c r="T85" i="69"/>
  <c r="S85" i="69"/>
  <c r="R85" i="69"/>
  <c r="Q85" i="69"/>
  <c r="X81" i="69"/>
  <c r="W81" i="69"/>
  <c r="V81" i="69"/>
  <c r="U81" i="69"/>
  <c r="T81" i="69"/>
  <c r="S81" i="69"/>
  <c r="R81" i="69"/>
  <c r="Q81" i="69"/>
  <c r="X80" i="69"/>
  <c r="W80" i="69"/>
  <c r="V80" i="69"/>
  <c r="U80" i="69"/>
  <c r="T80" i="69"/>
  <c r="S80" i="69"/>
  <c r="R80" i="69"/>
  <c r="Q80" i="69"/>
  <c r="X79" i="69"/>
  <c r="W79" i="69"/>
  <c r="V79" i="69"/>
  <c r="U79" i="69"/>
  <c r="T79" i="69"/>
  <c r="S79" i="69"/>
  <c r="R79" i="69"/>
  <c r="Q79" i="69"/>
  <c r="X78" i="69"/>
  <c r="W78" i="69"/>
  <c r="V78" i="69"/>
  <c r="U78" i="69"/>
  <c r="T78" i="69"/>
  <c r="S78" i="69"/>
  <c r="R78" i="69"/>
  <c r="Q78" i="69"/>
  <c r="X77" i="69"/>
  <c r="W77" i="69"/>
  <c r="V77" i="69"/>
  <c r="U77" i="69"/>
  <c r="T77" i="69"/>
  <c r="S77" i="69"/>
  <c r="R77" i="69"/>
  <c r="Q77" i="69"/>
  <c r="X76" i="69"/>
  <c r="W76" i="69"/>
  <c r="V76" i="69"/>
  <c r="U76" i="69"/>
  <c r="T76" i="69"/>
  <c r="S76" i="69"/>
  <c r="R76" i="69"/>
  <c r="Q76" i="69"/>
  <c r="X73" i="69"/>
  <c r="W73" i="69"/>
  <c r="V73" i="69"/>
  <c r="U73" i="69"/>
  <c r="T73" i="69"/>
  <c r="S73" i="69"/>
  <c r="R73" i="69"/>
  <c r="Q73" i="69"/>
  <c r="X72" i="69"/>
  <c r="W72" i="69"/>
  <c r="V72" i="69"/>
  <c r="U72" i="69"/>
  <c r="T72" i="69"/>
  <c r="S72" i="69"/>
  <c r="R72" i="69"/>
  <c r="Q72" i="69"/>
  <c r="X69" i="69"/>
  <c r="W69" i="69"/>
  <c r="V69" i="69"/>
  <c r="U69" i="69"/>
  <c r="T69" i="69"/>
  <c r="S69" i="69"/>
  <c r="R69" i="69"/>
  <c r="Q69" i="69"/>
  <c r="X68" i="69"/>
  <c r="W68" i="69"/>
  <c r="V68" i="69"/>
  <c r="U68" i="69"/>
  <c r="T68" i="69"/>
  <c r="S68" i="69"/>
  <c r="R68" i="69"/>
  <c r="Q68" i="69"/>
  <c r="X67" i="69"/>
  <c r="W67" i="69"/>
  <c r="V67" i="69"/>
  <c r="U67" i="69"/>
  <c r="T67" i="69"/>
  <c r="S67" i="69"/>
  <c r="R67" i="69"/>
  <c r="Q67" i="69"/>
  <c r="X66" i="69"/>
  <c r="W66" i="69"/>
  <c r="V66" i="69"/>
  <c r="U66" i="69"/>
  <c r="T66" i="69"/>
  <c r="S66" i="69"/>
  <c r="R66" i="69"/>
  <c r="Q66" i="69"/>
  <c r="X62" i="69"/>
  <c r="W62" i="69"/>
  <c r="V62" i="69"/>
  <c r="U62" i="69"/>
  <c r="T62" i="69"/>
  <c r="S62" i="69"/>
  <c r="R62" i="69"/>
  <c r="Q62" i="69"/>
  <c r="X61" i="69"/>
  <c r="W61" i="69"/>
  <c r="V61" i="69"/>
  <c r="U61" i="69"/>
  <c r="T61" i="69"/>
  <c r="S61" i="69"/>
  <c r="R61" i="69"/>
  <c r="Q61" i="69"/>
  <c r="X60" i="69"/>
  <c r="W60" i="69"/>
  <c r="V60" i="69"/>
  <c r="U60" i="69"/>
  <c r="T60" i="69"/>
  <c r="S60" i="69"/>
  <c r="R60" i="69"/>
  <c r="Q60" i="69"/>
  <c r="X59" i="69"/>
  <c r="W59" i="69"/>
  <c r="V59" i="69"/>
  <c r="U59" i="69"/>
  <c r="T59" i="69"/>
  <c r="S59" i="69"/>
  <c r="R59" i="69"/>
  <c r="Q59" i="69"/>
  <c r="X56" i="69"/>
  <c r="W56" i="69"/>
  <c r="V56" i="69"/>
  <c r="U56" i="69"/>
  <c r="T56" i="69"/>
  <c r="S56" i="69"/>
  <c r="R56" i="69"/>
  <c r="Q56" i="69"/>
  <c r="X55" i="69"/>
  <c r="W55" i="69"/>
  <c r="V55" i="69"/>
  <c r="U55" i="69"/>
  <c r="T55" i="69"/>
  <c r="S55" i="69"/>
  <c r="R55" i="69"/>
  <c r="Q55" i="69"/>
  <c r="X54" i="69"/>
  <c r="W54" i="69"/>
  <c r="V54" i="69"/>
  <c r="U54" i="69"/>
  <c r="T54" i="69"/>
  <c r="S54" i="69"/>
  <c r="R54" i="69"/>
  <c r="Q54" i="69"/>
  <c r="X53" i="69"/>
  <c r="W53" i="69"/>
  <c r="V53" i="69"/>
  <c r="U53" i="69"/>
  <c r="T53" i="69"/>
  <c r="S53" i="69"/>
  <c r="R53" i="69"/>
  <c r="Q53" i="69"/>
  <c r="X50" i="69"/>
  <c r="W50" i="69"/>
  <c r="V50" i="69"/>
  <c r="U50" i="69"/>
  <c r="T50" i="69"/>
  <c r="S50" i="69"/>
  <c r="R50" i="69"/>
  <c r="Q50" i="69"/>
  <c r="X49" i="69"/>
  <c r="W49" i="69"/>
  <c r="V49" i="69"/>
  <c r="U49" i="69"/>
  <c r="T49" i="69"/>
  <c r="S49" i="69"/>
  <c r="R49" i="69"/>
  <c r="Q49" i="69"/>
  <c r="X48" i="69"/>
  <c r="W48" i="69"/>
  <c r="V48" i="69"/>
  <c r="U48" i="69"/>
  <c r="T48" i="69"/>
  <c r="S48" i="69"/>
  <c r="R48" i="69"/>
  <c r="Q48" i="69"/>
  <c r="X47" i="69"/>
  <c r="W47" i="69"/>
  <c r="V47" i="69"/>
  <c r="U47" i="69"/>
  <c r="T47" i="69"/>
  <c r="S47" i="69"/>
  <c r="R47" i="69"/>
  <c r="Q47" i="69"/>
  <c r="X43" i="69"/>
  <c r="W43" i="69"/>
  <c r="V43" i="69"/>
  <c r="U43" i="69"/>
  <c r="T43" i="69"/>
  <c r="S43" i="69"/>
  <c r="R43" i="69"/>
  <c r="Q43" i="69"/>
  <c r="X42" i="69"/>
  <c r="W42" i="69"/>
  <c r="V42" i="69"/>
  <c r="U42" i="69"/>
  <c r="T42" i="69"/>
  <c r="S42" i="69"/>
  <c r="R42" i="69"/>
  <c r="Q42" i="69"/>
  <c r="X41" i="69"/>
  <c r="W41" i="69"/>
  <c r="V41" i="69"/>
  <c r="U41" i="69"/>
  <c r="T41" i="69"/>
  <c r="S41" i="69"/>
  <c r="R41" i="69"/>
  <c r="Q41" i="69"/>
  <c r="X38" i="69"/>
  <c r="W38" i="69"/>
  <c r="V38" i="69"/>
  <c r="U38" i="69"/>
  <c r="T38" i="69"/>
  <c r="S38" i="69"/>
  <c r="R38" i="69"/>
  <c r="Q38" i="69"/>
  <c r="X37" i="69"/>
  <c r="W37" i="69"/>
  <c r="V37" i="69"/>
  <c r="U37" i="69"/>
  <c r="T37" i="69"/>
  <c r="S37" i="69"/>
  <c r="R37" i="69"/>
  <c r="Q37" i="69"/>
  <c r="X36" i="69"/>
  <c r="W36" i="69"/>
  <c r="V36" i="69"/>
  <c r="U36" i="69"/>
  <c r="T36" i="69"/>
  <c r="S36" i="69"/>
  <c r="R36" i="69"/>
  <c r="Q36" i="69"/>
  <c r="X33" i="69"/>
  <c r="W33" i="69"/>
  <c r="V33" i="69"/>
  <c r="U33" i="69"/>
  <c r="T33" i="69"/>
  <c r="S33" i="69"/>
  <c r="R33" i="69"/>
  <c r="Q33" i="69"/>
  <c r="X32" i="69"/>
  <c r="W32" i="69"/>
  <c r="V32" i="69"/>
  <c r="U32" i="69"/>
  <c r="T32" i="69"/>
  <c r="S32" i="69"/>
  <c r="R32" i="69"/>
  <c r="Q32" i="69"/>
  <c r="X31" i="69"/>
  <c r="W31" i="69"/>
  <c r="V31" i="69"/>
  <c r="U31" i="69"/>
  <c r="T31" i="69"/>
  <c r="S31" i="69"/>
  <c r="R31" i="69"/>
  <c r="Q31" i="69"/>
  <c r="X28" i="69"/>
  <c r="W28" i="69"/>
  <c r="V28" i="69"/>
  <c r="U28" i="69"/>
  <c r="T28" i="69"/>
  <c r="S28" i="69"/>
  <c r="R28" i="69"/>
  <c r="Q28" i="69"/>
  <c r="X27" i="69"/>
  <c r="W27" i="69"/>
  <c r="V27" i="69"/>
  <c r="U27" i="69"/>
  <c r="T27" i="69"/>
  <c r="S27" i="69"/>
  <c r="R27" i="69"/>
  <c r="Q27" i="69"/>
  <c r="X26" i="69"/>
  <c r="W26" i="69"/>
  <c r="V26" i="69"/>
  <c r="U26" i="69"/>
  <c r="S26" i="69"/>
  <c r="Q26" i="69"/>
  <c r="X23" i="69"/>
  <c r="W23" i="69"/>
  <c r="V23" i="69"/>
  <c r="U23" i="69"/>
  <c r="T23" i="69"/>
  <c r="S23" i="69"/>
  <c r="R23" i="69"/>
  <c r="Q23" i="69"/>
  <c r="X22" i="69"/>
  <c r="W22" i="69"/>
  <c r="V22" i="69"/>
  <c r="U22" i="69"/>
  <c r="T22" i="69"/>
  <c r="S22" i="69"/>
  <c r="R22" i="69"/>
  <c r="Q22" i="69"/>
  <c r="X21" i="69"/>
  <c r="W21" i="69"/>
  <c r="V21" i="69"/>
  <c r="U21" i="69"/>
  <c r="T21" i="69"/>
  <c r="S21" i="69"/>
  <c r="R21" i="69"/>
  <c r="Q21" i="69"/>
  <c r="S16" i="69"/>
  <c r="S91" i="69" s="1"/>
  <c r="I51" i="51" s="1"/>
  <c r="T16" i="69"/>
  <c r="T91" i="69" s="1"/>
  <c r="J51" i="51" s="1"/>
  <c r="U16" i="69"/>
  <c r="V16" i="69"/>
  <c r="V91" i="69" s="1"/>
  <c r="L51" i="51" s="1"/>
  <c r="W16" i="69"/>
  <c r="W91" i="69" s="1"/>
  <c r="M51" i="51" s="1"/>
  <c r="X16" i="69"/>
  <c r="X91" i="69" s="1"/>
  <c r="N51" i="51" s="1"/>
  <c r="R17" i="69"/>
  <c r="R91" i="69" s="1"/>
  <c r="H51" i="51" s="1"/>
  <c r="S17" i="69"/>
  <c r="T17" i="69"/>
  <c r="U17" i="69"/>
  <c r="V17" i="69"/>
  <c r="W17" i="69"/>
  <c r="X17" i="69"/>
  <c r="R18" i="69"/>
  <c r="S18" i="69"/>
  <c r="T18" i="69"/>
  <c r="U18" i="69"/>
  <c r="V18" i="69"/>
  <c r="W18" i="69"/>
  <c r="X18" i="69"/>
  <c r="Q17" i="69"/>
  <c r="Q91" i="69" s="1"/>
  <c r="G51" i="51" s="1"/>
  <c r="Q18" i="69"/>
  <c r="U91" i="69" l="1"/>
  <c r="K51" i="51" s="1"/>
  <c r="D43" i="66"/>
  <c r="D19" i="66" l="1"/>
  <c r="H46" i="54" l="1"/>
  <c r="I46" i="54"/>
  <c r="J46" i="54"/>
  <c r="K46" i="54"/>
  <c r="L46" i="54"/>
  <c r="M46" i="54"/>
  <c r="N46" i="54"/>
  <c r="G46" i="54"/>
  <c r="F69" i="41" l="1"/>
  <c r="G69" i="41"/>
  <c r="G72" i="41" s="1"/>
  <c r="H69" i="41"/>
  <c r="I69" i="41"/>
  <c r="I72" i="41" s="1"/>
  <c r="J69" i="41"/>
  <c r="K69" i="41"/>
  <c r="K72" i="41" s="1"/>
  <c r="L69" i="41"/>
  <c r="F70" i="41"/>
  <c r="G70" i="41"/>
  <c r="H70" i="41"/>
  <c r="I70" i="41"/>
  <c r="J70" i="41"/>
  <c r="K70" i="41"/>
  <c r="L70" i="41"/>
  <c r="F71" i="41"/>
  <c r="G71" i="41"/>
  <c r="H71" i="41"/>
  <c r="I71" i="41"/>
  <c r="K71" i="41"/>
  <c r="L71" i="41"/>
  <c r="E71" i="41"/>
  <c r="E70" i="41"/>
  <c r="E69" i="41"/>
  <c r="E72" i="41" s="1"/>
  <c r="L72" i="41" l="1"/>
  <c r="H72" i="41"/>
  <c r="F72" i="41"/>
  <c r="D16" i="20"/>
  <c r="F21" i="20" l="1"/>
  <c r="G21" i="20"/>
  <c r="I21" i="20"/>
  <c r="K21" i="20"/>
  <c r="M21" i="20"/>
  <c r="H21" i="20"/>
  <c r="J21" i="20"/>
  <c r="L21" i="20"/>
  <c r="M39" i="2"/>
  <c r="L36" i="20" s="1"/>
  <c r="G17" i="60"/>
  <c r="L17" i="2" s="1"/>
  <c r="E65" i="41" l="1"/>
  <c r="L30" i="5" l="1"/>
  <c r="E30" i="5"/>
  <c r="F30" i="5"/>
  <c r="G30" i="5"/>
  <c r="H30" i="5"/>
  <c r="I30" i="5"/>
  <c r="J30" i="5"/>
  <c r="K30" i="5"/>
  <c r="D30" i="5"/>
  <c r="D29" i="4" l="1"/>
  <c r="D17" i="4" s="1"/>
  <c r="F26" i="2" s="1"/>
  <c r="E37" i="50" l="1"/>
  <c r="E25" i="54" l="1"/>
  <c r="E26" i="54"/>
  <c r="E24" i="54"/>
  <c r="I28" i="54" s="1"/>
  <c r="E48" i="54"/>
  <c r="N45" i="54"/>
  <c r="M45" i="54"/>
  <c r="L45" i="54"/>
  <c r="K45" i="54"/>
  <c r="J45" i="54"/>
  <c r="I45" i="54"/>
  <c r="H45" i="54"/>
  <c r="G45" i="54"/>
  <c r="I49" i="54" l="1"/>
  <c r="I51" i="54" s="1"/>
  <c r="I53" i="54" s="1"/>
  <c r="I15" i="2" s="1"/>
  <c r="I38" i="2" s="1"/>
  <c r="H35" i="20" s="1"/>
  <c r="H49" i="54"/>
  <c r="H51" i="54" s="1"/>
  <c r="H53" i="54" s="1"/>
  <c r="H15" i="2" s="1"/>
  <c r="H38" i="2" s="1"/>
  <c r="G35" i="20" s="1"/>
  <c r="J49" i="54"/>
  <c r="L49" i="54"/>
  <c r="L51" i="54" s="1"/>
  <c r="L53" i="54" s="1"/>
  <c r="L15" i="2" s="1"/>
  <c r="L38" i="2" s="1"/>
  <c r="K35" i="20" s="1"/>
  <c r="N49" i="54"/>
  <c r="N51" i="54" s="1"/>
  <c r="N53" i="54" s="1"/>
  <c r="N15" i="2" s="1"/>
  <c r="N38" i="2" s="1"/>
  <c r="M35" i="20" s="1"/>
  <c r="K49" i="54"/>
  <c r="K51" i="54" s="1"/>
  <c r="K53" i="54" s="1"/>
  <c r="K15" i="2" s="1"/>
  <c r="K38" i="2" s="1"/>
  <c r="J35" i="20" s="1"/>
  <c r="M49" i="54"/>
  <c r="M51" i="54" s="1"/>
  <c r="M53" i="54" s="1"/>
  <c r="G49" i="54"/>
  <c r="J51" i="54"/>
  <c r="G51" i="54"/>
  <c r="G53" i="54" s="1"/>
  <c r="G15" i="2" s="1"/>
  <c r="L28" i="54"/>
  <c r="L32" i="54" s="1"/>
  <c r="L12" i="2" s="1"/>
  <c r="N28" i="54"/>
  <c r="H28" i="54"/>
  <c r="H29" i="54" s="1"/>
  <c r="G28" i="54"/>
  <c r="G32" i="54" s="1"/>
  <c r="G12" i="2" s="1"/>
  <c r="M28" i="54"/>
  <c r="M29" i="54" s="1"/>
  <c r="K28" i="54"/>
  <c r="N32" i="54"/>
  <c r="N12" i="2" s="1"/>
  <c r="J28" i="54"/>
  <c r="I32" i="54"/>
  <c r="I12" i="2" s="1"/>
  <c r="I29" i="54"/>
  <c r="N29" i="54"/>
  <c r="J29" i="54"/>
  <c r="J53" i="54"/>
  <c r="J15" i="2" s="1"/>
  <c r="J38" i="2" s="1"/>
  <c r="I35" i="20" s="1"/>
  <c r="G38" i="2" l="1"/>
  <c r="F35" i="20" s="1"/>
  <c r="M15" i="2"/>
  <c r="M38" i="2" s="1"/>
  <c r="L35" i="20" s="1"/>
  <c r="L29" i="54"/>
  <c r="L30" i="54" s="1"/>
  <c r="H32" i="54"/>
  <c r="H12" i="2" s="1"/>
  <c r="G29" i="54"/>
  <c r="G30" i="54" s="1"/>
  <c r="I30" i="54"/>
  <c r="I33" i="54"/>
  <c r="I13" i="2" s="1"/>
  <c r="J32" i="54"/>
  <c r="J12" i="2" s="1"/>
  <c r="M32" i="54"/>
  <c r="M12" i="2" s="1"/>
  <c r="M30" i="54"/>
  <c r="K29" i="54"/>
  <c r="K32" i="54"/>
  <c r="K12" i="2" s="1"/>
  <c r="M33" i="54"/>
  <c r="M13" i="2" s="1"/>
  <c r="J30" i="54"/>
  <c r="J33" i="54"/>
  <c r="J13" i="2" s="1"/>
  <c r="D27" i="66" s="1"/>
  <c r="D29" i="66" s="1"/>
  <c r="D34" i="66" s="1"/>
  <c r="J18" i="2" s="1"/>
  <c r="J41" i="2" s="1"/>
  <c r="N30" i="54"/>
  <c r="N33" i="54"/>
  <c r="N13" i="2" s="1"/>
  <c r="H30" i="54"/>
  <c r="H33" i="54"/>
  <c r="H13" i="2" s="1"/>
  <c r="L33" i="54" l="1"/>
  <c r="L13" i="2" s="1"/>
  <c r="H34" i="54"/>
  <c r="H14" i="2" s="1"/>
  <c r="N34" i="54"/>
  <c r="N14" i="2" s="1"/>
  <c r="J34" i="54"/>
  <c r="J14" i="2" s="1"/>
  <c r="D50" i="66" s="1"/>
  <c r="I34" i="54"/>
  <c r="I14" i="2" s="1"/>
  <c r="G34" i="54"/>
  <c r="G14" i="2" s="1"/>
  <c r="K30" i="54"/>
  <c r="K33" i="54"/>
  <c r="K13" i="2" s="1"/>
  <c r="M34" i="54"/>
  <c r="M14" i="2" s="1"/>
  <c r="L34" i="54"/>
  <c r="L14" i="2" s="1"/>
  <c r="G33" i="54"/>
  <c r="G13" i="2" s="1"/>
  <c r="K34" i="54" l="1"/>
  <c r="K14" i="2" s="1"/>
  <c r="N81" i="51" l="1"/>
  <c r="G81" i="51"/>
  <c r="O51" i="51"/>
  <c r="C16" i="41" l="1"/>
  <c r="F8" i="20"/>
  <c r="D22" i="4" l="1"/>
  <c r="D26" i="4"/>
  <c r="D27" i="4"/>
  <c r="D28" i="4"/>
  <c r="D16" i="4" s="1"/>
  <c r="J29" i="5"/>
  <c r="K29" i="5"/>
  <c r="O50" i="51" l="1"/>
  <c r="O56" i="51" s="1"/>
  <c r="O49" i="51"/>
  <c r="O55" i="51" s="1"/>
  <c r="K8" i="20" l="1"/>
  <c r="H48" i="50" l="1"/>
  <c r="I48" i="50"/>
  <c r="J48" i="50"/>
  <c r="K48" i="50"/>
  <c r="L48" i="50"/>
  <c r="M48" i="50"/>
  <c r="N48" i="50"/>
  <c r="G48" i="50"/>
  <c r="G70" i="50"/>
  <c r="H70" i="50"/>
  <c r="I70" i="50"/>
  <c r="J70" i="50"/>
  <c r="K70" i="50"/>
  <c r="L70" i="50"/>
  <c r="M70" i="50"/>
  <c r="N70" i="50"/>
  <c r="G51" i="50" l="1"/>
  <c r="G52" i="50" s="1"/>
  <c r="G58" i="50"/>
  <c r="M58" i="50"/>
  <c r="K58" i="50"/>
  <c r="I58" i="50"/>
  <c r="G80" i="50"/>
  <c r="N58" i="50"/>
  <c r="L58" i="50"/>
  <c r="L55" i="50"/>
  <c r="J58" i="50"/>
  <c r="H58" i="50"/>
  <c r="I51" i="50"/>
  <c r="I52" i="50" s="1"/>
  <c r="K51" i="50"/>
  <c r="K52" i="50" s="1"/>
  <c r="M51" i="50"/>
  <c r="M52" i="50" s="1"/>
  <c r="H51" i="50"/>
  <c r="H55" i="50" s="1"/>
  <c r="J51" i="50"/>
  <c r="J55" i="50" s="1"/>
  <c r="L51" i="50"/>
  <c r="L52" i="50" s="1"/>
  <c r="N51" i="50"/>
  <c r="N52" i="50" s="1"/>
  <c r="H52" i="50"/>
  <c r="J52" i="50"/>
  <c r="G55" i="50" l="1"/>
  <c r="I55" i="50"/>
  <c r="K55" i="50"/>
  <c r="M55" i="50"/>
  <c r="N55" i="50"/>
  <c r="D25" i="4"/>
  <c r="D24" i="4"/>
  <c r="D23" i="4"/>
  <c r="D15" i="4" l="1"/>
  <c r="C13" i="41" l="1"/>
  <c r="C14" i="41"/>
  <c r="C15" i="41"/>
  <c r="C12" i="41"/>
  <c r="G8" i="20"/>
  <c r="H8" i="20"/>
  <c r="I8" i="20"/>
  <c r="J8" i="20"/>
  <c r="L8" i="20"/>
  <c r="M8" i="20"/>
  <c r="D12" i="20"/>
  <c r="F13" i="20" s="1"/>
  <c r="F17" i="20" s="1"/>
  <c r="J37" i="41" l="1"/>
  <c r="E37" i="41"/>
  <c r="E38" i="41" s="1"/>
  <c r="E39" i="41" s="1"/>
  <c r="E88" i="41" s="1"/>
  <c r="J13" i="20"/>
  <c r="L13" i="20"/>
  <c r="H13" i="20"/>
  <c r="M13" i="20"/>
  <c r="K13" i="20"/>
  <c r="I13" i="20"/>
  <c r="G13" i="20"/>
  <c r="F14" i="20" l="1"/>
  <c r="F22" i="20" s="1"/>
  <c r="I14" i="20"/>
  <c r="I17" i="20"/>
  <c r="M14" i="20"/>
  <c r="M17" i="20"/>
  <c r="L14" i="20"/>
  <c r="L17" i="20"/>
  <c r="G14" i="20"/>
  <c r="G17" i="20"/>
  <c r="K14" i="20"/>
  <c r="K17" i="20"/>
  <c r="H14" i="20"/>
  <c r="H17" i="20"/>
  <c r="J14" i="20"/>
  <c r="J17" i="20"/>
  <c r="I73" i="50"/>
  <c r="I77" i="50" s="1"/>
  <c r="I80" i="50"/>
  <c r="K73" i="50"/>
  <c r="K77" i="50" s="1"/>
  <c r="K80" i="50"/>
  <c r="M73" i="50"/>
  <c r="M77" i="50" s="1"/>
  <c r="M80" i="50"/>
  <c r="H80" i="50"/>
  <c r="H73" i="50"/>
  <c r="H77" i="50" s="1"/>
  <c r="J73" i="50"/>
  <c r="J77" i="50" s="1"/>
  <c r="J80" i="50"/>
  <c r="L73" i="50"/>
  <c r="L77" i="50" s="1"/>
  <c r="L80" i="50"/>
  <c r="N73" i="50"/>
  <c r="N77" i="50" s="1"/>
  <c r="N80" i="50"/>
  <c r="G73" i="50"/>
  <c r="G77" i="50" s="1"/>
  <c r="J22" i="20" l="1"/>
  <c r="K22" i="20"/>
  <c r="G22" i="20"/>
  <c r="L22" i="20"/>
  <c r="M22" i="20"/>
  <c r="I22" i="20"/>
  <c r="H22" i="20"/>
  <c r="L74" i="50"/>
  <c r="H74" i="50"/>
  <c r="N74" i="50"/>
  <c r="J74" i="50"/>
  <c r="K74" i="50"/>
  <c r="L84" i="50"/>
  <c r="L9" i="2" s="1"/>
  <c r="L32" i="2" s="1"/>
  <c r="K29" i="20" s="1"/>
  <c r="G74" i="50"/>
  <c r="M84" i="50"/>
  <c r="M9" i="2" s="1"/>
  <c r="M32" i="2" s="1"/>
  <c r="L29" i="20" s="1"/>
  <c r="I84" i="50"/>
  <c r="I9" i="2" s="1"/>
  <c r="I32" i="2" s="1"/>
  <c r="H29" i="20" s="1"/>
  <c r="G84" i="50"/>
  <c r="G9" i="2" s="1"/>
  <c r="G32" i="2" s="1"/>
  <c r="F29" i="20" s="1"/>
  <c r="M74" i="50"/>
  <c r="I74" i="50"/>
  <c r="N84" i="50"/>
  <c r="N9" i="2" s="1"/>
  <c r="N32" i="2" s="1"/>
  <c r="M29" i="20" s="1"/>
  <c r="J84" i="50"/>
  <c r="J9" i="2" s="1"/>
  <c r="J32" i="2" s="1"/>
  <c r="I29" i="20" s="1"/>
  <c r="K84" i="50"/>
  <c r="K9" i="2" s="1"/>
  <c r="K32" i="2" s="1"/>
  <c r="J29" i="20" s="1"/>
  <c r="F33" i="51"/>
  <c r="F34" i="51"/>
  <c r="F35" i="51"/>
  <c r="F32" i="51"/>
  <c r="H84" i="50" l="1"/>
  <c r="H9" i="2" s="1"/>
  <c r="H32" i="2" s="1"/>
  <c r="G29" i="20" s="1"/>
  <c r="M81" i="51"/>
  <c r="L81" i="51"/>
  <c r="K81" i="51"/>
  <c r="J81" i="51"/>
  <c r="I81" i="51"/>
  <c r="H81" i="51"/>
  <c r="O80" i="51"/>
  <c r="O79" i="51"/>
  <c r="O48" i="51"/>
  <c r="F30" i="51"/>
  <c r="F29" i="51"/>
  <c r="F28" i="51"/>
  <c r="N22" i="51"/>
  <c r="M22" i="51"/>
  <c r="L22" i="51"/>
  <c r="K22" i="51"/>
  <c r="J22" i="51"/>
  <c r="I22" i="51"/>
  <c r="H22" i="51"/>
  <c r="G22" i="51"/>
  <c r="O21" i="51"/>
  <c r="O20" i="51"/>
  <c r="O53" i="51" l="1"/>
  <c r="O54" i="51"/>
  <c r="G39" i="51"/>
  <c r="G40" i="51" s="1"/>
  <c r="G41" i="51" s="1"/>
  <c r="G42" i="51" s="1"/>
  <c r="I39" i="51"/>
  <c r="I40" i="51" s="1"/>
  <c r="I41" i="51" s="1"/>
  <c r="I42" i="51" s="1"/>
  <c r="K39" i="51"/>
  <c r="K40" i="51" s="1"/>
  <c r="K41" i="51" s="1"/>
  <c r="K42" i="51" s="1"/>
  <c r="M39" i="51"/>
  <c r="M40" i="51" s="1"/>
  <c r="M41" i="51" s="1"/>
  <c r="M42" i="51" s="1"/>
  <c r="H39" i="51"/>
  <c r="H40" i="51" s="1"/>
  <c r="H41" i="51" s="1"/>
  <c r="H42" i="51" s="1"/>
  <c r="J39" i="51"/>
  <c r="J40" i="51" s="1"/>
  <c r="J41" i="51" s="1"/>
  <c r="J42" i="51" s="1"/>
  <c r="L39" i="51"/>
  <c r="L40" i="51" s="1"/>
  <c r="L41" i="51" s="1"/>
  <c r="L42" i="51" s="1"/>
  <c r="N39" i="51"/>
  <c r="N40" i="51" s="1"/>
  <c r="N41" i="51" s="1"/>
  <c r="N42" i="51" s="1"/>
  <c r="O81" i="51"/>
  <c r="O22" i="51"/>
  <c r="O67" i="51" s="1"/>
  <c r="H21" i="50"/>
  <c r="I21" i="50"/>
  <c r="J21" i="50"/>
  <c r="K21" i="50"/>
  <c r="L21" i="50"/>
  <c r="M21" i="50"/>
  <c r="N21" i="50"/>
  <c r="G21" i="50"/>
  <c r="G38" i="50" l="1"/>
  <c r="G67" i="51"/>
  <c r="N44" i="50"/>
  <c r="N24" i="50"/>
  <c r="N38" i="50"/>
  <c r="N28" i="50"/>
  <c r="N31" i="50"/>
  <c r="L44" i="50"/>
  <c r="L24" i="50"/>
  <c r="L38" i="50"/>
  <c r="L28" i="50"/>
  <c r="L31" i="50"/>
  <c r="J44" i="50"/>
  <c r="J24" i="50"/>
  <c r="J25" i="50" s="1"/>
  <c r="J38" i="50"/>
  <c r="J28" i="50"/>
  <c r="J31" i="50"/>
  <c r="H31" i="50"/>
  <c r="H44" i="50"/>
  <c r="H24" i="50"/>
  <c r="H38" i="50"/>
  <c r="H28" i="50"/>
  <c r="M38" i="50"/>
  <c r="M44" i="50"/>
  <c r="M24" i="50"/>
  <c r="M28" i="50" s="1"/>
  <c r="M31" i="50"/>
  <c r="K38" i="50"/>
  <c r="K44" i="50"/>
  <c r="K24" i="50"/>
  <c r="K28" i="50" s="1"/>
  <c r="K31" i="50"/>
  <c r="I38" i="50"/>
  <c r="I44" i="50"/>
  <c r="I24" i="50"/>
  <c r="I28" i="50" s="1"/>
  <c r="I31" i="50"/>
  <c r="O39" i="51"/>
  <c r="O60" i="51" s="1"/>
  <c r="G69" i="51" s="1"/>
  <c r="N67" i="51"/>
  <c r="L67" i="51"/>
  <c r="J67" i="51"/>
  <c r="H67" i="51"/>
  <c r="M67" i="51"/>
  <c r="K67" i="51"/>
  <c r="I67" i="51"/>
  <c r="G31" i="50"/>
  <c r="G24" i="50"/>
  <c r="G25" i="50" s="1"/>
  <c r="G39" i="50" s="1"/>
  <c r="G44" i="50"/>
  <c r="O40" i="51"/>
  <c r="O61" i="51" s="1"/>
  <c r="G70" i="51" s="1"/>
  <c r="J28" i="5"/>
  <c r="D29" i="5"/>
  <c r="D27" i="5"/>
  <c r="F29" i="5"/>
  <c r="G29" i="5"/>
  <c r="H29" i="5"/>
  <c r="I29" i="5"/>
  <c r="F25" i="2"/>
  <c r="G62" i="50" l="1"/>
  <c r="G42" i="50"/>
  <c r="G28" i="50"/>
  <c r="G37" i="2"/>
  <c r="F34" i="20"/>
  <c r="H37" i="2"/>
  <c r="G34" i="20" s="1"/>
  <c r="M37" i="2"/>
  <c r="L34" i="20" s="1"/>
  <c r="N37" i="2"/>
  <c r="M34" i="20" s="1"/>
  <c r="L37" i="2"/>
  <c r="K34" i="20" s="1"/>
  <c r="J37" i="2"/>
  <c r="I34" i="20" s="1"/>
  <c r="I37" i="2"/>
  <c r="H34" i="20" s="1"/>
  <c r="K37" i="2"/>
  <c r="J34" i="20" s="1"/>
  <c r="H69" i="51"/>
  <c r="M69" i="51"/>
  <c r="K25" i="50"/>
  <c r="K39" i="50" s="1"/>
  <c r="K42" i="50" s="1"/>
  <c r="G8" i="2"/>
  <c r="G31" i="2" s="1"/>
  <c r="F28" i="20" s="1"/>
  <c r="J39" i="50"/>
  <c r="I69" i="51"/>
  <c r="I35" i="50"/>
  <c r="I7" i="2" s="1"/>
  <c r="I30" i="2" s="1"/>
  <c r="H27" i="20" s="1"/>
  <c r="M35" i="50"/>
  <c r="M7" i="2" s="1"/>
  <c r="M30" i="2" s="1"/>
  <c r="L27" i="20" s="1"/>
  <c r="L25" i="50"/>
  <c r="L39" i="50" s="1"/>
  <c r="L42" i="50" s="1"/>
  <c r="I25" i="50"/>
  <c r="I39" i="50" s="1"/>
  <c r="I42" i="50" s="1"/>
  <c r="H25" i="50"/>
  <c r="N25" i="50"/>
  <c r="N39" i="50" s="1"/>
  <c r="M25" i="50"/>
  <c r="M39" i="50" s="1"/>
  <c r="M42" i="50" s="1"/>
  <c r="J35" i="50"/>
  <c r="J7" i="2" s="1"/>
  <c r="L35" i="50"/>
  <c r="L7" i="2" s="1"/>
  <c r="L30" i="2" s="1"/>
  <c r="K27" i="20" s="1"/>
  <c r="N35" i="50"/>
  <c r="N7" i="2" s="1"/>
  <c r="N30" i="2" s="1"/>
  <c r="M27" i="20" s="1"/>
  <c r="K35" i="50"/>
  <c r="K7" i="2" s="1"/>
  <c r="K30" i="2" s="1"/>
  <c r="J27" i="20" s="1"/>
  <c r="G35" i="50"/>
  <c r="G7" i="2" s="1"/>
  <c r="I70" i="51"/>
  <c r="K70" i="51"/>
  <c r="O42" i="51"/>
  <c r="O63" i="51" s="1"/>
  <c r="O41" i="51"/>
  <c r="O62" i="51" s="1"/>
  <c r="G71" i="51" s="1"/>
  <c r="N62" i="50" l="1"/>
  <c r="N8" i="2" s="1"/>
  <c r="N31" i="2" s="1"/>
  <c r="M28" i="20" s="1"/>
  <c r="N42" i="50"/>
  <c r="J62" i="50"/>
  <c r="J8" i="2" s="1"/>
  <c r="J31" i="2" s="1"/>
  <c r="I28" i="20" s="1"/>
  <c r="J42" i="50"/>
  <c r="F27" i="20"/>
  <c r="G30" i="2"/>
  <c r="J30" i="2"/>
  <c r="I27" i="20" s="1"/>
  <c r="G72" i="51"/>
  <c r="G88" i="51" s="1"/>
  <c r="G11" i="2" s="1"/>
  <c r="N72" i="51"/>
  <c r="N88" i="51" s="1"/>
  <c r="N11" i="2" s="1"/>
  <c r="N70" i="51"/>
  <c r="H70" i="51"/>
  <c r="J70" i="51"/>
  <c r="L70" i="51"/>
  <c r="M70" i="51"/>
  <c r="J72" i="51"/>
  <c r="J88" i="51" s="1"/>
  <c r="J11" i="2" s="1"/>
  <c r="K72" i="51"/>
  <c r="K88" i="51" s="1"/>
  <c r="K11" i="2" s="1"/>
  <c r="K34" i="2" s="1"/>
  <c r="J31" i="20" s="1"/>
  <c r="H72" i="51"/>
  <c r="L72" i="51"/>
  <c r="L88" i="51" s="1"/>
  <c r="L11" i="2" s="1"/>
  <c r="L34" i="2" s="1"/>
  <c r="K31" i="20" s="1"/>
  <c r="I72" i="51"/>
  <c r="I88" i="51" s="1"/>
  <c r="I11" i="2" s="1"/>
  <c r="I34" i="2" s="1"/>
  <c r="H31" i="20" s="1"/>
  <c r="M72" i="51"/>
  <c r="M88" i="51" s="1"/>
  <c r="M11" i="2" s="1"/>
  <c r="M34" i="2" s="1"/>
  <c r="L31" i="20" s="1"/>
  <c r="N69" i="51"/>
  <c r="L69" i="51"/>
  <c r="K69" i="51"/>
  <c r="J69" i="51"/>
  <c r="M62" i="50"/>
  <c r="M8" i="2" s="1"/>
  <c r="M31" i="2" s="1"/>
  <c r="L28" i="20" s="1"/>
  <c r="L62" i="50"/>
  <c r="L8" i="2" s="1"/>
  <c r="L31" i="2" s="1"/>
  <c r="K28" i="20" s="1"/>
  <c r="I62" i="50"/>
  <c r="I8" i="2" s="1"/>
  <c r="I31" i="2" s="1"/>
  <c r="H28" i="20" s="1"/>
  <c r="K62" i="50"/>
  <c r="K8" i="2" s="1"/>
  <c r="K31" i="2" s="1"/>
  <c r="J28" i="20" s="1"/>
  <c r="H35" i="50"/>
  <c r="H7" i="2" s="1"/>
  <c r="H30" i="2" s="1"/>
  <c r="G27" i="20" s="1"/>
  <c r="H39" i="50"/>
  <c r="H42" i="50" s="1"/>
  <c r="I71" i="51"/>
  <c r="H71" i="51"/>
  <c r="K71" i="51"/>
  <c r="N71" i="51"/>
  <c r="J34" i="2" l="1"/>
  <c r="I31" i="20" s="1"/>
  <c r="D49" i="66"/>
  <c r="D52" i="66" s="1"/>
  <c r="D54" i="66" s="1"/>
  <c r="J19" i="2" s="1"/>
  <c r="J42" i="2" s="1"/>
  <c r="I39" i="20" s="1"/>
  <c r="F31" i="20"/>
  <c r="G34" i="2"/>
  <c r="M31" i="20"/>
  <c r="N34" i="2"/>
  <c r="O70" i="51"/>
  <c r="H88" i="51"/>
  <c r="O72" i="51"/>
  <c r="J71" i="51"/>
  <c r="L71" i="51"/>
  <c r="M71" i="51"/>
  <c r="O69" i="51"/>
  <c r="H62" i="50"/>
  <c r="H8" i="2" s="1"/>
  <c r="H31" i="2" s="1"/>
  <c r="G28" i="20" s="1"/>
  <c r="O71" i="51" l="1"/>
  <c r="O88" i="51"/>
  <c r="H11" i="2"/>
  <c r="E47" i="41"/>
  <c r="E53" i="41" s="1"/>
  <c r="E54" i="41" s="1"/>
  <c r="E57" i="41" s="1"/>
  <c r="G47" i="41"/>
  <c r="F47" i="41"/>
  <c r="E76" i="41" l="1"/>
  <c r="H34" i="2"/>
  <c r="G31" i="20" s="1"/>
  <c r="L47" i="41"/>
  <c r="L53" i="41" s="1"/>
  <c r="L54" i="41" s="1"/>
  <c r="K47" i="41"/>
  <c r="K53" i="41" s="1"/>
  <c r="K54" i="41" s="1"/>
  <c r="J47" i="41"/>
  <c r="J53" i="41" s="1"/>
  <c r="J54" i="41" s="1"/>
  <c r="I47" i="41"/>
  <c r="I53" i="41" s="1"/>
  <c r="I54" i="41" s="1"/>
  <c r="H47" i="41"/>
  <c r="H53" i="41" s="1"/>
  <c r="H54" i="41" s="1"/>
  <c r="G53" i="41"/>
  <c r="G54" i="41" s="1"/>
  <c r="F53" i="41"/>
  <c r="F54" i="41" s="1"/>
  <c r="L65" i="41"/>
  <c r="L76" i="41" s="1"/>
  <c r="K65" i="41"/>
  <c r="J65" i="41"/>
  <c r="I65" i="41"/>
  <c r="H65" i="41"/>
  <c r="G65" i="41"/>
  <c r="F65" i="41"/>
  <c r="G57" i="41" l="1"/>
  <c r="F57" i="41"/>
  <c r="J57" i="41"/>
  <c r="J71" i="41" s="1"/>
  <c r="J72" i="41" s="1"/>
  <c r="L57" i="41"/>
  <c r="E77" i="41"/>
  <c r="I57" i="41"/>
  <c r="K57" i="41"/>
  <c r="L80" i="41"/>
  <c r="L81" i="41" s="1"/>
  <c r="L82" i="41" s="1"/>
  <c r="L91" i="41" s="1"/>
  <c r="H57" i="41"/>
  <c r="F37" i="41"/>
  <c r="F38" i="41" s="1"/>
  <c r="H37" i="41"/>
  <c r="H38" i="41" s="1"/>
  <c r="J38" i="41"/>
  <c r="L37" i="41"/>
  <c r="L38" i="41" s="1"/>
  <c r="G37" i="41"/>
  <c r="G38" i="41" s="1"/>
  <c r="I37" i="41"/>
  <c r="I38" i="41" s="1"/>
  <c r="I39" i="41" s="1"/>
  <c r="K37" i="41"/>
  <c r="K38" i="41" s="1"/>
  <c r="H76" i="41" l="1"/>
  <c r="H77" i="41" s="1"/>
  <c r="H80" i="41" s="1"/>
  <c r="H81" i="41" s="1"/>
  <c r="J76" i="41"/>
  <c r="J77" i="41" s="1"/>
  <c r="J80" i="41" s="1"/>
  <c r="J81" i="41" s="1"/>
  <c r="J82" i="41" s="1"/>
  <c r="J91" i="41" s="1"/>
  <c r="I76" i="41"/>
  <c r="I77" i="41" s="1"/>
  <c r="I80" i="41" s="1"/>
  <c r="I81" i="41" s="1"/>
  <c r="I82" i="41" s="1"/>
  <c r="I91" i="41" s="1"/>
  <c r="F76" i="41"/>
  <c r="F77" i="41" s="1"/>
  <c r="F80" i="41" s="1"/>
  <c r="F81" i="41" s="1"/>
  <c r="F82" i="41" s="1"/>
  <c r="F91" i="41" s="1"/>
  <c r="G76" i="41"/>
  <c r="G77" i="41" s="1"/>
  <c r="G80" i="41" s="1"/>
  <c r="G81" i="41" s="1"/>
  <c r="G82" i="41" s="1"/>
  <c r="G91" i="41" s="1"/>
  <c r="G39" i="41"/>
  <c r="G88" i="41" s="1"/>
  <c r="E80" i="41"/>
  <c r="E81" i="41" s="1"/>
  <c r="E82" i="41" s="1"/>
  <c r="E91" i="41" s="1"/>
  <c r="E94" i="41" s="1"/>
  <c r="G10" i="2" s="1"/>
  <c r="K39" i="41"/>
  <c r="K88" i="41" s="1"/>
  <c r="J39" i="41"/>
  <c r="J88" i="41" s="1"/>
  <c r="F39" i="41"/>
  <c r="F88" i="41" s="1"/>
  <c r="I88" i="41"/>
  <c r="L39" i="41"/>
  <c r="L88" i="41" s="1"/>
  <c r="L94" i="41" s="1"/>
  <c r="H39" i="41"/>
  <c r="H88" i="41" s="1"/>
  <c r="K76" i="41"/>
  <c r="K77" i="41" s="1"/>
  <c r="K80" i="41" s="1"/>
  <c r="K81" i="41" s="1"/>
  <c r="H26" i="5"/>
  <c r="I27" i="5"/>
  <c r="I28" i="5" s="1"/>
  <c r="D22" i="5"/>
  <c r="D23" i="5" s="1"/>
  <c r="D24" i="5" s="1"/>
  <c r="D25" i="5" s="1"/>
  <c r="D26" i="5" s="1"/>
  <c r="D28" i="5" s="1"/>
  <c r="E23" i="5"/>
  <c r="E24" i="5" s="1"/>
  <c r="E25" i="5" s="1"/>
  <c r="E26" i="5" s="1"/>
  <c r="E27" i="5" s="1"/>
  <c r="E28" i="5" s="1"/>
  <c r="E29" i="5" s="1"/>
  <c r="F24" i="5"/>
  <c r="F25" i="5" s="1"/>
  <c r="F26" i="5"/>
  <c r="F27" i="5" s="1"/>
  <c r="F28" i="5" s="1"/>
  <c r="G25" i="5"/>
  <c r="G26" i="5"/>
  <c r="H27" i="5"/>
  <c r="H28" i="5" s="1"/>
  <c r="G33" i="2" l="1"/>
  <c r="F30" i="20" s="1"/>
  <c r="F94" i="41"/>
  <c r="H10" i="2" s="1"/>
  <c r="H33" i="2" s="1"/>
  <c r="G30" i="20" s="1"/>
  <c r="G94" i="41"/>
  <c r="I10" i="2" s="1"/>
  <c r="I33" i="2" s="1"/>
  <c r="H30" i="20" s="1"/>
  <c r="I94" i="41"/>
  <c r="K10" i="2" s="1"/>
  <c r="K33" i="2" s="1"/>
  <c r="J30" i="20" s="1"/>
  <c r="H82" i="41"/>
  <c r="H91" i="41" s="1"/>
  <c r="H94" i="41" s="1"/>
  <c r="J94" i="41"/>
  <c r="N10" i="2"/>
  <c r="N33" i="2" s="1"/>
  <c r="M30" i="20" s="1"/>
  <c r="K82" i="41"/>
  <c r="K91" i="41" s="1"/>
  <c r="K94" i="41" s="1"/>
  <c r="D14" i="4"/>
  <c r="F23" i="2" s="1"/>
  <c r="F24" i="2"/>
  <c r="G27" i="5"/>
  <c r="I38" i="20" l="1"/>
  <c r="G36" i="2"/>
  <c r="N35" i="2"/>
  <c r="K35" i="2"/>
  <c r="G35" i="2"/>
  <c r="L10" i="2"/>
  <c r="L33" i="2" s="1"/>
  <c r="K30" i="20" s="1"/>
  <c r="J10" i="2"/>
  <c r="J33" i="2" s="1"/>
  <c r="I30" i="20" s="1"/>
  <c r="M10" i="2"/>
  <c r="M33" i="2" s="1"/>
  <c r="L30" i="20" s="1"/>
  <c r="L40" i="2"/>
  <c r="K37" i="20" s="1"/>
  <c r="H35" i="2"/>
  <c r="G32" i="20" s="1"/>
  <c r="J35" i="2"/>
  <c r="I32" i="20" s="1"/>
  <c r="L35" i="2"/>
  <c r="K32" i="20" s="1"/>
  <c r="M32" i="20"/>
  <c r="I35" i="2"/>
  <c r="H32" i="20" s="1"/>
  <c r="J32" i="20"/>
  <c r="M35" i="2"/>
  <c r="L32" i="20" s="1"/>
  <c r="F32" i="20"/>
  <c r="J36" i="2"/>
  <c r="M36" i="2"/>
  <c r="I36" i="2"/>
  <c r="N36" i="2"/>
  <c r="M33" i="20" s="1"/>
  <c r="L36" i="2"/>
  <c r="H36" i="2"/>
  <c r="F33" i="20"/>
  <c r="K36" i="2"/>
  <c r="J33" i="20" s="1"/>
  <c r="D13" i="4"/>
  <c r="G28" i="5"/>
  <c r="M41" i="20" l="1"/>
  <c r="M45" i="20" s="1"/>
  <c r="J41" i="20"/>
  <c r="J45" i="20" s="1"/>
  <c r="F41" i="20"/>
  <c r="F45" i="20" s="1"/>
  <c r="K33" i="20"/>
  <c r="K41" i="20" s="1"/>
  <c r="K45" i="20" s="1"/>
  <c r="H33" i="20"/>
  <c r="H41" i="20" s="1"/>
  <c r="H45" i="20" s="1"/>
  <c r="I33" i="20"/>
  <c r="G33" i="20"/>
  <c r="G41" i="20" s="1"/>
  <c r="G45" i="20" s="1"/>
  <c r="L33" i="20"/>
  <c r="L41" i="20" s="1"/>
  <c r="D12" i="4"/>
  <c r="L45" i="20" l="1"/>
  <c r="D11" i="4"/>
  <c r="D10" i="4" s="1"/>
  <c r="I41" i="20" l="1"/>
  <c r="I45" i="20" s="1"/>
</calcChain>
</file>

<file path=xl/comments1.xml><?xml version="1.0" encoding="utf-8"?>
<comments xmlns="http://schemas.openxmlformats.org/spreadsheetml/2006/main">
  <authors>
    <author>Spee, Luuk</author>
  </authors>
  <commentList>
    <comment ref="L34" authorId="0">
      <text>
        <r>
          <rPr>
            <sz val="8"/>
            <color indexed="81"/>
            <rFont val="Tahoma"/>
            <family val="2"/>
          </rPr>
          <t>Alternatieve berekening (zie x-factorbesluit).</t>
        </r>
      </text>
    </comment>
    <comment ref="L77" authorId="0">
      <text>
        <r>
          <rPr>
            <sz val="8"/>
            <color indexed="81"/>
            <rFont val="Tahoma"/>
            <family val="2"/>
          </rPr>
          <t>Alternatieve berekening (zie x-factorbesluit).</t>
        </r>
      </text>
    </comment>
  </commentList>
</comments>
</file>

<file path=xl/comments2.xml><?xml version="1.0" encoding="utf-8"?>
<comments xmlns="http://schemas.openxmlformats.org/spreadsheetml/2006/main">
  <authors>
    <author>padriaansen</author>
  </authors>
  <commentList>
    <comment ref="N21" authorId="0">
      <text>
        <r>
          <rPr>
            <sz val="8"/>
            <color indexed="81"/>
            <rFont val="Tahoma"/>
            <family val="2"/>
          </rPr>
          <t>Alternatieve berekening op basis van doortrekken financeability-oplossing uit NE4R.</t>
        </r>
      </text>
    </comment>
  </commentList>
</comments>
</file>

<file path=xl/sharedStrings.xml><?xml version="1.0" encoding="utf-8"?>
<sst xmlns="http://schemas.openxmlformats.org/spreadsheetml/2006/main" count="892" uniqueCount="389">
  <si>
    <t>Opmerking</t>
  </si>
  <si>
    <t>Totaal</t>
  </si>
  <si>
    <t>COGAS</t>
  </si>
  <si>
    <t>DNWB</t>
  </si>
  <si>
    <t>ENDINET</t>
  </si>
  <si>
    <t>ENEXIS</t>
  </si>
  <si>
    <t>LIANDER</t>
  </si>
  <si>
    <t>RENDO</t>
  </si>
  <si>
    <t>STEDIN</t>
  </si>
  <si>
    <t>WESTLAND</t>
  </si>
  <si>
    <t>€, pp 2010</t>
  </si>
  <si>
    <t>Eindinkomsten 2013</t>
  </si>
  <si>
    <t>€, pp 2011</t>
  </si>
  <si>
    <t>€, pp 2012</t>
  </si>
  <si>
    <t>Heffingsrente</t>
  </si>
  <si>
    <t>naar jaar:</t>
  </si>
  <si>
    <t>van 2007</t>
  </si>
  <si>
    <t>van 2008</t>
  </si>
  <si>
    <t>van 2009</t>
  </si>
  <si>
    <t>van 2010</t>
  </si>
  <si>
    <t>van 2011</t>
  </si>
  <si>
    <t>van 2007 naar 2008</t>
  </si>
  <si>
    <t>van 2008 naar 2009</t>
  </si>
  <si>
    <t>van 2009 naar 2010</t>
  </si>
  <si>
    <t>van 2010 naar 2011</t>
  </si>
  <si>
    <t>van 2011 naar 2012</t>
  </si>
  <si>
    <t>CPI</t>
  </si>
  <si>
    <t>Data</t>
  </si>
  <si>
    <t>Van jaar - naar jaar</t>
  </si>
  <si>
    <t>Van:</t>
  </si>
  <si>
    <t>Naar:</t>
  </si>
  <si>
    <t>Nacalculaties en correcties</t>
  </si>
  <si>
    <t>Toelichting</t>
  </si>
  <si>
    <t>Legenda celkleuren</t>
  </si>
  <si>
    <t>Data en input</t>
  </si>
  <si>
    <t>Berekende waarde</t>
  </si>
  <si>
    <t>Waarde die zonder berekening wordt overgenomen uit een andere cel</t>
  </si>
  <si>
    <t>Berekende of overgenomen waarde en tevens resultaat</t>
  </si>
  <si>
    <t>Toelichting bij TI-berekening</t>
  </si>
  <si>
    <t>Begininkomsten 2010</t>
  </si>
  <si>
    <t>€, pp 2013</t>
  </si>
  <si>
    <t>van 2012</t>
  </si>
  <si>
    <t>van 2012 naar 2013</t>
  </si>
  <si>
    <t>Verschil in TI bedrag na virtuele aanpassing van de x-factor NE5R.</t>
  </si>
  <si>
    <t>(op basis van de geschatte kosten voor de ORV Lokale Heffingen)</t>
  </si>
  <si>
    <t>(op basis van de daadwerkelijke kosten voor de ORV Lokale Heffingen)</t>
  </si>
  <si>
    <t>TOTAAL</t>
  </si>
  <si>
    <t>Bron / opmerking</t>
  </si>
  <si>
    <t>%</t>
  </si>
  <si>
    <t>CPI 2009</t>
  </si>
  <si>
    <t>CPI 2010</t>
  </si>
  <si>
    <t># SO</t>
  </si>
  <si>
    <t>SO Transportdienst 2010</t>
  </si>
  <si>
    <t>Deze besluiten zijn te vinden op de websites van de rijksoverheid en de belastingdienst</t>
  </si>
  <si>
    <r>
      <t xml:space="preserve">De </t>
    </r>
    <r>
      <rPr>
        <sz val="10"/>
        <color indexed="10"/>
        <rFont val="Arial"/>
        <family val="2"/>
      </rPr>
      <t>rode</t>
    </r>
    <r>
      <rPr>
        <sz val="10"/>
        <rFont val="Arial"/>
        <family val="2"/>
      </rPr>
      <t xml:space="preserve"> getallen betreffen een schatting.</t>
    </r>
  </si>
  <si>
    <t>CPI 2011</t>
  </si>
  <si>
    <t>WACC NE5R (2011-2013)</t>
  </si>
  <si>
    <t>Bron: Methodebesluit NE5R</t>
  </si>
  <si>
    <t>x-factor</t>
  </si>
  <si>
    <t>Begininkomsten 2010 Totaal</t>
  </si>
  <si>
    <t>x-factor vijfde reguleringsperiode</t>
  </si>
  <si>
    <t>x-factor onafgerond</t>
  </si>
  <si>
    <t>TI-bedrag 2011 op basis van oorspronkelijke x-factorberekening</t>
  </si>
  <si>
    <t>Aanpassing gegevens voor nacalculatie lokale heffingen</t>
  </si>
  <si>
    <t>CAPEX</t>
  </si>
  <si>
    <t>Vermogenskostenvergoeding (WACC * GAW)</t>
  </si>
  <si>
    <t>OPEX</t>
  </si>
  <si>
    <t>TI-bedrag 2011 op basis van nieuwe 'virtuele' x-factorberekening</t>
  </si>
  <si>
    <t>Nacalculaties en bijzonderheden (totaal)</t>
  </si>
  <si>
    <t>Begininkomsten 2010 (onveranderd)</t>
  </si>
  <si>
    <t xml:space="preserve">   waarvan inschatting ORV 2013:</t>
  </si>
  <si>
    <t>Inschatting ORV 2013 na aanpassing gegevens</t>
  </si>
  <si>
    <t>ORV 2013 (op te nemen in eindinkomsten)</t>
  </si>
  <si>
    <t>cpi 2014</t>
  </si>
  <si>
    <t>TI 2014 (zonder correcties)</t>
  </si>
  <si>
    <t>€, pp 2014</t>
  </si>
  <si>
    <t>X-factor 2014-2016</t>
  </si>
  <si>
    <t>Q-factor 2014-2016</t>
  </si>
  <si>
    <t>van 2013 naar 2014</t>
  </si>
  <si>
    <t>CPI 2012</t>
  </si>
  <si>
    <t>CPI 2013</t>
  </si>
  <si>
    <t>TI-bedrag 2012 op basis van oorspronkelijke x-factorberekening</t>
  </si>
  <si>
    <t>TI-bedrag 2012 op basis van nieuwe 'virtuele' x-factorberekening</t>
  </si>
  <si>
    <t>Stap 1b: Correctie voor PV en CPI</t>
  </si>
  <si>
    <t>PV 2010</t>
  </si>
  <si>
    <t>Stap 1c: Analyse volume effecten</t>
  </si>
  <si>
    <t>SO Transportdienst 2009</t>
  </si>
  <si>
    <t>Volume-effecten (SO) 2009 - 2010</t>
  </si>
  <si>
    <t>Stap 2: Daadwerkelijk gerealiseerde inkoopkosten</t>
  </si>
  <si>
    <t>Stap 3: Berekening nacalculatiebedragen</t>
  </si>
  <si>
    <t>van 2013</t>
  </si>
  <si>
    <t>WACC NE5R</t>
  </si>
  <si>
    <t>Afschrijftermijn private net</t>
  </si>
  <si>
    <t>De investeringen en de overname som in het jaar van overnemen van het private net worden gezien als investering op 1 juli van dat jaar. Dit is overeenkomstig de werkwijze van de RAR.</t>
  </si>
  <si>
    <t>Opbrengsten van afnemers op het net in 2013</t>
  </si>
  <si>
    <t>Operationele kosten private net in 2013</t>
  </si>
  <si>
    <t>Kapitaalkosten private net in 2013</t>
  </si>
  <si>
    <t>Stap 1a: data inkoopkosten 2009</t>
  </si>
  <si>
    <t>Inkoopkosten bij TenneT 2009</t>
  </si>
  <si>
    <t>Inkoopkosten bij boven/naastliggende RNB 2009</t>
  </si>
  <si>
    <t>Totale Inkoopkosten Transport 2009</t>
  </si>
  <si>
    <t>PV 2011</t>
  </si>
  <si>
    <t>PV 2012</t>
  </si>
  <si>
    <t>PV 2013</t>
  </si>
  <si>
    <t>SO Transportdienst 2011</t>
  </si>
  <si>
    <t>SO Transportdienst 2012</t>
  </si>
  <si>
    <t>Volume-effecten (SO) 2010 - 2011</t>
  </si>
  <si>
    <t>Volume-effecten (SO) 2011 - 2012</t>
  </si>
  <si>
    <t>Geschatte totale inkoopkosten 2010</t>
  </si>
  <si>
    <t>Geschatte totale inkoopkosten 2011</t>
  </si>
  <si>
    <t>Geschatte totale inkoopkosten 2012</t>
  </si>
  <si>
    <t>Daadwerkelijke Inkoopkosten Transport</t>
  </si>
  <si>
    <t>Nacalculatiebedrag Inkoopkosten Transport</t>
  </si>
  <si>
    <t>EUR, pp 2009</t>
  </si>
  <si>
    <t>EUR, pp 2010</t>
  </si>
  <si>
    <t>EUR, pp 2011</t>
  </si>
  <si>
    <t>Geschatte totale inkoopkosten (sector)</t>
  </si>
  <si>
    <t>Geschatte totale inkoopkosten (per netbeheerder)</t>
  </si>
  <si>
    <t>EUR, pp 2012</t>
  </si>
  <si>
    <t>EUR, pp 2013</t>
  </si>
  <si>
    <t>Algemene gegevens</t>
  </si>
  <si>
    <t>De wijze waarop ACM dit doet is conform de eerdere werkwijze voor deze nacalculatie (zie bijvoorbeeld Tarievenbesluit Elektriciteit 2012): via een virtuele aanpassing van de x-factor</t>
  </si>
  <si>
    <t>Forfaitair percentage operationele kosten overgenomen particulier net</t>
  </si>
  <si>
    <t>Te verrekenen over 2013</t>
  </si>
  <si>
    <t>Opgave kosten, investeringen en opbrengsten overgenomen private netten 2013</t>
  </si>
  <si>
    <t>Overnamesom private net in 2013</t>
  </si>
  <si>
    <t>Investeringen in private net in 2013</t>
  </si>
  <si>
    <t>Boekwaarde overgenomen private net per 1 juli 2013</t>
  </si>
  <si>
    <t>Afschrijvingen private net in 2013</t>
  </si>
  <si>
    <t>Boekwaarde overgenomen private net ultimo 2013</t>
  </si>
  <si>
    <t>De opbrengsten van de afnemers betreffen de ontvangen tarieven of overige inkomsten op het net welke dienen ter dekking van de kosten van de gereguleerde activiteiten op het private net.</t>
  </si>
  <si>
    <t>Gemiddelde inkoopkosten transport in efficiëntie-niveau 2013</t>
  </si>
  <si>
    <t>Begininkomsten 2013  (exclusief correcties en inkoopkosten transport )</t>
  </si>
  <si>
    <t>Totale Inkomsten exclusief correcties</t>
  </si>
  <si>
    <t>Gemiddelde inkoopkosten transport 2014 bij rekenvolumina 2014-2016</t>
  </si>
  <si>
    <t>Aandeel Inkoopkosten transport in totaal</t>
  </si>
  <si>
    <t>Stap 1: berekenen met welke inkoopkosten transport rekening is gehouden in de tarieven.</t>
  </si>
  <si>
    <t>Stap 1b: omzetten naar de jaren 2010 t/m 2013 op basis van rekenvolumina 2011-2013.</t>
  </si>
  <si>
    <t>Schatting totale inkoopkosten 2012 en 2013, obv rekenvolume 2011-2013</t>
  </si>
  <si>
    <t>Totale inkoopkosten 2010, obv rekenvolume 2011-2013</t>
  </si>
  <si>
    <t>Totale inkoopkosten 2011, obv rekenvolume 2011-2013</t>
  </si>
  <si>
    <t>Totale inkoopkosten 2012, obv rekenvolume 2011-2013</t>
  </si>
  <si>
    <t>Totale inkoopkosten 2013, obv rekenvolume 2011-2013</t>
  </si>
  <si>
    <t>Voor de operationele kosten wordt uitgegaan van 1% forfaitair over de nominale investeringswaarde van het net (geen indexatie), naar rato van het jaar. In het geval van de particuliere net hanteert ACM daarvoor de overnamesom en investeringen samen.</t>
  </si>
  <si>
    <t>ACM verzoekt de netbeheerders gemotiveerd toe te lichten om welke netten het gaat, wat de resterende levensduur is van het net rekening houdend met de afschrijvingstermijnen die ACM voorschrijft, welke kosten zijn gemaakt in het kader van de verwerving van het net, welke aanpassingskosten zijn gemaakt, welke inkomsten worden verwacht uit het net, en dat de gemaakte kosten doelmatig zijn geweest. In dit kader verzoekt ACM de netbeheerders om een verklaring van de accountant over te leggen ter onderbouwing van het gestelde en – voor zover van toepassing – tevens de benodigde onderzoeksrapporten en/of rechterlijke beslissingen waaruit blijkt wat de waarde van het net is en de aanvullende kosten die moesten worden gemaakt om het net te laten voldoen aan de bij of krachtens de E-wet gestelde eisen</t>
  </si>
  <si>
    <t>Overname en investeringen 2013</t>
  </si>
  <si>
    <t>Begininkomsten 2013 (exclusief correcties)</t>
  </si>
  <si>
    <t>Bron: opgave netbeheerder in het kader van Tarievenproces 2014</t>
  </si>
  <si>
    <t>Dit Excel-bestand bevat de berekening van de TI-bedragen voor het jaar 2015 voor de regionale netbeheerders Elektriciteit.</t>
  </si>
  <si>
    <t>In dit bestand worden de berekeningen gepresenteerd zoals ACM die voornemens is te gaan maken voor de vaststelling van de tarieven voor 2015, inclusief de berekening van de nacalculatiebedragen.</t>
  </si>
  <si>
    <t>De berekeningen in dit bestand worden pas definitief vastgesteld in het tarievenbesluit voor 2015.</t>
  </si>
  <si>
    <t>TI-berekening 2015</t>
  </si>
  <si>
    <t>cpi 2015</t>
  </si>
  <si>
    <t>€, pp 2015</t>
  </si>
  <si>
    <t>TI 2015 (zonder correcties)</t>
  </si>
  <si>
    <t>Gemiddelde inkoopkosten transport 2015 bij rekenvolumina 2014-2016</t>
  </si>
  <si>
    <t>Correcties in tarieven 2015</t>
  </si>
  <si>
    <t>Totaalbedrag Correcties in TI 2015</t>
  </si>
  <si>
    <t>Totale Inkomsten 2015 inclusief correcties</t>
  </si>
  <si>
    <t>Totale Inkomsten 2015 (incl. correcties)</t>
  </si>
  <si>
    <t>Berekening nacalculatie ORV Lokale Heffingen 2013 (LH2013)</t>
  </si>
  <si>
    <t>Conform de toezeggingen hierover in het methodebesluit zal ACM de effecten van verschillen tussen de schattingen van kosten voor lokale heffingen in 2013 en de realisaties hiervan nacalculeren.</t>
  </si>
  <si>
    <t>De bron voor de aangepaste gegevens ten aanzien van de kosten voor Lokale Heffingen is de PRD 2013.</t>
  </si>
  <si>
    <t>Eindstand GAW (ultimo 2013)</t>
  </si>
  <si>
    <t>Afschrijvingen in 2013</t>
  </si>
  <si>
    <t>Precario 2013</t>
  </si>
  <si>
    <t>Bron: PRD 2013</t>
  </si>
  <si>
    <t>Gedoogbelasting 2013</t>
  </si>
  <si>
    <t>Totale kosten Lokale heffingen in 2013</t>
  </si>
  <si>
    <t>Totale kosten Lokale heffingen in 2013 in pp 2010</t>
  </si>
  <si>
    <t>Berekening LH2013</t>
  </si>
  <si>
    <t>Oorspronkelijke TI-bedrag 2013</t>
  </si>
  <si>
    <t>Nieuwe TI-bedrag 2013 na virtuele aanpassing van de x-factor</t>
  </si>
  <si>
    <t>Nacalculatie LH2013</t>
  </si>
  <si>
    <t>TI-bedrag 2013 op basis van oorspronkelijke x-factorberekening</t>
  </si>
  <si>
    <t>TI-bedrag 2013 op basis van nieuwe 'virtuele' x-factorberekening</t>
  </si>
  <si>
    <t>Bron: Tarievenbesluit TenneT 2014</t>
  </si>
  <si>
    <t>Aandeel RNB's in volumes inkoopkosten transport 2014</t>
  </si>
  <si>
    <t>Geschatte extra inkoopkosten systeemdienst 2015 obv kosten 2014 (totaal)</t>
  </si>
  <si>
    <t>Geschatte extra inkoopkosten voor systeemdienst 2015 (per RNB)</t>
  </si>
  <si>
    <t>Analyse nacalculatie Inkoopkosten Transport (IT 2013)</t>
  </si>
  <si>
    <t xml:space="preserve">Stap 3: Berekening van nacalculatiebedragen voor 2013. </t>
  </si>
  <si>
    <t>Berekening schatting via x-factorbesluit voor 2013</t>
  </si>
  <si>
    <t>Inkoopkosten 2013</t>
  </si>
  <si>
    <t>Inkoopkosten bij TenneT 2013</t>
  </si>
  <si>
    <t>PRD 2013</t>
  </si>
  <si>
    <t>Inkoopkosten bij boven/naastliggende RNB 2013</t>
  </si>
  <si>
    <t>Daadwerkelijke totale inkoopkosten 2013</t>
  </si>
  <si>
    <t>Nacalculatiebedrag Inkoopkosten Transport 2013</t>
  </si>
  <si>
    <t>Stap 2: bepalen van de daadwerkelijk inkoopkosten transport voor het jaar 2013.</t>
  </si>
  <si>
    <t xml:space="preserve">Voor de toelichting bij deze nacalculatie verwijst ACM tevens naar de tarievenbesluiten 2014, de e-mail van 9 augustus 2013 en de reeds voorgaande communicatie over dit onderwerp. </t>
  </si>
  <si>
    <t xml:space="preserve">              Tot slot hanteer ACM de verhoudingen in Inkoopkosten Transport 2009 als verdeelsleutel, omdat vanuit amendement Zijlstra volgt dat deze kosten een individueel karakter kennen en zo ook worden verrekend.</t>
  </si>
  <si>
    <t>Geschatte totale inkoopkosten 2013</t>
  </si>
  <si>
    <t>Volume-effecten (SO) 2012 - 2013</t>
  </si>
  <si>
    <t>Kleinverbruikers (t/m 3*80 A op LS) capaciteitstarieven</t>
  </si>
  <si>
    <t>&gt; 3*63A t/m 3*80A</t>
  </si>
  <si>
    <t>&gt; 3*50A t/m 3*63A</t>
  </si>
  <si>
    <t>&gt; 3*35A t/m 3*50A</t>
  </si>
  <si>
    <t>&gt; 3*25A t/m 3*35A</t>
  </si>
  <si>
    <t>t/m 3*25A + alle 1-fase aansluitingen (1)</t>
  </si>
  <si>
    <t>t/m 1*6A op het geschakeld net</t>
  </si>
  <si>
    <t>Opgave kosten, investeringen en opbrengsten overgenomen private netten 2014</t>
  </si>
  <si>
    <t>Overname en investeringen 2014</t>
  </si>
  <si>
    <t>Overnamesom private net in 2014</t>
  </si>
  <si>
    <t>Investeringen in private net in 2014</t>
  </si>
  <si>
    <t>Boekwaarde overgenomen private net per 1 juli 2014</t>
  </si>
  <si>
    <t>Afschrijvingen private net in 2014</t>
  </si>
  <si>
    <t>Boekwaarde overgenomen private net ultimo 2014</t>
  </si>
  <si>
    <t>Kapitaalkosten private net in 2014</t>
  </si>
  <si>
    <t>Operationele kosten private net in 2014</t>
  </si>
  <si>
    <t>Opbrengsten van afnemers op het net in 2014</t>
  </si>
  <si>
    <t>Te verrekenen over 2014</t>
  </si>
  <si>
    <t>Nacalculatie TI2011</t>
  </si>
  <si>
    <t>Nacalculatie TI2012</t>
  </si>
  <si>
    <t>Berekening nacalculatie na wijziging van x-factoren NE5R en NE6R (TI2011, TI2012, TI2013 en TI2014)</t>
  </si>
  <si>
    <t>Nacalculatie TI2014</t>
  </si>
  <si>
    <t>Nacalculatie TI2013</t>
  </si>
  <si>
    <t>Bron: Tarievenbesluiten 2014</t>
  </si>
  <si>
    <t>Berekening nieuw TI-bedrag 2014 (na wijziging x-factoren NE6R)</t>
  </si>
  <si>
    <t>X-factor 2011-2013</t>
  </si>
  <si>
    <t>Q-factor 2011-2013</t>
  </si>
  <si>
    <t>Berekening Nacalculaties TI 2011, 2012 en 2013</t>
  </si>
  <si>
    <t>Berekening nacalculatie TI 2014</t>
  </si>
  <si>
    <t>Berekeningswijze</t>
  </si>
  <si>
    <t>Berekening nacalculatie BOB tarievenbesluit 2012 Rendo</t>
  </si>
  <si>
    <t>CPI 2014</t>
  </si>
  <si>
    <t>Investeringen 2014</t>
  </si>
  <si>
    <t>Boekwaarde van investeringen 2014 overgenomen private net per 1 juli 2014</t>
  </si>
  <si>
    <t>WACC NE6R</t>
  </si>
  <si>
    <t>van 2014 naar 2015</t>
  </si>
  <si>
    <t>van 2011 naar 2015</t>
  </si>
  <si>
    <t>van 2012 naar 2015</t>
  </si>
  <si>
    <t>van 2013 naar 2015</t>
  </si>
  <si>
    <t>van 2014</t>
  </si>
  <si>
    <t>HS-overdracht Stedin</t>
  </si>
  <si>
    <t>Gewijzigde TI 2011</t>
  </si>
  <si>
    <t>Gewijzigde TI 2012</t>
  </si>
  <si>
    <t>Gewijzigde TI 2013</t>
  </si>
  <si>
    <t>Gewijzigde TI 2014</t>
  </si>
  <si>
    <t>BOB Tarieven 2012 (RENDO)</t>
  </si>
  <si>
    <t>TI 2011</t>
  </si>
  <si>
    <t>TI 2012</t>
  </si>
  <si>
    <t>TI 2013</t>
  </si>
  <si>
    <t>Bron: TI-berekening 2013 bij Tarievenbesluiten 2013 - tabblad x-factorbesluiten, rij 37,38 en 39</t>
  </si>
  <si>
    <t>Berekening nieuwe kale TI-bedragen 2011-2013</t>
  </si>
  <si>
    <t xml:space="preserve">Begininkomsten 2010 </t>
  </si>
  <si>
    <r>
      <t>In een besluit van 13 februari 2014 hee</t>
    </r>
    <r>
      <rPr>
        <sz val="10"/>
        <rFont val="Arial"/>
        <family val="2"/>
      </rPr>
      <t>ft het CBB (ECLI:NL:CBB:2014:45) geoordeeld dat het beroep van Rendo tegen de tarieven 2012 gegrond is.</t>
    </r>
  </si>
  <si>
    <t>Als gevolg van deze uitspraak dient ACM de nacalculaties 'Wijziging EAV-tarieven' voor de jaren 2009 en 2010, zoals opgenomen in het tarievenbesluit elektriciteit 2012 van Rendo, ongedaan te maken.</t>
  </si>
  <si>
    <t>De te verrekenen bedragen worden via onderstaande nacalculatie verrekend in de tarieven 2015.</t>
  </si>
  <si>
    <t>Nacalc. Wijziging EAV-tarieven 2009 a.g.v. nieuwe x-factoren NE4R</t>
  </si>
  <si>
    <t>Nacalc. Wijziging EAV-tarieven 2010 a.g.v. nieuwe x-factoren NE4R</t>
  </si>
  <si>
    <t>Te verrekenen nacalculaties uit tarieven 2012</t>
  </si>
  <si>
    <t>Bron: TI-berekening bij tarievenbesluiten 2012 - tabblad TI-berekening 2012, cel L28</t>
  </si>
  <si>
    <t>Bron: TI-berekening bij tarievenbesluiten 2012 - tabblad TI-berekening 2012, cel L27</t>
  </si>
  <si>
    <t>Nacalculatiebedrag te verrekenen in tarieven 2015</t>
  </si>
  <si>
    <t xml:space="preserve">Nieuwe kale TI-bedrag 2011 </t>
  </si>
  <si>
    <t>Nieuwe kale TI-bedrag 2012</t>
  </si>
  <si>
    <t>Nieuwe kale TI-bedrag 2013</t>
  </si>
  <si>
    <t>Nieuwe kale TI-bedrag 2014</t>
  </si>
  <si>
    <t>Berekening kosten HS overdracht voor Stedin</t>
  </si>
  <si>
    <t>Bron/ opmerkingen</t>
  </si>
  <si>
    <t>Schatting ORV kosten 2013 obv kosten 2009</t>
  </si>
  <si>
    <t>Schatting ORV kosten 2013 obv kosten 2013</t>
  </si>
  <si>
    <t>Overname private netten 2013 in 2013</t>
  </si>
  <si>
    <t>Overname private netten 2013 in 2014</t>
  </si>
  <si>
    <t>Overname private netten 2014 in 2014</t>
  </si>
  <si>
    <t>Lokale Heffingen 2013</t>
  </si>
  <si>
    <t>Inkoopkosten Transport 2013 (Amendement Zijlstra)</t>
  </si>
  <si>
    <t>Bijzonderheid: nacalc.saldo verrekenen i.v.m. lagere tarieven Enexis over 2012</t>
  </si>
  <si>
    <t>Bijzonderheid: nacalc.saldo verrekenen i.v.m. lagere tarieven Enexis over 2013</t>
  </si>
  <si>
    <t>Nacalculatie overname private netten 2013 en 2014</t>
  </si>
  <si>
    <t>Als gevolg van een wetswijziging in 2012 mogen netbeheerders de extra (doelmatige) kosten die zij maken voor het overnemen van bestaande netten waarvoor nog niet eerder een netbeheerder was aangewezen door of met instemming van de minister van Economische Zaken, en voor de investeringen tot aanpassing van die verworven netten (waardoor aan de bij of krachtens de E-wet daaraan gestelde eisen wordt voldaan), verrekenen in de tarieven. Dit volgt uit artikel 41b, eerste lid, aanhef en onder g, van de E-wet.</t>
  </si>
  <si>
    <t>Correctie als gevolg van beheersoverdracht HS net Eneco Classic Net - Stedin</t>
  </si>
  <si>
    <t>Waarde of berekening die speciale aandacht vraagt (toelichting in opmerking)</t>
  </si>
  <si>
    <t>Eindinkomsten 2013 met x-factorberekening nieuwe ORV data</t>
  </si>
  <si>
    <t>Eindinkomsten 2013 met x-factorberekening oorspronkelijke ORV data</t>
  </si>
  <si>
    <t>Nieuwe 'virtuele' x-factorberekening na vervanging schatting door gerealiseerde data</t>
  </si>
  <si>
    <t>x-factorberekening oorspronkelijke ORV LH data</t>
  </si>
  <si>
    <t>SO Transportdienst 2013</t>
  </si>
  <si>
    <t>Voor de TI 2015 en verder wordt direct gerekend met de gegevens uit de herstelde besluiten, zodoende zijn hiervoor geen nacalculaties nodig.</t>
  </si>
  <si>
    <t>Hieruit volgen nieuwe bedragen voor de TI voor de jaren 2011, 2012, 2013 en 2014. Dit betreft de zgn. 'kale' TI, de TI zonder nacalulaties. Het nacalculatiebedrag is gelijk aan het verschil tussen het oorspronkelijk TI bedrag (op basis van de oorspronkelijke besluiten) en het nieuwe TI-bedrag (op basis van de nieuwe besluiten).</t>
  </si>
  <si>
    <t>Kale TI-bedragen 2011-2013 obv oorspronkelijke x-factor, q-factor en rekenvolumina NE5R</t>
  </si>
  <si>
    <t>Kale TI-bedrag 2014 obv oorspronkelijke x-factor, q-factor en rekenvolumina NE6R</t>
  </si>
  <si>
    <t>TI 2014</t>
  </si>
  <si>
    <t>Bijzonderheid: nacalc. saldo verrekenen i.v.m. lagere tarieven Enexis</t>
  </si>
  <si>
    <t xml:space="preserve">Bron: Tarievenbesluit 2012 Enexis - somproduct tarieven en rekenvolumina </t>
  </si>
  <si>
    <t>Saldo verrekenen i.v.m. lagere tarieven Enexis 2012</t>
  </si>
  <si>
    <t>TI-bedragen (inclusief correcties) conform tarievenbesluit</t>
  </si>
  <si>
    <t xml:space="preserve">Bron: Tarievenblad daadwerkelijke tarieven Enexis - somproduct tarieven en rekenvolumina </t>
  </si>
  <si>
    <t>Nacalculaties over 2012 na tariefjaar 2012</t>
  </si>
  <si>
    <t xml:space="preserve">Bron: Tarievenbesluit 2013 Enexis </t>
  </si>
  <si>
    <t xml:space="preserve">Bron: Tarievenbesluit 2014 Enexis </t>
  </si>
  <si>
    <t>Saldo verrekenen i.v.m. lagere tarieven Enexis 2013</t>
  </si>
  <si>
    <t>Nacalculaties over 2013 na tariefjaar 2013</t>
  </si>
  <si>
    <t>CORRECTIE</t>
  </si>
  <si>
    <t>Bron: herstelde x-factorberekening NE6R; Tab Bijlage 1 - Resultaten, rij 9</t>
  </si>
  <si>
    <t>Bron: herstelde x-factorberekening NE6R; Tab Bijlage 1 - Resultaten, rij 38</t>
  </si>
  <si>
    <t>Bron: herstelde x-factorberekening NE6R; Tab Bijlage 1 - Resultaten, rij 13</t>
  </si>
  <si>
    <t>Bron: herstelde x-factorberekening NE6R; Tab Bijlage 1 - Resultaten, rij 18</t>
  </si>
  <si>
    <t>Nacalc. TI 2012 a.g.v. wijziging x-factoren NE5R</t>
  </si>
  <si>
    <t>Nacalc. Gederfde inkomsten volumeverschuivingen coulance 2012</t>
  </si>
  <si>
    <t>Nacalc. Besparingen als gevolg van de invoering van het capaciteitstarief 2012</t>
  </si>
  <si>
    <t>Nacalc. Inkoopkosten Transport 2012 (Amendement Zijlstra)</t>
  </si>
  <si>
    <t>Nacalc. Faillissement Orro en Trianel</t>
  </si>
  <si>
    <t>Nacalc. Besparingen als gevolg van de invoering van het capaciteitstarief 2013</t>
  </si>
  <si>
    <t>Nacalc. Correctie vervallen vergoeding dubieuze debiteuren 2013</t>
  </si>
  <si>
    <t>Nacalc. Gederfde inkomsten volumeverschuivingen coulance 2013</t>
  </si>
  <si>
    <t>Aandeel SO</t>
  </si>
  <si>
    <t>Bron: herstelde x-factorberekening NE6R; Tab Bijlage 1 - Resultaten, rij 27</t>
  </si>
  <si>
    <t>Bron: Herstelde x-factorberekening NE5R, tabblad kosten, rij 96</t>
  </si>
  <si>
    <t>Bron: Herstelde x-factorberekening NE5R, tabblad kosten, rij 97</t>
  </si>
  <si>
    <t>Bron: Herstelde x-factorberekening NE5R 11 september 2014, tabblad productiviteit, cel C38</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</si>
  <si>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</si>
  <si>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</si>
  <si>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</si>
  <si>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</si>
  <si>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</si>
  <si>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</si>
  <si>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</si>
  <si>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</si>
  <si>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</si>
  <si>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</si>
  <si>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</si>
  <si>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</si>
  <si>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</si>
  <si>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</si>
  <si>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</si>
  <si>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</si>
  <si>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</si>
  <si>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</si>
  <si>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</si>
  <si>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</si>
  <si>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</si>
  <si>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</si>
  <si>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</si>
  <si>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D. BLINDVERMOGEN</t>
  </si>
  <si>
    <t>kVArh blindvermogen MS en hoger</t>
  </si>
  <si>
    <t>kVArh blindvermogen lager dan MS</t>
  </si>
  <si>
    <t>TI-bedragen (inclusief correcties) met daadwerkelijk gehanteerde tarieven 2012</t>
  </si>
  <si>
    <t>TI-bedragen (inclusief correcties) conform tarievenbesluit 2012</t>
  </si>
  <si>
    <t>Maximaal te verrekenen i.v.m. lagere tarieven Enexis over 2012</t>
  </si>
  <si>
    <t>Reeds nagecalculeerd in TI 2014</t>
  </si>
  <si>
    <t>cogas</t>
  </si>
  <si>
    <t>dnwb</t>
  </si>
  <si>
    <t>endinet</t>
  </si>
  <si>
    <t>enexis</t>
  </si>
  <si>
    <t>liander</t>
  </si>
  <si>
    <t>rendo</t>
  </si>
  <si>
    <t>stedin</t>
  </si>
  <si>
    <t>westland</t>
  </si>
  <si>
    <t>Berekening Samengestelde Output Transportdienst</t>
  </si>
  <si>
    <t>Volumes</t>
  </si>
  <si>
    <t>Netvlakken</t>
  </si>
  <si>
    <t>Wegingsfactoren</t>
  </si>
  <si>
    <t>SO PER NETBEHEERDER</t>
  </si>
  <si>
    <t>SO</t>
  </si>
  <si>
    <t xml:space="preserve">Bron: Herstelde x-factorberekening NE6R 11 september 2014, tabblad standaardisatie output,  rij 11-14 </t>
  </si>
  <si>
    <t>Bron: Herstelde x-factorberekening NE6R 11 september 2014, tabblad standaardisatie output,  rij 40-43</t>
  </si>
  <si>
    <t>Bron: Herstelde x-factorberekening NE6R 11 september 2014, tabblad standaardisatie output,  rij 69-72</t>
  </si>
  <si>
    <t>Bron: Herstelde x-factorberekening NE6R 11 september 2014, tabblad standaardisatie output,  rij 98-101</t>
  </si>
  <si>
    <t xml:space="preserve">Als gevolg van het herstel van de x-factor, q-factor en rekenvoluminabesluiten voor NE5R en NE6R van 11 september 2014, zouden netbeheerders andere totale inkomsten hebben gekend voor de jaren 2011, 2012, 2013 en 2014. </t>
  </si>
  <si>
    <t>De x-factorberekening die hiervoor gebruikt is de (herstelde) x-factorberekening NE5R van 11 september 2014.</t>
  </si>
  <si>
    <t>Reeds nagecalculeerd in TI 2013</t>
  </si>
  <si>
    <t>TI-bedragen (inclusief correcties) conform tarievenbesluit 2013</t>
  </si>
  <si>
    <t>TI-bedragen (inclusief correcties) met daadwerkelijk gehanteerde tarieven 2013</t>
  </si>
  <si>
    <t xml:space="preserve">Bron: Tarievenbesluit 2013 Enexis - somproduct tarieven en rekenvolumina </t>
  </si>
  <si>
    <t>Bron: Herstelde x-factorberekening NE5R 11 september 2014 - tabblad x-factor, rij 8</t>
  </si>
  <si>
    <t>Bron: Herstelde x-factorberekening NE5R 11 september 2014 - tabblad x-factor, rij 12</t>
  </si>
  <si>
    <t>Bron: Herstelde x-factorberekening NE5R 11 september 2014 - tabblad x-factor, rij 17</t>
  </si>
  <si>
    <t>Bron: Herstelde x-factorberekening NE5R 11 september 2014 - tabblad ORV lokale heffingen, rij 64</t>
  </si>
  <si>
    <t>Bron: Herstelde x-factorberekening NE5R 11 september 2014 - tabblad bijlage 1_overzicht, rij 33</t>
  </si>
  <si>
    <t>Heffingsrente naar jaar van berekening TI</t>
  </si>
  <si>
    <t>Heffingsrentepercentages zoals te gebruiken voor de "TI-berekening 2015"</t>
  </si>
  <si>
    <t>Heffingsrente per jaar</t>
  </si>
  <si>
    <t>Data heffingsrente per kwartaal</t>
  </si>
  <si>
    <t>De heffingsrente wordt ieder kwartaal gepubliceerd door het Ministerie van Financiën.</t>
  </si>
  <si>
    <t>De SO 2013 per netbeheerder wordt ten behoeve van de nacalculatie van inkoopkosten transport 2013 berekend door het somproduct van de wegingsfactoren uit NE6R (gewijzigd per 11 september 2014) en de werkelijke volumes uit 2013 (PRD 2013).</t>
  </si>
  <si>
    <t>ACM stelt jaarlijks de maximum tarieven vast per netbeheerder. In de jaren 2012 en 2013 heeft Enexis tarieven gehanteerd die onder de maximum tarieven lagen.</t>
  </si>
  <si>
    <t>In maximumtarieven kunnen correcties worden gemaakt om rekening te houden met effecten van voorgaande jaren. ACM heeft besloten om, indien het saldo van deze latere correcties over het jaar 2012 of 2013 tot een lager niveau van inkomsten leidt,</t>
  </si>
  <si>
    <t>er rekening mee te houden dat Enexis in de jaren 2012 en 2013 met de daadwerkelijk gehanteerde tarieven minder dan de totale inkomsten op basis van de maximum tarieven heeft behaald.</t>
  </si>
  <si>
    <t>2013 met de lagere tarieven niet heeft benut.</t>
  </si>
  <si>
    <r>
      <t xml:space="preserve">Indien er een negatief saldo vanuit de nacalculaties over 2012 of 2013 resulteert, wordt dit met deze correctie </t>
    </r>
    <r>
      <rPr>
        <i/>
        <sz val="10"/>
        <rFont val="Arial"/>
        <family val="2"/>
      </rPr>
      <t>(nacalculatie saldo verrekenen i.v.m. lagere tarieven Enexis)</t>
    </r>
    <r>
      <rPr>
        <sz val="10"/>
        <rFont val="Arial"/>
        <family val="2"/>
      </rPr>
      <t xml:space="preserve"> gecompenseerd, tot aan het bedrag van inkomsten dat Enexis over 2012 of </t>
    </r>
  </si>
  <si>
    <t>Bron: TenneT. Gebaseerd op de door TenneT gefactureerde volumes transportdienst 2013 en (deels) 2014</t>
  </si>
  <si>
    <t xml:space="preserve">Stap 1c: omzetten naar de jaren 2010 t/m 2013, rekening houdend met de volumeontwikkeling over 2010 t/m 2013. </t>
  </si>
  <si>
    <t>Zie tabblad 'Berekening SO 2013</t>
  </si>
  <si>
    <t xml:space="preserve">Het opstellen van deze correctie loopt, mede in overleg met Stedin en TenneT, op het moment van het uitsturen van de modules voor het tarievenvoorstel. </t>
  </si>
  <si>
    <t>ACM zal in het tarievenbesluit 2015 uiteenzetten hoe met de beheersoverdracht van het HS net Eneco Classic Net van Stedin naar TenneT wordt omgegaan.</t>
  </si>
  <si>
    <t>Stap 1a: berekenen van de verwachte Inkoopkosten Transport in NE5R, uitgedrukt in het jaar 2009.</t>
  </si>
  <si>
    <t>Bron: Kapitaalkostenberekening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</si>
</sst>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0.0%"/>
    <numFmt numFmtId="167" formatCode="_-* #,##0.0_-;_-* #,##0.0\-;_-* &quot;-&quot;??_-;_-@_-"/>
    <numFmt numFmtId="168" formatCode="_-* #,##0_-;_-* #,##0\-;_-* &quot;-&quot;??_-;_-@_-"/>
    <numFmt numFmtId="169" formatCode="0.0"/>
    <numFmt numFmtId="170" formatCode="0.00000"/>
    <numFmt numFmtId="171" formatCode="_-* #,##0_-;_-* #,##0\-;_-* &quot;-&quot;?_-;_-@_-"/>
    <numFmt numFmtId="172" formatCode="0.000%"/>
    <numFmt numFmtId="173" formatCode="_ &quot;€&quot;\ * #,##0_ ;_ &quot;€&quot;\ * \-#,##0_ ;_ &quot;€&quot;\ * &quot;-&quot;??_ ;_ @_ "/>
    <numFmt numFmtId="174" formatCode="0.000000"/>
    <numFmt numFmtId="175" formatCode="#,##0_ ;\-#,##0\ "/>
    <numFmt numFmtId="176" formatCode="dd/mm/yyyy"/>
    <numFmt numFmtId="177" formatCode="0.0000%"/>
    <numFmt numFmtId="178" formatCode="_(* #,##0.00_);_(* \(#,##0.00\);_(* &quot;-&quot;??_);_(@_)"/>
    <numFmt numFmtId="179" formatCode="_([$€]* #,##0.00_);_([$€]* \(#,##0.00\);_([$€]* &quot;-&quot;??_);_(@_)"/>
  </numFmts>
  <fonts count="61">
    <font>
      <sz val="10"/>
      <name val="Arial"/>
    </font>
    <font>
      <sz val="11"/>
      <color theme="1"/>
      <name val="Calibri"/>
      <family val="2"/>
      <scheme val="minor"/>
    </font>
    <font>
      <sz val="10"/>
      <name val="Arial"/>
      <family val="2"/>
    </font>
    <font>
      <sz val="10"/>
      <color indexed="8"/>
      <name val="MS Sans Serif"/>
      <family val="2"/>
    </font>
    <font>
      <sz val="8"/>
      <name val="Arial"/>
      <family val="2"/>
    </font>
    <font>
      <b/>
      <sz val="14"/>
      <name val="Arial"/>
      <family val="2"/>
    </font>
    <font>
      <b/>
      <sz val="10"/>
      <name val="Arial"/>
      <family val="2"/>
    </font>
    <font>
      <i/>
      <sz val="10"/>
      <name val="Arial"/>
      <family val="2"/>
    </font>
    <font>
      <sz val="10"/>
      <color indexed="10"/>
      <name val="Arial"/>
      <family val="2"/>
    </font>
    <font>
      <sz val="10"/>
      <name val="Arial"/>
      <family val="2"/>
    </font>
    <font>
      <sz val="10"/>
      <color indexed="10"/>
      <name val="Arial"/>
      <family val="2"/>
    </font>
    <font>
      <sz val="10"/>
      <name val="ScalaSans"/>
      <family val="2"/>
    </font>
    <font>
      <sz val="10"/>
      <color indexed="8"/>
      <name val="Arial"/>
      <family val="2"/>
    </font>
    <font>
      <b/>
      <sz val="12"/>
      <name val="Arial"/>
      <family val="2"/>
    </font>
    <font>
      <sz val="8"/>
      <color indexed="81"/>
      <name val="Tahoma"/>
      <family val="2"/>
    </font>
    <font>
      <i/>
      <sz val="9.5"/>
      <name val="Arial"/>
      <family val="2"/>
    </font>
    <font>
      <sz val="16"/>
      <color rgb="FFFF0000"/>
      <name val="Arial"/>
      <family val="2"/>
    </font>
    <font>
      <sz val="10"/>
      <name val="Arial"/>
      <family val="2"/>
    </font>
    <font>
      <sz val="10"/>
      <color indexed="8"/>
      <name val="MS Sans Serif"/>
      <family val="2"/>
    </font>
    <font>
      <sz val="10"/>
      <name val="DTLArgoT"/>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name val="Arial"/>
      <family val="2"/>
    </font>
    <font>
      <sz val="8"/>
      <name val="Arial"/>
      <family val="2"/>
    </font>
    <font>
      <sz val="10"/>
      <color rgb="FFFF0000"/>
      <name val="Arial"/>
      <family val="2"/>
    </font>
    <font>
      <b/>
      <sz val="10"/>
      <name val="Arial"/>
      <family val="2"/>
    </font>
    <font>
      <b/>
      <sz val="8"/>
      <name val="Arial"/>
      <family val="2"/>
    </font>
    <font>
      <sz val="10"/>
      <color indexed="20"/>
      <name val="EYInterstate Light"/>
      <family val="2"/>
    </font>
    <font>
      <b/>
      <sz val="10"/>
      <color indexed="52"/>
      <name val="EYInterstate Light"/>
      <family val="2"/>
    </font>
    <font>
      <b/>
      <sz val="10"/>
      <color indexed="9"/>
      <name val="EYInterstate Light"/>
      <family val="2"/>
    </font>
    <font>
      <sz val="12"/>
      <name val="Times New Roman"/>
      <family val="1"/>
    </font>
    <font>
      <i/>
      <sz val="10"/>
      <color indexed="23"/>
      <name val="EYInterstate Light"/>
      <family val="2"/>
    </font>
    <font>
      <sz val="10"/>
      <color indexed="17"/>
      <name val="EYInterstate Light"/>
      <family val="2"/>
    </font>
    <font>
      <b/>
      <sz val="15"/>
      <color indexed="56"/>
      <name val="EYInterstate Light"/>
      <family val="2"/>
    </font>
    <font>
      <b/>
      <sz val="13"/>
      <color indexed="56"/>
      <name val="EYInterstate Light"/>
      <family val="2"/>
    </font>
    <font>
      <b/>
      <sz val="11"/>
      <color indexed="56"/>
      <name val="EYInterstate Light"/>
      <family val="2"/>
    </font>
    <font>
      <sz val="10"/>
      <color indexed="62"/>
      <name val="EYInterstate Light"/>
      <family val="2"/>
    </font>
    <font>
      <sz val="10"/>
      <color indexed="52"/>
      <name val="EYInterstate Light"/>
      <family val="2"/>
    </font>
    <font>
      <sz val="10"/>
      <color indexed="60"/>
      <name val="EYInterstate Light"/>
      <family val="2"/>
    </font>
    <font>
      <sz val="9"/>
      <name val="Verdana"/>
      <family val="2"/>
    </font>
    <font>
      <sz val="10"/>
      <name val="Comic Sans MS"/>
      <family val="4"/>
    </font>
    <font>
      <b/>
      <sz val="10"/>
      <color indexed="63"/>
      <name val="EYInterstate Light"/>
      <family val="2"/>
    </font>
    <font>
      <b/>
      <sz val="10"/>
      <color indexed="8"/>
      <name val="EYInterstate Light"/>
      <family val="2"/>
    </font>
    <font>
      <sz val="10"/>
      <color indexed="10"/>
      <name val="EYInterstate Light"/>
      <family val="2"/>
    </font>
    <font>
      <sz val="10"/>
      <color theme="0"/>
      <name val="Arial"/>
      <family val="2"/>
    </font>
    <font>
      <sz val="12"/>
      <name val="Arial"/>
      <family val="2"/>
    </font>
  </fonts>
  <fills count="43">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rgb="FFCC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99CC"/>
        <bgColor indexed="64"/>
      </patternFill>
    </fill>
    <fill>
      <patternFill patternType="solid">
        <fgColor rgb="FFFFCC99"/>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tint="0.79998168889431442"/>
        <bgColor indexed="64"/>
      </patternFill>
    </fill>
  </fills>
  <borders count="15">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6">
    <xf numFmtId="0" fontId="0"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2" fillId="0" borderId="0"/>
    <xf numFmtId="44" fontId="17" fillId="0" borderId="0" applyFont="0" applyFill="0" applyBorder="0" applyAlignment="0" applyProtection="0"/>
    <xf numFmtId="0" fontId="18" fillId="0" borderId="0"/>
    <xf numFmtId="0" fontId="18" fillId="0" borderId="0"/>
    <xf numFmtId="9" fontId="17" fillId="0" borderId="0" applyFont="0" applyFill="0" applyBorder="0" applyAlignment="0" applyProtection="0"/>
    <xf numFmtId="0" fontId="17" fillId="0" borderId="0"/>
    <xf numFmtId="0" fontId="19" fillId="0" borderId="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8" borderId="0" applyNumberFormat="0" applyBorder="0" applyAlignment="0" applyProtection="0"/>
    <xf numFmtId="0" fontId="22" fillId="29" borderId="4" applyNumberFormat="0" applyAlignment="0" applyProtection="0"/>
    <xf numFmtId="0" fontId="23" fillId="30" borderId="5" applyNumberFormat="0" applyAlignment="0" applyProtection="0"/>
    <xf numFmtId="0" fontId="24" fillId="0" borderId="6" applyNumberFormat="0" applyFill="0" applyAlignment="0" applyProtection="0"/>
    <xf numFmtId="0" fontId="25" fillId="13" borderId="0" applyNumberFormat="0" applyBorder="0" applyAlignment="0" applyProtection="0"/>
    <xf numFmtId="0" fontId="26" fillId="16" borderId="4" applyNumberFormat="0" applyAlignment="0" applyProtection="0"/>
    <xf numFmtId="165" fontId="17" fillId="0" borderId="0" applyFont="0" applyFill="0" applyBorder="0" applyAlignment="0" applyProtection="0"/>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29" fillId="0" borderId="0" applyNumberFormat="0" applyFill="0" applyBorder="0" applyAlignment="0" applyProtection="0"/>
    <xf numFmtId="0" fontId="30" fillId="31" borderId="0" applyNumberFormat="0" applyBorder="0" applyAlignment="0" applyProtection="0"/>
    <xf numFmtId="0" fontId="19" fillId="32" borderId="10" applyNumberFormat="0" applyFont="0" applyAlignment="0" applyProtection="0"/>
    <xf numFmtId="0" fontId="31" fillId="12" borderId="0" applyNumberFormat="0" applyBorder="0" applyAlignment="0" applyProtection="0"/>
    <xf numFmtId="0" fontId="32" fillId="0" borderId="0" applyNumberFormat="0" applyFill="0" applyBorder="0" applyAlignment="0" applyProtection="0"/>
    <xf numFmtId="0" fontId="33" fillId="0" borderId="11" applyNumberFormat="0" applyFill="0" applyAlignment="0" applyProtection="0"/>
    <xf numFmtId="0" fontId="34" fillId="29" borderId="12"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17" fillId="0" borderId="0"/>
    <xf numFmtId="0" fontId="2" fillId="0" borderId="0"/>
    <xf numFmtId="0" fontId="3"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7" fillId="0" borderId="0"/>
    <xf numFmtId="165" fontId="37" fillId="0" borderId="0" applyFont="0" applyFill="0" applyBorder="0" applyAlignment="0" applyProtection="0"/>
    <xf numFmtId="0" fontId="3" fillId="0" borderId="0"/>
    <xf numFmtId="0" fontId="2" fillId="0" borderId="0"/>
    <xf numFmtId="0" fontId="2" fillId="0" borderId="0"/>
    <xf numFmtId="0" fontId="31" fillId="12" borderId="0" applyNumberFormat="0" applyBorder="0" applyAlignment="0" applyProtection="0"/>
    <xf numFmtId="0" fontId="42" fillId="12" borderId="0" applyNumberFormat="0" applyBorder="0" applyAlignment="0" applyProtection="0"/>
    <xf numFmtId="0" fontId="22" fillId="29" borderId="4" applyNumberFormat="0" applyAlignment="0" applyProtection="0"/>
    <xf numFmtId="0" fontId="43" fillId="29" borderId="4" applyNumberFormat="0" applyAlignment="0" applyProtection="0"/>
    <xf numFmtId="0" fontId="23" fillId="30" borderId="5" applyNumberFormat="0" applyAlignment="0" applyProtection="0"/>
    <xf numFmtId="0" fontId="44" fillId="30" borderId="5" applyNumberFormat="0" applyAlignment="0" applyProtection="0"/>
    <xf numFmtId="178" fontId="45" fillId="0" borderId="0" applyFont="0" applyFill="0" applyBorder="0" applyAlignment="0" applyProtection="0"/>
    <xf numFmtId="43" fontId="4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35" fillId="0" borderId="0" applyNumberFormat="0" applyFill="0" applyBorder="0" applyAlignment="0" applyProtection="0"/>
    <xf numFmtId="0" fontId="46" fillId="0" borderId="0" applyNumberFormat="0" applyFill="0" applyBorder="0" applyAlignment="0" applyProtection="0"/>
    <xf numFmtId="0" fontId="25" fillId="13" borderId="0" applyNumberFormat="0" applyBorder="0" applyAlignment="0" applyProtection="0"/>
    <xf numFmtId="0" fontId="47" fillId="13" borderId="0" applyNumberFormat="0" applyBorder="0" applyAlignment="0" applyProtection="0"/>
    <xf numFmtId="0" fontId="41" fillId="0" borderId="0"/>
    <xf numFmtId="0" fontId="27" fillId="0" borderId="7" applyNumberFormat="0" applyFill="0" applyAlignment="0" applyProtection="0"/>
    <xf numFmtId="0" fontId="48" fillId="0" borderId="7" applyNumberFormat="0" applyFill="0" applyAlignment="0" applyProtection="0"/>
    <xf numFmtId="0" fontId="28" fillId="0" borderId="8" applyNumberFormat="0" applyFill="0" applyAlignment="0" applyProtection="0"/>
    <xf numFmtId="0" fontId="49" fillId="0" borderId="8" applyNumberFormat="0" applyFill="0" applyAlignment="0" applyProtection="0"/>
    <xf numFmtId="0" fontId="29" fillId="0" borderId="9" applyNumberFormat="0" applyFill="0" applyAlignment="0" applyProtection="0"/>
    <xf numFmtId="0" fontId="50" fillId="0" borderId="9" applyNumberFormat="0" applyFill="0" applyAlignment="0" applyProtection="0"/>
    <xf numFmtId="0" fontId="29" fillId="0" borderId="0" applyNumberFormat="0" applyFill="0" applyBorder="0" applyAlignment="0" applyProtection="0"/>
    <xf numFmtId="0" fontId="50" fillId="0" borderId="0" applyNumberFormat="0" applyFill="0" applyBorder="0" applyAlignment="0" applyProtection="0"/>
    <xf numFmtId="0" fontId="26" fillId="16" borderId="4" applyNumberFormat="0" applyAlignment="0" applyProtection="0"/>
    <xf numFmtId="0" fontId="51" fillId="16" borderId="4"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4" fillId="0" borderId="6" applyNumberFormat="0" applyFill="0" applyAlignment="0" applyProtection="0"/>
    <xf numFmtId="0" fontId="52" fillId="0" borderId="6" applyNumberFormat="0" applyFill="0" applyAlignment="0" applyProtection="0"/>
    <xf numFmtId="0" fontId="30" fillId="31" borderId="0" applyNumberFormat="0" applyBorder="0" applyAlignment="0" applyProtection="0"/>
    <xf numFmtId="0" fontId="53" fillId="31" borderId="0" applyNumberFormat="0" applyBorder="0" applyAlignment="0" applyProtection="0"/>
    <xf numFmtId="0" fontId="54" fillId="0" borderId="0"/>
    <xf numFmtId="0" fontId="45" fillId="0" borderId="0"/>
    <xf numFmtId="0" fontId="55" fillId="0" borderId="0"/>
    <xf numFmtId="0" fontId="2" fillId="32" borderId="10" applyNumberFormat="0" applyFont="0" applyAlignment="0" applyProtection="0"/>
    <xf numFmtId="0" fontId="45" fillId="32" borderId="10" applyNumberFormat="0" applyFont="0" applyAlignment="0" applyProtection="0"/>
    <xf numFmtId="0" fontId="34" fillId="29" borderId="12" applyNumberFormat="0" applyAlignment="0" applyProtection="0"/>
    <xf numFmtId="0" fontId="56" fillId="29" borderId="12" applyNumberFormat="0" applyAlignment="0" applyProtection="0"/>
    <xf numFmtId="0" fontId="2" fillId="0" borderId="0"/>
    <xf numFmtId="0" fontId="2" fillId="0" borderId="0"/>
    <xf numFmtId="0" fontId="2" fillId="0" borderId="0" applyFill="0"/>
    <xf numFmtId="0" fontId="1" fillId="0" borderId="0"/>
    <xf numFmtId="0" fontId="32" fillId="0" borderId="0" applyNumberFormat="0" applyFill="0" applyBorder="0" applyAlignment="0" applyProtection="0"/>
    <xf numFmtId="0" fontId="32" fillId="0" borderId="0" applyNumberFormat="0" applyFill="0" applyBorder="0" applyAlignment="0" applyProtection="0"/>
    <xf numFmtId="0" fontId="33" fillId="0" borderId="11" applyNumberFormat="0" applyFill="0" applyAlignment="0" applyProtection="0"/>
    <xf numFmtId="0" fontId="57" fillId="0" borderId="11" applyNumberFormat="0" applyFill="0" applyAlignment="0" applyProtection="0"/>
    <xf numFmtId="0" fontId="36" fillId="0" borderId="0" applyNumberFormat="0" applyFill="0" applyBorder="0" applyAlignment="0" applyProtection="0"/>
    <xf numFmtId="0" fontId="58" fillId="0" borderId="0" applyNumberFormat="0" applyFill="0" applyBorder="0" applyAlignment="0" applyProtection="0"/>
    <xf numFmtId="0" fontId="4" fillId="0" borderId="0" applyNumberFormat="0" applyFont="0" applyBorder="0" applyAlignment="0" applyProtection="0"/>
  </cellStyleXfs>
  <cellXfs count="324">
    <xf numFmtId="0" fontId="0" fillId="0" borderId="0" xfId="0"/>
    <xf numFmtId="0" fontId="5" fillId="2" borderId="1" xfId="0" applyFont="1" applyFill="1" applyBorder="1" applyAlignment="1">
      <alignment wrapText="1"/>
    </xf>
    <xf numFmtId="0" fontId="0" fillId="2" borderId="1" xfId="0" applyFill="1" applyBorder="1"/>
    <xf numFmtId="0" fontId="6" fillId="2" borderId="1" xfId="1" applyFont="1" applyFill="1" applyBorder="1" applyAlignment="1">
      <alignment horizontal="center" textRotation="90"/>
    </xf>
    <xf numFmtId="0" fontId="6" fillId="3" borderId="1" xfId="0" applyFont="1" applyFill="1" applyBorder="1"/>
    <xf numFmtId="0" fontId="0" fillId="3" borderId="1" xfId="0" applyFill="1" applyBorder="1"/>
    <xf numFmtId="1" fontId="0" fillId="0" borderId="0" xfId="0" applyNumberFormat="1"/>
    <xf numFmtId="168" fontId="4" fillId="0" borderId="0" xfId="2" applyNumberFormat="1" applyFont="1" applyFill="1"/>
    <xf numFmtId="167" fontId="4" fillId="0" borderId="0" xfId="2" applyNumberFormat="1" applyFont="1" applyFill="1"/>
    <xf numFmtId="0" fontId="0" fillId="0" borderId="0" xfId="0" applyFill="1"/>
    <xf numFmtId="168" fontId="4" fillId="0" borderId="0" xfId="0" applyNumberFormat="1" applyFont="1" applyFill="1"/>
    <xf numFmtId="168" fontId="2" fillId="5" borderId="0" xfId="2" applyNumberFormat="1" applyFont="1" applyFill="1"/>
    <xf numFmtId="0" fontId="6" fillId="0" borderId="0" xfId="1" applyFont="1" applyFill="1" applyBorder="1" applyAlignment="1">
      <alignment horizontal="center" textRotation="90"/>
    </xf>
    <xf numFmtId="168" fontId="2" fillId="6" borderId="0" xfId="2" applyNumberFormat="1" applyFill="1"/>
    <xf numFmtId="168" fontId="2" fillId="0" borderId="0" xfId="2" applyNumberFormat="1" applyFill="1"/>
    <xf numFmtId="0" fontId="6" fillId="0" borderId="0" xfId="0" applyFont="1"/>
    <xf numFmtId="0" fontId="0" fillId="2" borderId="0" xfId="0" applyFill="1"/>
    <xf numFmtId="0" fontId="5" fillId="2" borderId="1" xfId="0" applyFont="1" applyFill="1" applyBorder="1"/>
    <xf numFmtId="10" fontId="2" fillId="5" borderId="0" xfId="3" applyNumberFormat="1" applyFill="1"/>
    <xf numFmtId="10" fontId="0" fillId="5" borderId="0" xfId="0" applyNumberFormat="1" applyFill="1"/>
    <xf numFmtId="16" fontId="0" fillId="0" borderId="0" xfId="0" applyNumberFormat="1"/>
    <xf numFmtId="10" fontId="2" fillId="5" borderId="0" xfId="3" applyNumberFormat="1" applyFont="1" applyFill="1"/>
    <xf numFmtId="0" fontId="7" fillId="0" borderId="0" xfId="1" applyFont="1"/>
    <xf numFmtId="14" fontId="0" fillId="0" borderId="0" xfId="0" applyNumberFormat="1"/>
    <xf numFmtId="10" fontId="2" fillId="4" borderId="0" xfId="3" applyNumberFormat="1" applyFill="1"/>
    <xf numFmtId="10" fontId="0" fillId="4" borderId="0" xfId="0" applyNumberFormat="1" applyFill="1"/>
    <xf numFmtId="0" fontId="2" fillId="0" borderId="0" xfId="0" applyFont="1" applyFill="1" applyBorder="1"/>
    <xf numFmtId="168" fontId="0" fillId="7" borderId="0" xfId="0" applyNumberFormat="1" applyFill="1"/>
    <xf numFmtId="168" fontId="2" fillId="0" borderId="0" xfId="2" applyNumberFormat="1" applyFont="1" applyFill="1" applyBorder="1"/>
    <xf numFmtId="0" fontId="9" fillId="8" borderId="0" xfId="0" applyNumberFormat="1" applyFont="1" applyFill="1" applyBorder="1" applyAlignment="1">
      <alignment vertical="top"/>
    </xf>
    <xf numFmtId="168" fontId="2" fillId="3" borderId="1" xfId="2" applyNumberFormat="1" applyFill="1" applyBorder="1"/>
    <xf numFmtId="10" fontId="8" fillId="0" borderId="0" xfId="3" applyNumberFormat="1" applyFont="1" applyFill="1"/>
    <xf numFmtId="10" fontId="2" fillId="0" borderId="0" xfId="3" applyNumberFormat="1" applyFont="1" applyFill="1"/>
    <xf numFmtId="168" fontId="0" fillId="5" borderId="0" xfId="0" applyNumberFormat="1" applyFill="1"/>
    <xf numFmtId="0" fontId="2" fillId="0" borderId="0" xfId="1"/>
    <xf numFmtId="0" fontId="6" fillId="3" borderId="1" xfId="1" applyFont="1" applyFill="1" applyBorder="1"/>
    <xf numFmtId="0" fontId="2" fillId="3" borderId="1" xfId="1" applyFill="1" applyBorder="1"/>
    <xf numFmtId="0" fontId="9" fillId="4" borderId="3" xfId="5" applyFont="1" applyFill="1" applyBorder="1"/>
    <xf numFmtId="0" fontId="9" fillId="8" borderId="0" xfId="5" applyFont="1" applyFill="1" applyBorder="1"/>
    <xf numFmtId="0" fontId="9" fillId="5" borderId="3" xfId="5" applyFont="1" applyFill="1" applyBorder="1"/>
    <xf numFmtId="0" fontId="9" fillId="6" borderId="3" xfId="5" applyFont="1" applyFill="1" applyBorder="1"/>
    <xf numFmtId="0" fontId="12" fillId="8" borderId="0" xfId="5" applyFont="1" applyFill="1" applyBorder="1"/>
    <xf numFmtId="0" fontId="9" fillId="7" borderId="3" xfId="5" applyFont="1" applyFill="1" applyBorder="1"/>
    <xf numFmtId="0" fontId="11" fillId="0" borderId="0" xfId="0" applyFont="1"/>
    <xf numFmtId="10" fontId="2" fillId="6" borderId="0" xfId="3" applyNumberFormat="1" applyFont="1" applyFill="1"/>
    <xf numFmtId="0" fontId="0" fillId="0" borderId="0" xfId="0" quotePrefix="1" applyAlignment="1">
      <alignment horizontal="center"/>
    </xf>
    <xf numFmtId="168" fontId="4" fillId="0" borderId="0" xfId="2" applyNumberFormat="1" applyFont="1"/>
    <xf numFmtId="166" fontId="4" fillId="0" borderId="0" xfId="3" applyNumberFormat="1" applyFont="1" applyFill="1"/>
    <xf numFmtId="166" fontId="0" fillId="0" borderId="0" xfId="3" applyNumberFormat="1" applyFont="1" applyFill="1"/>
    <xf numFmtId="171" fontId="4" fillId="0" borderId="0" xfId="0" applyNumberFormat="1" applyFont="1" applyFill="1"/>
    <xf numFmtId="166" fontId="0" fillId="0" borderId="0" xfId="0" applyNumberFormat="1" applyFill="1"/>
    <xf numFmtId="0" fontId="0" fillId="0" borderId="0" xfId="0" applyFill="1" applyAlignment="1">
      <alignment horizontal="center"/>
    </xf>
    <xf numFmtId="9" fontId="0" fillId="0" borderId="0" xfId="3" applyFont="1" applyFill="1" applyAlignment="1">
      <alignment horizontal="center"/>
    </xf>
    <xf numFmtId="166" fontId="0" fillId="0" borderId="0" xfId="3" applyNumberFormat="1" applyFont="1" applyFill="1" applyAlignment="1">
      <alignment horizontal="center"/>
    </xf>
    <xf numFmtId="0" fontId="6" fillId="3" borderId="1" xfId="0" applyFont="1" applyFill="1" applyBorder="1" applyAlignment="1">
      <alignment horizontal="center"/>
    </xf>
    <xf numFmtId="0" fontId="9" fillId="0" borderId="0" xfId="0" applyFont="1" applyAlignment="1">
      <alignment horizontal="center"/>
    </xf>
    <xf numFmtId="10" fontId="0" fillId="0" borderId="0" xfId="0" applyNumberFormat="1" applyFill="1"/>
    <xf numFmtId="10" fontId="0" fillId="2" borderId="0" xfId="0" applyNumberFormat="1" applyFill="1"/>
    <xf numFmtId="0" fontId="2" fillId="0" borderId="0" xfId="0" applyFont="1" applyFill="1"/>
    <xf numFmtId="0" fontId="13" fillId="2" borderId="1" xfId="8" applyFont="1" applyFill="1" applyBorder="1"/>
    <xf numFmtId="0" fontId="2" fillId="0" borderId="0" xfId="8" applyFont="1"/>
    <xf numFmtId="0" fontId="6" fillId="0" borderId="0" xfId="8" applyFont="1" applyFill="1" applyBorder="1" applyAlignment="1">
      <alignment horizontal="left"/>
    </xf>
    <xf numFmtId="0" fontId="2" fillId="0" borderId="0" xfId="8" applyFont="1" applyFill="1"/>
    <xf numFmtId="0" fontId="2" fillId="3" borderId="1" xfId="8" applyFont="1" applyFill="1" applyBorder="1"/>
    <xf numFmtId="0" fontId="6" fillId="3" borderId="1" xfId="8" applyFont="1" applyFill="1" applyBorder="1"/>
    <xf numFmtId="0" fontId="10" fillId="0" borderId="0" xfId="8" applyFont="1"/>
    <xf numFmtId="0" fontId="7" fillId="0" borderId="0" xfId="8" applyFont="1"/>
    <xf numFmtId="0" fontId="9" fillId="0" borderId="0" xfId="0" applyFont="1" applyFill="1" applyAlignment="1">
      <alignment horizontal="center"/>
    </xf>
    <xf numFmtId="0" fontId="2" fillId="0" borderId="0" xfId="7" applyFont="1"/>
    <xf numFmtId="10" fontId="2" fillId="0" borderId="0" xfId="3" applyNumberFormat="1" applyFill="1"/>
    <xf numFmtId="0" fontId="6" fillId="3" borderId="1" xfId="9" applyFont="1" applyFill="1" applyBorder="1"/>
    <xf numFmtId="0" fontId="2" fillId="0" borderId="0" xfId="9"/>
    <xf numFmtId="0" fontId="6" fillId="0" borderId="0" xfId="1" applyFont="1"/>
    <xf numFmtId="0" fontId="0" fillId="3" borderId="1" xfId="0" applyFill="1" applyBorder="1"/>
    <xf numFmtId="0" fontId="0" fillId="0" borderId="0" xfId="0"/>
    <xf numFmtId="168" fontId="2" fillId="5" borderId="0" xfId="2" applyNumberFormat="1" applyFill="1"/>
    <xf numFmtId="168" fontId="0" fillId="5" borderId="0" xfId="0" applyNumberFormat="1" applyFill="1"/>
    <xf numFmtId="0" fontId="7" fillId="0" borderId="0" xfId="0" applyFont="1"/>
    <xf numFmtId="0" fontId="6" fillId="0" borderId="0" xfId="0" applyFont="1"/>
    <xf numFmtId="0" fontId="0" fillId="0" borderId="0" xfId="0" applyFill="1"/>
    <xf numFmtId="10" fontId="0" fillId="0" borderId="0" xfId="3" applyNumberFormat="1" applyFont="1"/>
    <xf numFmtId="10" fontId="2" fillId="7" borderId="0" xfId="3" applyNumberFormat="1" applyFill="1"/>
    <xf numFmtId="0" fontId="0" fillId="0" borderId="0" xfId="0" applyAlignment="1">
      <alignment horizontal="right"/>
    </xf>
    <xf numFmtId="0" fontId="2" fillId="0" borderId="0" xfId="4" applyFont="1" applyFill="1"/>
    <xf numFmtId="0" fontId="6" fillId="0" borderId="0" xfId="1" applyFont="1" applyAlignment="1"/>
    <xf numFmtId="168" fontId="2" fillId="0" borderId="0" xfId="2" applyNumberFormat="1"/>
    <xf numFmtId="0" fontId="2" fillId="0" borderId="0" xfId="10" applyFont="1" applyFill="1"/>
    <xf numFmtId="0" fontId="0" fillId="0" borderId="0" xfId="0" applyBorder="1"/>
    <xf numFmtId="168" fontId="0" fillId="0" borderId="0" xfId="2" applyNumberFormat="1" applyFont="1" applyFill="1"/>
    <xf numFmtId="168" fontId="0" fillId="0" borderId="0" xfId="0" applyNumberFormat="1" applyFill="1"/>
    <xf numFmtId="10" fontId="2" fillId="4" borderId="0" xfId="0" applyNumberFormat="1" applyFont="1" applyFill="1"/>
    <xf numFmtId="0" fontId="2" fillId="0" borderId="0" xfId="1" applyFont="1"/>
    <xf numFmtId="0" fontId="0" fillId="0" borderId="0" xfId="9" applyFont="1"/>
    <xf numFmtId="0" fontId="9" fillId="0" borderId="0" xfId="0" applyFont="1"/>
    <xf numFmtId="0" fontId="2" fillId="0" borderId="0" xfId="0" applyFont="1"/>
    <xf numFmtId="0" fontId="15" fillId="0" borderId="0" xfId="0" applyFont="1" applyBorder="1" applyAlignment="1">
      <alignment vertical="center"/>
    </xf>
    <xf numFmtId="0" fontId="2" fillId="0" borderId="0" xfId="0" applyNumberFormat="1" applyFont="1" applyFill="1" applyBorder="1" applyAlignment="1">
      <alignment vertical="top"/>
    </xf>
    <xf numFmtId="0" fontId="16" fillId="0" borderId="0" xfId="0" applyFont="1" applyAlignment="1">
      <alignment vertical="center"/>
    </xf>
    <xf numFmtId="0" fontId="2" fillId="0" borderId="0" xfId="12"/>
    <xf numFmtId="0" fontId="2" fillId="0" borderId="0" xfId="12" applyFill="1"/>
    <xf numFmtId="0" fontId="6" fillId="3" borderId="1" xfId="12" applyFont="1" applyFill="1" applyBorder="1"/>
    <xf numFmtId="0" fontId="2" fillId="3" borderId="1" xfId="12" applyFill="1" applyBorder="1"/>
    <xf numFmtId="0" fontId="7" fillId="0" borderId="0" xfId="12" applyFont="1"/>
    <xf numFmtId="9" fontId="0" fillId="0" borderId="0" xfId="0" applyNumberFormat="1"/>
    <xf numFmtId="0" fontId="2" fillId="0" borderId="0" xfId="12" applyFill="1" applyBorder="1"/>
    <xf numFmtId="0" fontId="6" fillId="0" borderId="0" xfId="12" applyFont="1" applyFill="1" applyBorder="1" applyAlignment="1">
      <alignment wrapText="1"/>
    </xf>
    <xf numFmtId="0" fontId="5" fillId="0" borderId="0" xfId="12" applyFont="1" applyFill="1" applyBorder="1" applyAlignment="1">
      <alignment wrapText="1"/>
    </xf>
    <xf numFmtId="0" fontId="2" fillId="2" borderId="2" xfId="12" applyFill="1" applyBorder="1"/>
    <xf numFmtId="0" fontId="2" fillId="0" borderId="0" xfId="12" applyFont="1" applyFill="1" applyBorder="1"/>
    <xf numFmtId="0" fontId="2" fillId="0" borderId="0" xfId="12" applyFont="1" applyFill="1" applyBorder="1" applyAlignment="1">
      <alignment wrapText="1"/>
    </xf>
    <xf numFmtId="168" fontId="2" fillId="7" borderId="0" xfId="12" applyNumberFormat="1" applyFill="1"/>
    <xf numFmtId="0" fontId="2" fillId="8" borderId="0" xfId="15" applyFont="1" applyFill="1"/>
    <xf numFmtId="0" fontId="2" fillId="0" borderId="0" xfId="12" applyFont="1"/>
    <xf numFmtId="173" fontId="2" fillId="0" borderId="0" xfId="13" applyNumberFormat="1" applyFont="1" applyFill="1"/>
    <xf numFmtId="166" fontId="2" fillId="4" borderId="0" xfId="3" applyNumberFormat="1" applyFont="1" applyFill="1"/>
    <xf numFmtId="0" fontId="2" fillId="0" borderId="0" xfId="2" applyNumberFormat="1" applyFill="1"/>
    <xf numFmtId="0" fontId="6" fillId="0" borderId="0" xfId="17" applyFont="1" applyFill="1" applyBorder="1" applyAlignment="1">
      <alignment horizontal="left"/>
    </xf>
    <xf numFmtId="0" fontId="6" fillId="0" borderId="0" xfId="17" applyFont="1" applyFill="1" applyBorder="1" applyAlignment="1">
      <alignment horizontal="center" textRotation="90"/>
    </xf>
    <xf numFmtId="0" fontId="6" fillId="3" borderId="1" xfId="17" applyFont="1" applyFill="1" applyBorder="1"/>
    <xf numFmtId="0" fontId="6" fillId="0" borderId="0" xfId="17" applyFont="1"/>
    <xf numFmtId="0" fontId="2" fillId="0" borderId="0" xfId="0" applyNumberFormat="1" applyFont="1"/>
    <xf numFmtId="0" fontId="2" fillId="9" borderId="3" xfId="5" applyFont="1" applyFill="1" applyBorder="1"/>
    <xf numFmtId="10" fontId="2" fillId="36" borderId="0" xfId="8" applyNumberFormat="1" applyFont="1" applyFill="1"/>
    <xf numFmtId="175" fontId="2" fillId="4" borderId="0" xfId="13" applyNumberFormat="1" applyFont="1" applyFill="1"/>
    <xf numFmtId="9" fontId="2" fillId="33" borderId="0" xfId="8" applyNumberFormat="1" applyFont="1" applyFill="1"/>
    <xf numFmtId="168" fontId="2" fillId="33" borderId="0" xfId="2" applyNumberFormat="1" applyFont="1" applyFill="1"/>
    <xf numFmtId="10" fontId="0" fillId="36" borderId="0" xfId="0" applyNumberFormat="1" applyFill="1"/>
    <xf numFmtId="168" fontId="0" fillId="33" borderId="0" xfId="2" applyNumberFormat="1" applyFont="1" applyFill="1"/>
    <xf numFmtId="168" fontId="0" fillId="10" borderId="0" xfId="2" applyNumberFormat="1" applyFont="1" applyFill="1"/>
    <xf numFmtId="168" fontId="2" fillId="10" borderId="0" xfId="2" applyNumberFormat="1" applyFont="1" applyFill="1"/>
    <xf numFmtId="0" fontId="2" fillId="37" borderId="0" xfId="11" applyFont="1" applyFill="1" applyBorder="1"/>
    <xf numFmtId="0" fontId="2" fillId="37" borderId="0" xfId="0" applyFont="1" applyFill="1" applyBorder="1"/>
    <xf numFmtId="10" fontId="2" fillId="10" borderId="0" xfId="3" applyNumberFormat="1" applyFont="1" applyFill="1"/>
    <xf numFmtId="10" fontId="2" fillId="33" borderId="0" xfId="0" applyNumberFormat="1" applyFont="1" applyFill="1"/>
    <xf numFmtId="10" fontId="37" fillId="0" borderId="0" xfId="3" applyNumberFormat="1" applyFont="1" applyFill="1"/>
    <xf numFmtId="168" fontId="37" fillId="0" borderId="0" xfId="2" applyNumberFormat="1" applyFont="1" applyFill="1" applyBorder="1"/>
    <xf numFmtId="168" fontId="38" fillId="0" borderId="0" xfId="2" applyNumberFormat="1" applyFont="1" applyFill="1"/>
    <xf numFmtId="168" fontId="38" fillId="0" borderId="0" xfId="0" applyNumberFormat="1" applyFont="1" applyFill="1"/>
    <xf numFmtId="165" fontId="2" fillId="0" borderId="0" xfId="2" applyNumberFormat="1" applyFont="1" applyFill="1"/>
    <xf numFmtId="168" fontId="39" fillId="0" borderId="0" xfId="2" applyNumberFormat="1" applyFont="1" applyFill="1"/>
    <xf numFmtId="9" fontId="2" fillId="33" borderId="0" xfId="3" applyFont="1" applyFill="1"/>
    <xf numFmtId="0" fontId="2" fillId="0" borderId="0" xfId="63" applyFont="1"/>
    <xf numFmtId="0" fontId="2" fillId="0" borderId="0" xfId="62"/>
    <xf numFmtId="0" fontId="6" fillId="3" borderId="1" xfId="63" applyFont="1" applyFill="1" applyBorder="1"/>
    <xf numFmtId="0" fontId="2" fillId="3" borderId="1" xfId="63" applyFont="1" applyFill="1" applyBorder="1"/>
    <xf numFmtId="0" fontId="0" fillId="0" borderId="0" xfId="0" applyFill="1" applyBorder="1"/>
    <xf numFmtId="0" fontId="6" fillId="0" borderId="0" xfId="0" applyFont="1" applyFill="1" applyBorder="1" applyAlignment="1">
      <alignment wrapText="1"/>
    </xf>
    <xf numFmtId="0" fontId="37" fillId="0" borderId="0" xfId="0" applyFont="1" applyFill="1" applyBorder="1"/>
    <xf numFmtId="0" fontId="40" fillId="0" borderId="0" xfId="0" applyFont="1" applyFill="1" applyBorder="1" applyAlignment="1">
      <alignment wrapText="1"/>
    </xf>
    <xf numFmtId="0" fontId="40" fillId="0" borderId="0" xfId="71" applyFont="1" applyFill="1" applyBorder="1" applyAlignment="1">
      <alignment horizontal="center" textRotation="90"/>
    </xf>
    <xf numFmtId="168" fontId="38" fillId="0" borderId="0" xfId="72" applyNumberFormat="1" applyFont="1" applyFill="1" applyBorder="1"/>
    <xf numFmtId="168" fontId="40" fillId="0" borderId="0" xfId="72" applyNumberFormat="1" applyFont="1" applyFill="1" applyBorder="1" applyAlignment="1">
      <alignment horizontal="center" textRotation="90"/>
    </xf>
    <xf numFmtId="168" fontId="0" fillId="0" borderId="0" xfId="0" applyNumberFormat="1" applyFill="1" applyBorder="1"/>
    <xf numFmtId="0" fontId="6" fillId="0" borderId="0" xfId="0" applyFont="1" applyFill="1" applyBorder="1"/>
    <xf numFmtId="168" fontId="2" fillId="33" borderId="0" xfId="72" applyNumberFormat="1" applyFont="1" applyFill="1"/>
    <xf numFmtId="0" fontId="6" fillId="0" borderId="0" xfId="9" applyFont="1"/>
    <xf numFmtId="10" fontId="0" fillId="36" borderId="0" xfId="3" applyNumberFormat="1" applyFont="1" applyFill="1"/>
    <xf numFmtId="168" fontId="2" fillId="0" borderId="0" xfId="2" applyNumberFormat="1" applyFont="1" applyFill="1"/>
    <xf numFmtId="10" fontId="0" fillId="6" borderId="0" xfId="0" applyNumberFormat="1" applyFill="1"/>
    <xf numFmtId="0" fontId="6" fillId="0" borderId="0" xfId="0" applyFont="1" applyFill="1"/>
    <xf numFmtId="167" fontId="2" fillId="38" borderId="0" xfId="2" applyNumberFormat="1" applyFont="1" applyFill="1"/>
    <xf numFmtId="0" fontId="2" fillId="0" borderId="0" xfId="73" applyFont="1" applyFill="1"/>
    <xf numFmtId="0" fontId="2" fillId="0" borderId="0" xfId="73" applyFont="1"/>
    <xf numFmtId="0" fontId="2" fillId="0" borderId="0" xfId="63" applyFont="1" applyFill="1"/>
    <xf numFmtId="0" fontId="6" fillId="0" borderId="0" xfId="63" applyFont="1"/>
    <xf numFmtId="0" fontId="2" fillId="8" borderId="0" xfId="73" applyFont="1" applyFill="1"/>
    <xf numFmtId="0" fontId="6" fillId="8" borderId="0" xfId="73" applyFont="1" applyFill="1"/>
    <xf numFmtId="0" fontId="4" fillId="0" borderId="0" xfId="63" applyFont="1" applyFill="1"/>
    <xf numFmtId="0" fontId="6" fillId="2" borderId="1" xfId="8" applyFont="1" applyFill="1" applyBorder="1" applyAlignment="1">
      <alignment horizontal="center"/>
    </xf>
    <xf numFmtId="0" fontId="0" fillId="0" borderId="0" xfId="0" applyFont="1"/>
    <xf numFmtId="176" fontId="0" fillId="0" borderId="0" xfId="0" applyNumberFormat="1" applyBorder="1"/>
    <xf numFmtId="176" fontId="0" fillId="0" borderId="0" xfId="0" applyNumberFormat="1"/>
    <xf numFmtId="0" fontId="0" fillId="2" borderId="1" xfId="0" applyFill="1" applyBorder="1" applyAlignment="1"/>
    <xf numFmtId="0" fontId="6" fillId="2" borderId="1" xfId="1" applyFont="1" applyFill="1" applyBorder="1" applyAlignment="1">
      <alignment horizontal="center"/>
    </xf>
    <xf numFmtId="0" fontId="2" fillId="0" borderId="0" xfId="12" applyFont="1" applyFill="1"/>
    <xf numFmtId="0" fontId="2" fillId="3" borderId="1" xfId="12" applyFont="1" applyFill="1" applyBorder="1"/>
    <xf numFmtId="0" fontId="2" fillId="2" borderId="2" xfId="12" applyFont="1" applyFill="1" applyBorder="1"/>
    <xf numFmtId="0" fontId="2" fillId="3" borderId="1" xfId="17" applyFont="1" applyFill="1" applyBorder="1"/>
    <xf numFmtId="0" fontId="2" fillId="0" borderId="0" xfId="17" applyFont="1" applyFill="1"/>
    <xf numFmtId="164" fontId="2" fillId="4" borderId="0" xfId="17" applyNumberFormat="1" applyFont="1" applyFill="1" applyBorder="1"/>
    <xf numFmtId="168" fontId="2" fillId="5" borderId="0" xfId="48" applyNumberFormat="1" applyFont="1" applyFill="1"/>
    <xf numFmtId="0" fontId="2" fillId="0" borderId="0" xfId="17" applyFont="1"/>
    <xf numFmtId="172" fontId="2" fillId="4" borderId="0" xfId="17" applyNumberFormat="1" applyFont="1" applyFill="1"/>
    <xf numFmtId="172" fontId="2" fillId="0" borderId="0" xfId="17" applyNumberFormat="1" applyFont="1" applyFill="1"/>
    <xf numFmtId="172" fontId="2" fillId="6" borderId="0" xfId="17" applyNumberFormat="1" applyFont="1" applyFill="1"/>
    <xf numFmtId="172" fontId="2" fillId="0" borderId="0" xfId="17" applyNumberFormat="1" applyFont="1"/>
    <xf numFmtId="166" fontId="2" fillId="35" borderId="0" xfId="17" applyNumberFormat="1" applyFont="1" applyFill="1"/>
    <xf numFmtId="166" fontId="2" fillId="0" borderId="0" xfId="17" applyNumberFormat="1" applyFont="1" applyFill="1"/>
    <xf numFmtId="166" fontId="8" fillId="0" borderId="0" xfId="17" applyNumberFormat="1" applyFont="1" applyFill="1"/>
    <xf numFmtId="0" fontId="8" fillId="0" borderId="0" xfId="17" applyFont="1" applyFill="1"/>
    <xf numFmtId="168" fontId="2" fillId="33" borderId="0" xfId="0" applyNumberFormat="1" applyFont="1" applyFill="1"/>
    <xf numFmtId="166" fontId="2" fillId="5" borderId="0" xfId="16" applyNumberFormat="1" applyFont="1" applyFill="1"/>
    <xf numFmtId="168" fontId="2" fillId="0" borderId="0" xfId="17" applyNumberFormat="1" applyFont="1"/>
    <xf numFmtId="0" fontId="2" fillId="0" borderId="0" xfId="14" applyFont="1"/>
    <xf numFmtId="0" fontId="2" fillId="0" borderId="0" xfId="14" applyFont="1" applyFill="1"/>
    <xf numFmtId="166" fontId="2" fillId="5" borderId="0" xfId="16" applyNumberFormat="1" applyFont="1" applyFill="1" applyBorder="1"/>
    <xf numFmtId="0" fontId="2" fillId="0" borderId="0" xfId="15" applyFont="1"/>
    <xf numFmtId="164" fontId="2" fillId="5" borderId="0" xfId="15" applyNumberFormat="1" applyFont="1" applyFill="1" applyBorder="1"/>
    <xf numFmtId="168" fontId="2" fillId="34" borderId="0" xfId="48" applyNumberFormat="1" applyFont="1" applyFill="1"/>
    <xf numFmtId="168" fontId="2" fillId="7" borderId="0" xfId="48" applyNumberFormat="1" applyFont="1" applyFill="1"/>
    <xf numFmtId="168" fontId="0" fillId="10" borderId="0" xfId="0" applyNumberFormat="1" applyFill="1"/>
    <xf numFmtId="0" fontId="6" fillId="0" borderId="0" xfId="0" applyFont="1" applyFill="1" applyBorder="1" applyAlignment="1"/>
    <xf numFmtId="0" fontId="2" fillId="8" borderId="0" xfId="0" applyNumberFormat="1" applyFont="1" applyFill="1" applyBorder="1" applyAlignment="1">
      <alignment vertical="top"/>
    </xf>
    <xf numFmtId="0" fontId="2" fillId="0" borderId="0" xfId="9" applyFont="1"/>
    <xf numFmtId="0" fontId="2" fillId="0" borderId="0" xfId="65" applyFont="1"/>
    <xf numFmtId="0" fontId="6" fillId="3" borderId="1" xfId="65" applyFont="1" applyFill="1" applyBorder="1"/>
    <xf numFmtId="0" fontId="2" fillId="0" borderId="1" xfId="65" applyFont="1" applyFill="1" applyBorder="1"/>
    <xf numFmtId="165" fontId="2" fillId="0" borderId="0" xfId="2" applyFont="1"/>
    <xf numFmtId="0" fontId="2" fillId="0" borderId="0" xfId="65" applyFont="1" applyFill="1"/>
    <xf numFmtId="0" fontId="2" fillId="8" borderId="0" xfId="65" applyFont="1" applyFill="1"/>
    <xf numFmtId="164" fontId="2" fillId="0" borderId="0" xfId="65" applyNumberFormat="1" applyFont="1" applyFill="1" applyBorder="1"/>
    <xf numFmtId="164" fontId="2" fillId="8" borderId="0" xfId="65" applyNumberFormat="1" applyFont="1" applyFill="1"/>
    <xf numFmtId="168" fontId="2" fillId="4" borderId="0" xfId="64" applyNumberFormat="1" applyFont="1" applyFill="1"/>
    <xf numFmtId="168" fontId="2" fillId="5" borderId="0" xfId="65" applyNumberFormat="1" applyFont="1" applyFill="1"/>
    <xf numFmtId="0" fontId="2" fillId="8" borderId="0" xfId="6" applyFont="1" applyFill="1"/>
    <xf numFmtId="168" fontId="2" fillId="39" borderId="0" xfId="64" applyNumberFormat="1" applyFont="1" applyFill="1"/>
    <xf numFmtId="0" fontId="2" fillId="0" borderId="0" xfId="6" applyFont="1" applyFill="1" applyBorder="1"/>
    <xf numFmtId="0" fontId="2" fillId="8" borderId="0" xfId="6" applyFont="1" applyFill="1" applyBorder="1"/>
    <xf numFmtId="0" fontId="2" fillId="0" borderId="0" xfId="74" applyFont="1"/>
    <xf numFmtId="164" fontId="2" fillId="6" borderId="0" xfId="6" applyNumberFormat="1" applyFont="1" applyFill="1" applyBorder="1"/>
    <xf numFmtId="168" fontId="2" fillId="7" borderId="0" xfId="12" applyNumberFormat="1" applyFont="1" applyFill="1"/>
    <xf numFmtId="168" fontId="2" fillId="0" borderId="0" xfId="12" applyNumberFormat="1" applyFont="1" applyFill="1" applyBorder="1"/>
    <xf numFmtId="0" fontId="2" fillId="0" borderId="0" xfId="0" applyFont="1" applyAlignment="1">
      <alignment horizontal="center"/>
    </xf>
    <xf numFmtId="168" fontId="2" fillId="10" borderId="0" xfId="5" applyNumberFormat="1" applyFont="1" applyFill="1" applyBorder="1"/>
    <xf numFmtId="10" fontId="37" fillId="0" borderId="0" xfId="3" applyNumberFormat="1" applyFont="1" applyFill="1" applyBorder="1"/>
    <xf numFmtId="168" fontId="0" fillId="36" borderId="0" xfId="2" applyNumberFormat="1" applyFont="1" applyFill="1"/>
    <xf numFmtId="0" fontId="13" fillId="2" borderId="1" xfId="75" applyFont="1" applyFill="1" applyBorder="1" applyAlignment="1">
      <alignment horizontal="left"/>
    </xf>
    <xf numFmtId="0" fontId="5" fillId="2" borderId="1" xfId="75" applyFont="1" applyFill="1" applyBorder="1"/>
    <xf numFmtId="0" fontId="2" fillId="2" borderId="1" xfId="75" applyFill="1" applyBorder="1"/>
    <xf numFmtId="10" fontId="39" fillId="10" borderId="0" xfId="3" applyNumberFormat="1" applyFont="1" applyFill="1"/>
    <xf numFmtId="10" fontId="39" fillId="33" borderId="0" xfId="0" applyNumberFormat="1" applyFont="1" applyFill="1"/>
    <xf numFmtId="0" fontId="2" fillId="8" borderId="0" xfId="73" applyFont="1" applyFill="1" applyBorder="1"/>
    <xf numFmtId="0" fontId="2" fillId="0" borderId="0" xfId="63" applyFont="1" applyBorder="1"/>
    <xf numFmtId="167" fontId="6" fillId="4" borderId="1" xfId="64" applyNumberFormat="1" applyFont="1" applyFill="1" applyBorder="1"/>
    <xf numFmtId="0" fontId="2" fillId="0" borderId="0" xfId="1" applyFont="1" applyAlignment="1"/>
    <xf numFmtId="166" fontId="2" fillId="6" borderId="0" xfId="3" applyNumberFormat="1" applyFont="1" applyFill="1"/>
    <xf numFmtId="166" fontId="2" fillId="4" borderId="0" xfId="1" applyNumberFormat="1" applyFont="1" applyFill="1"/>
    <xf numFmtId="0" fontId="2" fillId="3" borderId="1" xfId="1" applyFont="1" applyFill="1" applyBorder="1"/>
    <xf numFmtId="0" fontId="2" fillId="8" borderId="0" xfId="1" applyFont="1" applyFill="1"/>
    <xf numFmtId="0" fontId="2" fillId="0" borderId="1" xfId="1" applyFont="1" applyFill="1" applyBorder="1"/>
    <xf numFmtId="0" fontId="6" fillId="0" borderId="1" xfId="1" applyFont="1" applyFill="1" applyBorder="1" applyAlignment="1">
      <alignment horizontal="left"/>
    </xf>
    <xf numFmtId="0" fontId="2" fillId="0" borderId="0" xfId="1" applyFont="1" applyFill="1"/>
    <xf numFmtId="10" fontId="2" fillId="0" borderId="0" xfId="3" applyNumberFormat="1" applyFont="1"/>
    <xf numFmtId="164" fontId="2" fillId="8" borderId="0" xfId="1" applyNumberFormat="1" applyFont="1" applyFill="1"/>
    <xf numFmtId="0" fontId="6" fillId="8" borderId="1" xfId="1" applyFont="1" applyFill="1" applyBorder="1"/>
    <xf numFmtId="168" fontId="2" fillId="0" borderId="0" xfId="1" applyNumberFormat="1" applyFont="1"/>
    <xf numFmtId="0" fontId="2" fillId="33" borderId="0" xfId="1" applyFont="1" applyFill="1"/>
    <xf numFmtId="174" fontId="2" fillId="0" borderId="0" xfId="1" applyNumberFormat="1" applyFont="1"/>
    <xf numFmtId="168" fontId="2" fillId="5" borderId="0" xfId="1" applyNumberFormat="1" applyFont="1" applyFill="1"/>
    <xf numFmtId="168" fontId="2" fillId="7" borderId="0" xfId="2" applyNumberFormat="1" applyFont="1" applyFill="1"/>
    <xf numFmtId="168" fontId="2" fillId="6" borderId="0" xfId="1" applyNumberFormat="1" applyFont="1" applyFill="1"/>
    <xf numFmtId="164" fontId="2" fillId="6" borderId="0" xfId="1" applyNumberFormat="1" applyFont="1" applyFill="1" applyBorder="1"/>
    <xf numFmtId="164" fontId="2" fillId="5" borderId="0" xfId="1" applyNumberFormat="1" applyFont="1" applyFill="1" applyBorder="1"/>
    <xf numFmtId="170" fontId="2" fillId="5" borderId="0" xfId="1" applyNumberFormat="1" applyFont="1" applyFill="1"/>
    <xf numFmtId="169" fontId="6" fillId="5" borderId="1" xfId="1" applyNumberFormat="1" applyFont="1" applyFill="1" applyBorder="1"/>
    <xf numFmtId="168" fontId="2" fillId="6" borderId="0" xfId="2" applyNumberFormat="1" applyFont="1" applyFill="1"/>
    <xf numFmtId="168" fontId="6" fillId="0" borderId="0" xfId="2" applyNumberFormat="1" applyFont="1" applyFill="1" applyBorder="1" applyAlignment="1">
      <alignment horizontal="center" textRotation="90"/>
    </xf>
    <xf numFmtId="167" fontId="6" fillId="38" borderId="1" xfId="64" applyNumberFormat="1" applyFont="1" applyFill="1" applyBorder="1"/>
    <xf numFmtId="168" fontId="2" fillId="0" borderId="0" xfId="12" applyNumberFormat="1" applyFont="1"/>
    <xf numFmtId="167" fontId="2" fillId="33" borderId="0" xfId="2" applyNumberFormat="1" applyFont="1" applyFill="1"/>
    <xf numFmtId="165" fontId="2" fillId="33" borderId="0" xfId="2" applyNumberFormat="1" applyFont="1" applyFill="1"/>
    <xf numFmtId="165" fontId="0" fillId="33" borderId="0" xfId="2" applyNumberFormat="1" applyFont="1" applyFill="1"/>
    <xf numFmtId="168" fontId="2" fillId="8" borderId="0" xfId="2" applyNumberFormat="1" applyFont="1" applyFill="1"/>
    <xf numFmtId="168" fontId="2" fillId="0" borderId="0" xfId="2" applyNumberFormat="1" applyFont="1"/>
    <xf numFmtId="168" fontId="6" fillId="0" borderId="0" xfId="2" applyNumberFormat="1" applyFont="1" applyFill="1" applyBorder="1" applyAlignment="1">
      <alignment horizontal="center"/>
    </xf>
    <xf numFmtId="10" fontId="2" fillId="4" borderId="0" xfId="3" applyNumberFormat="1" applyFont="1" applyFill="1"/>
    <xf numFmtId="168" fontId="37" fillId="0" borderId="0" xfId="0" applyNumberFormat="1" applyFont="1" applyFill="1" applyBorder="1"/>
    <xf numFmtId="0" fontId="2" fillId="0" borderId="0" xfId="62" applyFont="1"/>
    <xf numFmtId="172" fontId="0" fillId="0" borderId="0" xfId="3" applyNumberFormat="1" applyFont="1"/>
    <xf numFmtId="177" fontId="0" fillId="0" borderId="0" xfId="3" applyNumberFormat="1" applyFont="1"/>
    <xf numFmtId="168" fontId="2" fillId="40" borderId="0" xfId="72" applyNumberFormat="1" applyFont="1" applyFill="1"/>
    <xf numFmtId="168" fontId="2" fillId="0" borderId="0" xfId="72" applyNumberFormat="1" applyFont="1" applyFill="1"/>
    <xf numFmtId="0" fontId="6" fillId="0" borderId="0" xfId="62" applyFont="1" applyFill="1" applyBorder="1" applyAlignment="1">
      <alignment horizontal="right" indent="1"/>
    </xf>
    <xf numFmtId="168" fontId="2" fillId="0" borderId="0" xfId="0" applyNumberFormat="1" applyFont="1" applyFill="1"/>
    <xf numFmtId="0" fontId="13" fillId="2" borderId="1" xfId="8" applyFont="1" applyFill="1" applyBorder="1" applyAlignment="1">
      <alignment vertical="center"/>
    </xf>
    <xf numFmtId="0" fontId="0" fillId="0" borderId="0" xfId="0" applyAlignment="1">
      <alignment vertical="center"/>
    </xf>
    <xf numFmtId="0" fontId="0" fillId="3" borderId="1" xfId="0" applyFill="1" applyBorder="1" applyAlignment="1">
      <alignment vertical="center"/>
    </xf>
    <xf numFmtId="0" fontId="6" fillId="3" borderId="1" xfId="0" applyFont="1" applyFill="1" applyBorder="1" applyAlignment="1">
      <alignment vertical="center"/>
    </xf>
    <xf numFmtId="0" fontId="0" fillId="0" borderId="0" xfId="0" applyFill="1" applyAlignment="1">
      <alignment vertical="center"/>
    </xf>
    <xf numFmtId="0" fontId="2" fillId="0" borderId="0" xfId="0" applyFont="1" applyFill="1" applyAlignment="1">
      <alignment vertical="center"/>
    </xf>
    <xf numFmtId="0" fontId="2" fillId="0" borderId="0" xfId="12" applyFont="1" applyAlignment="1">
      <alignment vertical="center"/>
    </xf>
    <xf numFmtId="0" fontId="59" fillId="0" borderId="0" xfId="12" applyFont="1" applyFill="1" applyAlignment="1">
      <alignment vertical="center"/>
    </xf>
    <xf numFmtId="0" fontId="6" fillId="41" borderId="0" xfId="12" applyFont="1" applyFill="1" applyAlignment="1">
      <alignment vertical="center"/>
    </xf>
    <xf numFmtId="0" fontId="2" fillId="41" borderId="0" xfId="12" applyFont="1" applyFill="1" applyAlignment="1">
      <alignment vertical="center"/>
    </xf>
    <xf numFmtId="165" fontId="2" fillId="41" borderId="0" xfId="2" applyFont="1" applyFill="1" applyAlignment="1">
      <alignment vertical="center"/>
    </xf>
    <xf numFmtId="168" fontId="6" fillId="41" borderId="0" xfId="2" applyNumberFormat="1" applyFont="1" applyFill="1" applyAlignment="1">
      <alignment horizontal="center" vertical="center"/>
    </xf>
    <xf numFmtId="0" fontId="7" fillId="0" borderId="0" xfId="12" applyFont="1" applyFill="1" applyAlignment="1">
      <alignment horizontal="left" vertical="center"/>
    </xf>
    <xf numFmtId="0" fontId="2" fillId="0" borderId="0" xfId="12" applyFont="1" applyFill="1" applyAlignment="1">
      <alignment vertical="center"/>
    </xf>
    <xf numFmtId="165" fontId="2" fillId="0" borderId="0" xfId="2" applyFont="1" applyFill="1" applyAlignment="1">
      <alignment vertical="center"/>
    </xf>
    <xf numFmtId="168" fontId="2" fillId="0" borderId="0" xfId="2" applyNumberFormat="1" applyFont="1" applyFill="1" applyAlignment="1">
      <alignment vertical="center"/>
    </xf>
    <xf numFmtId="168" fontId="2" fillId="4" borderId="0" xfId="2" applyNumberFormat="1" applyFont="1" applyFill="1" applyAlignment="1">
      <alignment vertical="center"/>
    </xf>
    <xf numFmtId="168" fontId="2" fillId="0" borderId="0" xfId="2" applyNumberFormat="1" applyFont="1" applyAlignment="1">
      <alignment vertical="center"/>
    </xf>
    <xf numFmtId="168" fontId="2" fillId="4" borderId="0" xfId="2" applyNumberFormat="1" applyFont="1" applyFill="1" applyBorder="1" applyAlignment="1" applyProtection="1">
      <alignment horizontal="right" vertical="center"/>
      <protection locked="0"/>
    </xf>
    <xf numFmtId="165" fontId="2" fillId="0" borderId="0" xfId="2" applyFont="1" applyAlignment="1">
      <alignment vertical="center"/>
    </xf>
    <xf numFmtId="165" fontId="2" fillId="4" borderId="0" xfId="2" applyNumberFormat="1" applyFont="1" applyFill="1" applyBorder="1" applyAlignment="1" applyProtection="1">
      <alignment horizontal="right" vertical="center"/>
      <protection locked="0"/>
    </xf>
    <xf numFmtId="165" fontId="2" fillId="0" borderId="0" xfId="2" applyNumberFormat="1" applyFont="1" applyFill="1" applyAlignment="1">
      <alignment vertical="center"/>
    </xf>
    <xf numFmtId="165" fontId="2" fillId="41" borderId="0" xfId="2" applyNumberFormat="1" applyFont="1" applyFill="1" applyAlignment="1">
      <alignment vertical="center"/>
    </xf>
    <xf numFmtId="165" fontId="2" fillId="0" borderId="0" xfId="12" applyNumberFormat="1" applyFont="1" applyAlignment="1">
      <alignment vertical="center"/>
    </xf>
    <xf numFmtId="0" fontId="13" fillId="42" borderId="13" xfId="12" applyFont="1" applyFill="1" applyBorder="1" applyAlignment="1">
      <alignment vertical="center"/>
    </xf>
    <xf numFmtId="0" fontId="60" fillId="42" borderId="1" xfId="12" applyFont="1" applyFill="1" applyBorder="1" applyAlignment="1">
      <alignment vertical="center"/>
    </xf>
    <xf numFmtId="165" fontId="13" fillId="42" borderId="1" xfId="2" applyFont="1" applyFill="1" applyBorder="1" applyAlignment="1">
      <alignment horizontal="center" vertical="center"/>
    </xf>
    <xf numFmtId="0" fontId="13" fillId="0" borderId="0" xfId="12" applyFont="1" applyFill="1" applyBorder="1" applyAlignment="1">
      <alignment vertical="center"/>
    </xf>
    <xf numFmtId="0" fontId="60" fillId="0" borderId="0" xfId="12" applyFont="1" applyFill="1" applyBorder="1" applyAlignment="1">
      <alignment vertical="center"/>
    </xf>
    <xf numFmtId="165" fontId="13" fillId="0" borderId="0" xfId="2" applyFont="1" applyFill="1" applyBorder="1" applyAlignment="1">
      <alignment horizontal="center" vertical="center"/>
    </xf>
    <xf numFmtId="0" fontId="13" fillId="0" borderId="0" xfId="12" applyFont="1" applyFill="1" applyBorder="1" applyAlignment="1">
      <alignment horizontal="center" vertical="center"/>
    </xf>
    <xf numFmtId="0" fontId="13" fillId="42" borderId="1" xfId="12" applyFont="1" applyFill="1" applyBorder="1" applyAlignment="1">
      <alignment vertical="center"/>
    </xf>
    <xf numFmtId="0" fontId="13" fillId="42" borderId="14" xfId="12" applyFont="1" applyFill="1" applyBorder="1" applyAlignment="1">
      <alignment vertical="center"/>
    </xf>
    <xf numFmtId="168" fontId="2" fillId="40" borderId="0" xfId="2" applyNumberFormat="1" applyFont="1" applyFill="1" applyAlignment="1">
      <alignment vertical="center"/>
    </xf>
    <xf numFmtId="168" fontId="6" fillId="0" borderId="0" xfId="2" applyNumberFormat="1" applyFont="1" applyAlignment="1">
      <alignment horizontal="right" vertical="center"/>
    </xf>
    <xf numFmtId="168" fontId="2" fillId="0" borderId="0" xfId="12" applyNumberFormat="1" applyFont="1" applyAlignment="1">
      <alignment vertical="center"/>
    </xf>
    <xf numFmtId="168" fontId="2" fillId="35" borderId="0" xfId="2" applyNumberFormat="1" applyFont="1" applyFill="1"/>
    <xf numFmtId="0" fontId="2" fillId="0" borderId="0" xfId="0" applyFont="1" applyAlignment="1">
      <alignment vertical="center"/>
    </xf>
    <xf numFmtId="0" fontId="2" fillId="0" borderId="0" xfId="62" applyFont="1" applyFill="1"/>
    <xf numFmtId="0" fontId="6" fillId="0" borderId="0" xfId="62" applyFont="1" applyFill="1" applyBorder="1" applyAlignment="1">
      <alignment wrapText="1"/>
    </xf>
    <xf numFmtId="0" fontId="6" fillId="2" borderId="3" xfId="65" applyFont="1" applyFill="1" applyBorder="1" applyAlignment="1"/>
    <xf numFmtId="168" fontId="2" fillId="7" borderId="0" xfId="62" applyNumberFormat="1" applyFont="1" applyFill="1" applyBorder="1"/>
    <xf numFmtId="168" fontId="2" fillId="39" borderId="0" xfId="72" applyNumberFormat="1" applyFont="1" applyFill="1"/>
    <xf numFmtId="166" fontId="2" fillId="33" borderId="0" xfId="3" applyNumberFormat="1" applyFont="1" applyFill="1"/>
    <xf numFmtId="10" fontId="0" fillId="0" borderId="0" xfId="3" applyNumberFormat="1" applyFont="1" applyFill="1"/>
    <xf numFmtId="0" fontId="2" fillId="0" borderId="0" xfId="0" applyFont="1" applyFill="1" applyAlignment="1">
      <alignment wrapText="1" readingOrder="1"/>
    </xf>
    <xf numFmtId="0" fontId="0" fillId="0" borderId="0" xfId="0" applyAlignment="1">
      <alignment readingOrder="1"/>
    </xf>
    <xf numFmtId="0" fontId="0" fillId="0" borderId="0" xfId="0" applyFill="1" applyAlignment="1">
      <alignment wrapText="1"/>
    </xf>
    <xf numFmtId="0" fontId="0" fillId="0" borderId="0" xfId="0" applyAlignment="1">
      <alignment wrapText="1"/>
    </xf>
    <xf numFmtId="0" fontId="13" fillId="42" borderId="1" xfId="12" applyFont="1" applyFill="1" applyBorder="1" applyAlignment="1">
      <alignment horizontal="center" vertical="center"/>
    </xf>
  </cellXfs>
  <cellStyles count="126">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17"/>
    <cellStyle name="_x000d__x000a_JournalTemplate=C:\COMFO\CTALK\JOURSTD.TPL_x000d__x000a_LbStateAddress=3 3 0 251 1 89 2 311_x000d__x000a_LbStateJou 2 2" xfId="65"/>
    <cellStyle name="_x000d__x000a_JournalTemplate=C:\COMFO\CTALK\JOURSTD.TPL_x000d__x000a_LbStateAddress=3 3 0 251 1 89 2 311_x000d__x000a_LbStateJou 3" xfId="18"/>
    <cellStyle name="_x000d__x000a_JournalTemplate=C:\COMFO\CTALK\JOURSTD.TPL_x000d__x000a_LbStateAddress=3 3 0 251 1 89 2 311_x000d__x000a_LbStateJou 4" xfId="71"/>
    <cellStyle name="_x000d__x000a_JournalTemplate=C:\COMFO\CTALK\JOURSTD.TPL_x000d__x000a_LbStateAddress=3 3 0 251 1 89 2 311_x000d__x000a_LbStateJou_100720 berekening x-factoren NG4R v4.2" xfId="61"/>
    <cellStyle name="20% - Accent1 2" xfId="19"/>
    <cellStyle name="20% - Accent2 2" xfId="20"/>
    <cellStyle name="20% - Accent3 2" xfId="21"/>
    <cellStyle name="20% - Accent4 2" xfId="22"/>
    <cellStyle name="20% - Accent5 2" xfId="23"/>
    <cellStyle name="20% - Accent6 2"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Bad" xfId="76"/>
    <cellStyle name="Bad 2" xfId="77"/>
    <cellStyle name="Berekening 2" xfId="43"/>
    <cellStyle name="Calculation" xfId="78"/>
    <cellStyle name="Calculation 2" xfId="79"/>
    <cellStyle name="Check Cell" xfId="80"/>
    <cellStyle name="Check Cell 2" xfId="81"/>
    <cellStyle name="Comma 2" xfId="82"/>
    <cellStyle name="Comma 3" xfId="83"/>
    <cellStyle name="Controlecel 2" xfId="44"/>
    <cellStyle name="Euro" xfId="84"/>
    <cellStyle name="Euro 2" xfId="85"/>
    <cellStyle name="Explanatory Text" xfId="86"/>
    <cellStyle name="Explanatory Text 2" xfId="87"/>
    <cellStyle name="Gekoppelde cel 2" xfId="45"/>
    <cellStyle name="Goed 2" xfId="46"/>
    <cellStyle name="Good" xfId="88"/>
    <cellStyle name="Good 2" xfId="89"/>
    <cellStyle name="Header" xfId="90"/>
    <cellStyle name="Heading 1" xfId="91"/>
    <cellStyle name="Heading 1 2" xfId="92"/>
    <cellStyle name="Heading 2" xfId="93"/>
    <cellStyle name="Heading 2 2" xfId="94"/>
    <cellStyle name="Heading 3" xfId="95"/>
    <cellStyle name="Heading 3 2" xfId="96"/>
    <cellStyle name="Heading 4" xfId="97"/>
    <cellStyle name="Heading 4 2" xfId="98"/>
    <cellStyle name="Input" xfId="99"/>
    <cellStyle name="Input 2" xfId="100"/>
    <cellStyle name="Invoer 2" xfId="47"/>
    <cellStyle name="Komma" xfId="2" builtinId="3"/>
    <cellStyle name="Komma 14 2" xfId="101"/>
    <cellStyle name="Komma 2" xfId="48"/>
    <cellStyle name="Komma 2 2" xfId="64"/>
    <cellStyle name="Komma 2 3" xfId="102"/>
    <cellStyle name="Komma 3" xfId="66"/>
    <cellStyle name="Komma 3 2" xfId="103"/>
    <cellStyle name="Komma 4" xfId="72"/>
    <cellStyle name="Kop 1 2" xfId="49"/>
    <cellStyle name="Kop 2 2" xfId="50"/>
    <cellStyle name="Kop 3 2" xfId="51"/>
    <cellStyle name="Kop 4 2" xfId="52"/>
    <cellStyle name="Linked Cell" xfId="104"/>
    <cellStyle name="Linked Cell 2" xfId="105"/>
    <cellStyle name="Neutraal 2" xfId="53"/>
    <cellStyle name="Neutral" xfId="106"/>
    <cellStyle name="Neutral 2" xfId="107"/>
    <cellStyle name="Normal 2" xfId="108"/>
    <cellStyle name="Normal 3" xfId="109"/>
    <cellStyle name="Normal_# klanten" xfId="110"/>
    <cellStyle name="Note" xfId="111"/>
    <cellStyle name="Note 2" xfId="112"/>
    <cellStyle name="Notitie 2" xfId="54"/>
    <cellStyle name="Ongeldig 2" xfId="55"/>
    <cellStyle name="Output" xfId="113"/>
    <cellStyle name="Output 2" xfId="114"/>
    <cellStyle name="Procent" xfId="3" builtinId="5"/>
    <cellStyle name="Procent 2" xfId="16"/>
    <cellStyle name="Procent 2 2" xfId="67"/>
    <cellStyle name="Procent 3" xfId="68"/>
    <cellStyle name="Standaard" xfId="0" builtinId="0"/>
    <cellStyle name="Standaard 2" xfId="12"/>
    <cellStyle name="Standaard 2 2" xfId="62"/>
    <cellStyle name="Standaard 2 3" xfId="115"/>
    <cellStyle name="Standaard 3" xfId="116"/>
    <cellStyle name="Standaard 4" xfId="117"/>
    <cellStyle name="Standaard 5" xfId="118"/>
    <cellStyle name="Standaard_103838 Berekeningen XQRV-besluit Herstel NE4R" xfId="4"/>
    <cellStyle name="Standaard_20100727 Rekenmodel NE5R v1.9" xfId="5"/>
    <cellStyle name="Standaard_20110803 Nacalculatieregister gas (WhK)" xfId="6"/>
    <cellStyle name="Standaard_20110825 TI berekening 2012 E - PwA" xfId="74"/>
    <cellStyle name="Standaard_20110830 TI berekening 2012 E - v3 PwA" xfId="7"/>
    <cellStyle name="Standaard_20120514 - Analyse Inkoopkosten Transport v9" xfId="8"/>
    <cellStyle name="Standaard_20120514 - Analyse Inkoopkosten Transport v9 2" xfId="14"/>
    <cellStyle name="Standaard_20120514 - Analyse Inkoopkosten Transport v9 2 2" xfId="63"/>
    <cellStyle name="Standaard_20120516 - TI-berekening 2013 Elektriciteit (concept) opm HK" xfId="9"/>
    <cellStyle name="Standaard_20120522 - TI-berekening 2013 Gas" xfId="10"/>
    <cellStyle name="Standaard_20120727 - TI-berekening 2013 Elektriciteit (concept)" xfId="75"/>
    <cellStyle name="Standaard_Rekenmodel inkoopkosten transport NE4R v2" xfId="11"/>
    <cellStyle name="Standaard_Rekenmodel inkoopkosten transport NE4R v2 2" xfId="15"/>
    <cellStyle name="Standaard_Rekenmodel inkoopkosten transport NE4R v2 2 2" xfId="73"/>
    <cellStyle name="Titel 2" xfId="56"/>
    <cellStyle name="Title" xfId="119"/>
    <cellStyle name="Title 2" xfId="120"/>
    <cellStyle name="Totaal 2" xfId="57"/>
    <cellStyle name="Total" xfId="121"/>
    <cellStyle name="Total 2" xfId="122"/>
    <cellStyle name="Uitvoer 2" xfId="58"/>
    <cellStyle name="Valuta" xfId="13" builtinId="4"/>
    <cellStyle name="Valuta 2" xfId="69"/>
    <cellStyle name="Valuta 2 2" xfId="70"/>
    <cellStyle name="Verklarende tekst 2" xfId="59"/>
    <cellStyle name="Waarschuwingstekst 2" xfId="60"/>
    <cellStyle name="Warning Text" xfId="123"/>
    <cellStyle name="Warning Text 2" xfId="124"/>
    <cellStyle name="WIt" xfId="125"/>
  </cellStyles>
  <dxfs count="0"/>
  <tableStyles count="0" defaultTableStyle="TableStyleMedium2" defaultPivotStyle="PivotStyleLight16"/>
  <colors>
    <mruColors>
      <color rgb="FFCCFFCC"/>
      <color rgb="FFFF9933"/>
      <color rgb="FFFFFFCC"/>
      <color rgb="FFFF33CC"/>
      <color rgb="FFFF99CC"/>
      <color rgb="FFFFFF99"/>
      <color rgb="FFCCFF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857250</xdr:colOff>
      <xdr:row>37</xdr:row>
      <xdr:rowOff>0</xdr:rowOff>
    </xdr:from>
    <xdr:to>
      <xdr:col>1</xdr:col>
      <xdr:colOff>933450</xdr:colOff>
      <xdr:row>37</xdr:row>
      <xdr:rowOff>0</xdr:rowOff>
    </xdr:to>
    <xdr:sp macro="" textlink="">
      <xdr:nvSpPr>
        <xdr:cNvPr id="4098" name="AutoShape 2"/>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4099" name="AutoShape 3"/>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28575</xdr:rowOff>
    </xdr:from>
    <xdr:to>
      <xdr:col>1</xdr:col>
      <xdr:colOff>933450</xdr:colOff>
      <xdr:row>40</xdr:row>
      <xdr:rowOff>142875</xdr:rowOff>
    </xdr:to>
    <xdr:sp macro="" textlink="">
      <xdr:nvSpPr>
        <xdr:cNvPr id="4100" name="AutoShape 4"/>
        <xdr:cNvSpPr>
          <a:spLocks/>
        </xdr:cNvSpPr>
      </xdr:nvSpPr>
      <xdr:spPr bwMode="auto">
        <a:xfrm>
          <a:off x="1133475" y="72104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41</xdr:row>
      <xdr:rowOff>28575</xdr:rowOff>
    </xdr:from>
    <xdr:to>
      <xdr:col>1</xdr:col>
      <xdr:colOff>933450</xdr:colOff>
      <xdr:row>44</xdr:row>
      <xdr:rowOff>142875</xdr:rowOff>
    </xdr:to>
    <xdr:sp macro="" textlink="">
      <xdr:nvSpPr>
        <xdr:cNvPr id="4101" name="AutoShape 5"/>
        <xdr:cNvSpPr>
          <a:spLocks/>
        </xdr:cNvSpPr>
      </xdr:nvSpPr>
      <xdr:spPr bwMode="auto">
        <a:xfrm>
          <a:off x="1133475" y="78581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45</xdr:row>
      <xdr:rowOff>28575</xdr:rowOff>
    </xdr:from>
    <xdr:to>
      <xdr:col>1</xdr:col>
      <xdr:colOff>933450</xdr:colOff>
      <xdr:row>48</xdr:row>
      <xdr:rowOff>142875</xdr:rowOff>
    </xdr:to>
    <xdr:sp macro="" textlink="">
      <xdr:nvSpPr>
        <xdr:cNvPr id="4102" name="AutoShape 6"/>
        <xdr:cNvSpPr>
          <a:spLocks/>
        </xdr:cNvSpPr>
      </xdr:nvSpPr>
      <xdr:spPr bwMode="auto">
        <a:xfrm>
          <a:off x="1133475" y="85058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49</xdr:row>
      <xdr:rowOff>28575</xdr:rowOff>
    </xdr:from>
    <xdr:to>
      <xdr:col>1</xdr:col>
      <xdr:colOff>933450</xdr:colOff>
      <xdr:row>52</xdr:row>
      <xdr:rowOff>142875</xdr:rowOff>
    </xdr:to>
    <xdr:sp macro="" textlink="">
      <xdr:nvSpPr>
        <xdr:cNvPr id="4103" name="AutoShape 7"/>
        <xdr:cNvSpPr>
          <a:spLocks/>
        </xdr:cNvSpPr>
      </xdr:nvSpPr>
      <xdr:spPr bwMode="auto">
        <a:xfrm>
          <a:off x="1133475" y="91535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53</xdr:row>
      <xdr:rowOff>28575</xdr:rowOff>
    </xdr:from>
    <xdr:to>
      <xdr:col>1</xdr:col>
      <xdr:colOff>933450</xdr:colOff>
      <xdr:row>56</xdr:row>
      <xdr:rowOff>142875</xdr:rowOff>
    </xdr:to>
    <xdr:sp macro="" textlink="">
      <xdr:nvSpPr>
        <xdr:cNvPr id="4104" name="AutoShape 8"/>
        <xdr:cNvSpPr>
          <a:spLocks/>
        </xdr:cNvSpPr>
      </xdr:nvSpPr>
      <xdr:spPr bwMode="auto">
        <a:xfrm>
          <a:off x="1133475" y="98012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4105" name="AutoShape 9"/>
        <xdr:cNvSpPr>
          <a:spLocks/>
        </xdr:cNvSpPr>
      </xdr:nvSpPr>
      <xdr:spPr bwMode="auto">
        <a:xfrm>
          <a:off x="1133475" y="104489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4106" name="AutoShape 10"/>
        <xdr:cNvSpPr>
          <a:spLocks/>
        </xdr:cNvSpPr>
      </xdr:nvSpPr>
      <xdr:spPr bwMode="auto">
        <a:xfrm>
          <a:off x="1133475" y="110680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4107" name="AutoShape 11"/>
        <xdr:cNvSpPr>
          <a:spLocks/>
        </xdr:cNvSpPr>
      </xdr:nvSpPr>
      <xdr:spPr bwMode="auto">
        <a:xfrm>
          <a:off x="1133475" y="110680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28575</xdr:rowOff>
    </xdr:from>
    <xdr:to>
      <xdr:col>1</xdr:col>
      <xdr:colOff>933450</xdr:colOff>
      <xdr:row>64</xdr:row>
      <xdr:rowOff>142875</xdr:rowOff>
    </xdr:to>
    <xdr:sp macro="" textlink="">
      <xdr:nvSpPr>
        <xdr:cNvPr id="13" name="AutoShape 9"/>
        <xdr:cNvSpPr>
          <a:spLocks/>
        </xdr:cNvSpPr>
      </xdr:nvSpPr>
      <xdr:spPr bwMode="auto">
        <a:xfrm>
          <a:off x="1137397" y="10293163"/>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65</xdr:row>
      <xdr:rowOff>28575</xdr:rowOff>
    </xdr:from>
    <xdr:to>
      <xdr:col>1</xdr:col>
      <xdr:colOff>933450</xdr:colOff>
      <xdr:row>68</xdr:row>
      <xdr:rowOff>142875</xdr:rowOff>
    </xdr:to>
    <xdr:sp macro="" textlink="">
      <xdr:nvSpPr>
        <xdr:cNvPr id="14" name="AutoShape 9"/>
        <xdr:cNvSpPr>
          <a:spLocks/>
        </xdr:cNvSpPr>
      </xdr:nvSpPr>
      <xdr:spPr bwMode="auto">
        <a:xfrm>
          <a:off x="1137397" y="9822516"/>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51"/>
  <sheetViews>
    <sheetView showGridLines="0" zoomScale="85" workbookViewId="0"/>
  </sheetViews>
  <sheetFormatPr defaultRowHeight="12.75"/>
  <cols>
    <col min="1" max="1" width="3" customWidth="1"/>
    <col min="2" max="2" width="110.7109375" customWidth="1"/>
  </cols>
  <sheetData>
    <row r="2" spans="2:18" s="2" customFormat="1" ht="18">
      <c r="B2" s="1" t="s">
        <v>32</v>
      </c>
      <c r="C2" s="1"/>
      <c r="F2" s="3"/>
      <c r="G2" s="3"/>
      <c r="H2" s="3"/>
      <c r="I2" s="3"/>
      <c r="J2" s="3"/>
      <c r="K2" s="3"/>
      <c r="L2" s="3"/>
      <c r="M2" s="3"/>
      <c r="N2" s="3"/>
      <c r="O2" s="3"/>
      <c r="P2" s="3"/>
      <c r="Q2" s="3"/>
      <c r="R2" s="3"/>
    </row>
    <row r="5" spans="2:18" s="5" customFormat="1">
      <c r="B5" s="4" t="s">
        <v>38</v>
      </c>
      <c r="C5" s="4"/>
      <c r="D5" s="4"/>
    </row>
    <row r="6" spans="2:18">
      <c r="G6" s="6"/>
      <c r="H6" s="6"/>
      <c r="I6" s="6"/>
      <c r="J6" s="6"/>
      <c r="K6" s="6"/>
      <c r="L6" s="6"/>
      <c r="M6" s="6"/>
      <c r="N6" s="6"/>
      <c r="O6" s="6"/>
      <c r="P6" s="6"/>
      <c r="Q6" s="6"/>
      <c r="R6" s="6"/>
    </row>
    <row r="7" spans="2:18">
      <c r="B7" t="s">
        <v>148</v>
      </c>
      <c r="G7" s="6"/>
      <c r="H7" s="6"/>
      <c r="I7" s="6"/>
      <c r="J7" s="6"/>
      <c r="K7" s="6"/>
      <c r="L7" s="6"/>
      <c r="M7" s="6"/>
      <c r="N7" s="6"/>
      <c r="O7" s="6"/>
      <c r="P7" s="6"/>
      <c r="Q7" s="6"/>
      <c r="R7" s="6"/>
    </row>
    <row r="8" spans="2:18">
      <c r="B8" t="s">
        <v>149</v>
      </c>
      <c r="G8" s="6"/>
      <c r="H8" s="6"/>
      <c r="I8" s="6"/>
      <c r="J8" s="6"/>
      <c r="K8" s="6"/>
      <c r="L8" s="6"/>
      <c r="M8" s="6"/>
      <c r="N8" s="6"/>
      <c r="O8" s="6"/>
      <c r="P8" s="6"/>
      <c r="Q8" s="6"/>
      <c r="R8" s="6"/>
    </row>
    <row r="9" spans="2:18">
      <c r="B9" s="120" t="s">
        <v>150</v>
      </c>
      <c r="G9" s="6"/>
      <c r="H9" s="6"/>
      <c r="I9" s="6"/>
      <c r="J9" s="6"/>
      <c r="K9" s="6"/>
      <c r="L9" s="6"/>
      <c r="M9" s="6"/>
      <c r="N9" s="6"/>
      <c r="O9" s="6"/>
      <c r="P9" s="6"/>
      <c r="Q9" s="6"/>
      <c r="R9" s="6"/>
    </row>
    <row r="11" spans="2:18" s="36" customFormat="1">
      <c r="B11" s="35" t="s">
        <v>33</v>
      </c>
    </row>
    <row r="12" spans="2:18" s="34" customFormat="1"/>
    <row r="13" spans="2:18" s="34" customFormat="1">
      <c r="B13" s="37" t="s">
        <v>34</v>
      </c>
    </row>
    <row r="14" spans="2:18" s="34" customFormat="1">
      <c r="B14" s="38"/>
    </row>
    <row r="15" spans="2:18" s="34" customFormat="1">
      <c r="B15" s="39" t="s">
        <v>35</v>
      </c>
    </row>
    <row r="16" spans="2:18" s="34" customFormat="1">
      <c r="B16" s="38"/>
    </row>
    <row r="17" spans="2:2" s="34" customFormat="1">
      <c r="B17" s="40" t="s">
        <v>36</v>
      </c>
    </row>
    <row r="18" spans="2:2" s="34" customFormat="1">
      <c r="B18" s="41"/>
    </row>
    <row r="19" spans="2:2" s="34" customFormat="1">
      <c r="B19" s="42" t="s">
        <v>37</v>
      </c>
    </row>
    <row r="20" spans="2:2" s="34" customFormat="1"/>
    <row r="21" spans="2:2" s="34" customFormat="1">
      <c r="B21" s="121" t="s">
        <v>273</v>
      </c>
    </row>
    <row r="22" spans="2:2" s="34" customFormat="1"/>
    <row r="23" spans="2:2" s="9" customFormat="1"/>
    <row r="24" spans="2:2" s="9" customFormat="1"/>
    <row r="25" spans="2:2" s="9" customFormat="1"/>
    <row r="26" spans="2:2" s="9" customFormat="1"/>
    <row r="27" spans="2:2" s="9" customFormat="1"/>
    <row r="28" spans="2:2" s="9" customFormat="1"/>
    <row r="29" spans="2:2" s="9" customFormat="1"/>
    <row r="30" spans="2:2" s="9" customFormat="1"/>
    <row r="31" spans="2:2" s="9" customFormat="1"/>
    <row r="32" spans="2:2" s="9" customFormat="1"/>
    <row r="33" s="9" customFormat="1"/>
    <row r="34" s="9" customFormat="1"/>
    <row r="35" s="9" customFormat="1"/>
    <row r="36" s="9" customFormat="1"/>
    <row r="37" s="9" customFormat="1"/>
    <row r="38" s="9" customFormat="1"/>
    <row r="39" s="9" customFormat="1"/>
    <row r="40" s="9" customFormat="1"/>
    <row r="41" s="9" customFormat="1"/>
    <row r="42" s="9" customFormat="1"/>
    <row r="43" s="9" customFormat="1"/>
    <row r="44" s="9" customFormat="1"/>
    <row r="45" s="9" customFormat="1"/>
    <row r="46" s="9" customFormat="1"/>
    <row r="47" s="9" customFormat="1"/>
    <row r="48" s="9" customFormat="1"/>
    <row r="49" s="9" customFormat="1"/>
    <row r="50" s="9" customFormat="1"/>
    <row r="51" s="9" customFormat="1"/>
  </sheetData>
  <phoneticPr fontId="4" type="noConversion"/>
  <pageMargins left="0.75" right="0.75" top="1" bottom="1" header="0.5" footer="0.5"/>
  <pageSetup paperSize="9" scale="4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Z17"/>
  <sheetViews>
    <sheetView showGridLines="0" zoomScale="85" workbookViewId="0"/>
  </sheetViews>
  <sheetFormatPr defaultRowHeight="12.75"/>
  <cols>
    <col min="1" max="1" width="4.85546875" style="74" customWidth="1"/>
    <col min="2" max="2" width="57.5703125" style="74" customWidth="1"/>
    <col min="3" max="3" width="4.42578125" style="74" customWidth="1"/>
    <col min="4" max="4" width="18.28515625" style="74" customWidth="1"/>
    <col min="5" max="5" width="6.5703125" style="74" customWidth="1"/>
    <col min="6" max="6" width="4.140625" style="74" customWidth="1"/>
    <col min="7" max="7" width="15.42578125" style="74" customWidth="1"/>
    <col min="8" max="8" width="5.28515625" style="74" customWidth="1"/>
    <col min="9" max="249" width="9.140625" style="74"/>
    <col min="250" max="250" width="4.85546875" style="74" customWidth="1"/>
    <col min="251" max="251" width="57.5703125" style="74" customWidth="1"/>
    <col min="252" max="252" width="4.42578125" style="74" customWidth="1"/>
    <col min="253" max="253" width="18.28515625" style="74" customWidth="1"/>
    <col min="254" max="254" width="5.85546875" style="74" customWidth="1"/>
    <col min="255" max="255" width="4.140625" style="74" customWidth="1"/>
    <col min="256" max="263" width="15.42578125" style="74" customWidth="1"/>
    <col min="264" max="264" width="5.28515625" style="74" customWidth="1"/>
    <col min="265" max="505" width="9.140625" style="74"/>
    <col min="506" max="506" width="4.85546875" style="74" customWidth="1"/>
    <col min="507" max="507" width="57.5703125" style="74" customWidth="1"/>
    <col min="508" max="508" width="4.42578125" style="74" customWidth="1"/>
    <col min="509" max="509" width="18.28515625" style="74" customWidth="1"/>
    <col min="510" max="510" width="5.85546875" style="74" customWidth="1"/>
    <col min="511" max="511" width="4.140625" style="74" customWidth="1"/>
    <col min="512" max="519" width="15.42578125" style="74" customWidth="1"/>
    <col min="520" max="520" width="5.28515625" style="74" customWidth="1"/>
    <col min="521" max="761" width="9.140625" style="74"/>
    <col min="762" max="762" width="4.85546875" style="74" customWidth="1"/>
    <col min="763" max="763" width="57.5703125" style="74" customWidth="1"/>
    <col min="764" max="764" width="4.42578125" style="74" customWidth="1"/>
    <col min="765" max="765" width="18.28515625" style="74" customWidth="1"/>
    <col min="766" max="766" width="5.85546875" style="74" customWidth="1"/>
    <col min="767" max="767" width="4.140625" style="74" customWidth="1"/>
    <col min="768" max="775" width="15.42578125" style="74" customWidth="1"/>
    <col min="776" max="776" width="5.28515625" style="74" customWidth="1"/>
    <col min="777" max="1017" width="9.140625" style="74"/>
    <col min="1018" max="1018" width="4.85546875" style="74" customWidth="1"/>
    <col min="1019" max="1019" width="57.5703125" style="74" customWidth="1"/>
    <col min="1020" max="1020" width="4.42578125" style="74" customWidth="1"/>
    <col min="1021" max="1021" width="18.28515625" style="74" customWidth="1"/>
    <col min="1022" max="1022" width="5.85546875" style="74" customWidth="1"/>
    <col min="1023" max="1023" width="4.140625" style="74" customWidth="1"/>
    <col min="1024" max="1031" width="15.42578125" style="74" customWidth="1"/>
    <col min="1032" max="1032" width="5.28515625" style="74" customWidth="1"/>
    <col min="1033" max="1273" width="9.140625" style="74"/>
    <col min="1274" max="1274" width="4.85546875" style="74" customWidth="1"/>
    <col min="1275" max="1275" width="57.5703125" style="74" customWidth="1"/>
    <col min="1276" max="1276" width="4.42578125" style="74" customWidth="1"/>
    <col min="1277" max="1277" width="18.28515625" style="74" customWidth="1"/>
    <col min="1278" max="1278" width="5.85546875" style="74" customWidth="1"/>
    <col min="1279" max="1279" width="4.140625" style="74" customWidth="1"/>
    <col min="1280" max="1287" width="15.42578125" style="74" customWidth="1"/>
    <col min="1288" max="1288" width="5.28515625" style="74" customWidth="1"/>
    <col min="1289" max="1529" width="9.140625" style="74"/>
    <col min="1530" max="1530" width="4.85546875" style="74" customWidth="1"/>
    <col min="1531" max="1531" width="57.5703125" style="74" customWidth="1"/>
    <col min="1532" max="1532" width="4.42578125" style="74" customWidth="1"/>
    <col min="1533" max="1533" width="18.28515625" style="74" customWidth="1"/>
    <col min="1534" max="1534" width="5.85546875" style="74" customWidth="1"/>
    <col min="1535" max="1535" width="4.140625" style="74" customWidth="1"/>
    <col min="1536" max="1543" width="15.42578125" style="74" customWidth="1"/>
    <col min="1544" max="1544" width="5.28515625" style="74" customWidth="1"/>
    <col min="1545" max="1785" width="9.140625" style="74"/>
    <col min="1786" max="1786" width="4.85546875" style="74" customWidth="1"/>
    <col min="1787" max="1787" width="57.5703125" style="74" customWidth="1"/>
    <col min="1788" max="1788" width="4.42578125" style="74" customWidth="1"/>
    <col min="1789" max="1789" width="18.28515625" style="74" customWidth="1"/>
    <col min="1790" max="1790" width="5.85546875" style="74" customWidth="1"/>
    <col min="1791" max="1791" width="4.140625" style="74" customWidth="1"/>
    <col min="1792" max="1799" width="15.42578125" style="74" customWidth="1"/>
    <col min="1800" max="1800" width="5.28515625" style="74" customWidth="1"/>
    <col min="1801" max="2041" width="9.140625" style="74"/>
    <col min="2042" max="2042" width="4.85546875" style="74" customWidth="1"/>
    <col min="2043" max="2043" width="57.5703125" style="74" customWidth="1"/>
    <col min="2044" max="2044" width="4.42578125" style="74" customWidth="1"/>
    <col min="2045" max="2045" width="18.28515625" style="74" customWidth="1"/>
    <col min="2046" max="2046" width="5.85546875" style="74" customWidth="1"/>
    <col min="2047" max="2047" width="4.140625" style="74" customWidth="1"/>
    <col min="2048" max="2055" width="15.42578125" style="74" customWidth="1"/>
    <col min="2056" max="2056" width="5.28515625" style="74" customWidth="1"/>
    <col min="2057" max="2297" width="9.140625" style="74"/>
    <col min="2298" max="2298" width="4.85546875" style="74" customWidth="1"/>
    <col min="2299" max="2299" width="57.5703125" style="74" customWidth="1"/>
    <col min="2300" max="2300" width="4.42578125" style="74" customWidth="1"/>
    <col min="2301" max="2301" width="18.28515625" style="74" customWidth="1"/>
    <col min="2302" max="2302" width="5.85546875" style="74" customWidth="1"/>
    <col min="2303" max="2303" width="4.140625" style="74" customWidth="1"/>
    <col min="2304" max="2311" width="15.42578125" style="74" customWidth="1"/>
    <col min="2312" max="2312" width="5.28515625" style="74" customWidth="1"/>
    <col min="2313" max="2553" width="9.140625" style="74"/>
    <col min="2554" max="2554" width="4.85546875" style="74" customWidth="1"/>
    <col min="2555" max="2555" width="57.5703125" style="74" customWidth="1"/>
    <col min="2556" max="2556" width="4.42578125" style="74" customWidth="1"/>
    <col min="2557" max="2557" width="18.28515625" style="74" customWidth="1"/>
    <col min="2558" max="2558" width="5.85546875" style="74" customWidth="1"/>
    <col min="2559" max="2559" width="4.140625" style="74" customWidth="1"/>
    <col min="2560" max="2567" width="15.42578125" style="74" customWidth="1"/>
    <col min="2568" max="2568" width="5.28515625" style="74" customWidth="1"/>
    <col min="2569" max="2809" width="9.140625" style="74"/>
    <col min="2810" max="2810" width="4.85546875" style="74" customWidth="1"/>
    <col min="2811" max="2811" width="57.5703125" style="74" customWidth="1"/>
    <col min="2812" max="2812" width="4.42578125" style="74" customWidth="1"/>
    <col min="2813" max="2813" width="18.28515625" style="74" customWidth="1"/>
    <col min="2814" max="2814" width="5.85546875" style="74" customWidth="1"/>
    <col min="2815" max="2815" width="4.140625" style="74" customWidth="1"/>
    <col min="2816" max="2823" width="15.42578125" style="74" customWidth="1"/>
    <col min="2824" max="2824" width="5.28515625" style="74" customWidth="1"/>
    <col min="2825" max="3065" width="9.140625" style="74"/>
    <col min="3066" max="3066" width="4.85546875" style="74" customWidth="1"/>
    <col min="3067" max="3067" width="57.5703125" style="74" customWidth="1"/>
    <col min="3068" max="3068" width="4.42578125" style="74" customWidth="1"/>
    <col min="3069" max="3069" width="18.28515625" style="74" customWidth="1"/>
    <col min="3070" max="3070" width="5.85546875" style="74" customWidth="1"/>
    <col min="3071" max="3071" width="4.140625" style="74" customWidth="1"/>
    <col min="3072" max="3079" width="15.42578125" style="74" customWidth="1"/>
    <col min="3080" max="3080" width="5.28515625" style="74" customWidth="1"/>
    <col min="3081" max="3321" width="9.140625" style="74"/>
    <col min="3322" max="3322" width="4.85546875" style="74" customWidth="1"/>
    <col min="3323" max="3323" width="57.5703125" style="74" customWidth="1"/>
    <col min="3324" max="3324" width="4.42578125" style="74" customWidth="1"/>
    <col min="3325" max="3325" width="18.28515625" style="74" customWidth="1"/>
    <col min="3326" max="3326" width="5.85546875" style="74" customWidth="1"/>
    <col min="3327" max="3327" width="4.140625" style="74" customWidth="1"/>
    <col min="3328" max="3335" width="15.42578125" style="74" customWidth="1"/>
    <col min="3336" max="3336" width="5.28515625" style="74" customWidth="1"/>
    <col min="3337" max="3577" width="9.140625" style="74"/>
    <col min="3578" max="3578" width="4.85546875" style="74" customWidth="1"/>
    <col min="3579" max="3579" width="57.5703125" style="74" customWidth="1"/>
    <col min="3580" max="3580" width="4.42578125" style="74" customWidth="1"/>
    <col min="3581" max="3581" width="18.28515625" style="74" customWidth="1"/>
    <col min="3582" max="3582" width="5.85546875" style="74" customWidth="1"/>
    <col min="3583" max="3583" width="4.140625" style="74" customWidth="1"/>
    <col min="3584" max="3591" width="15.42578125" style="74" customWidth="1"/>
    <col min="3592" max="3592" width="5.28515625" style="74" customWidth="1"/>
    <col min="3593" max="3833" width="9.140625" style="74"/>
    <col min="3834" max="3834" width="4.85546875" style="74" customWidth="1"/>
    <col min="3835" max="3835" width="57.5703125" style="74" customWidth="1"/>
    <col min="3836" max="3836" width="4.42578125" style="74" customWidth="1"/>
    <col min="3837" max="3837" width="18.28515625" style="74" customWidth="1"/>
    <col min="3838" max="3838" width="5.85546875" style="74" customWidth="1"/>
    <col min="3839" max="3839" width="4.140625" style="74" customWidth="1"/>
    <col min="3840" max="3847" width="15.42578125" style="74" customWidth="1"/>
    <col min="3848" max="3848" width="5.28515625" style="74" customWidth="1"/>
    <col min="3849" max="4089" width="9.140625" style="74"/>
    <col min="4090" max="4090" width="4.85546875" style="74" customWidth="1"/>
    <col min="4091" max="4091" width="57.5703125" style="74" customWidth="1"/>
    <col min="4092" max="4092" width="4.42578125" style="74" customWidth="1"/>
    <col min="4093" max="4093" width="18.28515625" style="74" customWidth="1"/>
    <col min="4094" max="4094" width="5.85546875" style="74" customWidth="1"/>
    <col min="4095" max="4095" width="4.140625" style="74" customWidth="1"/>
    <col min="4096" max="4103" width="15.42578125" style="74" customWidth="1"/>
    <col min="4104" max="4104" width="5.28515625" style="74" customWidth="1"/>
    <col min="4105" max="4345" width="9.140625" style="74"/>
    <col min="4346" max="4346" width="4.85546875" style="74" customWidth="1"/>
    <col min="4347" max="4347" width="57.5703125" style="74" customWidth="1"/>
    <col min="4348" max="4348" width="4.42578125" style="74" customWidth="1"/>
    <col min="4349" max="4349" width="18.28515625" style="74" customWidth="1"/>
    <col min="4350" max="4350" width="5.85546875" style="74" customWidth="1"/>
    <col min="4351" max="4351" width="4.140625" style="74" customWidth="1"/>
    <col min="4352" max="4359" width="15.42578125" style="74" customWidth="1"/>
    <col min="4360" max="4360" width="5.28515625" style="74" customWidth="1"/>
    <col min="4361" max="4601" width="9.140625" style="74"/>
    <col min="4602" max="4602" width="4.85546875" style="74" customWidth="1"/>
    <col min="4603" max="4603" width="57.5703125" style="74" customWidth="1"/>
    <col min="4604" max="4604" width="4.42578125" style="74" customWidth="1"/>
    <col min="4605" max="4605" width="18.28515625" style="74" customWidth="1"/>
    <col min="4606" max="4606" width="5.85546875" style="74" customWidth="1"/>
    <col min="4607" max="4607" width="4.140625" style="74" customWidth="1"/>
    <col min="4608" max="4615" width="15.42578125" style="74" customWidth="1"/>
    <col min="4616" max="4616" width="5.28515625" style="74" customWidth="1"/>
    <col min="4617" max="4857" width="9.140625" style="74"/>
    <col min="4858" max="4858" width="4.85546875" style="74" customWidth="1"/>
    <col min="4859" max="4859" width="57.5703125" style="74" customWidth="1"/>
    <col min="4860" max="4860" width="4.42578125" style="74" customWidth="1"/>
    <col min="4861" max="4861" width="18.28515625" style="74" customWidth="1"/>
    <col min="4862" max="4862" width="5.85546875" style="74" customWidth="1"/>
    <col min="4863" max="4863" width="4.140625" style="74" customWidth="1"/>
    <col min="4864" max="4871" width="15.42578125" style="74" customWidth="1"/>
    <col min="4872" max="4872" width="5.28515625" style="74" customWidth="1"/>
    <col min="4873" max="5113" width="9.140625" style="74"/>
    <col min="5114" max="5114" width="4.85546875" style="74" customWidth="1"/>
    <col min="5115" max="5115" width="57.5703125" style="74" customWidth="1"/>
    <col min="5116" max="5116" width="4.42578125" style="74" customWidth="1"/>
    <col min="5117" max="5117" width="18.28515625" style="74" customWidth="1"/>
    <col min="5118" max="5118" width="5.85546875" style="74" customWidth="1"/>
    <col min="5119" max="5119" width="4.140625" style="74" customWidth="1"/>
    <col min="5120" max="5127" width="15.42578125" style="74" customWidth="1"/>
    <col min="5128" max="5128" width="5.28515625" style="74" customWidth="1"/>
    <col min="5129" max="5369" width="9.140625" style="74"/>
    <col min="5370" max="5370" width="4.85546875" style="74" customWidth="1"/>
    <col min="5371" max="5371" width="57.5703125" style="74" customWidth="1"/>
    <col min="5372" max="5372" width="4.42578125" style="74" customWidth="1"/>
    <col min="5373" max="5373" width="18.28515625" style="74" customWidth="1"/>
    <col min="5374" max="5374" width="5.85546875" style="74" customWidth="1"/>
    <col min="5375" max="5375" width="4.140625" style="74" customWidth="1"/>
    <col min="5376" max="5383" width="15.42578125" style="74" customWidth="1"/>
    <col min="5384" max="5384" width="5.28515625" style="74" customWidth="1"/>
    <col min="5385" max="5625" width="9.140625" style="74"/>
    <col min="5626" max="5626" width="4.85546875" style="74" customWidth="1"/>
    <col min="5627" max="5627" width="57.5703125" style="74" customWidth="1"/>
    <col min="5628" max="5628" width="4.42578125" style="74" customWidth="1"/>
    <col min="5629" max="5629" width="18.28515625" style="74" customWidth="1"/>
    <col min="5630" max="5630" width="5.85546875" style="74" customWidth="1"/>
    <col min="5631" max="5631" width="4.140625" style="74" customWidth="1"/>
    <col min="5632" max="5639" width="15.42578125" style="74" customWidth="1"/>
    <col min="5640" max="5640" width="5.28515625" style="74" customWidth="1"/>
    <col min="5641" max="5881" width="9.140625" style="74"/>
    <col min="5882" max="5882" width="4.85546875" style="74" customWidth="1"/>
    <col min="5883" max="5883" width="57.5703125" style="74" customWidth="1"/>
    <col min="5884" max="5884" width="4.42578125" style="74" customWidth="1"/>
    <col min="5885" max="5885" width="18.28515625" style="74" customWidth="1"/>
    <col min="5886" max="5886" width="5.85546875" style="74" customWidth="1"/>
    <col min="5887" max="5887" width="4.140625" style="74" customWidth="1"/>
    <col min="5888" max="5895" width="15.42578125" style="74" customWidth="1"/>
    <col min="5896" max="5896" width="5.28515625" style="74" customWidth="1"/>
    <col min="5897" max="6137" width="9.140625" style="74"/>
    <col min="6138" max="6138" width="4.85546875" style="74" customWidth="1"/>
    <col min="6139" max="6139" width="57.5703125" style="74" customWidth="1"/>
    <col min="6140" max="6140" width="4.42578125" style="74" customWidth="1"/>
    <col min="6141" max="6141" width="18.28515625" style="74" customWidth="1"/>
    <col min="6142" max="6142" width="5.85546875" style="74" customWidth="1"/>
    <col min="6143" max="6143" width="4.140625" style="74" customWidth="1"/>
    <col min="6144" max="6151" width="15.42578125" style="74" customWidth="1"/>
    <col min="6152" max="6152" width="5.28515625" style="74" customWidth="1"/>
    <col min="6153" max="6393" width="9.140625" style="74"/>
    <col min="6394" max="6394" width="4.85546875" style="74" customWidth="1"/>
    <col min="6395" max="6395" width="57.5703125" style="74" customWidth="1"/>
    <col min="6396" max="6396" width="4.42578125" style="74" customWidth="1"/>
    <col min="6397" max="6397" width="18.28515625" style="74" customWidth="1"/>
    <col min="6398" max="6398" width="5.85546875" style="74" customWidth="1"/>
    <col min="6399" max="6399" width="4.140625" style="74" customWidth="1"/>
    <col min="6400" max="6407" width="15.42578125" style="74" customWidth="1"/>
    <col min="6408" max="6408" width="5.28515625" style="74" customWidth="1"/>
    <col min="6409" max="6649" width="9.140625" style="74"/>
    <col min="6650" max="6650" width="4.85546875" style="74" customWidth="1"/>
    <col min="6651" max="6651" width="57.5703125" style="74" customWidth="1"/>
    <col min="6652" max="6652" width="4.42578125" style="74" customWidth="1"/>
    <col min="6653" max="6653" width="18.28515625" style="74" customWidth="1"/>
    <col min="6654" max="6654" width="5.85546875" style="74" customWidth="1"/>
    <col min="6655" max="6655" width="4.140625" style="74" customWidth="1"/>
    <col min="6656" max="6663" width="15.42578125" style="74" customWidth="1"/>
    <col min="6664" max="6664" width="5.28515625" style="74" customWidth="1"/>
    <col min="6665" max="6905" width="9.140625" style="74"/>
    <col min="6906" max="6906" width="4.85546875" style="74" customWidth="1"/>
    <col min="6907" max="6907" width="57.5703125" style="74" customWidth="1"/>
    <col min="6908" max="6908" width="4.42578125" style="74" customWidth="1"/>
    <col min="6909" max="6909" width="18.28515625" style="74" customWidth="1"/>
    <col min="6910" max="6910" width="5.85546875" style="74" customWidth="1"/>
    <col min="6911" max="6911" width="4.140625" style="74" customWidth="1"/>
    <col min="6912" max="6919" width="15.42578125" style="74" customWidth="1"/>
    <col min="6920" max="6920" width="5.28515625" style="74" customWidth="1"/>
    <col min="6921" max="7161" width="9.140625" style="74"/>
    <col min="7162" max="7162" width="4.85546875" style="74" customWidth="1"/>
    <col min="7163" max="7163" width="57.5703125" style="74" customWidth="1"/>
    <col min="7164" max="7164" width="4.42578125" style="74" customWidth="1"/>
    <col min="7165" max="7165" width="18.28515625" style="74" customWidth="1"/>
    <col min="7166" max="7166" width="5.85546875" style="74" customWidth="1"/>
    <col min="7167" max="7167" width="4.140625" style="74" customWidth="1"/>
    <col min="7168" max="7175" width="15.42578125" style="74" customWidth="1"/>
    <col min="7176" max="7176" width="5.28515625" style="74" customWidth="1"/>
    <col min="7177" max="7417" width="9.140625" style="74"/>
    <col min="7418" max="7418" width="4.85546875" style="74" customWidth="1"/>
    <col min="7419" max="7419" width="57.5703125" style="74" customWidth="1"/>
    <col min="7420" max="7420" width="4.42578125" style="74" customWidth="1"/>
    <col min="7421" max="7421" width="18.28515625" style="74" customWidth="1"/>
    <col min="7422" max="7422" width="5.85546875" style="74" customWidth="1"/>
    <col min="7423" max="7423" width="4.140625" style="74" customWidth="1"/>
    <col min="7424" max="7431" width="15.42578125" style="74" customWidth="1"/>
    <col min="7432" max="7432" width="5.28515625" style="74" customWidth="1"/>
    <col min="7433" max="7673" width="9.140625" style="74"/>
    <col min="7674" max="7674" width="4.85546875" style="74" customWidth="1"/>
    <col min="7675" max="7675" width="57.5703125" style="74" customWidth="1"/>
    <col min="7676" max="7676" width="4.42578125" style="74" customWidth="1"/>
    <col min="7677" max="7677" width="18.28515625" style="74" customWidth="1"/>
    <col min="7678" max="7678" width="5.85546875" style="74" customWidth="1"/>
    <col min="7679" max="7679" width="4.140625" style="74" customWidth="1"/>
    <col min="7680" max="7687" width="15.42578125" style="74" customWidth="1"/>
    <col min="7688" max="7688" width="5.28515625" style="74" customWidth="1"/>
    <col min="7689" max="7929" width="9.140625" style="74"/>
    <col min="7930" max="7930" width="4.85546875" style="74" customWidth="1"/>
    <col min="7931" max="7931" width="57.5703125" style="74" customWidth="1"/>
    <col min="7932" max="7932" width="4.42578125" style="74" customWidth="1"/>
    <col min="7933" max="7933" width="18.28515625" style="74" customWidth="1"/>
    <col min="7934" max="7934" width="5.85546875" style="74" customWidth="1"/>
    <col min="7935" max="7935" width="4.140625" style="74" customWidth="1"/>
    <col min="7936" max="7943" width="15.42578125" style="74" customWidth="1"/>
    <col min="7944" max="7944" width="5.28515625" style="74" customWidth="1"/>
    <col min="7945" max="8185" width="9.140625" style="74"/>
    <col min="8186" max="8186" width="4.85546875" style="74" customWidth="1"/>
    <col min="8187" max="8187" width="57.5703125" style="74" customWidth="1"/>
    <col min="8188" max="8188" width="4.42578125" style="74" customWidth="1"/>
    <col min="8189" max="8189" width="18.28515625" style="74" customWidth="1"/>
    <col min="8190" max="8190" width="5.85546875" style="74" customWidth="1"/>
    <col min="8191" max="8191" width="4.140625" style="74" customWidth="1"/>
    <col min="8192" max="8199" width="15.42578125" style="74" customWidth="1"/>
    <col min="8200" max="8200" width="5.28515625" style="74" customWidth="1"/>
    <col min="8201" max="8441" width="9.140625" style="74"/>
    <col min="8442" max="8442" width="4.85546875" style="74" customWidth="1"/>
    <col min="8443" max="8443" width="57.5703125" style="74" customWidth="1"/>
    <col min="8444" max="8444" width="4.42578125" style="74" customWidth="1"/>
    <col min="8445" max="8445" width="18.28515625" style="74" customWidth="1"/>
    <col min="8446" max="8446" width="5.85546875" style="74" customWidth="1"/>
    <col min="8447" max="8447" width="4.140625" style="74" customWidth="1"/>
    <col min="8448" max="8455" width="15.42578125" style="74" customWidth="1"/>
    <col min="8456" max="8456" width="5.28515625" style="74" customWidth="1"/>
    <col min="8457" max="8697" width="9.140625" style="74"/>
    <col min="8698" max="8698" width="4.85546875" style="74" customWidth="1"/>
    <col min="8699" max="8699" width="57.5703125" style="74" customWidth="1"/>
    <col min="8700" max="8700" width="4.42578125" style="74" customWidth="1"/>
    <col min="8701" max="8701" width="18.28515625" style="74" customWidth="1"/>
    <col min="8702" max="8702" width="5.85546875" style="74" customWidth="1"/>
    <col min="8703" max="8703" width="4.140625" style="74" customWidth="1"/>
    <col min="8704" max="8711" width="15.42578125" style="74" customWidth="1"/>
    <col min="8712" max="8712" width="5.28515625" style="74" customWidth="1"/>
    <col min="8713" max="8953" width="9.140625" style="74"/>
    <col min="8954" max="8954" width="4.85546875" style="74" customWidth="1"/>
    <col min="8955" max="8955" width="57.5703125" style="74" customWidth="1"/>
    <col min="8956" max="8956" width="4.42578125" style="74" customWidth="1"/>
    <col min="8957" max="8957" width="18.28515625" style="74" customWidth="1"/>
    <col min="8958" max="8958" width="5.85546875" style="74" customWidth="1"/>
    <col min="8959" max="8959" width="4.140625" style="74" customWidth="1"/>
    <col min="8960" max="8967" width="15.42578125" style="74" customWidth="1"/>
    <col min="8968" max="8968" width="5.28515625" style="74" customWidth="1"/>
    <col min="8969" max="9209" width="9.140625" style="74"/>
    <col min="9210" max="9210" width="4.85546875" style="74" customWidth="1"/>
    <col min="9211" max="9211" width="57.5703125" style="74" customWidth="1"/>
    <col min="9212" max="9212" width="4.42578125" style="74" customWidth="1"/>
    <col min="9213" max="9213" width="18.28515625" style="74" customWidth="1"/>
    <col min="9214" max="9214" width="5.85546875" style="74" customWidth="1"/>
    <col min="9215" max="9215" width="4.140625" style="74" customWidth="1"/>
    <col min="9216" max="9223" width="15.42578125" style="74" customWidth="1"/>
    <col min="9224" max="9224" width="5.28515625" style="74" customWidth="1"/>
    <col min="9225" max="9465" width="9.140625" style="74"/>
    <col min="9466" max="9466" width="4.85546875" style="74" customWidth="1"/>
    <col min="9467" max="9467" width="57.5703125" style="74" customWidth="1"/>
    <col min="9468" max="9468" width="4.42578125" style="74" customWidth="1"/>
    <col min="9469" max="9469" width="18.28515625" style="74" customWidth="1"/>
    <col min="9470" max="9470" width="5.85546875" style="74" customWidth="1"/>
    <col min="9471" max="9471" width="4.140625" style="74" customWidth="1"/>
    <col min="9472" max="9479" width="15.42578125" style="74" customWidth="1"/>
    <col min="9480" max="9480" width="5.28515625" style="74" customWidth="1"/>
    <col min="9481" max="9721" width="9.140625" style="74"/>
    <col min="9722" max="9722" width="4.85546875" style="74" customWidth="1"/>
    <col min="9723" max="9723" width="57.5703125" style="74" customWidth="1"/>
    <col min="9724" max="9724" width="4.42578125" style="74" customWidth="1"/>
    <col min="9725" max="9725" width="18.28515625" style="74" customWidth="1"/>
    <col min="9726" max="9726" width="5.85546875" style="74" customWidth="1"/>
    <col min="9727" max="9727" width="4.140625" style="74" customWidth="1"/>
    <col min="9728" max="9735" width="15.42578125" style="74" customWidth="1"/>
    <col min="9736" max="9736" width="5.28515625" style="74" customWidth="1"/>
    <col min="9737" max="9977" width="9.140625" style="74"/>
    <col min="9978" max="9978" width="4.85546875" style="74" customWidth="1"/>
    <col min="9979" max="9979" width="57.5703125" style="74" customWidth="1"/>
    <col min="9980" max="9980" width="4.42578125" style="74" customWidth="1"/>
    <col min="9981" max="9981" width="18.28515625" style="74" customWidth="1"/>
    <col min="9982" max="9982" width="5.85546875" style="74" customWidth="1"/>
    <col min="9983" max="9983" width="4.140625" style="74" customWidth="1"/>
    <col min="9984" max="9991" width="15.42578125" style="74" customWidth="1"/>
    <col min="9992" max="9992" width="5.28515625" style="74" customWidth="1"/>
    <col min="9993" max="10233" width="9.140625" style="74"/>
    <col min="10234" max="10234" width="4.85546875" style="74" customWidth="1"/>
    <col min="10235" max="10235" width="57.5703125" style="74" customWidth="1"/>
    <col min="10236" max="10236" width="4.42578125" style="74" customWidth="1"/>
    <col min="10237" max="10237" width="18.28515625" style="74" customWidth="1"/>
    <col min="10238" max="10238" width="5.85546875" style="74" customWidth="1"/>
    <col min="10239" max="10239" width="4.140625" style="74" customWidth="1"/>
    <col min="10240" max="10247" width="15.42578125" style="74" customWidth="1"/>
    <col min="10248" max="10248" width="5.28515625" style="74" customWidth="1"/>
    <col min="10249" max="10489" width="9.140625" style="74"/>
    <col min="10490" max="10490" width="4.85546875" style="74" customWidth="1"/>
    <col min="10491" max="10491" width="57.5703125" style="74" customWidth="1"/>
    <col min="10492" max="10492" width="4.42578125" style="74" customWidth="1"/>
    <col min="10493" max="10493" width="18.28515625" style="74" customWidth="1"/>
    <col min="10494" max="10494" width="5.85546875" style="74" customWidth="1"/>
    <col min="10495" max="10495" width="4.140625" style="74" customWidth="1"/>
    <col min="10496" max="10503" width="15.42578125" style="74" customWidth="1"/>
    <col min="10504" max="10504" width="5.28515625" style="74" customWidth="1"/>
    <col min="10505" max="10745" width="9.140625" style="74"/>
    <col min="10746" max="10746" width="4.85546875" style="74" customWidth="1"/>
    <col min="10747" max="10747" width="57.5703125" style="74" customWidth="1"/>
    <col min="10748" max="10748" width="4.42578125" style="74" customWidth="1"/>
    <col min="10749" max="10749" width="18.28515625" style="74" customWidth="1"/>
    <col min="10750" max="10750" width="5.85546875" style="74" customWidth="1"/>
    <col min="10751" max="10751" width="4.140625" style="74" customWidth="1"/>
    <col min="10752" max="10759" width="15.42578125" style="74" customWidth="1"/>
    <col min="10760" max="10760" width="5.28515625" style="74" customWidth="1"/>
    <col min="10761" max="11001" width="9.140625" style="74"/>
    <col min="11002" max="11002" width="4.85546875" style="74" customWidth="1"/>
    <col min="11003" max="11003" width="57.5703125" style="74" customWidth="1"/>
    <col min="11004" max="11004" width="4.42578125" style="74" customWidth="1"/>
    <col min="11005" max="11005" width="18.28515625" style="74" customWidth="1"/>
    <col min="11006" max="11006" width="5.85546875" style="74" customWidth="1"/>
    <col min="11007" max="11007" width="4.140625" style="74" customWidth="1"/>
    <col min="11008" max="11015" width="15.42578125" style="74" customWidth="1"/>
    <col min="11016" max="11016" width="5.28515625" style="74" customWidth="1"/>
    <col min="11017" max="11257" width="9.140625" style="74"/>
    <col min="11258" max="11258" width="4.85546875" style="74" customWidth="1"/>
    <col min="11259" max="11259" width="57.5703125" style="74" customWidth="1"/>
    <col min="11260" max="11260" width="4.42578125" style="74" customWidth="1"/>
    <col min="11261" max="11261" width="18.28515625" style="74" customWidth="1"/>
    <col min="11262" max="11262" width="5.85546875" style="74" customWidth="1"/>
    <col min="11263" max="11263" width="4.140625" style="74" customWidth="1"/>
    <col min="11264" max="11271" width="15.42578125" style="74" customWidth="1"/>
    <col min="11272" max="11272" width="5.28515625" style="74" customWidth="1"/>
    <col min="11273" max="11513" width="9.140625" style="74"/>
    <col min="11514" max="11514" width="4.85546875" style="74" customWidth="1"/>
    <col min="11515" max="11515" width="57.5703125" style="74" customWidth="1"/>
    <col min="11516" max="11516" width="4.42578125" style="74" customWidth="1"/>
    <col min="11517" max="11517" width="18.28515625" style="74" customWidth="1"/>
    <col min="11518" max="11518" width="5.85546875" style="74" customWidth="1"/>
    <col min="11519" max="11519" width="4.140625" style="74" customWidth="1"/>
    <col min="11520" max="11527" width="15.42578125" style="74" customWidth="1"/>
    <col min="11528" max="11528" width="5.28515625" style="74" customWidth="1"/>
    <col min="11529" max="11769" width="9.140625" style="74"/>
    <col min="11770" max="11770" width="4.85546875" style="74" customWidth="1"/>
    <col min="11771" max="11771" width="57.5703125" style="74" customWidth="1"/>
    <col min="11772" max="11772" width="4.42578125" style="74" customWidth="1"/>
    <col min="11773" max="11773" width="18.28515625" style="74" customWidth="1"/>
    <col min="11774" max="11774" width="5.85546875" style="74" customWidth="1"/>
    <col min="11775" max="11775" width="4.140625" style="74" customWidth="1"/>
    <col min="11776" max="11783" width="15.42578125" style="74" customWidth="1"/>
    <col min="11784" max="11784" width="5.28515625" style="74" customWidth="1"/>
    <col min="11785" max="12025" width="9.140625" style="74"/>
    <col min="12026" max="12026" width="4.85546875" style="74" customWidth="1"/>
    <col min="12027" max="12027" width="57.5703125" style="74" customWidth="1"/>
    <col min="12028" max="12028" width="4.42578125" style="74" customWidth="1"/>
    <col min="12029" max="12029" width="18.28515625" style="74" customWidth="1"/>
    <col min="12030" max="12030" width="5.85546875" style="74" customWidth="1"/>
    <col min="12031" max="12031" width="4.140625" style="74" customWidth="1"/>
    <col min="12032" max="12039" width="15.42578125" style="74" customWidth="1"/>
    <col min="12040" max="12040" width="5.28515625" style="74" customWidth="1"/>
    <col min="12041" max="12281" width="9.140625" style="74"/>
    <col min="12282" max="12282" width="4.85546875" style="74" customWidth="1"/>
    <col min="12283" max="12283" width="57.5703125" style="74" customWidth="1"/>
    <col min="12284" max="12284" width="4.42578125" style="74" customWidth="1"/>
    <col min="12285" max="12285" width="18.28515625" style="74" customWidth="1"/>
    <col min="12286" max="12286" width="5.85546875" style="74" customWidth="1"/>
    <col min="12287" max="12287" width="4.140625" style="74" customWidth="1"/>
    <col min="12288" max="12295" width="15.42578125" style="74" customWidth="1"/>
    <col min="12296" max="12296" width="5.28515625" style="74" customWidth="1"/>
    <col min="12297" max="12537" width="9.140625" style="74"/>
    <col min="12538" max="12538" width="4.85546875" style="74" customWidth="1"/>
    <col min="12539" max="12539" width="57.5703125" style="74" customWidth="1"/>
    <col min="12540" max="12540" width="4.42578125" style="74" customWidth="1"/>
    <col min="12541" max="12541" width="18.28515625" style="74" customWidth="1"/>
    <col min="12542" max="12542" width="5.85546875" style="74" customWidth="1"/>
    <col min="12543" max="12543" width="4.140625" style="74" customWidth="1"/>
    <col min="12544" max="12551" width="15.42578125" style="74" customWidth="1"/>
    <col min="12552" max="12552" width="5.28515625" style="74" customWidth="1"/>
    <col min="12553" max="12793" width="9.140625" style="74"/>
    <col min="12794" max="12794" width="4.85546875" style="74" customWidth="1"/>
    <col min="12795" max="12795" width="57.5703125" style="74" customWidth="1"/>
    <col min="12796" max="12796" width="4.42578125" style="74" customWidth="1"/>
    <col min="12797" max="12797" width="18.28515625" style="74" customWidth="1"/>
    <col min="12798" max="12798" width="5.85546875" style="74" customWidth="1"/>
    <col min="12799" max="12799" width="4.140625" style="74" customWidth="1"/>
    <col min="12800" max="12807" width="15.42578125" style="74" customWidth="1"/>
    <col min="12808" max="12808" width="5.28515625" style="74" customWidth="1"/>
    <col min="12809" max="13049" width="9.140625" style="74"/>
    <col min="13050" max="13050" width="4.85546875" style="74" customWidth="1"/>
    <col min="13051" max="13051" width="57.5703125" style="74" customWidth="1"/>
    <col min="13052" max="13052" width="4.42578125" style="74" customWidth="1"/>
    <col min="13053" max="13053" width="18.28515625" style="74" customWidth="1"/>
    <col min="13054" max="13054" width="5.85546875" style="74" customWidth="1"/>
    <col min="13055" max="13055" width="4.140625" style="74" customWidth="1"/>
    <col min="13056" max="13063" width="15.42578125" style="74" customWidth="1"/>
    <col min="13064" max="13064" width="5.28515625" style="74" customWidth="1"/>
    <col min="13065" max="13305" width="9.140625" style="74"/>
    <col min="13306" max="13306" width="4.85546875" style="74" customWidth="1"/>
    <col min="13307" max="13307" width="57.5703125" style="74" customWidth="1"/>
    <col min="13308" max="13308" width="4.42578125" style="74" customWidth="1"/>
    <col min="13309" max="13309" width="18.28515625" style="74" customWidth="1"/>
    <col min="13310" max="13310" width="5.85546875" style="74" customWidth="1"/>
    <col min="13311" max="13311" width="4.140625" style="74" customWidth="1"/>
    <col min="13312" max="13319" width="15.42578125" style="74" customWidth="1"/>
    <col min="13320" max="13320" width="5.28515625" style="74" customWidth="1"/>
    <col min="13321" max="13561" width="9.140625" style="74"/>
    <col min="13562" max="13562" width="4.85546875" style="74" customWidth="1"/>
    <col min="13563" max="13563" width="57.5703125" style="74" customWidth="1"/>
    <col min="13564" max="13564" width="4.42578125" style="74" customWidth="1"/>
    <col min="13565" max="13565" width="18.28515625" style="74" customWidth="1"/>
    <col min="13566" max="13566" width="5.85546875" style="74" customWidth="1"/>
    <col min="13567" max="13567" width="4.140625" style="74" customWidth="1"/>
    <col min="13568" max="13575" width="15.42578125" style="74" customWidth="1"/>
    <col min="13576" max="13576" width="5.28515625" style="74" customWidth="1"/>
    <col min="13577" max="13817" width="9.140625" style="74"/>
    <col min="13818" max="13818" width="4.85546875" style="74" customWidth="1"/>
    <col min="13819" max="13819" width="57.5703125" style="74" customWidth="1"/>
    <col min="13820" max="13820" width="4.42578125" style="74" customWidth="1"/>
    <col min="13821" max="13821" width="18.28515625" style="74" customWidth="1"/>
    <col min="13822" max="13822" width="5.85546875" style="74" customWidth="1"/>
    <col min="13823" max="13823" width="4.140625" style="74" customWidth="1"/>
    <col min="13824" max="13831" width="15.42578125" style="74" customWidth="1"/>
    <col min="13832" max="13832" width="5.28515625" style="74" customWidth="1"/>
    <col min="13833" max="14073" width="9.140625" style="74"/>
    <col min="14074" max="14074" width="4.85546875" style="74" customWidth="1"/>
    <col min="14075" max="14075" width="57.5703125" style="74" customWidth="1"/>
    <col min="14076" max="14076" width="4.42578125" style="74" customWidth="1"/>
    <col min="14077" max="14077" width="18.28515625" style="74" customWidth="1"/>
    <col min="14078" max="14078" width="5.85546875" style="74" customWidth="1"/>
    <col min="14079" max="14079" width="4.140625" style="74" customWidth="1"/>
    <col min="14080" max="14087" width="15.42578125" style="74" customWidth="1"/>
    <col min="14088" max="14088" width="5.28515625" style="74" customWidth="1"/>
    <col min="14089" max="14329" width="9.140625" style="74"/>
    <col min="14330" max="14330" width="4.85546875" style="74" customWidth="1"/>
    <col min="14331" max="14331" width="57.5703125" style="74" customWidth="1"/>
    <col min="14332" max="14332" width="4.42578125" style="74" customWidth="1"/>
    <col min="14333" max="14333" width="18.28515625" style="74" customWidth="1"/>
    <col min="14334" max="14334" width="5.85546875" style="74" customWidth="1"/>
    <col min="14335" max="14335" width="4.140625" style="74" customWidth="1"/>
    <col min="14336" max="14343" width="15.42578125" style="74" customWidth="1"/>
    <col min="14344" max="14344" width="5.28515625" style="74" customWidth="1"/>
    <col min="14345" max="14585" width="9.140625" style="74"/>
    <col min="14586" max="14586" width="4.85546875" style="74" customWidth="1"/>
    <col min="14587" max="14587" width="57.5703125" style="74" customWidth="1"/>
    <col min="14588" max="14588" width="4.42578125" style="74" customWidth="1"/>
    <col min="14589" max="14589" width="18.28515625" style="74" customWidth="1"/>
    <col min="14590" max="14590" width="5.85546875" style="74" customWidth="1"/>
    <col min="14591" max="14591" width="4.140625" style="74" customWidth="1"/>
    <col min="14592" max="14599" width="15.42578125" style="74" customWidth="1"/>
    <col min="14600" max="14600" width="5.28515625" style="74" customWidth="1"/>
    <col min="14601" max="14841" width="9.140625" style="74"/>
    <col min="14842" max="14842" width="4.85546875" style="74" customWidth="1"/>
    <col min="14843" max="14843" width="57.5703125" style="74" customWidth="1"/>
    <col min="14844" max="14844" width="4.42578125" style="74" customWidth="1"/>
    <col min="14845" max="14845" width="18.28515625" style="74" customWidth="1"/>
    <col min="14846" max="14846" width="5.85546875" style="74" customWidth="1"/>
    <col min="14847" max="14847" width="4.140625" style="74" customWidth="1"/>
    <col min="14848" max="14855" width="15.42578125" style="74" customWidth="1"/>
    <col min="14856" max="14856" width="5.28515625" style="74" customWidth="1"/>
    <col min="14857" max="15097" width="9.140625" style="74"/>
    <col min="15098" max="15098" width="4.85546875" style="74" customWidth="1"/>
    <col min="15099" max="15099" width="57.5703125" style="74" customWidth="1"/>
    <col min="15100" max="15100" width="4.42578125" style="74" customWidth="1"/>
    <col min="15101" max="15101" width="18.28515625" style="74" customWidth="1"/>
    <col min="15102" max="15102" width="5.85546875" style="74" customWidth="1"/>
    <col min="15103" max="15103" width="4.140625" style="74" customWidth="1"/>
    <col min="15104" max="15111" width="15.42578125" style="74" customWidth="1"/>
    <col min="15112" max="15112" width="5.28515625" style="74" customWidth="1"/>
    <col min="15113" max="15353" width="9.140625" style="74"/>
    <col min="15354" max="15354" width="4.85546875" style="74" customWidth="1"/>
    <col min="15355" max="15355" width="57.5703125" style="74" customWidth="1"/>
    <col min="15356" max="15356" width="4.42578125" style="74" customWidth="1"/>
    <col min="15357" max="15357" width="18.28515625" style="74" customWidth="1"/>
    <col min="15358" max="15358" width="5.85546875" style="74" customWidth="1"/>
    <col min="15359" max="15359" width="4.140625" style="74" customWidth="1"/>
    <col min="15360" max="15367" width="15.42578125" style="74" customWidth="1"/>
    <col min="15368" max="15368" width="5.28515625" style="74" customWidth="1"/>
    <col min="15369" max="15609" width="9.140625" style="74"/>
    <col min="15610" max="15610" width="4.85546875" style="74" customWidth="1"/>
    <col min="15611" max="15611" width="57.5703125" style="74" customWidth="1"/>
    <col min="15612" max="15612" width="4.42578125" style="74" customWidth="1"/>
    <col min="15613" max="15613" width="18.28515625" style="74" customWidth="1"/>
    <col min="15614" max="15614" width="5.85546875" style="74" customWidth="1"/>
    <col min="15615" max="15615" width="4.140625" style="74" customWidth="1"/>
    <col min="15616" max="15623" width="15.42578125" style="74" customWidth="1"/>
    <col min="15624" max="15624" width="5.28515625" style="74" customWidth="1"/>
    <col min="15625" max="15865" width="9.140625" style="74"/>
    <col min="15866" max="15866" width="4.85546875" style="74" customWidth="1"/>
    <col min="15867" max="15867" width="57.5703125" style="74" customWidth="1"/>
    <col min="15868" max="15868" width="4.42578125" style="74" customWidth="1"/>
    <col min="15869" max="15869" width="18.28515625" style="74" customWidth="1"/>
    <col min="15870" max="15870" width="5.85546875" style="74" customWidth="1"/>
    <col min="15871" max="15871" width="4.140625" style="74" customWidth="1"/>
    <col min="15872" max="15879" width="15.42578125" style="74" customWidth="1"/>
    <col min="15880" max="15880" width="5.28515625" style="74" customWidth="1"/>
    <col min="15881" max="16121" width="9.140625" style="74"/>
    <col min="16122" max="16122" width="4.85546875" style="74" customWidth="1"/>
    <col min="16123" max="16123" width="57.5703125" style="74" customWidth="1"/>
    <col min="16124" max="16124" width="4.42578125" style="74" customWidth="1"/>
    <col min="16125" max="16125" width="18.28515625" style="74" customWidth="1"/>
    <col min="16126" max="16126" width="5.85546875" style="74" customWidth="1"/>
    <col min="16127" max="16127" width="4.140625" style="74" customWidth="1"/>
    <col min="16128" max="16135" width="15.42578125" style="74" customWidth="1"/>
    <col min="16136" max="16136" width="5.28515625" style="74" customWidth="1"/>
    <col min="16137" max="16384" width="9.140625" style="74"/>
  </cols>
  <sheetData>
    <row r="2" spans="1:26" s="59" customFormat="1" ht="15.75">
      <c r="B2" s="59" t="s">
        <v>224</v>
      </c>
    </row>
    <row r="4" spans="1:26" s="73" customFormat="1">
      <c r="B4" s="4" t="s">
        <v>32</v>
      </c>
    </row>
    <row r="5" spans="1:26">
      <c r="B5" s="79"/>
    </row>
    <row r="6" spans="1:26">
      <c r="B6" s="58" t="s">
        <v>246</v>
      </c>
    </row>
    <row r="7" spans="1:26">
      <c r="B7" s="58" t="s">
        <v>247</v>
      </c>
    </row>
    <row r="8" spans="1:26">
      <c r="B8" s="58" t="s">
        <v>248</v>
      </c>
    </row>
    <row r="10" spans="1:26" s="73" customFormat="1">
      <c r="B10" s="4" t="s">
        <v>223</v>
      </c>
      <c r="J10" s="4" t="s">
        <v>47</v>
      </c>
    </row>
    <row r="12" spans="1:26" s="107" customFormat="1" ht="12.75" customHeight="1">
      <c r="A12" s="104"/>
      <c r="B12" s="105"/>
      <c r="C12" s="106"/>
      <c r="D12" s="104"/>
      <c r="E12" s="104"/>
      <c r="F12" s="12"/>
      <c r="G12" s="173" t="s">
        <v>7</v>
      </c>
      <c r="H12" s="147"/>
      <c r="I12" s="147"/>
      <c r="J12" s="147"/>
      <c r="K12" s="147"/>
      <c r="L12" s="147"/>
      <c r="M12" s="147"/>
      <c r="N12" s="147"/>
      <c r="O12" s="12"/>
      <c r="P12" s="12"/>
      <c r="Q12" s="12"/>
      <c r="R12" s="12"/>
      <c r="S12" s="104"/>
      <c r="T12" s="104"/>
      <c r="U12" s="104"/>
      <c r="V12" s="104"/>
      <c r="W12" s="104"/>
      <c r="X12" s="104"/>
      <c r="Y12" s="104"/>
      <c r="Z12" s="104"/>
    </row>
    <row r="13" spans="1:26" s="147" customFormat="1">
      <c r="B13" s="146" t="s">
        <v>251</v>
      </c>
      <c r="C13" s="148"/>
      <c r="F13" s="149"/>
      <c r="G13" s="149"/>
      <c r="H13" s="149"/>
      <c r="I13" s="149"/>
      <c r="J13" s="149"/>
      <c r="K13" s="149"/>
    </row>
    <row r="14" spans="1:26">
      <c r="B14" s="202" t="s">
        <v>249</v>
      </c>
      <c r="D14" s="74" t="s">
        <v>13</v>
      </c>
      <c r="G14" s="127">
        <v>-40575.845562387607</v>
      </c>
      <c r="H14" s="88"/>
      <c r="I14" s="88"/>
      <c r="J14" s="157" t="s">
        <v>253</v>
      </c>
      <c r="K14" s="88"/>
      <c r="L14" s="88"/>
      <c r="M14" s="88"/>
      <c r="N14" s="88"/>
    </row>
    <row r="15" spans="1:26">
      <c r="B15" s="202" t="s">
        <v>250</v>
      </c>
      <c r="D15" s="74" t="s">
        <v>13</v>
      </c>
      <c r="G15" s="127">
        <v>-59331.61720012375</v>
      </c>
      <c r="H15" s="88"/>
      <c r="I15" s="88"/>
      <c r="J15" s="157" t="s">
        <v>252</v>
      </c>
      <c r="K15" s="88"/>
      <c r="L15" s="88"/>
      <c r="M15" s="88"/>
      <c r="N15" s="88"/>
    </row>
    <row r="17" spans="2:7">
      <c r="B17" s="78" t="s">
        <v>254</v>
      </c>
      <c r="D17" s="74" t="s">
        <v>13</v>
      </c>
      <c r="G17" s="200">
        <f>-SUM(G14:G15)</f>
        <v>99907.462762511364</v>
      </c>
    </row>
  </sheetData>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P55"/>
  <sheetViews>
    <sheetView showGridLines="0" zoomScale="85" workbookViewId="0"/>
  </sheetViews>
  <sheetFormatPr defaultRowHeight="12.75"/>
  <cols>
    <col min="1" max="1" width="4.85546875" style="74" customWidth="1"/>
    <col min="2" max="2" width="68.5703125" style="74" customWidth="1"/>
    <col min="3" max="3" width="10.140625" style="74" customWidth="1"/>
    <col min="4" max="4" width="17" style="74" customWidth="1"/>
    <col min="5" max="5" width="10.140625" style="74" customWidth="1"/>
    <col min="6" max="9" width="9.140625" style="74"/>
    <col min="10" max="10" width="15.28515625" style="74" bestFit="1" customWidth="1"/>
    <col min="11" max="11" width="11.5703125" style="74" bestFit="1" customWidth="1"/>
    <col min="12" max="246" width="9.140625" style="74"/>
    <col min="247" max="247" width="4.85546875" style="74" customWidth="1"/>
    <col min="248" max="248" width="57.5703125" style="74" customWidth="1"/>
    <col min="249" max="249" width="4.42578125" style="74" customWidth="1"/>
    <col min="250" max="250" width="18.28515625" style="74" customWidth="1"/>
    <col min="251" max="251" width="5.85546875" style="74" customWidth="1"/>
    <col min="252" max="252" width="4.140625" style="74" customWidth="1"/>
    <col min="253" max="260" width="15.42578125" style="74" customWidth="1"/>
    <col min="261" max="261" width="5.28515625" style="74" customWidth="1"/>
    <col min="262" max="502" width="9.140625" style="74"/>
    <col min="503" max="503" width="4.85546875" style="74" customWidth="1"/>
    <col min="504" max="504" width="57.5703125" style="74" customWidth="1"/>
    <col min="505" max="505" width="4.42578125" style="74" customWidth="1"/>
    <col min="506" max="506" width="18.28515625" style="74" customWidth="1"/>
    <col min="507" max="507" width="5.85546875" style="74" customWidth="1"/>
    <col min="508" max="508" width="4.140625" style="74" customWidth="1"/>
    <col min="509" max="516" width="15.42578125" style="74" customWidth="1"/>
    <col min="517" max="517" width="5.28515625" style="74" customWidth="1"/>
    <col min="518" max="758" width="9.140625" style="74"/>
    <col min="759" max="759" width="4.85546875" style="74" customWidth="1"/>
    <col min="760" max="760" width="57.5703125" style="74" customWidth="1"/>
    <col min="761" max="761" width="4.42578125" style="74" customWidth="1"/>
    <col min="762" max="762" width="18.28515625" style="74" customWidth="1"/>
    <col min="763" max="763" width="5.85546875" style="74" customWidth="1"/>
    <col min="764" max="764" width="4.140625" style="74" customWidth="1"/>
    <col min="765" max="772" width="15.42578125" style="74" customWidth="1"/>
    <col min="773" max="773" width="5.28515625" style="74" customWidth="1"/>
    <col min="774" max="1014" width="9.140625" style="74"/>
    <col min="1015" max="1015" width="4.85546875" style="74" customWidth="1"/>
    <col min="1016" max="1016" width="57.5703125" style="74" customWidth="1"/>
    <col min="1017" max="1017" width="4.42578125" style="74" customWidth="1"/>
    <col min="1018" max="1018" width="18.28515625" style="74" customWidth="1"/>
    <col min="1019" max="1019" width="5.85546875" style="74" customWidth="1"/>
    <col min="1020" max="1020" width="4.140625" style="74" customWidth="1"/>
    <col min="1021" max="1028" width="15.42578125" style="74" customWidth="1"/>
    <col min="1029" max="1029" width="5.28515625" style="74" customWidth="1"/>
    <col min="1030" max="1270" width="9.140625" style="74"/>
    <col min="1271" max="1271" width="4.85546875" style="74" customWidth="1"/>
    <col min="1272" max="1272" width="57.5703125" style="74" customWidth="1"/>
    <col min="1273" max="1273" width="4.42578125" style="74" customWidth="1"/>
    <col min="1274" max="1274" width="18.28515625" style="74" customWidth="1"/>
    <col min="1275" max="1275" width="5.85546875" style="74" customWidth="1"/>
    <col min="1276" max="1276" width="4.140625" style="74" customWidth="1"/>
    <col min="1277" max="1284" width="15.42578125" style="74" customWidth="1"/>
    <col min="1285" max="1285" width="5.28515625" style="74" customWidth="1"/>
    <col min="1286" max="1526" width="9.140625" style="74"/>
    <col min="1527" max="1527" width="4.85546875" style="74" customWidth="1"/>
    <col min="1528" max="1528" width="57.5703125" style="74" customWidth="1"/>
    <col min="1529" max="1529" width="4.42578125" style="74" customWidth="1"/>
    <col min="1530" max="1530" width="18.28515625" style="74" customWidth="1"/>
    <col min="1531" max="1531" width="5.85546875" style="74" customWidth="1"/>
    <col min="1532" max="1532" width="4.140625" style="74" customWidth="1"/>
    <col min="1533" max="1540" width="15.42578125" style="74" customWidth="1"/>
    <col min="1541" max="1541" width="5.28515625" style="74" customWidth="1"/>
    <col min="1542" max="1782" width="9.140625" style="74"/>
    <col min="1783" max="1783" width="4.85546875" style="74" customWidth="1"/>
    <col min="1784" max="1784" width="57.5703125" style="74" customWidth="1"/>
    <col min="1785" max="1785" width="4.42578125" style="74" customWidth="1"/>
    <col min="1786" max="1786" width="18.28515625" style="74" customWidth="1"/>
    <col min="1787" max="1787" width="5.85546875" style="74" customWidth="1"/>
    <col min="1788" max="1788" width="4.140625" style="74" customWidth="1"/>
    <col min="1789" max="1796" width="15.42578125" style="74" customWidth="1"/>
    <col min="1797" max="1797" width="5.28515625" style="74" customWidth="1"/>
    <col min="1798" max="2038" width="9.140625" style="74"/>
    <col min="2039" max="2039" width="4.85546875" style="74" customWidth="1"/>
    <col min="2040" max="2040" width="57.5703125" style="74" customWidth="1"/>
    <col min="2041" max="2041" width="4.42578125" style="74" customWidth="1"/>
    <col min="2042" max="2042" width="18.28515625" style="74" customWidth="1"/>
    <col min="2043" max="2043" width="5.85546875" style="74" customWidth="1"/>
    <col min="2044" max="2044" width="4.140625" style="74" customWidth="1"/>
    <col min="2045" max="2052" width="15.42578125" style="74" customWidth="1"/>
    <col min="2053" max="2053" width="5.28515625" style="74" customWidth="1"/>
    <col min="2054" max="2294" width="9.140625" style="74"/>
    <col min="2295" max="2295" width="4.85546875" style="74" customWidth="1"/>
    <col min="2296" max="2296" width="57.5703125" style="74" customWidth="1"/>
    <col min="2297" max="2297" width="4.42578125" style="74" customWidth="1"/>
    <col min="2298" max="2298" width="18.28515625" style="74" customWidth="1"/>
    <col min="2299" max="2299" width="5.85546875" style="74" customWidth="1"/>
    <col min="2300" max="2300" width="4.140625" style="74" customWidth="1"/>
    <col min="2301" max="2308" width="15.42578125" style="74" customWidth="1"/>
    <col min="2309" max="2309" width="5.28515625" style="74" customWidth="1"/>
    <col min="2310" max="2550" width="9.140625" style="74"/>
    <col min="2551" max="2551" width="4.85546875" style="74" customWidth="1"/>
    <col min="2552" max="2552" width="57.5703125" style="74" customWidth="1"/>
    <col min="2553" max="2553" width="4.42578125" style="74" customWidth="1"/>
    <col min="2554" max="2554" width="18.28515625" style="74" customWidth="1"/>
    <col min="2555" max="2555" width="5.85546875" style="74" customWidth="1"/>
    <col min="2556" max="2556" width="4.140625" style="74" customWidth="1"/>
    <col min="2557" max="2564" width="15.42578125" style="74" customWidth="1"/>
    <col min="2565" max="2565" width="5.28515625" style="74" customWidth="1"/>
    <col min="2566" max="2806" width="9.140625" style="74"/>
    <col min="2807" max="2807" width="4.85546875" style="74" customWidth="1"/>
    <col min="2808" max="2808" width="57.5703125" style="74" customWidth="1"/>
    <col min="2809" max="2809" width="4.42578125" style="74" customWidth="1"/>
    <col min="2810" max="2810" width="18.28515625" style="74" customWidth="1"/>
    <col min="2811" max="2811" width="5.85546875" style="74" customWidth="1"/>
    <col min="2812" max="2812" width="4.140625" style="74" customWidth="1"/>
    <col min="2813" max="2820" width="15.42578125" style="74" customWidth="1"/>
    <col min="2821" max="2821" width="5.28515625" style="74" customWidth="1"/>
    <col min="2822" max="3062" width="9.140625" style="74"/>
    <col min="3063" max="3063" width="4.85546875" style="74" customWidth="1"/>
    <col min="3064" max="3064" width="57.5703125" style="74" customWidth="1"/>
    <col min="3065" max="3065" width="4.42578125" style="74" customWidth="1"/>
    <col min="3066" max="3066" width="18.28515625" style="74" customWidth="1"/>
    <col min="3067" max="3067" width="5.85546875" style="74" customWidth="1"/>
    <col min="3068" max="3068" width="4.140625" style="74" customWidth="1"/>
    <col min="3069" max="3076" width="15.42578125" style="74" customWidth="1"/>
    <col min="3077" max="3077" width="5.28515625" style="74" customWidth="1"/>
    <col min="3078" max="3318" width="9.140625" style="74"/>
    <col min="3319" max="3319" width="4.85546875" style="74" customWidth="1"/>
    <col min="3320" max="3320" width="57.5703125" style="74" customWidth="1"/>
    <col min="3321" max="3321" width="4.42578125" style="74" customWidth="1"/>
    <col min="3322" max="3322" width="18.28515625" style="74" customWidth="1"/>
    <col min="3323" max="3323" width="5.85546875" style="74" customWidth="1"/>
    <col min="3324" max="3324" width="4.140625" style="74" customWidth="1"/>
    <col min="3325" max="3332" width="15.42578125" style="74" customWidth="1"/>
    <col min="3333" max="3333" width="5.28515625" style="74" customWidth="1"/>
    <col min="3334" max="3574" width="9.140625" style="74"/>
    <col min="3575" max="3575" width="4.85546875" style="74" customWidth="1"/>
    <col min="3576" max="3576" width="57.5703125" style="74" customWidth="1"/>
    <col min="3577" max="3577" width="4.42578125" style="74" customWidth="1"/>
    <col min="3578" max="3578" width="18.28515625" style="74" customWidth="1"/>
    <col min="3579" max="3579" width="5.85546875" style="74" customWidth="1"/>
    <col min="3580" max="3580" width="4.140625" style="74" customWidth="1"/>
    <col min="3581" max="3588" width="15.42578125" style="74" customWidth="1"/>
    <col min="3589" max="3589" width="5.28515625" style="74" customWidth="1"/>
    <col min="3590" max="3830" width="9.140625" style="74"/>
    <col min="3831" max="3831" width="4.85546875" style="74" customWidth="1"/>
    <col min="3832" max="3832" width="57.5703125" style="74" customWidth="1"/>
    <col min="3833" max="3833" width="4.42578125" style="74" customWidth="1"/>
    <col min="3834" max="3834" width="18.28515625" style="74" customWidth="1"/>
    <col min="3835" max="3835" width="5.85546875" style="74" customWidth="1"/>
    <col min="3836" max="3836" width="4.140625" style="74" customWidth="1"/>
    <col min="3837" max="3844" width="15.42578125" style="74" customWidth="1"/>
    <col min="3845" max="3845" width="5.28515625" style="74" customWidth="1"/>
    <col min="3846" max="4086" width="9.140625" style="74"/>
    <col min="4087" max="4087" width="4.85546875" style="74" customWidth="1"/>
    <col min="4088" max="4088" width="57.5703125" style="74" customWidth="1"/>
    <col min="4089" max="4089" width="4.42578125" style="74" customWidth="1"/>
    <col min="4090" max="4090" width="18.28515625" style="74" customWidth="1"/>
    <col min="4091" max="4091" width="5.85546875" style="74" customWidth="1"/>
    <col min="4092" max="4092" width="4.140625" style="74" customWidth="1"/>
    <col min="4093" max="4100" width="15.42578125" style="74" customWidth="1"/>
    <col min="4101" max="4101" width="5.28515625" style="74" customWidth="1"/>
    <col min="4102" max="4342" width="9.140625" style="74"/>
    <col min="4343" max="4343" width="4.85546875" style="74" customWidth="1"/>
    <col min="4344" max="4344" width="57.5703125" style="74" customWidth="1"/>
    <col min="4345" max="4345" width="4.42578125" style="74" customWidth="1"/>
    <col min="4346" max="4346" width="18.28515625" style="74" customWidth="1"/>
    <col min="4347" max="4347" width="5.85546875" style="74" customWidth="1"/>
    <col min="4348" max="4348" width="4.140625" style="74" customWidth="1"/>
    <col min="4349" max="4356" width="15.42578125" style="74" customWidth="1"/>
    <col min="4357" max="4357" width="5.28515625" style="74" customWidth="1"/>
    <col min="4358" max="4598" width="9.140625" style="74"/>
    <col min="4599" max="4599" width="4.85546875" style="74" customWidth="1"/>
    <col min="4600" max="4600" width="57.5703125" style="74" customWidth="1"/>
    <col min="4601" max="4601" width="4.42578125" style="74" customWidth="1"/>
    <col min="4602" max="4602" width="18.28515625" style="74" customWidth="1"/>
    <col min="4603" max="4603" width="5.85546875" style="74" customWidth="1"/>
    <col min="4604" max="4604" width="4.140625" style="74" customWidth="1"/>
    <col min="4605" max="4612" width="15.42578125" style="74" customWidth="1"/>
    <col min="4613" max="4613" width="5.28515625" style="74" customWidth="1"/>
    <col min="4614" max="4854" width="9.140625" style="74"/>
    <col min="4855" max="4855" width="4.85546875" style="74" customWidth="1"/>
    <col min="4856" max="4856" width="57.5703125" style="74" customWidth="1"/>
    <col min="4857" max="4857" width="4.42578125" style="74" customWidth="1"/>
    <col min="4858" max="4858" width="18.28515625" style="74" customWidth="1"/>
    <col min="4859" max="4859" width="5.85546875" style="74" customWidth="1"/>
    <col min="4860" max="4860" width="4.140625" style="74" customWidth="1"/>
    <col min="4861" max="4868" width="15.42578125" style="74" customWidth="1"/>
    <col min="4869" max="4869" width="5.28515625" style="74" customWidth="1"/>
    <col min="4870" max="5110" width="9.140625" style="74"/>
    <col min="5111" max="5111" width="4.85546875" style="74" customWidth="1"/>
    <col min="5112" max="5112" width="57.5703125" style="74" customWidth="1"/>
    <col min="5113" max="5113" width="4.42578125" style="74" customWidth="1"/>
    <col min="5114" max="5114" width="18.28515625" style="74" customWidth="1"/>
    <col min="5115" max="5115" width="5.85546875" style="74" customWidth="1"/>
    <col min="5116" max="5116" width="4.140625" style="74" customWidth="1"/>
    <col min="5117" max="5124" width="15.42578125" style="74" customWidth="1"/>
    <col min="5125" max="5125" width="5.28515625" style="74" customWidth="1"/>
    <col min="5126" max="5366" width="9.140625" style="74"/>
    <col min="5367" max="5367" width="4.85546875" style="74" customWidth="1"/>
    <col min="5368" max="5368" width="57.5703125" style="74" customWidth="1"/>
    <col min="5369" max="5369" width="4.42578125" style="74" customWidth="1"/>
    <col min="5370" max="5370" width="18.28515625" style="74" customWidth="1"/>
    <col min="5371" max="5371" width="5.85546875" style="74" customWidth="1"/>
    <col min="5372" max="5372" width="4.140625" style="74" customWidth="1"/>
    <col min="5373" max="5380" width="15.42578125" style="74" customWidth="1"/>
    <col min="5381" max="5381" width="5.28515625" style="74" customWidth="1"/>
    <col min="5382" max="5622" width="9.140625" style="74"/>
    <col min="5623" max="5623" width="4.85546875" style="74" customWidth="1"/>
    <col min="5624" max="5624" width="57.5703125" style="74" customWidth="1"/>
    <col min="5625" max="5625" width="4.42578125" style="74" customWidth="1"/>
    <col min="5626" max="5626" width="18.28515625" style="74" customWidth="1"/>
    <col min="5627" max="5627" width="5.85546875" style="74" customWidth="1"/>
    <col min="5628" max="5628" width="4.140625" style="74" customWidth="1"/>
    <col min="5629" max="5636" width="15.42578125" style="74" customWidth="1"/>
    <col min="5637" max="5637" width="5.28515625" style="74" customWidth="1"/>
    <col min="5638" max="5878" width="9.140625" style="74"/>
    <col min="5879" max="5879" width="4.85546875" style="74" customWidth="1"/>
    <col min="5880" max="5880" width="57.5703125" style="74" customWidth="1"/>
    <col min="5881" max="5881" width="4.42578125" style="74" customWidth="1"/>
    <col min="5882" max="5882" width="18.28515625" style="74" customWidth="1"/>
    <col min="5883" max="5883" width="5.85546875" style="74" customWidth="1"/>
    <col min="5884" max="5884" width="4.140625" style="74" customWidth="1"/>
    <col min="5885" max="5892" width="15.42578125" style="74" customWidth="1"/>
    <col min="5893" max="5893" width="5.28515625" style="74" customWidth="1"/>
    <col min="5894" max="6134" width="9.140625" style="74"/>
    <col min="6135" max="6135" width="4.85546875" style="74" customWidth="1"/>
    <col min="6136" max="6136" width="57.5703125" style="74" customWidth="1"/>
    <col min="6137" max="6137" width="4.42578125" style="74" customWidth="1"/>
    <col min="6138" max="6138" width="18.28515625" style="74" customWidth="1"/>
    <col min="6139" max="6139" width="5.85546875" style="74" customWidth="1"/>
    <col min="6140" max="6140" width="4.140625" style="74" customWidth="1"/>
    <col min="6141" max="6148" width="15.42578125" style="74" customWidth="1"/>
    <col min="6149" max="6149" width="5.28515625" style="74" customWidth="1"/>
    <col min="6150" max="6390" width="9.140625" style="74"/>
    <col min="6391" max="6391" width="4.85546875" style="74" customWidth="1"/>
    <col min="6392" max="6392" width="57.5703125" style="74" customWidth="1"/>
    <col min="6393" max="6393" width="4.42578125" style="74" customWidth="1"/>
    <col min="6394" max="6394" width="18.28515625" style="74" customWidth="1"/>
    <col min="6395" max="6395" width="5.85546875" style="74" customWidth="1"/>
    <col min="6396" max="6396" width="4.140625" style="74" customWidth="1"/>
    <col min="6397" max="6404" width="15.42578125" style="74" customWidth="1"/>
    <col min="6405" max="6405" width="5.28515625" style="74" customWidth="1"/>
    <col min="6406" max="6646" width="9.140625" style="74"/>
    <col min="6647" max="6647" width="4.85546875" style="74" customWidth="1"/>
    <col min="6648" max="6648" width="57.5703125" style="74" customWidth="1"/>
    <col min="6649" max="6649" width="4.42578125" style="74" customWidth="1"/>
    <col min="6650" max="6650" width="18.28515625" style="74" customWidth="1"/>
    <col min="6651" max="6651" width="5.85546875" style="74" customWidth="1"/>
    <col min="6652" max="6652" width="4.140625" style="74" customWidth="1"/>
    <col min="6653" max="6660" width="15.42578125" style="74" customWidth="1"/>
    <col min="6661" max="6661" width="5.28515625" style="74" customWidth="1"/>
    <col min="6662" max="6902" width="9.140625" style="74"/>
    <col min="6903" max="6903" width="4.85546875" style="74" customWidth="1"/>
    <col min="6904" max="6904" width="57.5703125" style="74" customWidth="1"/>
    <col min="6905" max="6905" width="4.42578125" style="74" customWidth="1"/>
    <col min="6906" max="6906" width="18.28515625" style="74" customWidth="1"/>
    <col min="6907" max="6907" width="5.85546875" style="74" customWidth="1"/>
    <col min="6908" max="6908" width="4.140625" style="74" customWidth="1"/>
    <col min="6909" max="6916" width="15.42578125" style="74" customWidth="1"/>
    <col min="6917" max="6917" width="5.28515625" style="74" customWidth="1"/>
    <col min="6918" max="7158" width="9.140625" style="74"/>
    <col min="7159" max="7159" width="4.85546875" style="74" customWidth="1"/>
    <col min="7160" max="7160" width="57.5703125" style="74" customWidth="1"/>
    <col min="7161" max="7161" width="4.42578125" style="74" customWidth="1"/>
    <col min="7162" max="7162" width="18.28515625" style="74" customWidth="1"/>
    <col min="7163" max="7163" width="5.85546875" style="74" customWidth="1"/>
    <col min="7164" max="7164" width="4.140625" style="74" customWidth="1"/>
    <col min="7165" max="7172" width="15.42578125" style="74" customWidth="1"/>
    <col min="7173" max="7173" width="5.28515625" style="74" customWidth="1"/>
    <col min="7174" max="7414" width="9.140625" style="74"/>
    <col min="7415" max="7415" width="4.85546875" style="74" customWidth="1"/>
    <col min="7416" max="7416" width="57.5703125" style="74" customWidth="1"/>
    <col min="7417" max="7417" width="4.42578125" style="74" customWidth="1"/>
    <col min="7418" max="7418" width="18.28515625" style="74" customWidth="1"/>
    <col min="7419" max="7419" width="5.85546875" style="74" customWidth="1"/>
    <col min="7420" max="7420" width="4.140625" style="74" customWidth="1"/>
    <col min="7421" max="7428" width="15.42578125" style="74" customWidth="1"/>
    <col min="7429" max="7429" width="5.28515625" style="74" customWidth="1"/>
    <col min="7430" max="7670" width="9.140625" style="74"/>
    <col min="7671" max="7671" width="4.85546875" style="74" customWidth="1"/>
    <col min="7672" max="7672" width="57.5703125" style="74" customWidth="1"/>
    <col min="7673" max="7673" width="4.42578125" style="74" customWidth="1"/>
    <col min="7674" max="7674" width="18.28515625" style="74" customWidth="1"/>
    <col min="7675" max="7675" width="5.85546875" style="74" customWidth="1"/>
    <col min="7676" max="7676" width="4.140625" style="74" customWidth="1"/>
    <col min="7677" max="7684" width="15.42578125" style="74" customWidth="1"/>
    <col min="7685" max="7685" width="5.28515625" style="74" customWidth="1"/>
    <col min="7686" max="7926" width="9.140625" style="74"/>
    <col min="7927" max="7927" width="4.85546875" style="74" customWidth="1"/>
    <col min="7928" max="7928" width="57.5703125" style="74" customWidth="1"/>
    <col min="7929" max="7929" width="4.42578125" style="74" customWidth="1"/>
    <col min="7930" max="7930" width="18.28515625" style="74" customWidth="1"/>
    <col min="7931" max="7931" width="5.85546875" style="74" customWidth="1"/>
    <col min="7932" max="7932" width="4.140625" style="74" customWidth="1"/>
    <col min="7933" max="7940" width="15.42578125" style="74" customWidth="1"/>
    <col min="7941" max="7941" width="5.28515625" style="74" customWidth="1"/>
    <col min="7942" max="8182" width="9.140625" style="74"/>
    <col min="8183" max="8183" width="4.85546875" style="74" customWidth="1"/>
    <col min="8184" max="8184" width="57.5703125" style="74" customWidth="1"/>
    <col min="8185" max="8185" width="4.42578125" style="74" customWidth="1"/>
    <col min="8186" max="8186" width="18.28515625" style="74" customWidth="1"/>
    <col min="8187" max="8187" width="5.85546875" style="74" customWidth="1"/>
    <col min="8188" max="8188" width="4.140625" style="74" customWidth="1"/>
    <col min="8189" max="8196" width="15.42578125" style="74" customWidth="1"/>
    <col min="8197" max="8197" width="5.28515625" style="74" customWidth="1"/>
    <col min="8198" max="8438" width="9.140625" style="74"/>
    <col min="8439" max="8439" width="4.85546875" style="74" customWidth="1"/>
    <col min="8440" max="8440" width="57.5703125" style="74" customWidth="1"/>
    <col min="8441" max="8441" width="4.42578125" style="74" customWidth="1"/>
    <col min="8442" max="8442" width="18.28515625" style="74" customWidth="1"/>
    <col min="8443" max="8443" width="5.85546875" style="74" customWidth="1"/>
    <col min="8444" max="8444" width="4.140625" style="74" customWidth="1"/>
    <col min="8445" max="8452" width="15.42578125" style="74" customWidth="1"/>
    <col min="8453" max="8453" width="5.28515625" style="74" customWidth="1"/>
    <col min="8454" max="8694" width="9.140625" style="74"/>
    <col min="8695" max="8695" width="4.85546875" style="74" customWidth="1"/>
    <col min="8696" max="8696" width="57.5703125" style="74" customWidth="1"/>
    <col min="8697" max="8697" width="4.42578125" style="74" customWidth="1"/>
    <col min="8698" max="8698" width="18.28515625" style="74" customWidth="1"/>
    <col min="8699" max="8699" width="5.85546875" style="74" customWidth="1"/>
    <col min="8700" max="8700" width="4.140625" style="74" customWidth="1"/>
    <col min="8701" max="8708" width="15.42578125" style="74" customWidth="1"/>
    <col min="8709" max="8709" width="5.28515625" style="74" customWidth="1"/>
    <col min="8710" max="8950" width="9.140625" style="74"/>
    <col min="8951" max="8951" width="4.85546875" style="74" customWidth="1"/>
    <col min="8952" max="8952" width="57.5703125" style="74" customWidth="1"/>
    <col min="8953" max="8953" width="4.42578125" style="74" customWidth="1"/>
    <col min="8954" max="8954" width="18.28515625" style="74" customWidth="1"/>
    <col min="8955" max="8955" width="5.85546875" style="74" customWidth="1"/>
    <col min="8956" max="8956" width="4.140625" style="74" customWidth="1"/>
    <col min="8957" max="8964" width="15.42578125" style="74" customWidth="1"/>
    <col min="8965" max="8965" width="5.28515625" style="74" customWidth="1"/>
    <col min="8966" max="9206" width="9.140625" style="74"/>
    <col min="9207" max="9207" width="4.85546875" style="74" customWidth="1"/>
    <col min="9208" max="9208" width="57.5703125" style="74" customWidth="1"/>
    <col min="9209" max="9209" width="4.42578125" style="74" customWidth="1"/>
    <col min="9210" max="9210" width="18.28515625" style="74" customWidth="1"/>
    <col min="9211" max="9211" width="5.85546875" style="74" customWidth="1"/>
    <col min="9212" max="9212" width="4.140625" style="74" customWidth="1"/>
    <col min="9213" max="9220" width="15.42578125" style="74" customWidth="1"/>
    <col min="9221" max="9221" width="5.28515625" style="74" customWidth="1"/>
    <col min="9222" max="9462" width="9.140625" style="74"/>
    <col min="9463" max="9463" width="4.85546875" style="74" customWidth="1"/>
    <col min="9464" max="9464" width="57.5703125" style="74" customWidth="1"/>
    <col min="9465" max="9465" width="4.42578125" style="74" customWidth="1"/>
    <col min="9466" max="9466" width="18.28515625" style="74" customWidth="1"/>
    <col min="9467" max="9467" width="5.85546875" style="74" customWidth="1"/>
    <col min="9468" max="9468" width="4.140625" style="74" customWidth="1"/>
    <col min="9469" max="9476" width="15.42578125" style="74" customWidth="1"/>
    <col min="9477" max="9477" width="5.28515625" style="74" customWidth="1"/>
    <col min="9478" max="9718" width="9.140625" style="74"/>
    <col min="9719" max="9719" width="4.85546875" style="74" customWidth="1"/>
    <col min="9720" max="9720" width="57.5703125" style="74" customWidth="1"/>
    <col min="9721" max="9721" width="4.42578125" style="74" customWidth="1"/>
    <col min="9722" max="9722" width="18.28515625" style="74" customWidth="1"/>
    <col min="9723" max="9723" width="5.85546875" style="74" customWidth="1"/>
    <col min="9724" max="9724" width="4.140625" style="74" customWidth="1"/>
    <col min="9725" max="9732" width="15.42578125" style="74" customWidth="1"/>
    <col min="9733" max="9733" width="5.28515625" style="74" customWidth="1"/>
    <col min="9734" max="9974" width="9.140625" style="74"/>
    <col min="9975" max="9975" width="4.85546875" style="74" customWidth="1"/>
    <col min="9976" max="9976" width="57.5703125" style="74" customWidth="1"/>
    <col min="9977" max="9977" width="4.42578125" style="74" customWidth="1"/>
    <col min="9978" max="9978" width="18.28515625" style="74" customWidth="1"/>
    <col min="9979" max="9979" width="5.85546875" style="74" customWidth="1"/>
    <col min="9980" max="9980" width="4.140625" style="74" customWidth="1"/>
    <col min="9981" max="9988" width="15.42578125" style="74" customWidth="1"/>
    <col min="9989" max="9989" width="5.28515625" style="74" customWidth="1"/>
    <col min="9990" max="10230" width="9.140625" style="74"/>
    <col min="10231" max="10231" width="4.85546875" style="74" customWidth="1"/>
    <col min="10232" max="10232" width="57.5703125" style="74" customWidth="1"/>
    <col min="10233" max="10233" width="4.42578125" style="74" customWidth="1"/>
    <col min="10234" max="10234" width="18.28515625" style="74" customWidth="1"/>
    <col min="10235" max="10235" width="5.85546875" style="74" customWidth="1"/>
    <col min="10236" max="10236" width="4.140625" style="74" customWidth="1"/>
    <col min="10237" max="10244" width="15.42578125" style="74" customWidth="1"/>
    <col min="10245" max="10245" width="5.28515625" style="74" customWidth="1"/>
    <col min="10246" max="10486" width="9.140625" style="74"/>
    <col min="10487" max="10487" width="4.85546875" style="74" customWidth="1"/>
    <col min="10488" max="10488" width="57.5703125" style="74" customWidth="1"/>
    <col min="10489" max="10489" width="4.42578125" style="74" customWidth="1"/>
    <col min="10490" max="10490" width="18.28515625" style="74" customWidth="1"/>
    <col min="10491" max="10491" width="5.85546875" style="74" customWidth="1"/>
    <col min="10492" max="10492" width="4.140625" style="74" customWidth="1"/>
    <col min="10493" max="10500" width="15.42578125" style="74" customWidth="1"/>
    <col min="10501" max="10501" width="5.28515625" style="74" customWidth="1"/>
    <col min="10502" max="10742" width="9.140625" style="74"/>
    <col min="10743" max="10743" width="4.85546875" style="74" customWidth="1"/>
    <col min="10744" max="10744" width="57.5703125" style="74" customWidth="1"/>
    <col min="10745" max="10745" width="4.42578125" style="74" customWidth="1"/>
    <col min="10746" max="10746" width="18.28515625" style="74" customWidth="1"/>
    <col min="10747" max="10747" width="5.85546875" style="74" customWidth="1"/>
    <col min="10748" max="10748" width="4.140625" style="74" customWidth="1"/>
    <col min="10749" max="10756" width="15.42578125" style="74" customWidth="1"/>
    <col min="10757" max="10757" width="5.28515625" style="74" customWidth="1"/>
    <col min="10758" max="10998" width="9.140625" style="74"/>
    <col min="10999" max="10999" width="4.85546875" style="74" customWidth="1"/>
    <col min="11000" max="11000" width="57.5703125" style="74" customWidth="1"/>
    <col min="11001" max="11001" width="4.42578125" style="74" customWidth="1"/>
    <col min="11002" max="11002" width="18.28515625" style="74" customWidth="1"/>
    <col min="11003" max="11003" width="5.85546875" style="74" customWidth="1"/>
    <col min="11004" max="11004" width="4.140625" style="74" customWidth="1"/>
    <col min="11005" max="11012" width="15.42578125" style="74" customWidth="1"/>
    <col min="11013" max="11013" width="5.28515625" style="74" customWidth="1"/>
    <col min="11014" max="11254" width="9.140625" style="74"/>
    <col min="11255" max="11255" width="4.85546875" style="74" customWidth="1"/>
    <col min="11256" max="11256" width="57.5703125" style="74" customWidth="1"/>
    <col min="11257" max="11257" width="4.42578125" style="74" customWidth="1"/>
    <col min="11258" max="11258" width="18.28515625" style="74" customWidth="1"/>
    <col min="11259" max="11259" width="5.85546875" style="74" customWidth="1"/>
    <col min="11260" max="11260" width="4.140625" style="74" customWidth="1"/>
    <col min="11261" max="11268" width="15.42578125" style="74" customWidth="1"/>
    <col min="11269" max="11269" width="5.28515625" style="74" customWidth="1"/>
    <col min="11270" max="11510" width="9.140625" style="74"/>
    <col min="11511" max="11511" width="4.85546875" style="74" customWidth="1"/>
    <col min="11512" max="11512" width="57.5703125" style="74" customWidth="1"/>
    <col min="11513" max="11513" width="4.42578125" style="74" customWidth="1"/>
    <col min="11514" max="11514" width="18.28515625" style="74" customWidth="1"/>
    <col min="11515" max="11515" width="5.85546875" style="74" customWidth="1"/>
    <col min="11516" max="11516" width="4.140625" style="74" customWidth="1"/>
    <col min="11517" max="11524" width="15.42578125" style="74" customWidth="1"/>
    <col min="11525" max="11525" width="5.28515625" style="74" customWidth="1"/>
    <col min="11526" max="11766" width="9.140625" style="74"/>
    <col min="11767" max="11767" width="4.85546875" style="74" customWidth="1"/>
    <col min="11768" max="11768" width="57.5703125" style="74" customWidth="1"/>
    <col min="11769" max="11769" width="4.42578125" style="74" customWidth="1"/>
    <col min="11770" max="11770" width="18.28515625" style="74" customWidth="1"/>
    <col min="11771" max="11771" width="5.85546875" style="74" customWidth="1"/>
    <col min="11772" max="11772" width="4.140625" style="74" customWidth="1"/>
    <col min="11773" max="11780" width="15.42578125" style="74" customWidth="1"/>
    <col min="11781" max="11781" width="5.28515625" style="74" customWidth="1"/>
    <col min="11782" max="12022" width="9.140625" style="74"/>
    <col min="12023" max="12023" width="4.85546875" style="74" customWidth="1"/>
    <col min="12024" max="12024" width="57.5703125" style="74" customWidth="1"/>
    <col min="12025" max="12025" width="4.42578125" style="74" customWidth="1"/>
    <col min="12026" max="12026" width="18.28515625" style="74" customWidth="1"/>
    <col min="12027" max="12027" width="5.85546875" style="74" customWidth="1"/>
    <col min="12028" max="12028" width="4.140625" style="74" customWidth="1"/>
    <col min="12029" max="12036" width="15.42578125" style="74" customWidth="1"/>
    <col min="12037" max="12037" width="5.28515625" style="74" customWidth="1"/>
    <col min="12038" max="12278" width="9.140625" style="74"/>
    <col min="12279" max="12279" width="4.85546875" style="74" customWidth="1"/>
    <col min="12280" max="12280" width="57.5703125" style="74" customWidth="1"/>
    <col min="12281" max="12281" width="4.42578125" style="74" customWidth="1"/>
    <col min="12282" max="12282" width="18.28515625" style="74" customWidth="1"/>
    <col min="12283" max="12283" width="5.85546875" style="74" customWidth="1"/>
    <col min="12284" max="12284" width="4.140625" style="74" customWidth="1"/>
    <col min="12285" max="12292" width="15.42578125" style="74" customWidth="1"/>
    <col min="12293" max="12293" width="5.28515625" style="74" customWidth="1"/>
    <col min="12294" max="12534" width="9.140625" style="74"/>
    <col min="12535" max="12535" width="4.85546875" style="74" customWidth="1"/>
    <col min="12536" max="12536" width="57.5703125" style="74" customWidth="1"/>
    <col min="12537" max="12537" width="4.42578125" style="74" customWidth="1"/>
    <col min="12538" max="12538" width="18.28515625" style="74" customWidth="1"/>
    <col min="12539" max="12539" width="5.85546875" style="74" customWidth="1"/>
    <col min="12540" max="12540" width="4.140625" style="74" customWidth="1"/>
    <col min="12541" max="12548" width="15.42578125" style="74" customWidth="1"/>
    <col min="12549" max="12549" width="5.28515625" style="74" customWidth="1"/>
    <col min="12550" max="12790" width="9.140625" style="74"/>
    <col min="12791" max="12791" width="4.85546875" style="74" customWidth="1"/>
    <col min="12792" max="12792" width="57.5703125" style="74" customWidth="1"/>
    <col min="12793" max="12793" width="4.42578125" style="74" customWidth="1"/>
    <col min="12794" max="12794" width="18.28515625" style="74" customWidth="1"/>
    <col min="12795" max="12795" width="5.85546875" style="74" customWidth="1"/>
    <col min="12796" max="12796" width="4.140625" style="74" customWidth="1"/>
    <col min="12797" max="12804" width="15.42578125" style="74" customWidth="1"/>
    <col min="12805" max="12805" width="5.28515625" style="74" customWidth="1"/>
    <col min="12806" max="13046" width="9.140625" style="74"/>
    <col min="13047" max="13047" width="4.85546875" style="74" customWidth="1"/>
    <col min="13048" max="13048" width="57.5703125" style="74" customWidth="1"/>
    <col min="13049" max="13049" width="4.42578125" style="74" customWidth="1"/>
    <col min="13050" max="13050" width="18.28515625" style="74" customWidth="1"/>
    <col min="13051" max="13051" width="5.85546875" style="74" customWidth="1"/>
    <col min="13052" max="13052" width="4.140625" style="74" customWidth="1"/>
    <col min="13053" max="13060" width="15.42578125" style="74" customWidth="1"/>
    <col min="13061" max="13061" width="5.28515625" style="74" customWidth="1"/>
    <col min="13062" max="13302" width="9.140625" style="74"/>
    <col min="13303" max="13303" width="4.85546875" style="74" customWidth="1"/>
    <col min="13304" max="13304" width="57.5703125" style="74" customWidth="1"/>
    <col min="13305" max="13305" width="4.42578125" style="74" customWidth="1"/>
    <col min="13306" max="13306" width="18.28515625" style="74" customWidth="1"/>
    <col min="13307" max="13307" width="5.85546875" style="74" customWidth="1"/>
    <col min="13308" max="13308" width="4.140625" style="74" customWidth="1"/>
    <col min="13309" max="13316" width="15.42578125" style="74" customWidth="1"/>
    <col min="13317" max="13317" width="5.28515625" style="74" customWidth="1"/>
    <col min="13318" max="13558" width="9.140625" style="74"/>
    <col min="13559" max="13559" width="4.85546875" style="74" customWidth="1"/>
    <col min="13560" max="13560" width="57.5703125" style="74" customWidth="1"/>
    <col min="13561" max="13561" width="4.42578125" style="74" customWidth="1"/>
    <col min="13562" max="13562" width="18.28515625" style="74" customWidth="1"/>
    <col min="13563" max="13563" width="5.85546875" style="74" customWidth="1"/>
    <col min="13564" max="13564" width="4.140625" style="74" customWidth="1"/>
    <col min="13565" max="13572" width="15.42578125" style="74" customWidth="1"/>
    <col min="13573" max="13573" width="5.28515625" style="74" customWidth="1"/>
    <col min="13574" max="13814" width="9.140625" style="74"/>
    <col min="13815" max="13815" width="4.85546875" style="74" customWidth="1"/>
    <col min="13816" max="13816" width="57.5703125" style="74" customWidth="1"/>
    <col min="13817" max="13817" width="4.42578125" style="74" customWidth="1"/>
    <col min="13818" max="13818" width="18.28515625" style="74" customWidth="1"/>
    <col min="13819" max="13819" width="5.85546875" style="74" customWidth="1"/>
    <col min="13820" max="13820" width="4.140625" style="74" customWidth="1"/>
    <col min="13821" max="13828" width="15.42578125" style="74" customWidth="1"/>
    <col min="13829" max="13829" width="5.28515625" style="74" customWidth="1"/>
    <col min="13830" max="14070" width="9.140625" style="74"/>
    <col min="14071" max="14071" width="4.85546875" style="74" customWidth="1"/>
    <col min="14072" max="14072" width="57.5703125" style="74" customWidth="1"/>
    <col min="14073" max="14073" width="4.42578125" style="74" customWidth="1"/>
    <col min="14074" max="14074" width="18.28515625" style="74" customWidth="1"/>
    <col min="14075" max="14075" width="5.85546875" style="74" customWidth="1"/>
    <col min="14076" max="14076" width="4.140625" style="74" customWidth="1"/>
    <col min="14077" max="14084" width="15.42578125" style="74" customWidth="1"/>
    <col min="14085" max="14085" width="5.28515625" style="74" customWidth="1"/>
    <col min="14086" max="14326" width="9.140625" style="74"/>
    <col min="14327" max="14327" width="4.85546875" style="74" customWidth="1"/>
    <col min="14328" max="14328" width="57.5703125" style="74" customWidth="1"/>
    <col min="14329" max="14329" width="4.42578125" style="74" customWidth="1"/>
    <col min="14330" max="14330" width="18.28515625" style="74" customWidth="1"/>
    <col min="14331" max="14331" width="5.85546875" style="74" customWidth="1"/>
    <col min="14332" max="14332" width="4.140625" style="74" customWidth="1"/>
    <col min="14333" max="14340" width="15.42578125" style="74" customWidth="1"/>
    <col min="14341" max="14341" width="5.28515625" style="74" customWidth="1"/>
    <col min="14342" max="14582" width="9.140625" style="74"/>
    <col min="14583" max="14583" width="4.85546875" style="74" customWidth="1"/>
    <col min="14584" max="14584" width="57.5703125" style="74" customWidth="1"/>
    <col min="14585" max="14585" width="4.42578125" style="74" customWidth="1"/>
    <col min="14586" max="14586" width="18.28515625" style="74" customWidth="1"/>
    <col min="14587" max="14587" width="5.85546875" style="74" customWidth="1"/>
    <col min="14588" max="14588" width="4.140625" style="74" customWidth="1"/>
    <col min="14589" max="14596" width="15.42578125" style="74" customWidth="1"/>
    <col min="14597" max="14597" width="5.28515625" style="74" customWidth="1"/>
    <col min="14598" max="14838" width="9.140625" style="74"/>
    <col min="14839" max="14839" width="4.85546875" style="74" customWidth="1"/>
    <col min="14840" max="14840" width="57.5703125" style="74" customWidth="1"/>
    <col min="14841" max="14841" width="4.42578125" style="74" customWidth="1"/>
    <col min="14842" max="14842" width="18.28515625" style="74" customWidth="1"/>
    <col min="14843" max="14843" width="5.85546875" style="74" customWidth="1"/>
    <col min="14844" max="14844" width="4.140625" style="74" customWidth="1"/>
    <col min="14845" max="14852" width="15.42578125" style="74" customWidth="1"/>
    <col min="14853" max="14853" width="5.28515625" style="74" customWidth="1"/>
    <col min="14854" max="15094" width="9.140625" style="74"/>
    <col min="15095" max="15095" width="4.85546875" style="74" customWidth="1"/>
    <col min="15096" max="15096" width="57.5703125" style="74" customWidth="1"/>
    <col min="15097" max="15097" width="4.42578125" style="74" customWidth="1"/>
    <col min="15098" max="15098" width="18.28515625" style="74" customWidth="1"/>
    <col min="15099" max="15099" width="5.85546875" style="74" customWidth="1"/>
    <col min="15100" max="15100" width="4.140625" style="74" customWidth="1"/>
    <col min="15101" max="15108" width="15.42578125" style="74" customWidth="1"/>
    <col min="15109" max="15109" width="5.28515625" style="74" customWidth="1"/>
    <col min="15110" max="15350" width="9.140625" style="74"/>
    <col min="15351" max="15351" width="4.85546875" style="74" customWidth="1"/>
    <col min="15352" max="15352" width="57.5703125" style="74" customWidth="1"/>
    <col min="15353" max="15353" width="4.42578125" style="74" customWidth="1"/>
    <col min="15354" max="15354" width="18.28515625" style="74" customWidth="1"/>
    <col min="15355" max="15355" width="5.85546875" style="74" customWidth="1"/>
    <col min="15356" max="15356" width="4.140625" style="74" customWidth="1"/>
    <col min="15357" max="15364" width="15.42578125" style="74" customWidth="1"/>
    <col min="15365" max="15365" width="5.28515625" style="74" customWidth="1"/>
    <col min="15366" max="15606" width="9.140625" style="74"/>
    <col min="15607" max="15607" width="4.85546875" style="74" customWidth="1"/>
    <col min="15608" max="15608" width="57.5703125" style="74" customWidth="1"/>
    <col min="15609" max="15609" width="4.42578125" style="74" customWidth="1"/>
    <col min="15610" max="15610" width="18.28515625" style="74" customWidth="1"/>
    <col min="15611" max="15611" width="5.85546875" style="74" customWidth="1"/>
    <col min="15612" max="15612" width="4.140625" style="74" customWidth="1"/>
    <col min="15613" max="15620" width="15.42578125" style="74" customWidth="1"/>
    <col min="15621" max="15621" width="5.28515625" style="74" customWidth="1"/>
    <col min="15622" max="15862" width="9.140625" style="74"/>
    <col min="15863" max="15863" width="4.85546875" style="74" customWidth="1"/>
    <col min="15864" max="15864" width="57.5703125" style="74" customWidth="1"/>
    <col min="15865" max="15865" width="4.42578125" style="74" customWidth="1"/>
    <col min="15866" max="15866" width="18.28515625" style="74" customWidth="1"/>
    <col min="15867" max="15867" width="5.85546875" style="74" customWidth="1"/>
    <col min="15868" max="15868" width="4.140625" style="74" customWidth="1"/>
    <col min="15869" max="15876" width="15.42578125" style="74" customWidth="1"/>
    <col min="15877" max="15877" width="5.28515625" style="74" customWidth="1"/>
    <col min="15878" max="16118" width="9.140625" style="74"/>
    <col min="16119" max="16119" width="4.85546875" style="74" customWidth="1"/>
    <col min="16120" max="16120" width="57.5703125" style="74" customWidth="1"/>
    <col min="16121" max="16121" width="4.42578125" style="74" customWidth="1"/>
    <col min="16122" max="16122" width="18.28515625" style="74" customWidth="1"/>
    <col min="16123" max="16123" width="5.85546875" style="74" customWidth="1"/>
    <col min="16124" max="16124" width="4.140625" style="74" customWidth="1"/>
    <col min="16125" max="16132" width="15.42578125" style="74" customWidth="1"/>
    <col min="16133" max="16133" width="5.28515625" style="74" customWidth="1"/>
    <col min="16134" max="16384" width="9.140625" style="74"/>
  </cols>
  <sheetData>
    <row r="2" spans="2:8" s="59" customFormat="1" ht="15.75">
      <c r="B2" s="59" t="s">
        <v>284</v>
      </c>
    </row>
    <row r="4" spans="2:8" s="73" customFormat="1">
      <c r="B4" s="4" t="s">
        <v>32</v>
      </c>
    </row>
    <row r="5" spans="2:8" s="267" customFormat="1">
      <c r="B5" s="312"/>
    </row>
    <row r="6" spans="2:8" s="267" customFormat="1">
      <c r="B6" s="312" t="s">
        <v>377</v>
      </c>
    </row>
    <row r="7" spans="2:8" s="267" customFormat="1">
      <c r="B7" s="312" t="s">
        <v>378</v>
      </c>
    </row>
    <row r="8" spans="2:8" s="267" customFormat="1">
      <c r="B8" s="312" t="s">
        <v>379</v>
      </c>
    </row>
    <row r="9" spans="2:8" s="267" customFormat="1">
      <c r="B9" s="312" t="s">
        <v>381</v>
      </c>
    </row>
    <row r="10" spans="2:8" s="267" customFormat="1">
      <c r="B10" s="312" t="s">
        <v>380</v>
      </c>
    </row>
    <row r="11" spans="2:8" s="267" customFormat="1"/>
    <row r="12" spans="2:8" s="73" customFormat="1">
      <c r="B12" s="4" t="s">
        <v>286</v>
      </c>
    </row>
    <row r="14" spans="2:8" s="105" customFormat="1" ht="12.75" customHeight="1">
      <c r="C14" s="313"/>
      <c r="D14" s="314" t="s">
        <v>5</v>
      </c>
    </row>
    <row r="15" spans="2:8" s="147" customFormat="1">
      <c r="B15" s="201" t="s">
        <v>241</v>
      </c>
      <c r="C15" s="149"/>
      <c r="D15" s="149"/>
      <c r="E15" s="149"/>
      <c r="F15" s="149"/>
      <c r="G15" s="149"/>
      <c r="H15" s="149"/>
    </row>
    <row r="16" spans="2:8" s="147" customFormat="1">
      <c r="B16" s="94" t="s">
        <v>339</v>
      </c>
      <c r="C16" s="74" t="s">
        <v>13</v>
      </c>
      <c r="D16" s="154">
        <v>943814857.80633783</v>
      </c>
      <c r="E16" s="150"/>
      <c r="F16" s="58" t="s">
        <v>285</v>
      </c>
      <c r="G16" s="150"/>
      <c r="H16" s="150"/>
    </row>
    <row r="17" spans="2:16" s="147" customFormat="1">
      <c r="B17" s="94" t="s">
        <v>338</v>
      </c>
      <c r="C17" s="74" t="s">
        <v>13</v>
      </c>
      <c r="D17" s="154">
        <v>879652029.06430531</v>
      </c>
      <c r="E17" s="150"/>
      <c r="F17" s="58" t="s">
        <v>288</v>
      </c>
      <c r="G17" s="150"/>
      <c r="H17" s="150"/>
    </row>
    <row r="18" spans="2:16" s="147" customFormat="1">
      <c r="B18" s="94"/>
      <c r="C18" s="79"/>
      <c r="D18" s="271"/>
      <c r="E18" s="150"/>
      <c r="F18" s="58"/>
      <c r="G18" s="150"/>
      <c r="H18" s="150"/>
    </row>
    <row r="19" spans="2:16" s="147" customFormat="1">
      <c r="B19" s="94" t="s">
        <v>340</v>
      </c>
      <c r="C19" s="79"/>
      <c r="D19" s="270">
        <f>D16-D17</f>
        <v>64162828.742032528</v>
      </c>
      <c r="E19" s="150"/>
      <c r="F19" s="58"/>
      <c r="G19" s="150"/>
      <c r="H19" s="150"/>
    </row>
    <row r="20" spans="2:16" s="147" customFormat="1">
      <c r="B20" s="94"/>
      <c r="C20" s="79"/>
      <c r="D20" s="271"/>
      <c r="E20" s="150"/>
      <c r="F20" s="58"/>
      <c r="G20" s="150"/>
      <c r="H20" s="150"/>
    </row>
    <row r="21" spans="2:16" s="147" customFormat="1">
      <c r="B21" s="78" t="s">
        <v>289</v>
      </c>
      <c r="C21" s="74"/>
      <c r="D21" s="88"/>
      <c r="E21" s="150"/>
      <c r="F21" s="58"/>
      <c r="G21" s="150"/>
      <c r="H21" s="150"/>
    </row>
    <row r="22" spans="2:16" s="147" customFormat="1">
      <c r="B22" s="94" t="s">
        <v>299</v>
      </c>
      <c r="C22" s="74" t="s">
        <v>13</v>
      </c>
      <c r="D22" s="154">
        <v>-1724120.9231692553</v>
      </c>
      <c r="E22" s="150"/>
      <c r="F22" s="58" t="s">
        <v>290</v>
      </c>
      <c r="G22" s="150"/>
      <c r="H22" s="150"/>
      <c r="J22" s="135"/>
    </row>
    <row r="23" spans="2:16" s="147" customFormat="1">
      <c r="B23" s="94" t="s">
        <v>300</v>
      </c>
      <c r="C23" s="74" t="s">
        <v>13</v>
      </c>
      <c r="D23" s="154">
        <v>306401.00155335711</v>
      </c>
      <c r="E23" s="150"/>
      <c r="F23" s="58" t="s">
        <v>290</v>
      </c>
      <c r="G23" s="150"/>
      <c r="H23" s="150"/>
      <c r="P23" s="224"/>
    </row>
    <row r="24" spans="2:16" s="147" customFormat="1">
      <c r="B24" s="94" t="s">
        <v>301</v>
      </c>
      <c r="C24" s="74" t="s">
        <v>13</v>
      </c>
      <c r="D24" s="154">
        <v>-1216396.9719339868</v>
      </c>
      <c r="E24" s="150"/>
      <c r="F24" s="58" t="s">
        <v>291</v>
      </c>
      <c r="G24" s="150"/>
      <c r="H24" s="150"/>
      <c r="J24" s="135"/>
      <c r="K24" s="135"/>
      <c r="L24" s="135"/>
      <c r="P24" s="224"/>
    </row>
    <row r="25" spans="2:16" s="147" customFormat="1">
      <c r="B25" s="94" t="s">
        <v>302</v>
      </c>
      <c r="C25" s="74" t="s">
        <v>13</v>
      </c>
      <c r="D25" s="154">
        <v>25618677.63554664</v>
      </c>
      <c r="E25" s="150"/>
      <c r="F25" s="58" t="s">
        <v>291</v>
      </c>
      <c r="G25" s="150"/>
      <c r="H25" s="150"/>
      <c r="J25" s="266"/>
    </row>
    <row r="26" spans="2:16" s="147" customFormat="1">
      <c r="B26" s="94" t="s">
        <v>303</v>
      </c>
      <c r="C26" s="74" t="s">
        <v>13</v>
      </c>
      <c r="D26" s="154">
        <v>267037.3</v>
      </c>
      <c r="E26" s="150"/>
      <c r="F26" s="58" t="s">
        <v>291</v>
      </c>
      <c r="G26" s="150"/>
      <c r="H26" s="150"/>
      <c r="J26" s="266"/>
      <c r="K26" s="26"/>
    </row>
    <row r="27" spans="2:16" s="147" customFormat="1">
      <c r="B27" s="94" t="s">
        <v>236</v>
      </c>
      <c r="C27" s="74" t="s">
        <v>13</v>
      </c>
      <c r="D27" s="316">
        <f>'Nacalculaties en correcties'!J13</f>
        <v>-13735613.519862533</v>
      </c>
      <c r="E27" s="150"/>
      <c r="F27" s="58"/>
      <c r="G27" s="150"/>
      <c r="H27" s="150"/>
      <c r="J27" s="266"/>
      <c r="K27" s="26"/>
    </row>
    <row r="28" spans="2:16" s="147" customFormat="1">
      <c r="C28" s="79"/>
      <c r="D28" s="271"/>
      <c r="E28" s="150"/>
      <c r="F28" s="58"/>
      <c r="G28" s="150"/>
      <c r="H28" s="150"/>
      <c r="J28" s="266"/>
      <c r="K28" s="26"/>
    </row>
    <row r="29" spans="2:16" s="147" customFormat="1">
      <c r="B29" s="272" t="s">
        <v>46</v>
      </c>
      <c r="C29" s="74" t="s">
        <v>13</v>
      </c>
      <c r="D29" s="270">
        <f>SUM(D22:D27)</f>
        <v>9515984.5221342221</v>
      </c>
      <c r="E29" s="150"/>
      <c r="F29" s="58"/>
      <c r="G29" s="150"/>
      <c r="H29" s="150"/>
      <c r="J29" s="266"/>
      <c r="K29" s="26"/>
    </row>
    <row r="30" spans="2:16" s="147" customFormat="1">
      <c r="C30" s="150"/>
      <c r="D30" s="150"/>
      <c r="E30" s="150"/>
      <c r="F30" s="58"/>
      <c r="G30" s="150"/>
      <c r="H30" s="150"/>
    </row>
    <row r="31" spans="2:16" s="147" customFormat="1">
      <c r="B31" s="272" t="s">
        <v>362</v>
      </c>
      <c r="C31" s="74" t="s">
        <v>13</v>
      </c>
      <c r="D31" s="154">
        <v>1417719.9216158981</v>
      </c>
      <c r="E31" s="150"/>
      <c r="F31" s="58" t="s">
        <v>290</v>
      </c>
      <c r="G31" s="150"/>
      <c r="H31" s="150"/>
    </row>
    <row r="32" spans="2:16" s="147" customFormat="1">
      <c r="B32" s="272" t="s">
        <v>341</v>
      </c>
      <c r="C32" s="74" t="s">
        <v>13</v>
      </c>
      <c r="D32" s="154">
        <v>-1417719.9216159</v>
      </c>
      <c r="E32" s="150"/>
      <c r="F32" s="58" t="s">
        <v>290</v>
      </c>
      <c r="G32" s="150"/>
      <c r="H32" s="150"/>
    </row>
    <row r="33" spans="2:10" s="147" customFormat="1">
      <c r="B33" s="272"/>
      <c r="C33" s="79"/>
      <c r="D33" s="273"/>
      <c r="E33" s="150"/>
      <c r="F33" s="58"/>
      <c r="G33" s="150"/>
      <c r="H33" s="150"/>
    </row>
    <row r="34" spans="2:10" s="79" customFormat="1">
      <c r="B34" s="272" t="s">
        <v>294</v>
      </c>
      <c r="C34" s="74" t="s">
        <v>13</v>
      </c>
      <c r="D34" s="315">
        <f>IF(D29&gt;0,0,IF(ABS(D29)&gt;D19,D19-D31-D32,ABS(D29)-D31-D32))</f>
        <v>0</v>
      </c>
      <c r="E34" s="7"/>
      <c r="F34" s="7"/>
      <c r="G34" s="7"/>
      <c r="H34" s="7"/>
    </row>
    <row r="35" spans="2:10" s="79" customFormat="1">
      <c r="B35" s="272"/>
      <c r="C35" s="7"/>
      <c r="D35" s="7"/>
      <c r="E35" s="7"/>
      <c r="F35" s="7"/>
      <c r="G35" s="7"/>
      <c r="H35" s="7"/>
    </row>
    <row r="36" spans="2:10" s="73" customFormat="1">
      <c r="B36" s="4" t="s">
        <v>292</v>
      </c>
    </row>
    <row r="38" spans="2:10" s="105" customFormat="1" ht="12.75" customHeight="1">
      <c r="C38" s="313"/>
      <c r="D38" s="314" t="s">
        <v>5</v>
      </c>
    </row>
    <row r="39" spans="2:10" s="147" customFormat="1">
      <c r="B39" s="201" t="s">
        <v>287</v>
      </c>
      <c r="C39" s="149"/>
      <c r="D39" s="149"/>
      <c r="E39" s="149"/>
      <c r="F39" s="149"/>
      <c r="G39" s="149"/>
      <c r="H39" s="149"/>
    </row>
    <row r="40" spans="2:10" s="147" customFormat="1">
      <c r="B40" s="94" t="s">
        <v>363</v>
      </c>
      <c r="C40" s="94" t="s">
        <v>40</v>
      </c>
      <c r="D40" s="154">
        <v>1017696665.4971951</v>
      </c>
      <c r="E40" s="150"/>
      <c r="F40" s="58" t="s">
        <v>365</v>
      </c>
      <c r="G40" s="150"/>
      <c r="H40" s="150"/>
    </row>
    <row r="41" spans="2:10" s="147" customFormat="1">
      <c r="B41" s="94" t="s">
        <v>364</v>
      </c>
      <c r="C41" s="94" t="s">
        <v>40</v>
      </c>
      <c r="D41" s="154">
        <v>932035873.62129688</v>
      </c>
      <c r="E41" s="150"/>
      <c r="F41" s="58" t="s">
        <v>288</v>
      </c>
      <c r="G41" s="150"/>
      <c r="H41" s="150"/>
    </row>
    <row r="42" spans="2:10" s="147" customFormat="1">
      <c r="B42" s="201"/>
      <c r="D42" s="149"/>
      <c r="E42" s="149"/>
      <c r="F42" s="149"/>
      <c r="G42" s="149"/>
      <c r="H42" s="149"/>
    </row>
    <row r="43" spans="2:10" s="147" customFormat="1">
      <c r="B43" s="94" t="s">
        <v>340</v>
      </c>
      <c r="C43" s="79"/>
      <c r="D43" s="270">
        <f>D40-D41</f>
        <v>85660791.875898242</v>
      </c>
      <c r="E43" s="150"/>
      <c r="F43" s="58" t="s">
        <v>288</v>
      </c>
      <c r="G43" s="150"/>
      <c r="H43" s="150"/>
    </row>
    <row r="44" spans="2:10" s="147" customFormat="1">
      <c r="B44" s="94"/>
      <c r="C44" s="74"/>
      <c r="D44" s="88"/>
      <c r="E44" s="150"/>
      <c r="F44" s="58"/>
      <c r="G44" s="150"/>
      <c r="H44" s="150"/>
    </row>
    <row r="45" spans="2:10" s="147" customFormat="1">
      <c r="B45" s="78" t="s">
        <v>293</v>
      </c>
      <c r="C45" s="74"/>
      <c r="D45" s="88"/>
      <c r="E45" s="150"/>
      <c r="F45" s="58"/>
      <c r="G45" s="150"/>
      <c r="H45" s="150"/>
    </row>
    <row r="46" spans="2:10" s="147" customFormat="1">
      <c r="B46" s="94" t="s">
        <v>304</v>
      </c>
      <c r="C46" s="94" t="s">
        <v>40</v>
      </c>
      <c r="D46" s="154">
        <v>-1244374.1022884683</v>
      </c>
      <c r="E46" s="150"/>
      <c r="F46" s="58" t="s">
        <v>291</v>
      </c>
      <c r="G46" s="150"/>
      <c r="H46" s="150"/>
      <c r="J46" s="266"/>
    </row>
    <row r="47" spans="2:10" s="147" customFormat="1">
      <c r="B47" s="94" t="s">
        <v>305</v>
      </c>
      <c r="C47" s="94" t="s">
        <v>40</v>
      </c>
      <c r="D47" s="154">
        <v>1428124.6342964508</v>
      </c>
      <c r="E47" s="150"/>
      <c r="F47" s="58" t="s">
        <v>291</v>
      </c>
      <c r="G47" s="150"/>
      <c r="H47" s="150"/>
      <c r="J47" s="266"/>
    </row>
    <row r="48" spans="2:10" s="147" customFormat="1">
      <c r="B48" s="94" t="s">
        <v>306</v>
      </c>
      <c r="C48" s="94" t="s">
        <v>40</v>
      </c>
      <c r="D48" s="154">
        <v>332662.66000000003</v>
      </c>
      <c r="E48" s="150"/>
      <c r="F48" s="58" t="s">
        <v>291</v>
      </c>
      <c r="G48" s="150"/>
      <c r="H48" s="150"/>
      <c r="J48" s="266"/>
    </row>
    <row r="49" spans="2:11" s="147" customFormat="1">
      <c r="B49" s="94" t="s">
        <v>267</v>
      </c>
      <c r="C49" s="94" t="s">
        <v>40</v>
      </c>
      <c r="D49" s="316">
        <f>'Nacalculaties en correcties'!J11</f>
        <v>25304242.6446895</v>
      </c>
      <c r="E49" s="150"/>
      <c r="F49" s="58"/>
      <c r="G49" s="150"/>
      <c r="H49" s="150"/>
      <c r="J49" s="266"/>
      <c r="K49" s="266"/>
    </row>
    <row r="50" spans="2:11" s="147" customFormat="1">
      <c r="B50" s="94" t="s">
        <v>237</v>
      </c>
      <c r="C50" s="94" t="s">
        <v>40</v>
      </c>
      <c r="D50" s="316">
        <f>'Nacalculaties en correcties'!J14</f>
        <v>-22238554.259046435</v>
      </c>
      <c r="E50" s="150"/>
      <c r="F50" s="58"/>
      <c r="G50" s="150"/>
      <c r="H50" s="150"/>
      <c r="J50" s="266"/>
      <c r="K50" s="266"/>
    </row>
    <row r="51" spans="2:11" s="79" customFormat="1">
      <c r="C51" s="7"/>
      <c r="D51" s="7"/>
      <c r="E51" s="7"/>
      <c r="F51" s="7"/>
      <c r="G51" s="7"/>
      <c r="H51" s="7"/>
    </row>
    <row r="52" spans="2:11">
      <c r="B52" s="272" t="s">
        <v>46</v>
      </c>
      <c r="C52" s="94" t="s">
        <v>40</v>
      </c>
      <c r="D52" s="270">
        <f>SUM(D46:D50)</f>
        <v>3582101.5776510462</v>
      </c>
    </row>
    <row r="53" spans="2:11">
      <c r="B53" s="147"/>
      <c r="C53" s="150"/>
      <c r="D53" s="150"/>
    </row>
    <row r="54" spans="2:11">
      <c r="B54" s="272" t="s">
        <v>294</v>
      </c>
      <c r="C54" s="94" t="s">
        <v>40</v>
      </c>
      <c r="D54" s="315">
        <f>IF(D52&gt;0,0,IF(ABS(D52)&gt;D43,D43,ABS(D52)))</f>
        <v>0</v>
      </c>
    </row>
    <row r="55" spans="2:11">
      <c r="B55" s="272"/>
      <c r="C55" s="7"/>
      <c r="D55" s="7"/>
    </row>
  </sheetData>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
  <sheetViews>
    <sheetView showGridLines="0" workbookViewId="0"/>
  </sheetViews>
  <sheetFormatPr defaultRowHeight="12.75"/>
  <cols>
    <col min="1" max="16384" width="9.140625" style="86"/>
  </cols>
  <sheetData/>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B2:F69"/>
  <sheetViews>
    <sheetView showGridLines="0" zoomScale="85" workbookViewId="0"/>
  </sheetViews>
  <sheetFormatPr defaultRowHeight="12.75"/>
  <cols>
    <col min="1" max="1" width="4.140625" customWidth="1"/>
    <col min="2" max="2" width="24.85546875" customWidth="1"/>
    <col min="3" max="3" width="5.5703125" customWidth="1"/>
    <col min="4" max="4" width="17" customWidth="1"/>
  </cols>
  <sheetData>
    <row r="2" spans="2:6" s="228" customFormat="1" ht="18">
      <c r="B2" s="226" t="s">
        <v>14</v>
      </c>
      <c r="C2" s="227"/>
    </row>
    <row r="4" spans="2:6" s="5" customFormat="1">
      <c r="B4" s="4" t="s">
        <v>371</v>
      </c>
      <c r="C4" s="4"/>
    </row>
    <row r="6" spans="2:6">
      <c r="B6" s="15" t="s">
        <v>372</v>
      </c>
    </row>
    <row r="7" spans="2:6">
      <c r="B7" s="15"/>
    </row>
    <row r="8" spans="2:6">
      <c r="B8" s="82" t="s">
        <v>15</v>
      </c>
      <c r="D8">
        <v>2015</v>
      </c>
    </row>
    <row r="9" spans="2:6">
      <c r="D9" s="9"/>
    </row>
    <row r="10" spans="2:6">
      <c r="B10" t="s">
        <v>16</v>
      </c>
      <c r="D10" s="81">
        <f>(1+D11)*(1+D22)-1</f>
        <v>0.31182581552981459</v>
      </c>
      <c r="F10" s="80"/>
    </row>
    <row r="11" spans="2:6">
      <c r="B11" t="s">
        <v>17</v>
      </c>
      <c r="D11" s="81">
        <f t="shared" ref="D11:D14" si="0">(1+D12)*(1+D23)-1</f>
        <v>0.24728268552597998</v>
      </c>
      <c r="F11" s="80"/>
    </row>
    <row r="12" spans="2:6">
      <c r="B12" t="s">
        <v>18</v>
      </c>
      <c r="D12" s="81">
        <f t="shared" si="0"/>
        <v>0.19075378002252563</v>
      </c>
      <c r="F12" s="80"/>
    </row>
    <row r="13" spans="2:6">
      <c r="B13" t="s">
        <v>19</v>
      </c>
      <c r="D13" s="81">
        <f t="shared" si="0"/>
        <v>0.16100372237744875</v>
      </c>
      <c r="F13" s="80"/>
    </row>
    <row r="14" spans="2:6">
      <c r="B14" t="s">
        <v>20</v>
      </c>
      <c r="D14" s="81">
        <f t="shared" si="0"/>
        <v>0.13268655841702293</v>
      </c>
      <c r="F14" s="80"/>
    </row>
    <row r="15" spans="2:6">
      <c r="B15" t="s">
        <v>41</v>
      </c>
      <c r="D15" s="81">
        <f>(1+D16)*(1+D27)-1</f>
        <v>0.10264319239086528</v>
      </c>
      <c r="F15" s="80"/>
    </row>
    <row r="16" spans="2:6" s="74" customFormat="1">
      <c r="B16" s="74" t="s">
        <v>90</v>
      </c>
      <c r="D16" s="81">
        <f t="shared" ref="D16" si="1">(1+D17)*(1+D28)-1</f>
        <v>7.3790587235475158E-2</v>
      </c>
      <c r="F16" s="80"/>
    </row>
    <row r="17" spans="2:6">
      <c r="B17" s="169" t="s">
        <v>233</v>
      </c>
      <c r="D17" s="81">
        <f>D29</f>
        <v>3.9999999999999591E-2</v>
      </c>
    </row>
    <row r="19" spans="2:6" s="5" customFormat="1">
      <c r="B19" s="4" t="s">
        <v>373</v>
      </c>
      <c r="C19" s="4"/>
    </row>
    <row r="22" spans="2:6">
      <c r="B22" s="20" t="s">
        <v>21</v>
      </c>
      <c r="C22" s="20"/>
      <c r="D22" s="18">
        <f>(1+D41)^0.25*(1+D40)^0.25*(1+D39)^0.25*(1+D38)^0.25-1</f>
        <v>5.174699428832108E-2</v>
      </c>
      <c r="F22" s="80"/>
    </row>
    <row r="23" spans="2:6">
      <c r="B23" t="s">
        <v>22</v>
      </c>
      <c r="D23" s="21">
        <f>(1+D45)^0.25*(1+D44)^0.25*(1+D43)^0.25*(1+D42)^0.25-1</f>
        <v>4.7473211046523023E-2</v>
      </c>
      <c r="F23" s="80"/>
    </row>
    <row r="24" spans="2:6">
      <c r="B24" t="s">
        <v>23</v>
      </c>
      <c r="D24" s="21">
        <f>(1+D46)^0.25*(1+D47)^0.25*(1+D48)^0.25*(1+D49)^0.25-1</f>
        <v>2.5624429165615581E-2</v>
      </c>
      <c r="F24" s="80"/>
    </row>
    <row r="25" spans="2:6">
      <c r="B25" t="s">
        <v>24</v>
      </c>
      <c r="D25" s="21">
        <f>(1+D50)^0.25*(1+D51)^0.25*(1+D52)^0.25*(1+D53)^0.25-1</f>
        <v>2.5000000000000133E-2</v>
      </c>
      <c r="F25" s="80"/>
    </row>
    <row r="26" spans="2:6">
      <c r="B26" t="s">
        <v>25</v>
      </c>
      <c r="C26" s="69"/>
      <c r="D26" s="21">
        <f>(1+D54)^0.25*(1+D55)^0.25*(1+D56)^0.25*(1+D57)^0.25-1</f>
        <v>2.7246679826693931E-2</v>
      </c>
      <c r="F26" s="80"/>
    </row>
    <row r="27" spans="2:6">
      <c r="B27" t="s">
        <v>42</v>
      </c>
      <c r="C27" s="69"/>
      <c r="D27" s="132">
        <f>(1+D58)^0.25*(1+D59)^0.25*(1+D60)^0.25*(1+D61)^0.25-1</f>
        <v>2.6869862241643006E-2</v>
      </c>
      <c r="F27" s="80"/>
    </row>
    <row r="28" spans="2:6" s="74" customFormat="1">
      <c r="B28" s="74" t="s">
        <v>78</v>
      </c>
      <c r="C28" s="69"/>
      <c r="D28" s="132">
        <f>(1+D62)^0.25*(1+D63)^0.25*(1+D64)^0.25*(1+D65)^0.25-1</f>
        <v>3.2490949264880387E-2</v>
      </c>
      <c r="F28" s="80"/>
    </row>
    <row r="29" spans="2:6">
      <c r="B29" s="169" t="s">
        <v>229</v>
      </c>
      <c r="D29" s="229">
        <f>(1+D66)^0.25*(1+D67)^0.25*(1+D68)^0.25*(1+D69)^0.25-1</f>
        <v>3.9999999999999591E-2</v>
      </c>
    </row>
    <row r="31" spans="2:6" s="5" customFormat="1">
      <c r="B31" s="4" t="s">
        <v>374</v>
      </c>
      <c r="C31" s="4"/>
    </row>
    <row r="33" spans="2:4">
      <c r="B33" s="94" t="s">
        <v>375</v>
      </c>
    </row>
    <row r="34" spans="2:4">
      <c r="B34" s="68" t="s">
        <v>53</v>
      </c>
    </row>
    <row r="35" spans="2:4">
      <c r="B35" s="68" t="s">
        <v>54</v>
      </c>
    </row>
    <row r="37" spans="2:4">
      <c r="B37" s="87"/>
    </row>
    <row r="38" spans="2:4">
      <c r="B38" s="170">
        <v>39264</v>
      </c>
      <c r="C38" s="23"/>
      <c r="D38" s="25">
        <v>5.2499999999999998E-2</v>
      </c>
    </row>
    <row r="39" spans="2:4">
      <c r="B39" s="171">
        <v>39356</v>
      </c>
      <c r="C39" s="23"/>
      <c r="D39" s="25">
        <v>5.3999999999999999E-2</v>
      </c>
    </row>
    <row r="40" spans="2:4">
      <c r="B40" s="171">
        <v>39448</v>
      </c>
      <c r="C40" s="23"/>
      <c r="D40" s="25">
        <v>5.2999999999999999E-2</v>
      </c>
    </row>
    <row r="41" spans="2:4">
      <c r="B41" s="171">
        <v>39539</v>
      </c>
      <c r="C41" s="23"/>
      <c r="D41" s="25">
        <v>4.7500000000000001E-2</v>
      </c>
    </row>
    <row r="42" spans="2:4">
      <c r="B42" s="171">
        <v>39630</v>
      </c>
      <c r="C42" s="23"/>
      <c r="D42" s="25">
        <v>5.1499999999999997E-2</v>
      </c>
    </row>
    <row r="43" spans="2:4">
      <c r="B43" s="171">
        <v>39722</v>
      </c>
      <c r="C43" s="23"/>
      <c r="D43" s="25">
        <v>5.45E-2</v>
      </c>
    </row>
    <row r="44" spans="2:4">
      <c r="B44" s="171">
        <v>39814</v>
      </c>
      <c r="C44" s="23"/>
      <c r="D44" s="25">
        <v>4.9000000000000002E-2</v>
      </c>
    </row>
    <row r="45" spans="2:4">
      <c r="B45" s="171">
        <v>39904</v>
      </c>
      <c r="C45" s="23"/>
      <c r="D45" s="25">
        <v>3.5000000000000003E-2</v>
      </c>
    </row>
    <row r="46" spans="2:4">
      <c r="B46" s="171">
        <v>39995</v>
      </c>
      <c r="C46" s="23"/>
      <c r="D46" s="25">
        <v>2.75E-2</v>
      </c>
    </row>
    <row r="47" spans="2:4">
      <c r="B47" s="171">
        <v>40087</v>
      </c>
      <c r="C47" s="23"/>
      <c r="D47" s="25">
        <v>2.5000000000000001E-2</v>
      </c>
    </row>
    <row r="48" spans="2:4">
      <c r="B48" s="171">
        <v>40179</v>
      </c>
      <c r="C48" s="23"/>
      <c r="D48" s="25">
        <v>2.5000000000000001E-2</v>
      </c>
    </row>
    <row r="49" spans="2:4">
      <c r="B49" s="171">
        <v>40269</v>
      </c>
      <c r="C49" s="23"/>
      <c r="D49" s="25">
        <v>2.5000000000000001E-2</v>
      </c>
    </row>
    <row r="50" spans="2:4">
      <c r="B50" s="171">
        <v>40360</v>
      </c>
      <c r="C50" s="23"/>
      <c r="D50" s="25">
        <v>2.5000000000000001E-2</v>
      </c>
    </row>
    <row r="51" spans="2:4">
      <c r="B51" s="171">
        <v>40452</v>
      </c>
      <c r="C51" s="23"/>
      <c r="D51" s="25">
        <v>2.5000000000000001E-2</v>
      </c>
    </row>
    <row r="52" spans="2:4">
      <c r="B52" s="171">
        <v>40544</v>
      </c>
      <c r="C52" s="23"/>
      <c r="D52" s="25">
        <v>2.5000000000000001E-2</v>
      </c>
    </row>
    <row r="53" spans="2:4">
      <c r="B53" s="171">
        <v>40634</v>
      </c>
      <c r="C53" s="23"/>
      <c r="D53" s="25">
        <v>2.5000000000000001E-2</v>
      </c>
    </row>
    <row r="54" spans="2:4">
      <c r="B54" s="171">
        <v>40725</v>
      </c>
      <c r="C54" s="23"/>
      <c r="D54" s="25">
        <v>2.75E-2</v>
      </c>
    </row>
    <row r="55" spans="2:4">
      <c r="B55" s="171">
        <v>40817</v>
      </c>
      <c r="C55" s="23"/>
      <c r="D55" s="24">
        <v>0.03</v>
      </c>
    </row>
    <row r="56" spans="2:4">
      <c r="B56" s="171">
        <v>40909</v>
      </c>
      <c r="C56" s="69"/>
      <c r="D56" s="25">
        <v>2.8500000000000001E-2</v>
      </c>
    </row>
    <row r="57" spans="2:4">
      <c r="B57" s="171">
        <v>41000</v>
      </c>
      <c r="C57" s="69"/>
      <c r="D57" s="25">
        <v>2.3E-2</v>
      </c>
    </row>
    <row r="58" spans="2:4">
      <c r="B58" s="171">
        <v>41091</v>
      </c>
      <c r="C58" s="69"/>
      <c r="D58" s="25">
        <v>2.5000000000000001E-2</v>
      </c>
    </row>
    <row r="59" spans="2:4">
      <c r="B59" s="171">
        <v>41183</v>
      </c>
      <c r="C59" s="69"/>
      <c r="D59" s="90">
        <v>2.2499999999999999E-2</v>
      </c>
    </row>
    <row r="60" spans="2:4">
      <c r="B60" s="171">
        <v>41275</v>
      </c>
      <c r="C60" s="69"/>
      <c r="D60" s="133">
        <v>0.03</v>
      </c>
    </row>
    <row r="61" spans="2:4">
      <c r="B61" s="171">
        <v>41365</v>
      </c>
      <c r="C61" s="69"/>
      <c r="D61" s="133">
        <v>0.03</v>
      </c>
    </row>
    <row r="62" spans="2:4">
      <c r="B62" s="171">
        <v>41456</v>
      </c>
      <c r="D62" s="133">
        <v>0.03</v>
      </c>
    </row>
    <row r="63" spans="2:4">
      <c r="B63" s="171">
        <v>41548</v>
      </c>
      <c r="D63" s="133">
        <v>0.03</v>
      </c>
    </row>
    <row r="64" spans="2:4">
      <c r="B64" s="171">
        <v>41640</v>
      </c>
      <c r="D64" s="133">
        <v>0.03</v>
      </c>
    </row>
    <row r="65" spans="2:4">
      <c r="B65" s="171">
        <v>41730</v>
      </c>
      <c r="D65" s="133">
        <v>0.04</v>
      </c>
    </row>
    <row r="66" spans="2:4">
      <c r="B66" s="171">
        <v>41821</v>
      </c>
      <c r="D66" s="133">
        <v>0.04</v>
      </c>
    </row>
    <row r="67" spans="2:4">
      <c r="B67" s="171">
        <v>41913</v>
      </c>
      <c r="D67" s="230">
        <v>0.04</v>
      </c>
    </row>
    <row r="68" spans="2:4">
      <c r="B68" s="171">
        <v>42005</v>
      </c>
      <c r="D68" s="230">
        <v>0.04</v>
      </c>
    </row>
    <row r="69" spans="2:4">
      <c r="B69" s="171">
        <v>42095</v>
      </c>
      <c r="D69" s="230">
        <v>0.04</v>
      </c>
    </row>
  </sheetData>
  <phoneticPr fontId="4" type="noConversion"/>
  <pageMargins left="0.75" right="0.75" top="1" bottom="1" header="0.5" footer="0.5"/>
  <pageSetup paperSize="9" scale="5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B2:L34"/>
  <sheetViews>
    <sheetView showGridLines="0" zoomScale="85" workbookViewId="0"/>
  </sheetViews>
  <sheetFormatPr defaultRowHeight="12.75"/>
  <cols>
    <col min="1" max="1" width="4.28515625" customWidth="1"/>
    <col min="2" max="2" width="13.85546875" customWidth="1"/>
    <col min="3" max="3" width="12.7109375" customWidth="1"/>
  </cols>
  <sheetData>
    <row r="2" spans="2:3" s="2" customFormat="1" ht="18">
      <c r="B2" s="17" t="s">
        <v>26</v>
      </c>
    </row>
    <row r="4" spans="2:3" s="5" customFormat="1">
      <c r="B4" s="4" t="s">
        <v>27</v>
      </c>
    </row>
    <row r="6" spans="2:3">
      <c r="C6" t="s">
        <v>26</v>
      </c>
    </row>
    <row r="7" spans="2:3">
      <c r="B7">
        <v>2007</v>
      </c>
      <c r="C7" s="24">
        <v>1.4E-2</v>
      </c>
    </row>
    <row r="8" spans="2:3">
      <c r="B8">
        <v>2008</v>
      </c>
      <c r="C8" s="24">
        <v>1.0999999999999999E-2</v>
      </c>
    </row>
    <row r="9" spans="2:3">
      <c r="B9">
        <v>2009</v>
      </c>
      <c r="C9" s="24">
        <v>3.2000000000000001E-2</v>
      </c>
    </row>
    <row r="10" spans="2:3">
      <c r="B10">
        <v>2010</v>
      </c>
      <c r="C10" s="24">
        <v>3.0000000000000001E-3</v>
      </c>
    </row>
    <row r="11" spans="2:3">
      <c r="B11">
        <v>2011</v>
      </c>
      <c r="C11" s="24">
        <v>1.4999999999999999E-2</v>
      </c>
    </row>
    <row r="12" spans="2:3">
      <c r="B12">
        <v>2012</v>
      </c>
      <c r="C12" s="24">
        <v>2.5999999999999999E-2</v>
      </c>
    </row>
    <row r="13" spans="2:3">
      <c r="B13">
        <v>2013</v>
      </c>
      <c r="C13" s="24">
        <v>2.3E-2</v>
      </c>
    </row>
    <row r="14" spans="2:3" s="74" customFormat="1">
      <c r="B14" s="74">
        <v>2014</v>
      </c>
      <c r="C14" s="24">
        <v>2.8000000000000001E-2</v>
      </c>
    </row>
    <row r="15" spans="2:3" s="74" customFormat="1">
      <c r="B15" s="74">
        <v>2015</v>
      </c>
      <c r="C15" s="265">
        <v>0.01</v>
      </c>
    </row>
    <row r="17" spans="2:12" s="5" customFormat="1">
      <c r="B17" s="4" t="s">
        <v>28</v>
      </c>
    </row>
    <row r="20" spans="2:12">
      <c r="C20" t="s">
        <v>29</v>
      </c>
      <c r="D20">
        <v>2006</v>
      </c>
      <c r="E20">
        <v>2007</v>
      </c>
      <c r="F20">
        <v>2008</v>
      </c>
      <c r="G20">
        <v>2009</v>
      </c>
      <c r="H20">
        <v>2010</v>
      </c>
      <c r="I20">
        <v>2011</v>
      </c>
      <c r="J20">
        <v>2012</v>
      </c>
      <c r="K20" s="74">
        <v>2013</v>
      </c>
    </row>
    <row r="21" spans="2:12">
      <c r="B21" t="s">
        <v>30</v>
      </c>
    </row>
    <row r="22" spans="2:12">
      <c r="B22">
        <v>2007</v>
      </c>
      <c r="C22" s="9"/>
      <c r="D22" s="19">
        <f>C7</f>
        <v>1.4E-2</v>
      </c>
      <c r="E22" s="16"/>
      <c r="F22" s="16"/>
      <c r="G22" s="16"/>
      <c r="H22" s="16"/>
      <c r="I22" s="16"/>
      <c r="J22" s="16"/>
      <c r="K22" s="16"/>
      <c r="L22" s="16"/>
    </row>
    <row r="23" spans="2:12">
      <c r="B23">
        <v>2008</v>
      </c>
      <c r="C23" s="9"/>
      <c r="D23" s="19">
        <f>(1+D22)*(1+C8)-1</f>
        <v>2.5153999999999899E-2</v>
      </c>
      <c r="E23" s="19">
        <f>C8</f>
        <v>1.0999999999999999E-2</v>
      </c>
      <c r="F23" s="16"/>
      <c r="G23" s="16"/>
      <c r="H23" s="16"/>
      <c r="I23" s="16"/>
      <c r="J23" s="16"/>
      <c r="K23" s="16"/>
      <c r="L23" s="16"/>
    </row>
    <row r="24" spans="2:12">
      <c r="B24">
        <v>2009</v>
      </c>
      <c r="C24" s="9"/>
      <c r="D24" s="19">
        <f>(1+D23)*(1+C9)-1</f>
        <v>5.795892799999991E-2</v>
      </c>
      <c r="E24" s="19">
        <f t="shared" ref="E24:E29" si="0">(1+E23)*(1+C9)-1</f>
        <v>4.3351999999999835E-2</v>
      </c>
      <c r="F24" s="19">
        <f>C9</f>
        <v>3.2000000000000001E-2</v>
      </c>
      <c r="G24" s="16"/>
      <c r="H24" s="16"/>
      <c r="I24" s="16"/>
      <c r="J24" s="16"/>
      <c r="K24" s="16"/>
      <c r="L24" s="16"/>
    </row>
    <row r="25" spans="2:12">
      <c r="B25">
        <v>2010</v>
      </c>
      <c r="C25" s="9"/>
      <c r="D25" s="19">
        <f>(1+D24)*(1+C10)-1</f>
        <v>6.113280478399985E-2</v>
      </c>
      <c r="E25" s="19">
        <f t="shared" si="0"/>
        <v>4.6482055999999661E-2</v>
      </c>
      <c r="F25" s="19">
        <f>(1+F24)*(1+C10)-1</f>
        <v>3.5096000000000016E-2</v>
      </c>
      <c r="G25" s="19">
        <f>C10</f>
        <v>3.0000000000000001E-3</v>
      </c>
      <c r="H25" s="16"/>
      <c r="I25" s="16"/>
      <c r="J25" s="16"/>
      <c r="K25" s="16"/>
      <c r="L25" s="16"/>
    </row>
    <row r="26" spans="2:12">
      <c r="B26">
        <v>2011</v>
      </c>
      <c r="C26" s="9"/>
      <c r="D26" s="19">
        <f>(1+D25)*(1+C11)-1</f>
        <v>7.7049796855759745E-2</v>
      </c>
      <c r="E26" s="19">
        <f t="shared" si="0"/>
        <v>6.2179286839999515E-2</v>
      </c>
      <c r="F26" s="19">
        <f>(1+F25)*(1+C11)-1</f>
        <v>5.0622439999999935E-2</v>
      </c>
      <c r="G26" s="19">
        <f>(1+G25)*(1+C11)-1</f>
        <v>1.8044999999999867E-2</v>
      </c>
      <c r="H26" s="19">
        <f>C11</f>
        <v>1.4999999999999999E-2</v>
      </c>
      <c r="I26" s="16"/>
      <c r="J26" s="16"/>
      <c r="K26" s="16"/>
      <c r="L26" s="16"/>
    </row>
    <row r="27" spans="2:12">
      <c r="B27">
        <v>2012</v>
      </c>
      <c r="C27" s="9"/>
      <c r="D27" s="19">
        <f>(1+D26)*(1+C12)-1</f>
        <v>0.10505309157400955</v>
      </c>
      <c r="E27" s="19">
        <f t="shared" si="0"/>
        <v>8.9795948297839434E-2</v>
      </c>
      <c r="F27" s="19">
        <f>(1+F26)*(1+C12)-1</f>
        <v>7.793862343999991E-2</v>
      </c>
      <c r="G27" s="19">
        <f>(1+G26)*(1+C12)-1</f>
        <v>4.4514169999999798E-2</v>
      </c>
      <c r="H27" s="19">
        <f>(1+H26)*(1+C12)-1</f>
        <v>4.1389999999999816E-2</v>
      </c>
      <c r="I27" s="19">
        <f>C12</f>
        <v>2.5999999999999999E-2</v>
      </c>
      <c r="J27" s="57"/>
      <c r="K27" s="57"/>
      <c r="L27" s="57"/>
    </row>
    <row r="28" spans="2:12">
      <c r="B28">
        <v>2013</v>
      </c>
      <c r="C28" s="69"/>
      <c r="D28" s="19">
        <f t="shared" ref="D28" si="1">(1+D27)*(1+C13)-1</f>
        <v>0.13046931268021167</v>
      </c>
      <c r="E28" s="19">
        <f t="shared" si="0"/>
        <v>0.11486125510868961</v>
      </c>
      <c r="F28" s="19">
        <f>(1+F27)*(1+C13)-1</f>
        <v>0.1027312117791197</v>
      </c>
      <c r="G28" s="19">
        <f>(1+G27)*(1+C13)-1</f>
        <v>6.8537995909999649E-2</v>
      </c>
      <c r="H28" s="19">
        <f>(1+H27)*(1+C13)-1</f>
        <v>6.5341969999999749E-2</v>
      </c>
      <c r="I28" s="19">
        <f>(1+I27)*(1+C13)-1</f>
        <v>4.9598000000000031E-2</v>
      </c>
      <c r="J28" s="19">
        <f>C13</f>
        <v>2.3E-2</v>
      </c>
      <c r="K28" s="57"/>
      <c r="L28" s="57"/>
    </row>
    <row r="29" spans="2:12">
      <c r="B29" s="74">
        <v>2014</v>
      </c>
      <c r="D29" s="19">
        <f>(1+D28)*(1+C14)-1</f>
        <v>0.16212245343525766</v>
      </c>
      <c r="E29" s="19">
        <f t="shared" si="0"/>
        <v>0.14607737025173284</v>
      </c>
      <c r="F29" s="19">
        <f>(1+F28)*(1+C14)-1</f>
        <v>0.133607685708935</v>
      </c>
      <c r="G29" s="19">
        <f>(1+G28)*(1+C14)-1</f>
        <v>9.8457059795479696E-2</v>
      </c>
      <c r="H29" s="19">
        <f>(1+H28)*(1+C14)-1</f>
        <v>9.5171545159999704E-2</v>
      </c>
      <c r="I29" s="19">
        <f>(1+I28)*(1+C14)-1</f>
        <v>7.8986744000000053E-2</v>
      </c>
      <c r="J29" s="19">
        <f>(1+J28)*(1+C14)-1</f>
        <v>5.1644000000000023E-2</v>
      </c>
      <c r="K29" s="19">
        <f>C14</f>
        <v>2.8000000000000001E-2</v>
      </c>
      <c r="L29" s="16"/>
    </row>
    <row r="30" spans="2:12">
      <c r="B30">
        <v>2015</v>
      </c>
      <c r="D30" s="19">
        <f>(1+D29)*(1+$C$15)-1</f>
        <v>0.17374367796961021</v>
      </c>
      <c r="E30" s="19">
        <f t="shared" ref="E30:K30" si="2">(1+E29)*(1+$C$15)-1</f>
        <v>0.15753814395425025</v>
      </c>
      <c r="F30" s="19">
        <f t="shared" si="2"/>
        <v>0.14494376256602437</v>
      </c>
      <c r="G30" s="19">
        <f t="shared" si="2"/>
        <v>0.10944163039343446</v>
      </c>
      <c r="H30" s="19">
        <f t="shared" si="2"/>
        <v>0.1061232606115996</v>
      </c>
      <c r="I30" s="19">
        <f t="shared" si="2"/>
        <v>8.9776611440000043E-2</v>
      </c>
      <c r="J30" s="19">
        <f t="shared" si="2"/>
        <v>6.2160439999999983E-2</v>
      </c>
      <c r="K30" s="19">
        <f t="shared" si="2"/>
        <v>3.8280000000000092E-2</v>
      </c>
      <c r="L30" s="19">
        <f>$C$15</f>
        <v>0.01</v>
      </c>
    </row>
    <row r="31" spans="2:12">
      <c r="D31" s="9"/>
      <c r="E31" s="9"/>
      <c r="F31" s="9"/>
      <c r="G31" s="9"/>
      <c r="H31" s="9"/>
      <c r="I31" s="9"/>
    </row>
    <row r="32" spans="2:12">
      <c r="D32" s="9"/>
      <c r="E32" s="9"/>
      <c r="F32" s="9"/>
      <c r="G32" s="9"/>
      <c r="H32" s="9"/>
      <c r="I32" s="9"/>
    </row>
    <row r="33" spans="4:9">
      <c r="D33" s="9"/>
      <c r="E33" s="9"/>
      <c r="F33" s="9"/>
      <c r="G33" s="9"/>
      <c r="H33" s="9"/>
      <c r="I33" s="9"/>
    </row>
    <row r="34" spans="4:9">
      <c r="D34" s="9"/>
      <c r="E34" s="9"/>
      <c r="F34" s="9"/>
      <c r="G34" s="9"/>
      <c r="H34" s="9"/>
      <c r="I34" s="9"/>
    </row>
  </sheetData>
  <phoneticPr fontId="4" type="noConversion"/>
  <pageMargins left="0.75" right="0.75" top="1" bottom="1" header="0.5" footer="0.5"/>
  <pageSetup paperSize="8"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X94"/>
  <sheetViews>
    <sheetView showGridLines="0" zoomScale="80" zoomScaleNormal="80" workbookViewId="0"/>
  </sheetViews>
  <sheetFormatPr defaultRowHeight="12.75"/>
  <cols>
    <col min="1" max="1" width="9.140625" style="280"/>
    <col min="2" max="2" width="39.7109375" style="280" bestFit="1" customWidth="1"/>
    <col min="3" max="3" width="2" style="280" customWidth="1"/>
    <col min="4" max="4" width="13.28515625" style="280" bestFit="1" customWidth="1"/>
    <col min="5" max="5" width="2" style="280" customWidth="1"/>
    <col min="6" max="6" width="14" style="293" customWidth="1"/>
    <col min="7" max="7" width="2.7109375" style="280" customWidth="1"/>
    <col min="8" max="15" width="17" style="291" customWidth="1"/>
    <col min="16" max="16" width="2.7109375" style="280" customWidth="1"/>
    <col min="17" max="24" width="17" style="280" customWidth="1"/>
    <col min="25" max="16384" width="9.140625" style="280"/>
  </cols>
  <sheetData>
    <row r="1" spans="2:24" s="74" customFormat="1"/>
    <row r="2" spans="2:24" s="274" customFormat="1" ht="15.75">
      <c r="B2" s="274" t="s">
        <v>350</v>
      </c>
    </row>
    <row r="3" spans="2:24" s="275" customFormat="1"/>
    <row r="4" spans="2:24" s="276" customFormat="1">
      <c r="B4" s="277" t="s">
        <v>32</v>
      </c>
      <c r="C4" s="277"/>
    </row>
    <row r="5" spans="2:24" s="275" customFormat="1">
      <c r="C5" s="278"/>
    </row>
    <row r="6" spans="2:24" s="275" customFormat="1">
      <c r="B6" s="311" t="s">
        <v>376</v>
      </c>
      <c r="C6" s="279"/>
    </row>
    <row r="7" spans="2:24" s="275" customFormat="1">
      <c r="C7" s="279"/>
    </row>
    <row r="8" spans="2:24" s="275" customFormat="1"/>
    <row r="9" spans="2:24" s="276" customFormat="1">
      <c r="B9" s="277" t="s">
        <v>223</v>
      </c>
      <c r="C9" s="277"/>
      <c r="K9" s="277"/>
    </row>
    <row r="10" spans="2:24" s="275" customFormat="1"/>
    <row r="11" spans="2:24">
      <c r="F11" s="280"/>
      <c r="H11" s="280"/>
      <c r="I11" s="280"/>
      <c r="J11" s="280"/>
      <c r="K11" s="280"/>
      <c r="L11" s="280"/>
      <c r="M11" s="280"/>
      <c r="N11" s="280"/>
      <c r="O11" s="280"/>
    </row>
    <row r="12" spans="2:24" ht="15.75">
      <c r="B12" s="298" t="s">
        <v>352</v>
      </c>
      <c r="C12" s="299"/>
      <c r="D12" s="299"/>
      <c r="E12" s="299"/>
      <c r="F12" s="300" t="s">
        <v>353</v>
      </c>
      <c r="G12" s="299"/>
      <c r="H12" s="323" t="s">
        <v>351</v>
      </c>
      <c r="I12" s="323"/>
      <c r="J12" s="323"/>
      <c r="K12" s="323"/>
      <c r="L12" s="323"/>
      <c r="M12" s="323"/>
      <c r="N12" s="323"/>
      <c r="O12" s="323"/>
      <c r="P12" s="305"/>
      <c r="Q12" s="305" t="s">
        <v>355</v>
      </c>
      <c r="R12" s="305"/>
      <c r="S12" s="305"/>
      <c r="T12" s="305"/>
      <c r="U12" s="305"/>
      <c r="V12" s="305"/>
      <c r="W12" s="305"/>
      <c r="X12" s="306"/>
    </row>
    <row r="13" spans="2:24" s="287" customFormat="1" ht="15.75">
      <c r="B13" s="301"/>
      <c r="C13" s="302"/>
      <c r="D13" s="302"/>
      <c r="E13" s="302"/>
      <c r="F13" s="303"/>
      <c r="G13" s="302"/>
      <c r="H13" s="304"/>
      <c r="I13" s="304"/>
      <c r="J13" s="304"/>
      <c r="K13" s="304"/>
      <c r="L13" s="304"/>
      <c r="M13" s="304"/>
      <c r="N13" s="304"/>
      <c r="O13" s="304"/>
      <c r="P13" s="281"/>
      <c r="Q13" s="304"/>
      <c r="R13" s="304"/>
      <c r="S13" s="304"/>
      <c r="T13" s="304"/>
      <c r="U13" s="304"/>
      <c r="V13" s="304"/>
      <c r="W13" s="304"/>
      <c r="X13" s="304"/>
    </row>
    <row r="14" spans="2:24">
      <c r="B14" s="282" t="s">
        <v>312</v>
      </c>
      <c r="C14" s="283"/>
      <c r="D14" s="283"/>
      <c r="E14" s="283"/>
      <c r="F14" s="284"/>
      <c r="G14" s="283"/>
      <c r="H14" s="285" t="s">
        <v>342</v>
      </c>
      <c r="I14" s="285" t="s">
        <v>343</v>
      </c>
      <c r="J14" s="285" t="s">
        <v>344</v>
      </c>
      <c r="K14" s="285" t="s">
        <v>345</v>
      </c>
      <c r="L14" s="285" t="s">
        <v>346</v>
      </c>
      <c r="M14" s="285" t="s">
        <v>347</v>
      </c>
      <c r="N14" s="285" t="s">
        <v>348</v>
      </c>
      <c r="O14" s="285" t="s">
        <v>349</v>
      </c>
      <c r="P14" s="285"/>
      <c r="Q14" s="285" t="s">
        <v>342</v>
      </c>
      <c r="R14" s="285" t="s">
        <v>343</v>
      </c>
      <c r="S14" s="285" t="s">
        <v>344</v>
      </c>
      <c r="T14" s="285" t="s">
        <v>345</v>
      </c>
      <c r="U14" s="285" t="s">
        <v>346</v>
      </c>
      <c r="V14" s="285" t="s">
        <v>347</v>
      </c>
      <c r="W14" s="285" t="s">
        <v>348</v>
      </c>
      <c r="X14" s="285" t="s">
        <v>349</v>
      </c>
    </row>
    <row r="15" spans="2:24">
      <c r="B15" s="286" t="s">
        <v>313</v>
      </c>
      <c r="C15" s="287"/>
      <c r="D15" s="287"/>
      <c r="E15" s="287"/>
      <c r="F15" s="288"/>
      <c r="G15" s="287"/>
      <c r="H15" s="289"/>
      <c r="I15" s="289"/>
      <c r="J15" s="289"/>
      <c r="K15" s="289"/>
      <c r="L15" s="289"/>
      <c r="M15" s="289"/>
      <c r="N15" s="289"/>
      <c r="O15" s="289"/>
      <c r="Q15" s="289"/>
      <c r="R15" s="289"/>
      <c r="S15" s="289"/>
      <c r="T15" s="289"/>
      <c r="U15" s="289"/>
      <c r="V15" s="289"/>
      <c r="W15" s="289"/>
      <c r="X15" s="289"/>
    </row>
    <row r="16" spans="2:24">
      <c r="B16" s="287" t="s">
        <v>314</v>
      </c>
      <c r="C16" s="287"/>
      <c r="D16" s="287" t="s">
        <v>119</v>
      </c>
      <c r="E16" s="287"/>
      <c r="F16" s="294">
        <v>2760</v>
      </c>
      <c r="H16" s="290">
        <v>0</v>
      </c>
      <c r="I16" s="290">
        <v>0</v>
      </c>
      <c r="J16" s="290">
        <v>0</v>
      </c>
      <c r="K16" s="290">
        <v>0</v>
      </c>
      <c r="L16" s="290">
        <v>10.688448028090848</v>
      </c>
      <c r="M16" s="290">
        <v>0</v>
      </c>
      <c r="N16" s="290">
        <v>4</v>
      </c>
      <c r="O16" s="290">
        <v>0</v>
      </c>
      <c r="Q16" s="307">
        <f>$F16*H16</f>
        <v>0</v>
      </c>
      <c r="R16" s="307">
        <f>$F16*I16</f>
        <v>0</v>
      </c>
      <c r="S16" s="307">
        <f t="shared" ref="R16:X18" si="0">$F16*J16</f>
        <v>0</v>
      </c>
      <c r="T16" s="307">
        <f t="shared" si="0"/>
        <v>0</v>
      </c>
      <c r="U16" s="307">
        <f t="shared" si="0"/>
        <v>29500.116557530742</v>
      </c>
      <c r="V16" s="307">
        <f t="shared" si="0"/>
        <v>0</v>
      </c>
      <c r="W16" s="307">
        <f t="shared" si="0"/>
        <v>11040</v>
      </c>
      <c r="X16" s="307">
        <f t="shared" si="0"/>
        <v>0</v>
      </c>
    </row>
    <row r="17" spans="2:24">
      <c r="B17" s="287" t="s">
        <v>315</v>
      </c>
      <c r="C17" s="287"/>
      <c r="D17" s="287" t="s">
        <v>119</v>
      </c>
      <c r="E17" s="287"/>
      <c r="F17" s="294">
        <v>10.322849097053554</v>
      </c>
      <c r="H17" s="290">
        <v>0</v>
      </c>
      <c r="I17" s="290">
        <v>0</v>
      </c>
      <c r="J17" s="290">
        <v>0</v>
      </c>
      <c r="K17" s="290">
        <v>0</v>
      </c>
      <c r="L17" s="290">
        <v>743128.94970751961</v>
      </c>
      <c r="M17" s="290">
        <v>0</v>
      </c>
      <c r="N17" s="290">
        <v>287831.08333333331</v>
      </c>
      <c r="O17" s="290">
        <v>0</v>
      </c>
      <c r="Q17" s="307">
        <f t="shared" ref="Q17:Q18" si="1">$F17*H17</f>
        <v>0</v>
      </c>
      <c r="R17" s="307">
        <f t="shared" si="0"/>
        <v>0</v>
      </c>
      <c r="S17" s="307">
        <f t="shared" si="0"/>
        <v>0</v>
      </c>
      <c r="T17" s="307">
        <f t="shared" si="0"/>
        <v>0</v>
      </c>
      <c r="U17" s="307">
        <f t="shared" si="0"/>
        <v>7671208.0074826246</v>
      </c>
      <c r="V17" s="307">
        <f t="shared" si="0"/>
        <v>0</v>
      </c>
      <c r="W17" s="307">
        <f t="shared" si="0"/>
        <v>2971236.838691446</v>
      </c>
      <c r="X17" s="307">
        <f t="shared" si="0"/>
        <v>0</v>
      </c>
    </row>
    <row r="18" spans="2:24">
      <c r="B18" s="287" t="s">
        <v>316</v>
      </c>
      <c r="C18" s="287"/>
      <c r="D18" s="287" t="s">
        <v>119</v>
      </c>
      <c r="E18" s="287"/>
      <c r="F18" s="294">
        <v>0.97812641837116776</v>
      </c>
      <c r="H18" s="290">
        <v>0</v>
      </c>
      <c r="I18" s="290">
        <v>0</v>
      </c>
      <c r="J18" s="290">
        <v>0</v>
      </c>
      <c r="K18" s="290">
        <v>0</v>
      </c>
      <c r="L18" s="290">
        <v>6971055.8376231836</v>
      </c>
      <c r="M18" s="290">
        <v>0</v>
      </c>
      <c r="N18" s="290">
        <v>2919225.333333333</v>
      </c>
      <c r="O18" s="290">
        <v>0</v>
      </c>
      <c r="Q18" s="307">
        <f t="shared" si="1"/>
        <v>0</v>
      </c>
      <c r="R18" s="307">
        <f t="shared" si="0"/>
        <v>0</v>
      </c>
      <c r="S18" s="307">
        <f t="shared" si="0"/>
        <v>0</v>
      </c>
      <c r="T18" s="307">
        <f t="shared" si="0"/>
        <v>0</v>
      </c>
      <c r="U18" s="307">
        <f t="shared" si="0"/>
        <v>6818573.8787197853</v>
      </c>
      <c r="V18" s="307">
        <f t="shared" si="0"/>
        <v>0</v>
      </c>
      <c r="W18" s="307">
        <f t="shared" si="0"/>
        <v>2855371.4197117114</v>
      </c>
      <c r="X18" s="307">
        <f t="shared" si="0"/>
        <v>0</v>
      </c>
    </row>
    <row r="19" spans="2:24">
      <c r="B19" s="287"/>
      <c r="C19" s="287"/>
      <c r="D19" s="287"/>
      <c r="E19" s="287"/>
      <c r="F19" s="295"/>
      <c r="Q19" s="291"/>
      <c r="R19" s="291"/>
      <c r="S19" s="291"/>
      <c r="T19" s="291"/>
      <c r="U19" s="291"/>
      <c r="V19" s="291"/>
      <c r="W19" s="291"/>
      <c r="X19" s="291"/>
    </row>
    <row r="20" spans="2:24">
      <c r="B20" s="286" t="s">
        <v>317</v>
      </c>
      <c r="C20" s="287"/>
      <c r="D20" s="287"/>
      <c r="E20" s="287"/>
      <c r="F20" s="295"/>
      <c r="G20" s="287"/>
      <c r="H20" s="289"/>
      <c r="I20" s="289"/>
      <c r="J20" s="289"/>
      <c r="K20" s="289"/>
      <c r="L20" s="289"/>
      <c r="M20" s="289"/>
      <c r="N20" s="289"/>
      <c r="O20" s="289"/>
      <c r="Q20" s="289"/>
      <c r="R20" s="289"/>
      <c r="S20" s="289"/>
      <c r="T20" s="289"/>
      <c r="U20" s="289"/>
      <c r="V20" s="289"/>
      <c r="W20" s="289"/>
      <c r="X20" s="289"/>
    </row>
    <row r="21" spans="2:24">
      <c r="B21" s="287" t="s">
        <v>314</v>
      </c>
      <c r="C21" s="287"/>
      <c r="D21" s="287" t="s">
        <v>119</v>
      </c>
      <c r="E21" s="287"/>
      <c r="F21" s="294">
        <v>2760</v>
      </c>
      <c r="H21" s="292">
        <v>0</v>
      </c>
      <c r="I21" s="292">
        <v>0</v>
      </c>
      <c r="J21" s="292">
        <v>0</v>
      </c>
      <c r="K21" s="292">
        <v>0</v>
      </c>
      <c r="L21" s="292">
        <v>0</v>
      </c>
      <c r="M21" s="292">
        <v>0</v>
      </c>
      <c r="N21" s="292">
        <v>6</v>
      </c>
      <c r="O21" s="292">
        <v>0</v>
      </c>
      <c r="Q21" s="307">
        <f>$F21*H21</f>
        <v>0</v>
      </c>
      <c r="R21" s="307">
        <f t="shared" ref="R21:R23" si="2">$F21*I21</f>
        <v>0</v>
      </c>
      <c r="S21" s="307">
        <f t="shared" ref="S21:S23" si="3">$F21*J21</f>
        <v>0</v>
      </c>
      <c r="T21" s="307">
        <f t="shared" ref="T21:T23" si="4">$F21*K21</f>
        <v>0</v>
      </c>
      <c r="U21" s="307">
        <f t="shared" ref="U21:U23" si="5">$F21*L21</f>
        <v>0</v>
      </c>
      <c r="V21" s="307">
        <f t="shared" ref="V21:V23" si="6">$F21*M21</f>
        <v>0</v>
      </c>
      <c r="W21" s="307">
        <f t="shared" ref="W21:W23" si="7">$F21*N21</f>
        <v>16560</v>
      </c>
      <c r="X21" s="307">
        <f t="shared" ref="X21:X23" si="8">$F21*O21</f>
        <v>0</v>
      </c>
    </row>
    <row r="22" spans="2:24">
      <c r="B22" s="287" t="s">
        <v>315</v>
      </c>
      <c r="C22" s="287"/>
      <c r="D22" s="287" t="s">
        <v>119</v>
      </c>
      <c r="E22" s="287"/>
      <c r="F22" s="294">
        <v>5.8685346882051945</v>
      </c>
      <c r="H22" s="292">
        <v>0</v>
      </c>
      <c r="I22" s="292">
        <v>0</v>
      </c>
      <c r="J22" s="292">
        <v>0</v>
      </c>
      <c r="K22" s="292">
        <v>0</v>
      </c>
      <c r="L22" s="292">
        <v>0</v>
      </c>
      <c r="M22" s="292">
        <v>0</v>
      </c>
      <c r="N22" s="292">
        <v>30416</v>
      </c>
      <c r="O22" s="292">
        <v>0</v>
      </c>
      <c r="Q22" s="307">
        <f t="shared" ref="Q22:Q23" si="9">$F22*H22</f>
        <v>0</v>
      </c>
      <c r="R22" s="307">
        <f t="shared" si="2"/>
        <v>0</v>
      </c>
      <c r="S22" s="307">
        <f t="shared" si="3"/>
        <v>0</v>
      </c>
      <c r="T22" s="307">
        <f t="shared" si="4"/>
        <v>0</v>
      </c>
      <c r="U22" s="307">
        <f t="shared" si="5"/>
        <v>0</v>
      </c>
      <c r="V22" s="307">
        <f t="shared" si="6"/>
        <v>0</v>
      </c>
      <c r="W22" s="307">
        <f t="shared" si="7"/>
        <v>178497.35107644921</v>
      </c>
      <c r="X22" s="307">
        <f t="shared" si="8"/>
        <v>0</v>
      </c>
    </row>
    <row r="23" spans="2:24">
      <c r="B23" s="287" t="s">
        <v>318</v>
      </c>
      <c r="C23" s="287"/>
      <c r="D23" s="287" t="s">
        <v>119</v>
      </c>
      <c r="E23" s="287"/>
      <c r="F23" s="294">
        <v>0.40101653702735496</v>
      </c>
      <c r="H23" s="292">
        <v>0</v>
      </c>
      <c r="I23" s="292">
        <v>0</v>
      </c>
      <c r="J23" s="292">
        <v>0</v>
      </c>
      <c r="K23" s="292">
        <v>0</v>
      </c>
      <c r="L23" s="292">
        <v>0</v>
      </c>
      <c r="M23" s="292">
        <v>0</v>
      </c>
      <c r="N23" s="292">
        <v>187766.66666666666</v>
      </c>
      <c r="O23" s="292">
        <v>0</v>
      </c>
      <c r="Q23" s="307">
        <f t="shared" si="9"/>
        <v>0</v>
      </c>
      <c r="R23" s="307">
        <f t="shared" si="2"/>
        <v>0</v>
      </c>
      <c r="S23" s="307">
        <f t="shared" si="3"/>
        <v>0</v>
      </c>
      <c r="T23" s="307">
        <f t="shared" si="4"/>
        <v>0</v>
      </c>
      <c r="U23" s="307">
        <f t="shared" si="5"/>
        <v>0</v>
      </c>
      <c r="V23" s="307">
        <f t="shared" si="6"/>
        <v>0</v>
      </c>
      <c r="W23" s="307">
        <f t="shared" si="7"/>
        <v>75297.538435836352</v>
      </c>
      <c r="X23" s="307">
        <f t="shared" si="8"/>
        <v>0</v>
      </c>
    </row>
    <row r="24" spans="2:24">
      <c r="B24" s="287"/>
      <c r="C24" s="287"/>
      <c r="D24" s="287"/>
      <c r="E24" s="287"/>
      <c r="F24" s="295"/>
      <c r="Q24" s="291"/>
      <c r="R24" s="291"/>
      <c r="S24" s="291"/>
      <c r="T24" s="291"/>
      <c r="U24" s="291"/>
      <c r="V24" s="291"/>
      <c r="W24" s="291"/>
      <c r="X24" s="291"/>
    </row>
    <row r="25" spans="2:24">
      <c r="B25" s="286" t="s">
        <v>319</v>
      </c>
      <c r="C25" s="287"/>
      <c r="D25" s="287"/>
      <c r="E25" s="287"/>
      <c r="F25" s="295"/>
      <c r="G25" s="287"/>
      <c r="H25" s="289"/>
      <c r="I25" s="289"/>
      <c r="J25" s="289"/>
      <c r="K25" s="289"/>
      <c r="L25" s="289"/>
      <c r="M25" s="289"/>
      <c r="N25" s="289"/>
      <c r="O25" s="289"/>
      <c r="Q25" s="289"/>
      <c r="R25" s="289"/>
      <c r="S25" s="289"/>
      <c r="T25" s="289"/>
      <c r="U25" s="289"/>
      <c r="V25" s="289"/>
      <c r="W25" s="289"/>
      <c r="X25" s="289"/>
    </row>
    <row r="26" spans="2:24">
      <c r="B26" s="287" t="s">
        <v>314</v>
      </c>
      <c r="C26" s="287"/>
      <c r="D26" s="287" t="s">
        <v>119</v>
      </c>
      <c r="E26" s="287"/>
      <c r="F26" s="294">
        <v>2760.0000000000005</v>
      </c>
      <c r="H26" s="292">
        <v>0</v>
      </c>
      <c r="I26" s="292">
        <v>2.166666666666667</v>
      </c>
      <c r="J26" s="292">
        <v>0</v>
      </c>
      <c r="K26" s="292">
        <v>4</v>
      </c>
      <c r="L26" s="292">
        <v>18.43558245266367</v>
      </c>
      <c r="M26" s="292">
        <v>0</v>
      </c>
      <c r="N26" s="292">
        <v>70</v>
      </c>
      <c r="O26" s="292">
        <v>0</v>
      </c>
      <c r="Q26" s="307">
        <f>$F26*H26</f>
        <v>0</v>
      </c>
      <c r="R26" s="307">
        <f>$F26*I26</f>
        <v>5980.0000000000018</v>
      </c>
      <c r="S26" s="307">
        <f t="shared" ref="S26:S28" si="10">$F26*J26</f>
        <v>0</v>
      </c>
      <c r="T26" s="307">
        <f>$F26*K26</f>
        <v>11040.000000000002</v>
      </c>
      <c r="U26" s="307">
        <f t="shared" ref="U26:U28" si="11">$F26*L26</f>
        <v>50882.20756935174</v>
      </c>
      <c r="V26" s="307">
        <f t="shared" ref="V26:V28" si="12">$F26*M26</f>
        <v>0</v>
      </c>
      <c r="W26" s="307">
        <f t="shared" ref="W26:W28" si="13">$F26*N26</f>
        <v>193200.00000000003</v>
      </c>
      <c r="X26" s="307">
        <f t="shared" ref="X26:X28" si="14">$F26*O26</f>
        <v>0</v>
      </c>
    </row>
    <row r="27" spans="2:24">
      <c r="B27" s="287" t="s">
        <v>315</v>
      </c>
      <c r="C27" s="287"/>
      <c r="D27" s="287" t="s">
        <v>119</v>
      </c>
      <c r="E27" s="287"/>
      <c r="F27" s="294">
        <v>18.998296499772426</v>
      </c>
      <c r="H27" s="292">
        <v>0</v>
      </c>
      <c r="I27" s="292">
        <v>11375.5</v>
      </c>
      <c r="J27" s="292">
        <v>0</v>
      </c>
      <c r="K27" s="292">
        <v>73157.999999999985</v>
      </c>
      <c r="L27" s="292">
        <v>132108.41361331372</v>
      </c>
      <c r="M27" s="292">
        <v>0</v>
      </c>
      <c r="N27" s="292">
        <v>689131.11111111112</v>
      </c>
      <c r="O27" s="292">
        <v>0</v>
      </c>
      <c r="Q27" s="307">
        <f t="shared" ref="Q27:Q28" si="15">$F27*H27</f>
        <v>0</v>
      </c>
      <c r="R27" s="307">
        <f t="shared" ref="R27:R28" si="16">$F27*I27</f>
        <v>216115.12183316122</v>
      </c>
      <c r="S27" s="307">
        <f t="shared" si="10"/>
        <v>0</v>
      </c>
      <c r="T27" s="307">
        <f t="shared" ref="T27:T28" si="17">$F27*K27</f>
        <v>1389877.3753303508</v>
      </c>
      <c r="U27" s="307">
        <f t="shared" si="11"/>
        <v>2509834.8119403059</v>
      </c>
      <c r="V27" s="307">
        <f t="shared" si="12"/>
        <v>0</v>
      </c>
      <c r="W27" s="307">
        <f t="shared" si="13"/>
        <v>13092317.176106505</v>
      </c>
      <c r="X27" s="307">
        <f t="shared" si="14"/>
        <v>0</v>
      </c>
    </row>
    <row r="28" spans="2:24">
      <c r="B28" s="287" t="s">
        <v>316</v>
      </c>
      <c r="C28" s="287"/>
      <c r="D28" s="287" t="s">
        <v>119</v>
      </c>
      <c r="E28" s="287"/>
      <c r="F28" s="294">
        <v>2.0410754415880588</v>
      </c>
      <c r="H28" s="292">
        <v>0</v>
      </c>
      <c r="I28" s="292">
        <v>108729</v>
      </c>
      <c r="J28" s="292">
        <v>0</v>
      </c>
      <c r="K28" s="292">
        <v>695643.27272727271</v>
      </c>
      <c r="L28" s="292">
        <v>1229558.4942596427</v>
      </c>
      <c r="M28" s="292">
        <v>0</v>
      </c>
      <c r="N28" s="292">
        <v>6297862.666666666</v>
      </c>
      <c r="O28" s="292">
        <v>0</v>
      </c>
      <c r="Q28" s="307">
        <f t="shared" si="15"/>
        <v>0</v>
      </c>
      <c r="R28" s="307">
        <f t="shared" si="16"/>
        <v>221924.09168842805</v>
      </c>
      <c r="S28" s="307">
        <f t="shared" si="10"/>
        <v>0</v>
      </c>
      <c r="T28" s="307">
        <f t="shared" si="17"/>
        <v>1419860.4000695806</v>
      </c>
      <c r="U28" s="307">
        <f t="shared" si="11"/>
        <v>2509621.6466293489</v>
      </c>
      <c r="V28" s="307">
        <f t="shared" si="12"/>
        <v>0</v>
      </c>
      <c r="W28" s="307">
        <f t="shared" si="13"/>
        <v>12854412.823427614</v>
      </c>
      <c r="X28" s="307">
        <f t="shared" si="14"/>
        <v>0</v>
      </c>
    </row>
    <row r="29" spans="2:24">
      <c r="B29" s="287"/>
      <c r="C29" s="287"/>
      <c r="D29" s="287"/>
      <c r="E29" s="287"/>
      <c r="F29" s="295"/>
      <c r="Q29" s="291"/>
      <c r="R29" s="291"/>
      <c r="S29" s="291"/>
      <c r="T29" s="291"/>
      <c r="U29" s="291"/>
      <c r="V29" s="291"/>
      <c r="W29" s="291"/>
      <c r="X29" s="291"/>
    </row>
    <row r="30" spans="2:24">
      <c r="B30" s="286" t="s">
        <v>320</v>
      </c>
      <c r="C30" s="287"/>
      <c r="D30" s="287"/>
      <c r="E30" s="287"/>
      <c r="F30" s="295"/>
      <c r="G30" s="287"/>
      <c r="H30" s="289"/>
      <c r="I30" s="289"/>
      <c r="J30" s="289"/>
      <c r="K30" s="289"/>
      <c r="L30" s="289"/>
      <c r="M30" s="289"/>
      <c r="N30" s="289"/>
      <c r="O30" s="289"/>
      <c r="Q30" s="289"/>
      <c r="R30" s="289"/>
      <c r="S30" s="289"/>
      <c r="T30" s="289"/>
      <c r="U30" s="289"/>
      <c r="V30" s="289"/>
      <c r="W30" s="289"/>
      <c r="X30" s="289"/>
    </row>
    <row r="31" spans="2:24">
      <c r="B31" s="287" t="s">
        <v>314</v>
      </c>
      <c r="C31" s="287"/>
      <c r="D31" s="287" t="s">
        <v>119</v>
      </c>
      <c r="E31" s="287"/>
      <c r="F31" s="294">
        <v>2760</v>
      </c>
      <c r="H31" s="292">
        <v>0</v>
      </c>
      <c r="I31" s="292">
        <v>0</v>
      </c>
      <c r="J31" s="292">
        <v>0</v>
      </c>
      <c r="K31" s="292">
        <v>2</v>
      </c>
      <c r="L31" s="292">
        <v>11.747682912727464</v>
      </c>
      <c r="M31" s="292">
        <v>0</v>
      </c>
      <c r="N31" s="292">
        <v>10.555555555555555</v>
      </c>
      <c r="O31" s="292">
        <v>0</v>
      </c>
      <c r="Q31" s="307">
        <f>$F31*H31</f>
        <v>0</v>
      </c>
      <c r="R31" s="307">
        <f t="shared" ref="R31:R33" si="18">$F31*I31</f>
        <v>0</v>
      </c>
      <c r="S31" s="307">
        <f t="shared" ref="S31:S33" si="19">$F31*J31</f>
        <v>0</v>
      </c>
      <c r="T31" s="307">
        <f t="shared" ref="T31:T33" si="20">$F31*K31</f>
        <v>5520</v>
      </c>
      <c r="U31" s="307">
        <f t="shared" ref="U31:U33" si="21">$F31*L31</f>
        <v>32423.604839127802</v>
      </c>
      <c r="V31" s="307">
        <f t="shared" ref="V31:V33" si="22">$F31*M31</f>
        <v>0</v>
      </c>
      <c r="W31" s="307">
        <f t="shared" ref="W31:W33" si="23">$F31*N31</f>
        <v>29133.333333333332</v>
      </c>
      <c r="X31" s="307">
        <f t="shared" ref="X31:X33" si="24">$F31*O31</f>
        <v>0</v>
      </c>
    </row>
    <row r="32" spans="2:24">
      <c r="B32" s="287" t="s">
        <v>315</v>
      </c>
      <c r="C32" s="287"/>
      <c r="D32" s="287" t="s">
        <v>119</v>
      </c>
      <c r="E32" s="287"/>
      <c r="F32" s="294">
        <v>9.8497154192529077</v>
      </c>
      <c r="H32" s="292">
        <v>0</v>
      </c>
      <c r="I32" s="292">
        <v>0</v>
      </c>
      <c r="J32" s="292">
        <v>0</v>
      </c>
      <c r="K32" s="292">
        <v>13040.006369426752</v>
      </c>
      <c r="L32" s="292">
        <v>66366.665260556649</v>
      </c>
      <c r="M32" s="292">
        <v>0</v>
      </c>
      <c r="N32" s="292">
        <v>250303.77777777778</v>
      </c>
      <c r="O32" s="292">
        <v>0</v>
      </c>
      <c r="Q32" s="307">
        <f t="shared" ref="Q32:Q33" si="25">$F32*H32</f>
        <v>0</v>
      </c>
      <c r="R32" s="307">
        <f t="shared" si="18"/>
        <v>0</v>
      </c>
      <c r="S32" s="307">
        <f t="shared" si="19"/>
        <v>0</v>
      </c>
      <c r="T32" s="307">
        <f t="shared" si="20"/>
        <v>128440.35180409881</v>
      </c>
      <c r="U32" s="307">
        <f t="shared" si="21"/>
        <v>653692.76614130114</v>
      </c>
      <c r="V32" s="307">
        <f t="shared" si="22"/>
        <v>0</v>
      </c>
      <c r="W32" s="307">
        <f t="shared" si="23"/>
        <v>2465420.9794750311</v>
      </c>
      <c r="X32" s="307">
        <f t="shared" si="24"/>
        <v>0</v>
      </c>
    </row>
    <row r="33" spans="2:24">
      <c r="B33" s="287" t="s">
        <v>318</v>
      </c>
      <c r="C33" s="287"/>
      <c r="D33" s="287" t="s">
        <v>119</v>
      </c>
      <c r="E33" s="287"/>
      <c r="F33" s="294">
        <v>0.74009893738777655</v>
      </c>
      <c r="H33" s="292">
        <v>0</v>
      </c>
      <c r="I33" s="292">
        <v>0</v>
      </c>
      <c r="J33" s="292">
        <v>0</v>
      </c>
      <c r="K33" s="292">
        <v>195739.63636363638</v>
      </c>
      <c r="L33" s="292">
        <v>881806.49590046087</v>
      </c>
      <c r="M33" s="292">
        <v>0</v>
      </c>
      <c r="N33" s="292">
        <v>2833133.333333333</v>
      </c>
      <c r="O33" s="292">
        <v>0</v>
      </c>
      <c r="Q33" s="307">
        <f t="shared" si="25"/>
        <v>0</v>
      </c>
      <c r="R33" s="307">
        <f t="shared" si="18"/>
        <v>0</v>
      </c>
      <c r="S33" s="307">
        <f t="shared" si="19"/>
        <v>0</v>
      </c>
      <c r="T33" s="307">
        <f t="shared" si="20"/>
        <v>144866.69687739707</v>
      </c>
      <c r="U33" s="307">
        <f t="shared" si="21"/>
        <v>652624.05059756979</v>
      </c>
      <c r="V33" s="307">
        <f t="shared" si="22"/>
        <v>0</v>
      </c>
      <c r="W33" s="307">
        <f t="shared" si="23"/>
        <v>2096798.9694778891</v>
      </c>
      <c r="X33" s="307">
        <f t="shared" si="24"/>
        <v>0</v>
      </c>
    </row>
    <row r="34" spans="2:24">
      <c r="B34" s="287"/>
      <c r="C34" s="287"/>
      <c r="D34" s="287"/>
      <c r="E34" s="287"/>
      <c r="F34" s="295"/>
      <c r="Q34" s="291"/>
      <c r="R34" s="291"/>
      <c r="S34" s="291"/>
      <c r="T34" s="291"/>
      <c r="U34" s="291"/>
      <c r="V34" s="291"/>
      <c r="W34" s="291"/>
      <c r="X34" s="291"/>
    </row>
    <row r="35" spans="2:24">
      <c r="B35" s="286" t="s">
        <v>321</v>
      </c>
      <c r="C35" s="287"/>
      <c r="D35" s="287"/>
      <c r="E35" s="287"/>
      <c r="F35" s="295"/>
      <c r="G35" s="287"/>
      <c r="H35" s="289"/>
      <c r="I35" s="289"/>
      <c r="J35" s="289"/>
      <c r="K35" s="289"/>
      <c r="L35" s="289"/>
      <c r="M35" s="289"/>
      <c r="N35" s="289"/>
      <c r="O35" s="289"/>
      <c r="Q35" s="289"/>
      <c r="R35" s="289"/>
      <c r="S35" s="289"/>
      <c r="T35" s="289"/>
      <c r="U35" s="289"/>
      <c r="V35" s="289"/>
      <c r="W35" s="289"/>
      <c r="X35" s="289"/>
    </row>
    <row r="36" spans="2:24">
      <c r="B36" s="287" t="s">
        <v>314</v>
      </c>
      <c r="C36" s="287"/>
      <c r="D36" s="287" t="s">
        <v>119</v>
      </c>
      <c r="E36" s="287"/>
      <c r="F36" s="294">
        <v>2760</v>
      </c>
      <c r="H36" s="292">
        <v>0</v>
      </c>
      <c r="I36" s="292">
        <v>40.333333333333329</v>
      </c>
      <c r="J36" s="292">
        <v>1</v>
      </c>
      <c r="K36" s="292">
        <v>190.7051304347826</v>
      </c>
      <c r="L36" s="292">
        <v>318.57171460278767</v>
      </c>
      <c r="M36" s="292">
        <v>0</v>
      </c>
      <c r="N36" s="292">
        <v>137.13397584541062</v>
      </c>
      <c r="O36" s="292">
        <v>5.0026884057971017</v>
      </c>
      <c r="Q36" s="307">
        <f>$F36*H36</f>
        <v>0</v>
      </c>
      <c r="R36" s="307">
        <f t="shared" ref="R36:R38" si="26">$F36*I36</f>
        <v>111319.99999999999</v>
      </c>
      <c r="S36" s="307">
        <f t="shared" ref="S36:S38" si="27">$F36*J36</f>
        <v>2760</v>
      </c>
      <c r="T36" s="307">
        <f t="shared" ref="T36:T38" si="28">$F36*K36</f>
        <v>526346.16</v>
      </c>
      <c r="U36" s="307">
        <f t="shared" ref="U36:U38" si="29">$F36*L36</f>
        <v>879257.93230369396</v>
      </c>
      <c r="V36" s="307">
        <f t="shared" ref="V36:V38" si="30">$F36*M36</f>
        <v>0</v>
      </c>
      <c r="W36" s="307">
        <f t="shared" ref="W36:W38" si="31">$F36*N36</f>
        <v>378489.77333333332</v>
      </c>
      <c r="X36" s="307">
        <f t="shared" ref="X36:X38" si="32">$F36*O36</f>
        <v>13807.42</v>
      </c>
    </row>
    <row r="37" spans="2:24">
      <c r="B37" s="287" t="s">
        <v>315</v>
      </c>
      <c r="C37" s="287"/>
      <c r="D37" s="287" t="s">
        <v>119</v>
      </c>
      <c r="E37" s="287"/>
      <c r="F37" s="294">
        <v>21.553459796490376</v>
      </c>
      <c r="H37" s="292">
        <v>0</v>
      </c>
      <c r="I37" s="292">
        <v>87705</v>
      </c>
      <c r="J37" s="292">
        <v>14929.998483221416</v>
      </c>
      <c r="K37" s="292">
        <v>1379149.7052667304</v>
      </c>
      <c r="L37" s="292">
        <v>1079115.0263660806</v>
      </c>
      <c r="M37" s="292">
        <v>0</v>
      </c>
      <c r="N37" s="292">
        <v>457061.43014492764</v>
      </c>
      <c r="O37" s="292">
        <v>31419.164294617884</v>
      </c>
      <c r="Q37" s="307">
        <f t="shared" ref="Q37:Q38" si="33">$F37*H37</f>
        <v>0</v>
      </c>
      <c r="R37" s="307">
        <f t="shared" si="26"/>
        <v>1890346.1914511884</v>
      </c>
      <c r="S37" s="307">
        <f t="shared" si="27"/>
        <v>321793.12206977507</v>
      </c>
      <c r="T37" s="307">
        <f t="shared" si="28"/>
        <v>29725447.725808024</v>
      </c>
      <c r="U37" s="307">
        <f t="shared" si="29"/>
        <v>23258662.336569972</v>
      </c>
      <c r="V37" s="307">
        <f t="shared" si="30"/>
        <v>0</v>
      </c>
      <c r="W37" s="307">
        <f t="shared" si="31"/>
        <v>9851255.1591550931</v>
      </c>
      <c r="X37" s="307">
        <f t="shared" si="32"/>
        <v>677191.69446337246</v>
      </c>
    </row>
    <row r="38" spans="2:24">
      <c r="B38" s="287" t="s">
        <v>316</v>
      </c>
      <c r="C38" s="287"/>
      <c r="D38" s="287" t="s">
        <v>119</v>
      </c>
      <c r="E38" s="287"/>
      <c r="F38" s="294">
        <v>2.0008840358766951</v>
      </c>
      <c r="H38" s="292">
        <v>0</v>
      </c>
      <c r="I38" s="292">
        <v>744991</v>
      </c>
      <c r="J38" s="292">
        <v>166557.6333333331</v>
      </c>
      <c r="K38" s="292">
        <v>13910908.363636361</v>
      </c>
      <c r="L38" s="292">
        <v>10287161.607738316</v>
      </c>
      <c r="M38" s="292">
        <v>0</v>
      </c>
      <c r="N38" s="292">
        <v>4326179.0857142862</v>
      </c>
      <c r="O38" s="292">
        <v>303660.98433242511</v>
      </c>
      <c r="Q38" s="307">
        <f t="shared" si="33"/>
        <v>0</v>
      </c>
      <c r="R38" s="307">
        <f t="shared" si="26"/>
        <v>1490640.598771815</v>
      </c>
      <c r="S38" s="307">
        <f t="shared" si="27"/>
        <v>333262.50959007029</v>
      </c>
      <c r="T38" s="307">
        <f t="shared" si="28"/>
        <v>27834114.469343595</v>
      </c>
      <c r="U38" s="307">
        <f t="shared" si="29"/>
        <v>20583417.435407232</v>
      </c>
      <c r="V38" s="307">
        <f t="shared" si="30"/>
        <v>0</v>
      </c>
      <c r="W38" s="307">
        <f t="shared" si="31"/>
        <v>8656182.6689493507</v>
      </c>
      <c r="X38" s="307">
        <f t="shared" si="32"/>
        <v>607590.41586935264</v>
      </c>
    </row>
    <row r="39" spans="2:24">
      <c r="B39" s="287"/>
      <c r="C39" s="287"/>
      <c r="D39" s="287"/>
      <c r="E39" s="287"/>
      <c r="F39" s="295"/>
      <c r="Q39" s="291"/>
      <c r="R39" s="291"/>
      <c r="S39" s="291"/>
      <c r="T39" s="291"/>
      <c r="U39" s="291"/>
      <c r="V39" s="291"/>
      <c r="W39" s="291"/>
      <c r="X39" s="291"/>
    </row>
    <row r="40" spans="2:24">
      <c r="B40" s="286" t="s">
        <v>322</v>
      </c>
      <c r="C40" s="287"/>
      <c r="D40" s="287"/>
      <c r="E40" s="287"/>
      <c r="F40" s="295"/>
      <c r="G40" s="287"/>
      <c r="H40" s="289"/>
      <c r="I40" s="289"/>
      <c r="J40" s="289"/>
      <c r="K40" s="289"/>
      <c r="L40" s="289"/>
      <c r="M40" s="289"/>
      <c r="N40" s="289"/>
      <c r="O40" s="289"/>
      <c r="Q40" s="289"/>
      <c r="R40" s="289"/>
      <c r="S40" s="289"/>
      <c r="T40" s="289"/>
      <c r="U40" s="289"/>
      <c r="V40" s="289"/>
      <c r="W40" s="289"/>
      <c r="X40" s="289"/>
    </row>
    <row r="41" spans="2:24">
      <c r="B41" s="287" t="s">
        <v>314</v>
      </c>
      <c r="C41" s="287"/>
      <c r="D41" s="287" t="s">
        <v>119</v>
      </c>
      <c r="E41" s="287"/>
      <c r="F41" s="294">
        <v>2760</v>
      </c>
      <c r="H41" s="292">
        <v>0</v>
      </c>
      <c r="I41" s="292">
        <v>1</v>
      </c>
      <c r="J41" s="292">
        <v>0</v>
      </c>
      <c r="K41" s="292">
        <v>8.3636363636363651</v>
      </c>
      <c r="L41" s="292">
        <v>16.490320105482699</v>
      </c>
      <c r="M41" s="292">
        <v>0</v>
      </c>
      <c r="N41" s="292">
        <v>4</v>
      </c>
      <c r="O41" s="292">
        <v>0</v>
      </c>
      <c r="Q41" s="307">
        <f>$F41*H41</f>
        <v>0</v>
      </c>
      <c r="R41" s="307">
        <f t="shared" ref="R41:R43" si="34">$F41*I41</f>
        <v>2760</v>
      </c>
      <c r="S41" s="307">
        <f t="shared" ref="S41:S43" si="35">$F41*J41</f>
        <v>0</v>
      </c>
      <c r="T41" s="307">
        <f t="shared" ref="T41:T43" si="36">$F41*K41</f>
        <v>23083.636363636368</v>
      </c>
      <c r="U41" s="307">
        <f t="shared" ref="U41:U43" si="37">$F41*L41</f>
        <v>45513.28349113225</v>
      </c>
      <c r="V41" s="307">
        <f t="shared" ref="V41:V43" si="38">$F41*M41</f>
        <v>0</v>
      </c>
      <c r="W41" s="307">
        <f t="shared" ref="W41:W43" si="39">$F41*N41</f>
        <v>11040</v>
      </c>
      <c r="X41" s="307">
        <f t="shared" ref="X41:X43" si="40">$F41*O41</f>
        <v>0</v>
      </c>
    </row>
    <row r="42" spans="2:24">
      <c r="B42" s="287" t="s">
        <v>315</v>
      </c>
      <c r="C42" s="287"/>
      <c r="D42" s="287" t="s">
        <v>119</v>
      </c>
      <c r="E42" s="287"/>
      <c r="F42" s="294">
        <v>10.56332493388633</v>
      </c>
      <c r="H42" s="292">
        <v>0</v>
      </c>
      <c r="I42" s="292">
        <v>9300</v>
      </c>
      <c r="J42" s="292">
        <v>0</v>
      </c>
      <c r="K42" s="292">
        <v>61676</v>
      </c>
      <c r="L42" s="292">
        <v>46964.822318005979</v>
      </c>
      <c r="M42" s="292">
        <v>0</v>
      </c>
      <c r="N42" s="292">
        <v>16304</v>
      </c>
      <c r="O42" s="292">
        <v>0</v>
      </c>
      <c r="Q42" s="307">
        <f t="shared" ref="Q42:Q43" si="41">$F42*H42</f>
        <v>0</v>
      </c>
      <c r="R42" s="307">
        <f t="shared" si="34"/>
        <v>98238.92188514286</v>
      </c>
      <c r="S42" s="307">
        <f t="shared" si="35"/>
        <v>0</v>
      </c>
      <c r="T42" s="307">
        <f t="shared" si="36"/>
        <v>651503.62862237322</v>
      </c>
      <c r="U42" s="307">
        <f t="shared" si="37"/>
        <v>496104.67860733374</v>
      </c>
      <c r="V42" s="307">
        <f t="shared" si="38"/>
        <v>0</v>
      </c>
      <c r="W42" s="307">
        <f t="shared" si="39"/>
        <v>172224.44972208273</v>
      </c>
      <c r="X42" s="307">
        <f t="shared" si="40"/>
        <v>0</v>
      </c>
    </row>
    <row r="43" spans="2:24">
      <c r="B43" s="287" t="s">
        <v>318</v>
      </c>
      <c r="C43" s="287"/>
      <c r="D43" s="287" t="s">
        <v>119</v>
      </c>
      <c r="E43" s="287"/>
      <c r="F43" s="294">
        <v>0.67739471048123279</v>
      </c>
      <c r="H43" s="292">
        <v>0</v>
      </c>
      <c r="I43" s="292">
        <v>212961</v>
      </c>
      <c r="J43" s="292">
        <v>0</v>
      </c>
      <c r="K43" s="292">
        <v>752933.45454545459</v>
      </c>
      <c r="L43" s="292">
        <v>584099.8116347295</v>
      </c>
      <c r="M43" s="292">
        <v>0</v>
      </c>
      <c r="N43" s="292">
        <v>390541.33333333331</v>
      </c>
      <c r="O43" s="292">
        <v>0</v>
      </c>
      <c r="Q43" s="307">
        <f t="shared" si="41"/>
        <v>0</v>
      </c>
      <c r="R43" s="307">
        <f t="shared" si="34"/>
        <v>144258.65493879383</v>
      </c>
      <c r="S43" s="307">
        <f t="shared" si="35"/>
        <v>0</v>
      </c>
      <c r="T43" s="307">
        <f t="shared" si="36"/>
        <v>510033.13945345266</v>
      </c>
      <c r="U43" s="307">
        <f t="shared" si="37"/>
        <v>395666.1227944502</v>
      </c>
      <c r="V43" s="307">
        <f t="shared" si="38"/>
        <v>0</v>
      </c>
      <c r="W43" s="307">
        <f t="shared" si="39"/>
        <v>264550.63342428795</v>
      </c>
      <c r="X43" s="307">
        <f t="shared" si="40"/>
        <v>0</v>
      </c>
    </row>
    <row r="44" spans="2:24">
      <c r="B44" s="287"/>
      <c r="C44" s="287"/>
      <c r="D44" s="287"/>
      <c r="E44" s="287"/>
      <c r="F44" s="295"/>
      <c r="Q44" s="291"/>
      <c r="R44" s="291"/>
      <c r="S44" s="291"/>
      <c r="T44" s="291"/>
      <c r="U44" s="291"/>
      <c r="V44" s="291"/>
      <c r="W44" s="291"/>
      <c r="X44" s="291"/>
    </row>
    <row r="45" spans="2:24">
      <c r="B45" s="282" t="s">
        <v>323</v>
      </c>
      <c r="C45" s="283"/>
      <c r="D45" s="283"/>
      <c r="E45" s="283"/>
      <c r="F45" s="296"/>
      <c r="G45" s="283"/>
      <c r="H45" s="285" t="s">
        <v>342</v>
      </c>
      <c r="I45" s="285" t="s">
        <v>343</v>
      </c>
      <c r="J45" s="285" t="s">
        <v>344</v>
      </c>
      <c r="K45" s="285" t="s">
        <v>345</v>
      </c>
      <c r="L45" s="285" t="s">
        <v>346</v>
      </c>
      <c r="M45" s="285" t="s">
        <v>347</v>
      </c>
      <c r="N45" s="285" t="s">
        <v>348</v>
      </c>
      <c r="O45" s="285" t="s">
        <v>349</v>
      </c>
      <c r="P45" s="285"/>
      <c r="Q45" s="285" t="s">
        <v>342</v>
      </c>
      <c r="R45" s="285" t="s">
        <v>343</v>
      </c>
      <c r="S45" s="285" t="s">
        <v>344</v>
      </c>
      <c r="T45" s="285" t="s">
        <v>345</v>
      </c>
      <c r="U45" s="285" t="s">
        <v>346</v>
      </c>
      <c r="V45" s="285" t="s">
        <v>347</v>
      </c>
      <c r="W45" s="285" t="s">
        <v>348</v>
      </c>
      <c r="X45" s="285" t="s">
        <v>349</v>
      </c>
    </row>
    <row r="46" spans="2:24">
      <c r="B46" s="286" t="s">
        <v>324</v>
      </c>
      <c r="C46" s="287"/>
      <c r="D46" s="287"/>
      <c r="E46" s="287"/>
      <c r="F46" s="295"/>
      <c r="G46" s="287"/>
      <c r="H46" s="289"/>
      <c r="I46" s="289"/>
      <c r="J46" s="289"/>
      <c r="K46" s="289"/>
      <c r="L46" s="289"/>
      <c r="M46" s="289"/>
      <c r="N46" s="289"/>
      <c r="O46" s="289"/>
      <c r="Q46" s="289"/>
      <c r="R46" s="289"/>
      <c r="S46" s="289"/>
      <c r="T46" s="289"/>
      <c r="U46" s="289"/>
      <c r="V46" s="289"/>
      <c r="W46" s="289"/>
      <c r="X46" s="289"/>
    </row>
    <row r="47" spans="2:24">
      <c r="B47" s="287" t="s">
        <v>314</v>
      </c>
      <c r="C47" s="287"/>
      <c r="D47" s="287" t="s">
        <v>119</v>
      </c>
      <c r="E47" s="287"/>
      <c r="F47" s="294">
        <v>440.99999999999994</v>
      </c>
      <c r="H47" s="292">
        <v>0</v>
      </c>
      <c r="I47" s="292">
        <v>0</v>
      </c>
      <c r="J47" s="292">
        <v>4</v>
      </c>
      <c r="K47" s="292">
        <v>282.3422881880025</v>
      </c>
      <c r="L47" s="292">
        <v>0</v>
      </c>
      <c r="M47" s="292">
        <v>2</v>
      </c>
      <c r="N47" s="292">
        <v>0</v>
      </c>
      <c r="O47" s="292">
        <v>0</v>
      </c>
      <c r="Q47" s="307">
        <f t="shared" ref="Q47:Q50" si="42">$F47*H47</f>
        <v>0</v>
      </c>
      <c r="R47" s="307">
        <f t="shared" ref="R47:R50" si="43">$F47*I47</f>
        <v>0</v>
      </c>
      <c r="S47" s="307">
        <f t="shared" ref="S47:S50" si="44">$F47*J47</f>
        <v>1763.9999999999998</v>
      </c>
      <c r="T47" s="307">
        <f t="shared" ref="T47:T50" si="45">$F47*K47</f>
        <v>124512.94909090908</v>
      </c>
      <c r="U47" s="307">
        <f t="shared" ref="U47:U50" si="46">$F47*L47</f>
        <v>0</v>
      </c>
      <c r="V47" s="307">
        <f t="shared" ref="V47:V50" si="47">$F47*M47</f>
        <v>881.99999999999989</v>
      </c>
      <c r="W47" s="307">
        <f t="shared" ref="W47:W50" si="48">$F47*N47</f>
        <v>0</v>
      </c>
      <c r="X47" s="307">
        <f t="shared" ref="X47:X50" si="49">$F47*O47</f>
        <v>0</v>
      </c>
    </row>
    <row r="48" spans="2:24">
      <c r="B48" s="287" t="s">
        <v>325</v>
      </c>
      <c r="C48" s="287"/>
      <c r="D48" s="287" t="s">
        <v>119</v>
      </c>
      <c r="E48" s="287"/>
      <c r="F48" s="294">
        <v>13.691146136685585</v>
      </c>
      <c r="H48" s="292">
        <v>0</v>
      </c>
      <c r="I48" s="292">
        <v>0</v>
      </c>
      <c r="J48" s="292">
        <v>24551.666613924735</v>
      </c>
      <c r="K48" s="292">
        <v>776538.3000912132</v>
      </c>
      <c r="L48" s="292">
        <v>0</v>
      </c>
      <c r="M48" s="292">
        <v>12743.8</v>
      </c>
      <c r="N48" s="292">
        <v>0</v>
      </c>
      <c r="O48" s="292">
        <v>0</v>
      </c>
      <c r="Q48" s="307">
        <f t="shared" si="42"/>
        <v>0</v>
      </c>
      <c r="R48" s="307">
        <f t="shared" si="43"/>
        <v>0</v>
      </c>
      <c r="S48" s="307">
        <f t="shared" si="44"/>
        <v>336140.45551042812</v>
      </c>
      <c r="T48" s="307">
        <f t="shared" si="45"/>
        <v>10631699.347282205</v>
      </c>
      <c r="U48" s="307">
        <f t="shared" si="46"/>
        <v>0</v>
      </c>
      <c r="V48" s="307">
        <f t="shared" si="47"/>
        <v>174477.22813669374</v>
      </c>
      <c r="W48" s="307">
        <f t="shared" si="48"/>
        <v>0</v>
      </c>
      <c r="X48" s="307">
        <f t="shared" si="49"/>
        <v>0</v>
      </c>
    </row>
    <row r="49" spans="2:24">
      <c r="B49" s="287" t="s">
        <v>316</v>
      </c>
      <c r="C49" s="287"/>
      <c r="D49" s="287" t="s">
        <v>119</v>
      </c>
      <c r="E49" s="287"/>
      <c r="F49" s="294">
        <v>1.3176203244621105</v>
      </c>
      <c r="H49" s="292">
        <v>0</v>
      </c>
      <c r="I49" s="292">
        <v>0</v>
      </c>
      <c r="J49" s="292">
        <v>233764.6333333331</v>
      </c>
      <c r="K49" s="292">
        <v>7377220.3636363652</v>
      </c>
      <c r="L49" s="292">
        <v>0</v>
      </c>
      <c r="M49" s="292">
        <v>118777</v>
      </c>
      <c r="N49" s="292">
        <v>0</v>
      </c>
      <c r="O49" s="292">
        <v>0</v>
      </c>
      <c r="Q49" s="307">
        <f t="shared" si="42"/>
        <v>0</v>
      </c>
      <c r="R49" s="307">
        <f t="shared" si="43"/>
        <v>0</v>
      </c>
      <c r="S49" s="307">
        <f t="shared" si="44"/>
        <v>308013.03202043264</v>
      </c>
      <c r="T49" s="307">
        <f t="shared" si="45"/>
        <v>9720375.4891630374</v>
      </c>
      <c r="U49" s="307">
        <f t="shared" si="46"/>
        <v>0</v>
      </c>
      <c r="V49" s="307">
        <f t="shared" si="47"/>
        <v>156502.98927863612</v>
      </c>
      <c r="W49" s="307">
        <f t="shared" si="48"/>
        <v>0</v>
      </c>
      <c r="X49" s="307">
        <f t="shared" si="49"/>
        <v>0</v>
      </c>
    </row>
    <row r="50" spans="2:24">
      <c r="B50" s="287" t="s">
        <v>326</v>
      </c>
      <c r="C50" s="287"/>
      <c r="D50" s="287" t="s">
        <v>119</v>
      </c>
      <c r="E50" s="287"/>
      <c r="F50" s="294">
        <v>5.1837807653732524E-3</v>
      </c>
      <c r="H50" s="292">
        <v>0</v>
      </c>
      <c r="I50" s="292">
        <v>0</v>
      </c>
      <c r="J50" s="292">
        <v>85048608.233333334</v>
      </c>
      <c r="K50" s="292">
        <v>2968515054.5454545</v>
      </c>
      <c r="L50" s="292">
        <v>0</v>
      </c>
      <c r="M50" s="292">
        <v>20278833</v>
      </c>
      <c r="N50" s="292">
        <v>0</v>
      </c>
      <c r="O50" s="292">
        <v>0</v>
      </c>
      <c r="Q50" s="307">
        <f t="shared" si="42"/>
        <v>0</v>
      </c>
      <c r="R50" s="307">
        <f t="shared" si="43"/>
        <v>0</v>
      </c>
      <c r="S50" s="307">
        <f t="shared" si="44"/>
        <v>440873.33948171855</v>
      </c>
      <c r="T50" s="307">
        <f t="shared" si="45"/>
        <v>15388131.241473658</v>
      </c>
      <c r="U50" s="307">
        <f t="shared" si="46"/>
        <v>0</v>
      </c>
      <c r="V50" s="307">
        <f t="shared" si="47"/>
        <v>105121.02444961637</v>
      </c>
      <c r="W50" s="307">
        <f t="shared" si="48"/>
        <v>0</v>
      </c>
      <c r="X50" s="307">
        <f t="shared" si="49"/>
        <v>0</v>
      </c>
    </row>
    <row r="51" spans="2:24">
      <c r="B51" s="287"/>
      <c r="C51" s="287"/>
      <c r="D51" s="287"/>
      <c r="E51" s="287"/>
      <c r="F51" s="295"/>
      <c r="Q51" s="291"/>
      <c r="R51" s="291"/>
      <c r="S51" s="291"/>
      <c r="T51" s="291"/>
      <c r="U51" s="291"/>
      <c r="V51" s="291"/>
      <c r="W51" s="291"/>
      <c r="X51" s="291"/>
    </row>
    <row r="52" spans="2:24">
      <c r="B52" s="286" t="s">
        <v>327</v>
      </c>
      <c r="C52" s="287"/>
      <c r="D52" s="287"/>
      <c r="E52" s="287"/>
      <c r="F52" s="295"/>
      <c r="G52" s="287"/>
      <c r="H52" s="289"/>
      <c r="I52" s="289"/>
      <c r="J52" s="289"/>
      <c r="K52" s="289"/>
      <c r="L52" s="289"/>
      <c r="M52" s="289"/>
      <c r="N52" s="289"/>
      <c r="O52" s="289"/>
      <c r="Q52" s="289"/>
      <c r="R52" s="289"/>
      <c r="S52" s="289"/>
      <c r="T52" s="289"/>
      <c r="U52" s="289"/>
      <c r="V52" s="289"/>
      <c r="W52" s="289"/>
      <c r="X52" s="289"/>
    </row>
    <row r="53" spans="2:24">
      <c r="B53" s="287" t="s">
        <v>314</v>
      </c>
      <c r="C53" s="287"/>
      <c r="D53" s="287" t="s">
        <v>119</v>
      </c>
      <c r="E53" s="287"/>
      <c r="F53" s="294">
        <v>441.00000000000006</v>
      </c>
      <c r="H53" s="292">
        <v>28.923076923076923</v>
      </c>
      <c r="I53" s="292">
        <v>405.66666666666669</v>
      </c>
      <c r="J53" s="292">
        <v>546</v>
      </c>
      <c r="K53" s="292">
        <v>10162.527672644817</v>
      </c>
      <c r="L53" s="292">
        <v>9248.7664506165584</v>
      </c>
      <c r="M53" s="292">
        <v>15.58</v>
      </c>
      <c r="N53" s="292">
        <v>3303.4689644746782</v>
      </c>
      <c r="O53" s="292">
        <v>559.07945578231306</v>
      </c>
      <c r="Q53" s="307">
        <f t="shared" ref="Q53:Q56" si="50">$F53*H53</f>
        <v>12755.076923076926</v>
      </c>
      <c r="R53" s="307">
        <f t="shared" ref="R53:R56" si="51">$F53*I53</f>
        <v>178899.00000000003</v>
      </c>
      <c r="S53" s="307">
        <f t="shared" ref="S53:S56" si="52">$F53*J53</f>
        <v>240786.00000000003</v>
      </c>
      <c r="T53" s="307">
        <f t="shared" ref="T53:T56" si="53">$F53*K53</f>
        <v>4481674.703636365</v>
      </c>
      <c r="U53" s="307">
        <f t="shared" ref="U53:U56" si="54">$F53*L53</f>
        <v>4078706.0047219028</v>
      </c>
      <c r="V53" s="307">
        <f t="shared" ref="V53:V56" si="55">$F53*M53</f>
        <v>6870.7800000000007</v>
      </c>
      <c r="W53" s="307">
        <f t="shared" ref="W53:W56" si="56">$F53*N53</f>
        <v>1456829.8133333332</v>
      </c>
      <c r="X53" s="307">
        <f t="shared" ref="X53:X56" si="57">$F53*O53</f>
        <v>246554.0400000001</v>
      </c>
    </row>
    <row r="54" spans="2:24">
      <c r="B54" s="287" t="s">
        <v>325</v>
      </c>
      <c r="C54" s="287"/>
      <c r="D54" s="287" t="s">
        <v>119</v>
      </c>
      <c r="E54" s="287"/>
      <c r="F54" s="294">
        <v>15.999498838846547</v>
      </c>
      <c r="H54" s="292">
        <v>33754.583333333336</v>
      </c>
      <c r="I54" s="292">
        <v>199549</v>
      </c>
      <c r="J54" s="292">
        <v>136976.93691442918</v>
      </c>
      <c r="K54" s="292">
        <v>2986286.7292634384</v>
      </c>
      <c r="L54" s="292">
        <v>3134917.6660004603</v>
      </c>
      <c r="M54" s="292">
        <v>18326</v>
      </c>
      <c r="N54" s="292">
        <v>1767672.8542857151</v>
      </c>
      <c r="O54" s="292">
        <v>260026.80485952916</v>
      </c>
      <c r="Q54" s="307">
        <f t="shared" si="50"/>
        <v>540056.41684741573</v>
      </c>
      <c r="R54" s="307">
        <f t="shared" si="51"/>
        <v>3192683.9937929898</v>
      </c>
      <c r="S54" s="307">
        <f t="shared" si="52"/>
        <v>2191562.3431111663</v>
      </c>
      <c r="T54" s="307">
        <f t="shared" si="53"/>
        <v>47779091.057313234</v>
      </c>
      <c r="U54" s="307">
        <f t="shared" si="54"/>
        <v>50157111.557053894</v>
      </c>
      <c r="V54" s="307">
        <f t="shared" si="55"/>
        <v>293206.81572070182</v>
      </c>
      <c r="W54" s="307">
        <f t="shared" si="56"/>
        <v>28281879.77960486</v>
      </c>
      <c r="X54" s="307">
        <f t="shared" si="57"/>
        <v>4160298.5624190145</v>
      </c>
    </row>
    <row r="55" spans="2:24">
      <c r="B55" s="287" t="s">
        <v>316</v>
      </c>
      <c r="C55" s="287"/>
      <c r="D55" s="287" t="s">
        <v>119</v>
      </c>
      <c r="E55" s="287"/>
      <c r="F55" s="294">
        <v>1.6623687018593056</v>
      </c>
      <c r="H55" s="292">
        <v>298719</v>
      </c>
      <c r="I55" s="292">
        <v>1689159</v>
      </c>
      <c r="J55" s="292">
        <v>1122818.5999999989</v>
      </c>
      <c r="K55" s="292">
        <v>25935426.555023901</v>
      </c>
      <c r="L55" s="292">
        <v>26659028.833978746</v>
      </c>
      <c r="M55" s="292">
        <v>184501</v>
      </c>
      <c r="N55" s="292">
        <v>13811480.46315789</v>
      </c>
      <c r="O55" s="292">
        <v>2044880.3313609466</v>
      </c>
      <c r="Q55" s="307">
        <f t="shared" si="50"/>
        <v>496581.11625070992</v>
      </c>
      <c r="R55" s="307">
        <f t="shared" si="51"/>
        <v>2808005.0540639628</v>
      </c>
      <c r="S55" s="307">
        <f t="shared" si="52"/>
        <v>1866538.4985054811</v>
      </c>
      <c r="T55" s="307">
        <f t="shared" si="53"/>
        <v>43114241.374442443</v>
      </c>
      <c r="U55" s="307">
        <f t="shared" si="54"/>
        <v>44317135.155571043</v>
      </c>
      <c r="V55" s="307">
        <f t="shared" si="55"/>
        <v>306708.68786174373</v>
      </c>
      <c r="W55" s="307">
        <f t="shared" si="56"/>
        <v>22959772.848294944</v>
      </c>
      <c r="X55" s="307">
        <f t="shared" si="57"/>
        <v>3399345.0619021235</v>
      </c>
    </row>
    <row r="56" spans="2:24">
      <c r="B56" s="287" t="s">
        <v>326</v>
      </c>
      <c r="C56" s="287"/>
      <c r="D56" s="287" t="s">
        <v>119</v>
      </c>
      <c r="E56" s="287"/>
      <c r="F56" s="294">
        <v>1.001538411350472E-2</v>
      </c>
      <c r="H56" s="292">
        <v>100371218</v>
      </c>
      <c r="I56" s="292">
        <v>511910522</v>
      </c>
      <c r="J56" s="292">
        <v>377581265.13333327</v>
      </c>
      <c r="K56" s="292">
        <v>8028159807.3145247</v>
      </c>
      <c r="L56" s="292">
        <v>8662953386.7605019</v>
      </c>
      <c r="M56" s="292">
        <v>64744677</v>
      </c>
      <c r="N56" s="292">
        <v>4590125609.333333</v>
      </c>
      <c r="O56" s="292">
        <v>574041231.57894731</v>
      </c>
      <c r="Q56" s="307">
        <f t="shared" si="50"/>
        <v>1005256.302210319</v>
      </c>
      <c r="R56" s="307">
        <f t="shared" si="51"/>
        <v>5126980.5095747085</v>
      </c>
      <c r="S56" s="307">
        <f t="shared" si="52"/>
        <v>3781621.4043733994</v>
      </c>
      <c r="T56" s="307">
        <f t="shared" si="53"/>
        <v>80405104.194855005</v>
      </c>
      <c r="U56" s="307">
        <f t="shared" si="54"/>
        <v>86762805.725793034</v>
      </c>
      <c r="V56" s="307">
        <f t="shared" si="55"/>
        <v>648442.80945979443</v>
      </c>
      <c r="W56" s="307">
        <f t="shared" si="56"/>
        <v>45971871.106708236</v>
      </c>
      <c r="X56" s="307">
        <f t="shared" si="57"/>
        <v>5749243.431252473</v>
      </c>
    </row>
    <row r="57" spans="2:24">
      <c r="B57" s="287"/>
      <c r="C57" s="287"/>
      <c r="D57" s="287"/>
      <c r="E57" s="287"/>
      <c r="F57" s="295"/>
      <c r="Q57" s="291"/>
      <c r="R57" s="291"/>
      <c r="S57" s="291"/>
      <c r="T57" s="291"/>
      <c r="U57" s="291"/>
      <c r="V57" s="291"/>
      <c r="W57" s="291"/>
      <c r="X57" s="291"/>
    </row>
    <row r="58" spans="2:24">
      <c r="B58" s="286" t="s">
        <v>328</v>
      </c>
      <c r="C58" s="287"/>
      <c r="D58" s="287"/>
      <c r="E58" s="287"/>
      <c r="F58" s="295"/>
      <c r="G58" s="287"/>
      <c r="H58" s="289"/>
      <c r="I58" s="289"/>
      <c r="J58" s="289"/>
      <c r="K58" s="289"/>
      <c r="L58" s="289"/>
      <c r="M58" s="289"/>
      <c r="N58" s="289"/>
      <c r="O58" s="289"/>
      <c r="Q58" s="289"/>
      <c r="R58" s="289"/>
      <c r="S58" s="289"/>
      <c r="T58" s="289"/>
      <c r="U58" s="289"/>
      <c r="V58" s="289"/>
      <c r="W58" s="289"/>
      <c r="X58" s="289"/>
    </row>
    <row r="59" spans="2:24">
      <c r="B59" s="287" t="s">
        <v>314</v>
      </c>
      <c r="C59" s="287"/>
      <c r="D59" s="287" t="s">
        <v>119</v>
      </c>
      <c r="E59" s="287"/>
      <c r="F59" s="294">
        <v>441.00000000000006</v>
      </c>
      <c r="H59" s="292">
        <v>229.30769230769232</v>
      </c>
      <c r="I59" s="292">
        <v>1568.4999999999998</v>
      </c>
      <c r="J59" s="292">
        <v>666</v>
      </c>
      <c r="K59" s="292">
        <v>14664.436600700885</v>
      </c>
      <c r="L59" s="292">
        <v>14210.931622638771</v>
      </c>
      <c r="M59" s="292">
        <v>131.22</v>
      </c>
      <c r="N59" s="292">
        <v>9732.1317611489012</v>
      </c>
      <c r="O59" s="292">
        <v>970.09358276643979</v>
      </c>
      <c r="Q59" s="307">
        <f t="shared" ref="Q59:Q62" si="58">$F59*H59</f>
        <v>101124.69230769233</v>
      </c>
      <c r="R59" s="307">
        <f t="shared" ref="R59:R62" si="59">$F59*I59</f>
        <v>691708.5</v>
      </c>
      <c r="S59" s="307">
        <f t="shared" ref="S59:S62" si="60">$F59*J59</f>
        <v>293706.00000000006</v>
      </c>
      <c r="T59" s="307">
        <f t="shared" ref="T59:T62" si="61">$F59*K59</f>
        <v>6467016.540909091</v>
      </c>
      <c r="U59" s="307">
        <f t="shared" ref="U59:U62" si="62">$F59*L59</f>
        <v>6267020.8455836987</v>
      </c>
      <c r="V59" s="307">
        <f t="shared" ref="V59:V62" si="63">$F59*M59</f>
        <v>57868.020000000004</v>
      </c>
      <c r="W59" s="307">
        <f t="shared" ref="W59:W62" si="64">$F59*N59</f>
        <v>4291870.1066666655</v>
      </c>
      <c r="X59" s="307">
        <f t="shared" ref="X59:X62" si="65">$F59*O59</f>
        <v>427811.27</v>
      </c>
    </row>
    <row r="60" spans="2:24">
      <c r="B60" s="287" t="s">
        <v>325</v>
      </c>
      <c r="C60" s="287"/>
      <c r="D60" s="287" t="s">
        <v>119</v>
      </c>
      <c r="E60" s="287"/>
      <c r="F60" s="294">
        <v>24.348659815094891</v>
      </c>
      <c r="H60" s="292">
        <v>46016.833333333336</v>
      </c>
      <c r="I60" s="292">
        <v>151001.08333333331</v>
      </c>
      <c r="J60" s="292">
        <v>45209.670608171757</v>
      </c>
      <c r="K60" s="292">
        <v>1056906.9420198521</v>
      </c>
      <c r="L60" s="292">
        <v>1223095.4633403304</v>
      </c>
      <c r="M60" s="292">
        <v>23239.200000000001</v>
      </c>
      <c r="N60" s="292">
        <v>1114854.2346666662</v>
      </c>
      <c r="O60" s="292">
        <v>178000.02160727824</v>
      </c>
      <c r="Q60" s="307">
        <f t="shared" si="58"/>
        <v>1120448.2206012525</v>
      </c>
      <c r="R60" s="307">
        <f t="shared" si="59"/>
        <v>3676674.0097941277</v>
      </c>
      <c r="S60" s="307">
        <f t="shared" si="60"/>
        <v>1100794.8899908683</v>
      </c>
      <c r="T60" s="307">
        <f t="shared" si="61"/>
        <v>25734267.5874536</v>
      </c>
      <c r="U60" s="307">
        <f t="shared" si="62"/>
        <v>29780735.35825957</v>
      </c>
      <c r="V60" s="307">
        <f t="shared" si="63"/>
        <v>565843.37517495325</v>
      </c>
      <c r="W60" s="307">
        <f t="shared" si="64"/>
        <v>27145206.503316626</v>
      </c>
      <c r="X60" s="307">
        <f t="shared" si="65"/>
        <v>4334061.9731951579</v>
      </c>
    </row>
    <row r="61" spans="2:24">
      <c r="B61" s="287" t="s">
        <v>316</v>
      </c>
      <c r="C61" s="287"/>
      <c r="D61" s="287" t="s">
        <v>119</v>
      </c>
      <c r="E61" s="287"/>
      <c r="F61" s="294">
        <v>1.6795783563573485</v>
      </c>
      <c r="H61" s="292">
        <v>395152</v>
      </c>
      <c r="I61" s="292">
        <v>1146240.4000000001</v>
      </c>
      <c r="J61" s="292">
        <v>302434.19999999978</v>
      </c>
      <c r="K61" s="292">
        <v>8158808.4114832543</v>
      </c>
      <c r="L61" s="292">
        <v>9301128.1811213661</v>
      </c>
      <c r="M61" s="292">
        <v>204662</v>
      </c>
      <c r="N61" s="292">
        <v>7842418.231578947</v>
      </c>
      <c r="O61" s="292">
        <v>1433270.0000000002</v>
      </c>
      <c r="Q61" s="307">
        <f t="shared" si="58"/>
        <v>663688.74667131901</v>
      </c>
      <c r="R61" s="307">
        <f t="shared" si="59"/>
        <v>1925200.56702239</v>
      </c>
      <c r="S61" s="307">
        <f t="shared" si="60"/>
        <v>507961.93654224923</v>
      </c>
      <c r="T61" s="307">
        <f t="shared" si="61"/>
        <v>13703358.021593554</v>
      </c>
      <c r="U61" s="307">
        <f t="shared" si="62"/>
        <v>15621973.582716839</v>
      </c>
      <c r="V61" s="307">
        <f t="shared" si="63"/>
        <v>343745.86556880764</v>
      </c>
      <c r="W61" s="307">
        <f t="shared" si="64"/>
        <v>13171955.923262272</v>
      </c>
      <c r="X61" s="307">
        <f t="shared" si="65"/>
        <v>2407289.2708162973</v>
      </c>
    </row>
    <row r="62" spans="2:24">
      <c r="B62" s="287" t="s">
        <v>326</v>
      </c>
      <c r="C62" s="287"/>
      <c r="D62" s="287" t="s">
        <v>119</v>
      </c>
      <c r="E62" s="287"/>
      <c r="F62" s="294">
        <v>1.02047836112932E-2</v>
      </c>
      <c r="H62" s="292">
        <v>111578691</v>
      </c>
      <c r="I62" s="292">
        <v>289851546</v>
      </c>
      <c r="J62" s="292">
        <v>77750255.933333308</v>
      </c>
      <c r="K62" s="292">
        <v>2078485095.9247649</v>
      </c>
      <c r="L62" s="292">
        <v>2526657689.191011</v>
      </c>
      <c r="M62" s="292">
        <v>56718969</v>
      </c>
      <c r="N62" s="292">
        <v>2219558558.6666665</v>
      </c>
      <c r="O62" s="292">
        <v>386986957.89473689</v>
      </c>
      <c r="Q62" s="307">
        <f t="shared" si="58"/>
        <v>1138636.397286348</v>
      </c>
      <c r="R62" s="307">
        <f t="shared" si="59"/>
        <v>2957872.3063287972</v>
      </c>
      <c r="S62" s="307">
        <f t="shared" si="60"/>
        <v>793424.5375223317</v>
      </c>
      <c r="T62" s="307">
        <f t="shared" si="61"/>
        <v>21210490.643210217</v>
      </c>
      <c r="U62" s="307">
        <f t="shared" si="62"/>
        <v>25783994.978004377</v>
      </c>
      <c r="V62" s="307">
        <f t="shared" si="63"/>
        <v>578804.80530064704</v>
      </c>
      <c r="W62" s="307">
        <f t="shared" si="64"/>
        <v>22650114.803787157</v>
      </c>
      <c r="X62" s="307">
        <f t="shared" si="65"/>
        <v>3949118.1657084227</v>
      </c>
    </row>
    <row r="63" spans="2:24">
      <c r="B63" s="287"/>
      <c r="C63" s="287"/>
      <c r="D63" s="287"/>
      <c r="E63" s="287"/>
      <c r="F63" s="295"/>
      <c r="Q63" s="291"/>
      <c r="R63" s="291"/>
      <c r="S63" s="291"/>
      <c r="T63" s="291"/>
      <c r="U63" s="291"/>
      <c r="V63" s="291"/>
      <c r="W63" s="291"/>
      <c r="X63" s="291"/>
    </row>
    <row r="64" spans="2:24">
      <c r="B64" s="282" t="s">
        <v>329</v>
      </c>
      <c r="C64" s="283"/>
      <c r="D64" s="283"/>
      <c r="E64" s="283"/>
      <c r="F64" s="296"/>
      <c r="G64" s="283"/>
      <c r="H64" s="285" t="s">
        <v>342</v>
      </c>
      <c r="I64" s="285" t="s">
        <v>343</v>
      </c>
      <c r="J64" s="285" t="s">
        <v>344</v>
      </c>
      <c r="K64" s="285" t="s">
        <v>345</v>
      </c>
      <c r="L64" s="285" t="s">
        <v>346</v>
      </c>
      <c r="M64" s="285" t="s">
        <v>347</v>
      </c>
      <c r="N64" s="285" t="s">
        <v>348</v>
      </c>
      <c r="O64" s="285" t="s">
        <v>349</v>
      </c>
      <c r="P64" s="285"/>
      <c r="Q64" s="285" t="s">
        <v>342</v>
      </c>
      <c r="R64" s="285" t="s">
        <v>343</v>
      </c>
      <c r="S64" s="285" t="s">
        <v>344</v>
      </c>
      <c r="T64" s="285" t="s">
        <v>345</v>
      </c>
      <c r="U64" s="285" t="s">
        <v>346</v>
      </c>
      <c r="V64" s="285" t="s">
        <v>347</v>
      </c>
      <c r="W64" s="285" t="s">
        <v>348</v>
      </c>
      <c r="X64" s="285" t="s">
        <v>349</v>
      </c>
    </row>
    <row r="65" spans="2:24">
      <c r="B65" s="286" t="s">
        <v>330</v>
      </c>
      <c r="C65" s="287"/>
      <c r="D65" s="287"/>
      <c r="E65" s="287"/>
      <c r="F65" s="295"/>
      <c r="G65" s="287"/>
      <c r="H65" s="289"/>
      <c r="I65" s="289"/>
      <c r="J65" s="289"/>
      <c r="K65" s="289"/>
      <c r="L65" s="289"/>
      <c r="M65" s="289"/>
      <c r="N65" s="289"/>
      <c r="O65" s="289"/>
      <c r="Q65" s="289"/>
      <c r="R65" s="289"/>
      <c r="S65" s="289"/>
      <c r="T65" s="289"/>
      <c r="U65" s="289"/>
      <c r="V65" s="289"/>
      <c r="W65" s="289"/>
      <c r="X65" s="289"/>
    </row>
    <row r="66" spans="2:24">
      <c r="B66" s="287" t="s">
        <v>314</v>
      </c>
      <c r="C66" s="287"/>
      <c r="D66" s="287" t="s">
        <v>119</v>
      </c>
      <c r="E66" s="287"/>
      <c r="F66" s="294">
        <v>17.999999999999996</v>
      </c>
      <c r="H66" s="292">
        <v>315.46153846153845</v>
      </c>
      <c r="I66" s="292">
        <v>359.83333333333331</v>
      </c>
      <c r="J66" s="292">
        <v>0</v>
      </c>
      <c r="K66" s="292">
        <v>3692.758181818182</v>
      </c>
      <c r="L66" s="292">
        <v>6933.6694604271579</v>
      </c>
      <c r="M66" s="292">
        <v>142.51</v>
      </c>
      <c r="N66" s="292">
        <v>7012.562962962963</v>
      </c>
      <c r="O66" s="292">
        <v>214.91222222222225</v>
      </c>
      <c r="Q66" s="307">
        <f t="shared" ref="Q66:Q69" si="66">$F66*H66</f>
        <v>5678.3076923076915</v>
      </c>
      <c r="R66" s="307">
        <f t="shared" ref="R66:R69" si="67">$F66*I66</f>
        <v>6476.9999999999982</v>
      </c>
      <c r="S66" s="307">
        <f t="shared" ref="S66:S69" si="68">$F66*J66</f>
        <v>0</v>
      </c>
      <c r="T66" s="307">
        <f t="shared" ref="T66:T69" si="69">$F66*K66</f>
        <v>66469.647272727263</v>
      </c>
      <c r="U66" s="307">
        <f t="shared" ref="U66:U69" si="70">$F66*L66</f>
        <v>124806.05028768882</v>
      </c>
      <c r="V66" s="307">
        <f t="shared" ref="V66:V69" si="71">$F66*M66</f>
        <v>2565.1799999999994</v>
      </c>
      <c r="W66" s="307">
        <f t="shared" ref="W66:W69" si="72">$F66*N66</f>
        <v>126226.1333333333</v>
      </c>
      <c r="X66" s="307">
        <f t="shared" ref="X66:X69" si="73">$F66*O66</f>
        <v>3868.4199999999996</v>
      </c>
    </row>
    <row r="67" spans="2:24">
      <c r="B67" s="287" t="s">
        <v>325</v>
      </c>
      <c r="C67" s="287"/>
      <c r="D67" s="287" t="s">
        <v>119</v>
      </c>
      <c r="E67" s="287"/>
      <c r="F67" s="294">
        <v>5.6187261677750211</v>
      </c>
      <c r="H67" s="292">
        <v>24031.75</v>
      </c>
      <c r="I67" s="292">
        <v>17767.916666666664</v>
      </c>
      <c r="J67" s="292">
        <v>0</v>
      </c>
      <c r="K67" s="292">
        <v>125005.73667711602</v>
      </c>
      <c r="L67" s="292">
        <v>221726.42736814384</v>
      </c>
      <c r="M67" s="292">
        <v>8949.9</v>
      </c>
      <c r="N67" s="292">
        <v>526326.8764568764</v>
      </c>
      <c r="O67" s="292">
        <v>6067.7182910547381</v>
      </c>
      <c r="Q67" s="307">
        <f t="shared" si="66"/>
        <v>135027.82258242735</v>
      </c>
      <c r="R67" s="307">
        <f t="shared" si="67"/>
        <v>99833.058321845907</v>
      </c>
      <c r="S67" s="307">
        <f t="shared" si="68"/>
        <v>0</v>
      </c>
      <c r="T67" s="307">
        <f t="shared" si="69"/>
        <v>702373.00378970546</v>
      </c>
      <c r="U67" s="307">
        <f t="shared" si="70"/>
        <v>1245820.0795406573</v>
      </c>
      <c r="V67" s="307">
        <f t="shared" si="71"/>
        <v>50287.037328969658</v>
      </c>
      <c r="W67" s="307">
        <f t="shared" si="72"/>
        <v>2957286.5935515421</v>
      </c>
      <c r="X67" s="307">
        <f t="shared" si="73"/>
        <v>34092.847540636387</v>
      </c>
    </row>
    <row r="68" spans="2:24">
      <c r="B68" s="287" t="s">
        <v>331</v>
      </c>
      <c r="C68" s="287"/>
      <c r="D68" s="287" t="s">
        <v>119</v>
      </c>
      <c r="E68" s="287"/>
      <c r="F68" s="294">
        <v>1.8852291120969981E-2</v>
      </c>
      <c r="H68" s="292">
        <v>14193554</v>
      </c>
      <c r="I68" s="292">
        <v>7889514</v>
      </c>
      <c r="J68" s="292">
        <v>0</v>
      </c>
      <c r="K68" s="292">
        <v>75737689.256198347</v>
      </c>
      <c r="L68" s="292">
        <v>152786303.70154297</v>
      </c>
      <c r="M68" s="292">
        <v>6675719</v>
      </c>
      <c r="N68" s="292">
        <v>328927080</v>
      </c>
      <c r="O68" s="292">
        <v>4869071.5686274506</v>
      </c>
      <c r="Q68" s="307">
        <f t="shared" si="66"/>
        <v>267581.01204920793</v>
      </c>
      <c r="R68" s="307">
        <f t="shared" si="67"/>
        <v>148735.41473096836</v>
      </c>
      <c r="S68" s="307">
        <f t="shared" si="68"/>
        <v>0</v>
      </c>
      <c r="T68" s="307">
        <f t="shared" si="69"/>
        <v>1427828.9666874115</v>
      </c>
      <c r="U68" s="307">
        <f t="shared" si="70"/>
        <v>2880371.8766784216</v>
      </c>
      <c r="V68" s="307">
        <f t="shared" si="71"/>
        <v>125852.59802979059</v>
      </c>
      <c r="W68" s="307">
        <f t="shared" si="72"/>
        <v>6201029.0697305826</v>
      </c>
      <c r="X68" s="307">
        <f t="shared" si="73"/>
        <v>91793.154700602667</v>
      </c>
    </row>
    <row r="69" spans="2:24">
      <c r="B69" s="287" t="s">
        <v>326</v>
      </c>
      <c r="C69" s="287"/>
      <c r="D69" s="287" t="s">
        <v>119</v>
      </c>
      <c r="E69" s="287"/>
      <c r="F69" s="294">
        <v>3.9704522290998648E-2</v>
      </c>
      <c r="H69" s="292">
        <v>28027785</v>
      </c>
      <c r="I69" s="292">
        <v>10385307</v>
      </c>
      <c r="J69" s="292">
        <v>0</v>
      </c>
      <c r="K69" s="292">
        <v>117063806.4441887</v>
      </c>
      <c r="L69" s="292">
        <v>227829832.63404363</v>
      </c>
      <c r="M69" s="292">
        <v>12067758</v>
      </c>
      <c r="N69" s="292">
        <v>509132022.66666663</v>
      </c>
      <c r="O69" s="292">
        <v>6250331.3580246912</v>
      </c>
      <c r="Q69" s="307">
        <f t="shared" si="66"/>
        <v>1112829.8142998174</v>
      </c>
      <c r="R69" s="307">
        <f t="shared" si="67"/>
        <v>412343.65328036429</v>
      </c>
      <c r="S69" s="307">
        <f t="shared" si="68"/>
        <v>0</v>
      </c>
      <c r="T69" s="307">
        <f t="shared" si="69"/>
        <v>4647962.5124324411</v>
      </c>
      <c r="U69" s="307">
        <f t="shared" si="70"/>
        <v>9045874.6683728769</v>
      </c>
      <c r="V69" s="307">
        <f t="shared" si="71"/>
        <v>479144.56651337724</v>
      </c>
      <c r="W69" s="307">
        <f t="shared" si="72"/>
        <v>20214843.743029892</v>
      </c>
      <c r="X69" s="307">
        <f t="shared" si="73"/>
        <v>248166.4207308192</v>
      </c>
    </row>
    <row r="70" spans="2:24">
      <c r="B70" s="287"/>
      <c r="C70" s="287"/>
      <c r="D70" s="287"/>
      <c r="E70" s="287"/>
      <c r="F70" s="295"/>
      <c r="Q70" s="291"/>
      <c r="R70" s="291"/>
      <c r="S70" s="291"/>
      <c r="T70" s="291"/>
      <c r="U70" s="291"/>
      <c r="V70" s="291"/>
      <c r="W70" s="291"/>
      <c r="X70" s="291"/>
    </row>
    <row r="71" spans="2:24">
      <c r="B71" s="286" t="s">
        <v>332</v>
      </c>
      <c r="C71" s="287"/>
      <c r="D71" s="287"/>
      <c r="E71" s="287"/>
      <c r="F71" s="295"/>
      <c r="G71" s="287"/>
      <c r="H71" s="289"/>
      <c r="I71" s="289"/>
      <c r="J71" s="289"/>
      <c r="K71" s="289"/>
      <c r="L71" s="289"/>
      <c r="M71" s="289"/>
      <c r="N71" s="289"/>
      <c r="O71" s="289"/>
      <c r="Q71" s="289"/>
      <c r="R71" s="289"/>
      <c r="S71" s="289"/>
      <c r="T71" s="289"/>
      <c r="U71" s="289"/>
      <c r="V71" s="289"/>
      <c r="W71" s="289"/>
      <c r="X71" s="289"/>
    </row>
    <row r="72" spans="2:24">
      <c r="B72" s="287" t="s">
        <v>333</v>
      </c>
      <c r="C72" s="287"/>
      <c r="D72" s="287" t="s">
        <v>119</v>
      </c>
      <c r="E72" s="287"/>
      <c r="F72" s="294">
        <v>0.54</v>
      </c>
      <c r="H72" s="292">
        <v>23683</v>
      </c>
      <c r="I72" s="292">
        <v>79584.583333333328</v>
      </c>
      <c r="J72" s="292">
        <v>44951</v>
      </c>
      <c r="K72" s="292">
        <v>1124632.6504734724</v>
      </c>
      <c r="L72" s="292">
        <v>739085.95089684392</v>
      </c>
      <c r="M72" s="292">
        <v>19079</v>
      </c>
      <c r="N72" s="292">
        <v>588354</v>
      </c>
      <c r="O72" s="292">
        <v>25661.336539937569</v>
      </c>
      <c r="Q72" s="307">
        <f t="shared" ref="Q72:Q73" si="74">$F72*H72</f>
        <v>12788.820000000002</v>
      </c>
      <c r="R72" s="307">
        <f t="shared" ref="R72:R73" si="75">$F72*I72</f>
        <v>42975.675000000003</v>
      </c>
      <c r="S72" s="307">
        <f t="shared" ref="S72:S73" si="76">$F72*J72</f>
        <v>24273.54</v>
      </c>
      <c r="T72" s="307">
        <f t="shared" ref="T72:T73" si="77">$F72*K72</f>
        <v>607301.63125567511</v>
      </c>
      <c r="U72" s="307">
        <f t="shared" ref="U72:U73" si="78">$F72*L72</f>
        <v>399106.41348429571</v>
      </c>
      <c r="V72" s="307">
        <f t="shared" ref="V72:V73" si="79">$F72*M72</f>
        <v>10302.66</v>
      </c>
      <c r="W72" s="307">
        <f t="shared" ref="W72:W73" si="80">$F72*N72</f>
        <v>317711.16000000003</v>
      </c>
      <c r="X72" s="307">
        <f t="shared" ref="X72:X73" si="81">$F72*O72</f>
        <v>13857.121731566289</v>
      </c>
    </row>
    <row r="73" spans="2:24">
      <c r="B73" s="287" t="s">
        <v>334</v>
      </c>
      <c r="C73" s="287"/>
      <c r="D73" s="287" t="s">
        <v>119</v>
      </c>
      <c r="E73" s="287"/>
      <c r="F73" s="294">
        <v>18</v>
      </c>
      <c r="H73" s="292">
        <v>52173.000000000007</v>
      </c>
      <c r="I73" s="292">
        <v>207424.16666666669</v>
      </c>
      <c r="J73" s="292">
        <v>106115</v>
      </c>
      <c r="K73" s="292">
        <v>2589447.7553261244</v>
      </c>
      <c r="L73" s="292">
        <v>2920635.7544639623</v>
      </c>
      <c r="M73" s="292">
        <v>31608.399999999998</v>
      </c>
      <c r="N73" s="292">
        <v>2000644.0627501812</v>
      </c>
      <c r="O73" s="292">
        <v>54784.332441286948</v>
      </c>
      <c r="Q73" s="307">
        <f t="shared" si="74"/>
        <v>939114.00000000012</v>
      </c>
      <c r="R73" s="307">
        <f t="shared" si="75"/>
        <v>3733635.0000000005</v>
      </c>
      <c r="S73" s="307">
        <f t="shared" si="76"/>
        <v>1910070</v>
      </c>
      <c r="T73" s="307">
        <f t="shared" si="77"/>
        <v>46610059.595870242</v>
      </c>
      <c r="U73" s="307">
        <f t="shared" si="78"/>
        <v>52571443.580351323</v>
      </c>
      <c r="V73" s="307">
        <f t="shared" si="79"/>
        <v>568951.19999999995</v>
      </c>
      <c r="W73" s="307">
        <f t="shared" si="80"/>
        <v>36011593.129503265</v>
      </c>
      <c r="X73" s="307">
        <f t="shared" si="81"/>
        <v>986117.98394316505</v>
      </c>
    </row>
    <row r="74" spans="2:24">
      <c r="B74" s="287"/>
      <c r="C74" s="287"/>
      <c r="D74" s="287"/>
      <c r="E74" s="287"/>
      <c r="F74" s="295"/>
      <c r="Q74" s="291"/>
      <c r="R74" s="291"/>
      <c r="S74" s="291"/>
      <c r="T74" s="291"/>
      <c r="U74" s="291"/>
      <c r="V74" s="291"/>
      <c r="W74" s="291"/>
      <c r="X74" s="291"/>
    </row>
    <row r="75" spans="2:24">
      <c r="B75" s="286" t="s">
        <v>194</v>
      </c>
      <c r="C75" s="287"/>
      <c r="D75" s="287"/>
      <c r="E75" s="287"/>
      <c r="F75" s="295"/>
      <c r="G75" s="287"/>
      <c r="H75" s="289"/>
      <c r="I75" s="289"/>
      <c r="J75" s="289"/>
      <c r="K75" s="289"/>
      <c r="L75" s="289"/>
      <c r="M75" s="289"/>
      <c r="N75" s="289"/>
      <c r="O75" s="289"/>
      <c r="Q75" s="289"/>
      <c r="R75" s="289"/>
      <c r="S75" s="289"/>
      <c r="T75" s="289"/>
      <c r="U75" s="289"/>
      <c r="V75" s="289"/>
      <c r="W75" s="289"/>
      <c r="X75" s="289"/>
    </row>
    <row r="76" spans="2:24">
      <c r="B76" s="287" t="s">
        <v>195</v>
      </c>
      <c r="C76" s="287"/>
      <c r="D76" s="287" t="s">
        <v>119</v>
      </c>
      <c r="E76" s="287"/>
      <c r="F76" s="294">
        <v>1762.3386105811076</v>
      </c>
      <c r="H76" s="292">
        <v>284.46153846153845</v>
      </c>
      <c r="I76" s="292">
        <v>1237.25</v>
      </c>
      <c r="J76" s="292">
        <v>231</v>
      </c>
      <c r="K76" s="292">
        <v>19273.080557236601</v>
      </c>
      <c r="L76" s="292">
        <v>18564.54235570725</v>
      </c>
      <c r="M76" s="292">
        <v>175</v>
      </c>
      <c r="N76" s="292">
        <v>9203.25</v>
      </c>
      <c r="O76" s="292">
        <v>570.41717447151746</v>
      </c>
      <c r="Q76" s="307">
        <f t="shared" ref="Q76:Q81" si="82">$F76*H76</f>
        <v>501317.55245607195</v>
      </c>
      <c r="R76" s="307">
        <f t="shared" ref="R76:R81" si="83">$F76*I76</f>
        <v>2180453.4459414752</v>
      </c>
      <c r="S76" s="307">
        <f t="shared" ref="S76:S81" si="84">$F76*J76</f>
        <v>407100.21904423583</v>
      </c>
      <c r="T76" s="307">
        <f t="shared" ref="T76:T81" si="85">$F76*K76</f>
        <v>33965694.010858111</v>
      </c>
      <c r="U76" s="307">
        <f t="shared" ref="U76:U81" si="86">$F76*L76</f>
        <v>32717009.781231236</v>
      </c>
      <c r="V76" s="307">
        <f t="shared" ref="V76:V81" si="87">$F76*M76</f>
        <v>308409.25685169385</v>
      </c>
      <c r="W76" s="307">
        <f t="shared" ref="W76:W81" si="88">$F76*N76</f>
        <v>16219242.817830577</v>
      </c>
      <c r="X76" s="307">
        <f t="shared" ref="X76:X81" si="89">$F76*O76</f>
        <v>1005268.2107097353</v>
      </c>
    </row>
    <row r="77" spans="2:24">
      <c r="B77" s="287" t="s">
        <v>196</v>
      </c>
      <c r="C77" s="287"/>
      <c r="D77" s="287" t="s">
        <v>119</v>
      </c>
      <c r="E77" s="287"/>
      <c r="F77" s="294">
        <v>1410.8894698271151</v>
      </c>
      <c r="H77" s="292">
        <v>289.46153846153845</v>
      </c>
      <c r="I77" s="292">
        <v>1239.2499999999998</v>
      </c>
      <c r="J77" s="292">
        <v>1266</v>
      </c>
      <c r="K77" s="292">
        <v>22722.722888705746</v>
      </c>
      <c r="L77" s="292">
        <v>20808.374299217328</v>
      </c>
      <c r="M77" s="292">
        <v>217.4</v>
      </c>
      <c r="N77" s="292">
        <v>14823.75</v>
      </c>
      <c r="O77" s="292">
        <v>579.49499910163513</v>
      </c>
      <c r="Q77" s="307">
        <f t="shared" si="82"/>
        <v>408398.23653534107</v>
      </c>
      <c r="R77" s="307">
        <f t="shared" si="83"/>
        <v>1748444.775483252</v>
      </c>
      <c r="S77" s="307">
        <f t="shared" si="84"/>
        <v>1786186.0688011278</v>
      </c>
      <c r="T77" s="307">
        <f t="shared" si="85"/>
        <v>32059250.449474506</v>
      </c>
      <c r="U77" s="307">
        <f t="shared" si="86"/>
        <v>29358316.182986904</v>
      </c>
      <c r="V77" s="307">
        <f t="shared" si="87"/>
        <v>306727.37074041483</v>
      </c>
      <c r="W77" s="307">
        <f t="shared" si="88"/>
        <v>20914672.778349698</v>
      </c>
      <c r="X77" s="307">
        <f t="shared" si="89"/>
        <v>817603.39204997057</v>
      </c>
    </row>
    <row r="78" spans="2:24">
      <c r="B78" s="287" t="s">
        <v>197</v>
      </c>
      <c r="C78" s="287"/>
      <c r="D78" s="287" t="s">
        <v>119</v>
      </c>
      <c r="E78" s="287"/>
      <c r="F78" s="294">
        <v>1058.4245507539629</v>
      </c>
      <c r="H78" s="292">
        <v>339.61538461538464</v>
      </c>
      <c r="I78" s="292">
        <v>1833.75</v>
      </c>
      <c r="J78" s="292">
        <v>740</v>
      </c>
      <c r="K78" s="292">
        <v>24363.60498284574</v>
      </c>
      <c r="L78" s="292">
        <v>23969.33232497672</v>
      </c>
      <c r="M78" s="292">
        <v>292</v>
      </c>
      <c r="N78" s="292">
        <v>13345.833333333334</v>
      </c>
      <c r="O78" s="292">
        <v>760.74020595160425</v>
      </c>
      <c r="Q78" s="307">
        <f t="shared" si="82"/>
        <v>359457.2608906728</v>
      </c>
      <c r="R78" s="307">
        <f t="shared" si="83"/>
        <v>1940886.0199450795</v>
      </c>
      <c r="S78" s="307">
        <f t="shared" si="84"/>
        <v>783234.16755793255</v>
      </c>
      <c r="T78" s="307">
        <f t="shared" si="85"/>
        <v>25787037.658715513</v>
      </c>
      <c r="U78" s="307">
        <f t="shared" si="86"/>
        <v>25369729.797935925</v>
      </c>
      <c r="V78" s="307">
        <f t="shared" si="87"/>
        <v>309059.96882015717</v>
      </c>
      <c r="W78" s="307">
        <f t="shared" si="88"/>
        <v>14125557.650270596</v>
      </c>
      <c r="X78" s="307">
        <f t="shared" si="89"/>
        <v>805186.11072480388</v>
      </c>
    </row>
    <row r="79" spans="2:24">
      <c r="B79" s="287" t="s">
        <v>198</v>
      </c>
      <c r="C79" s="287"/>
      <c r="D79" s="287" t="s">
        <v>119</v>
      </c>
      <c r="E79" s="287"/>
      <c r="F79" s="294">
        <v>705.06085429439736</v>
      </c>
      <c r="H79" s="292">
        <v>894.30769230769226</v>
      </c>
      <c r="I79" s="292">
        <v>3818.25</v>
      </c>
      <c r="J79" s="292">
        <v>1347</v>
      </c>
      <c r="K79" s="292">
        <v>61467.008199245778</v>
      </c>
      <c r="L79" s="292">
        <v>53320.669182118028</v>
      </c>
      <c r="M79" s="292">
        <v>541.20000000000005</v>
      </c>
      <c r="N79" s="292">
        <v>40132.5</v>
      </c>
      <c r="O79" s="292">
        <v>1398.0727773830288</v>
      </c>
      <c r="Q79" s="307">
        <f t="shared" si="82"/>
        <v>630541.34554051259</v>
      </c>
      <c r="R79" s="307">
        <f t="shared" si="83"/>
        <v>2692098.6069095829</v>
      </c>
      <c r="S79" s="307">
        <f t="shared" si="84"/>
        <v>949716.9707345533</v>
      </c>
      <c r="T79" s="307">
        <f t="shared" si="85"/>
        <v>43337981.311880954</v>
      </c>
      <c r="U79" s="307">
        <f t="shared" si="86"/>
        <v>37594316.565093085</v>
      </c>
      <c r="V79" s="307">
        <f t="shared" si="87"/>
        <v>381578.93434412789</v>
      </c>
      <c r="W79" s="307">
        <f t="shared" si="88"/>
        <v>28295854.734969903</v>
      </c>
      <c r="X79" s="307">
        <f t="shared" si="89"/>
        <v>985726.38678741909</v>
      </c>
    </row>
    <row r="80" spans="2:24">
      <c r="B80" s="287" t="s">
        <v>199</v>
      </c>
      <c r="C80" s="287"/>
      <c r="D80" s="287" t="s">
        <v>119</v>
      </c>
      <c r="E80" s="287"/>
      <c r="F80" s="294">
        <v>141.3532383004804</v>
      </c>
      <c r="H80" s="292">
        <v>50365.153846153851</v>
      </c>
      <c r="I80" s="292">
        <v>199295.66666666669</v>
      </c>
      <c r="J80" s="292">
        <v>102531</v>
      </c>
      <c r="K80" s="292">
        <v>2461621.3386980905</v>
      </c>
      <c r="L80" s="292">
        <v>2804174.6531363949</v>
      </c>
      <c r="M80" s="292">
        <v>30382.799999999999</v>
      </c>
      <c r="N80" s="292">
        <v>1923138.7294168479</v>
      </c>
      <c r="O80" s="292">
        <v>51475.607284379163</v>
      </c>
      <c r="Q80" s="307">
        <f t="shared" si="82"/>
        <v>7119277.5936557418</v>
      </c>
      <c r="R80" s="307">
        <f t="shared" si="83"/>
        <v>28171087.862586442</v>
      </c>
      <c r="S80" s="307">
        <f t="shared" si="84"/>
        <v>14493088.876186555</v>
      </c>
      <c r="T80" s="307">
        <f t="shared" si="85"/>
        <v>347958147.69453877</v>
      </c>
      <c r="U80" s="307">
        <f t="shared" si="86"/>
        <v>396379167.98095578</v>
      </c>
      <c r="V80" s="307">
        <f t="shared" si="87"/>
        <v>4294707.1686358359</v>
      </c>
      <c r="W80" s="307">
        <f t="shared" si="88"/>
        <v>271841887.10414279</v>
      </c>
      <c r="X80" s="307">
        <f t="shared" si="89"/>
        <v>7276243.7831307929</v>
      </c>
    </row>
    <row r="81" spans="2:24">
      <c r="B81" s="287" t="s">
        <v>200</v>
      </c>
      <c r="C81" s="287"/>
      <c r="D81" s="287" t="s">
        <v>119</v>
      </c>
      <c r="E81" s="287"/>
      <c r="F81" s="294">
        <v>1.7632924628174496</v>
      </c>
      <c r="H81" s="292">
        <v>23683</v>
      </c>
      <c r="I81" s="292">
        <v>79584.583333333328</v>
      </c>
      <c r="J81" s="292">
        <v>44951</v>
      </c>
      <c r="K81" s="292">
        <v>1124632.6504734724</v>
      </c>
      <c r="L81" s="292">
        <v>739085.95089684392</v>
      </c>
      <c r="M81" s="292">
        <v>19079</v>
      </c>
      <c r="N81" s="292">
        <v>588354</v>
      </c>
      <c r="O81" s="292">
        <v>25661.336539937569</v>
      </c>
      <c r="Q81" s="307">
        <f t="shared" si="82"/>
        <v>41760.055396905656</v>
      </c>
      <c r="R81" s="307">
        <f t="shared" si="83"/>
        <v>140330.89594813387</v>
      </c>
      <c r="S81" s="307">
        <f t="shared" si="84"/>
        <v>79261.759496107174</v>
      </c>
      <c r="T81" s="307">
        <f t="shared" si="85"/>
        <v>1983056.2760182852</v>
      </c>
      <c r="U81" s="307">
        <f t="shared" si="86"/>
        <v>1303224.6865906725</v>
      </c>
      <c r="V81" s="307">
        <f t="shared" si="87"/>
        <v>33641.85689809412</v>
      </c>
      <c r="W81" s="307">
        <f t="shared" si="88"/>
        <v>1037440.1736684977</v>
      </c>
      <c r="X81" s="307">
        <f t="shared" si="89"/>
        <v>45248.441306693923</v>
      </c>
    </row>
    <row r="82" spans="2:24">
      <c r="B82" s="287"/>
      <c r="C82" s="287"/>
      <c r="D82" s="287"/>
      <c r="E82" s="287"/>
      <c r="F82" s="295"/>
      <c r="H82" s="287"/>
      <c r="I82" s="289"/>
      <c r="J82" s="289"/>
      <c r="K82" s="289"/>
      <c r="L82" s="289"/>
      <c r="M82" s="289"/>
      <c r="N82" s="289"/>
      <c r="O82" s="289"/>
      <c r="P82" s="289"/>
      <c r="Q82" s="287"/>
      <c r="R82" s="289"/>
      <c r="S82" s="289"/>
      <c r="T82" s="289"/>
      <c r="U82" s="289"/>
      <c r="V82" s="289"/>
      <c r="W82" s="289"/>
      <c r="X82" s="289"/>
    </row>
    <row r="83" spans="2:24">
      <c r="B83" s="282" t="s">
        <v>335</v>
      </c>
      <c r="C83" s="283"/>
      <c r="D83" s="283"/>
      <c r="E83" s="283"/>
      <c r="F83" s="296"/>
      <c r="G83" s="283"/>
      <c r="H83" s="285" t="s">
        <v>342</v>
      </c>
      <c r="I83" s="285" t="s">
        <v>343</v>
      </c>
      <c r="J83" s="285" t="s">
        <v>344</v>
      </c>
      <c r="K83" s="285" t="s">
        <v>345</v>
      </c>
      <c r="L83" s="285" t="s">
        <v>346</v>
      </c>
      <c r="M83" s="285" t="s">
        <v>347</v>
      </c>
      <c r="N83" s="285" t="s">
        <v>348</v>
      </c>
      <c r="O83" s="285" t="s">
        <v>349</v>
      </c>
      <c r="P83" s="285"/>
      <c r="Q83" s="285" t="s">
        <v>342</v>
      </c>
      <c r="R83" s="285" t="s">
        <v>343</v>
      </c>
      <c r="S83" s="285" t="s">
        <v>344</v>
      </c>
      <c r="T83" s="285" t="s">
        <v>345</v>
      </c>
      <c r="U83" s="285" t="s">
        <v>346</v>
      </c>
      <c r="V83" s="285" t="s">
        <v>347</v>
      </c>
      <c r="W83" s="285" t="s">
        <v>348</v>
      </c>
      <c r="X83" s="285" t="s">
        <v>349</v>
      </c>
    </row>
    <row r="84" spans="2:24">
      <c r="F84" s="297"/>
      <c r="H84" s="280"/>
      <c r="I84" s="280"/>
      <c r="J84" s="280"/>
      <c r="K84" s="280"/>
      <c r="L84" s="280"/>
      <c r="M84" s="280"/>
      <c r="N84" s="280"/>
      <c r="O84" s="280"/>
    </row>
    <row r="85" spans="2:24">
      <c r="B85" s="280" t="s">
        <v>336</v>
      </c>
      <c r="D85" s="280" t="s">
        <v>119</v>
      </c>
      <c r="F85" s="294">
        <v>6.6119334277517372E-3</v>
      </c>
      <c r="H85" s="292">
        <v>4181984</v>
      </c>
      <c r="I85" s="292">
        <v>0</v>
      </c>
      <c r="J85" s="292">
        <v>3393545.7853333326</v>
      </c>
      <c r="K85" s="292">
        <v>309737838.12316722</v>
      </c>
      <c r="L85" s="292">
        <v>356024134.29999995</v>
      </c>
      <c r="M85" s="292">
        <v>1796712</v>
      </c>
      <c r="N85" s="292">
        <v>304477670.33333331</v>
      </c>
      <c r="O85" s="292">
        <v>0</v>
      </c>
      <c r="Q85" s="307">
        <f t="shared" ref="Q85:Q86" si="90">$F85*H85</f>
        <v>27650.999803922921</v>
      </c>
      <c r="R85" s="307">
        <f t="shared" ref="R85:R86" si="91">$F85*I85</f>
        <v>0</v>
      </c>
      <c r="S85" s="307">
        <f t="shared" ref="S85:S86" si="92">$F85*J85</f>
        <v>22437.898816651483</v>
      </c>
      <c r="T85" s="307">
        <f t="shared" ref="T85:T86" si="93">$F85*K85</f>
        <v>2047965.9657261258</v>
      </c>
      <c r="U85" s="307">
        <f t="shared" ref="U85:U86" si="94">$F85*L85</f>
        <v>2354007.8746645437</v>
      </c>
      <c r="V85" s="307">
        <f t="shared" ref="V85:V86" si="95">$F85*M85</f>
        <v>11879.740132842679</v>
      </c>
      <c r="W85" s="307">
        <f t="shared" ref="W85:W86" si="96">$F85*N85</f>
        <v>2013186.08648094</v>
      </c>
      <c r="X85" s="307">
        <f t="shared" ref="X85:X86" si="97">$F85*O85</f>
        <v>0</v>
      </c>
    </row>
    <row r="86" spans="2:24">
      <c r="B86" s="280" t="s">
        <v>337</v>
      </c>
      <c r="D86" s="280" t="s">
        <v>119</v>
      </c>
      <c r="F86" s="294">
        <v>7.1053492557992771E-3</v>
      </c>
      <c r="H86" s="292">
        <v>807466</v>
      </c>
      <c r="I86" s="292">
        <v>0</v>
      </c>
      <c r="J86" s="292">
        <v>0</v>
      </c>
      <c r="K86" s="292">
        <v>12765795.307917887</v>
      </c>
      <c r="L86" s="292">
        <v>17039332.539999999</v>
      </c>
      <c r="M86" s="292">
        <v>186902</v>
      </c>
      <c r="N86" s="292">
        <v>21942478.666666664</v>
      </c>
      <c r="O86" s="292">
        <v>0</v>
      </c>
      <c r="Q86" s="307">
        <f t="shared" si="90"/>
        <v>5737.3279421832194</v>
      </c>
      <c r="R86" s="307">
        <f t="shared" si="91"/>
        <v>0</v>
      </c>
      <c r="S86" s="307">
        <f t="shared" si="92"/>
        <v>0</v>
      </c>
      <c r="T86" s="307">
        <f t="shared" si="93"/>
        <v>90705.434190800268</v>
      </c>
      <c r="U86" s="307">
        <f t="shared" si="94"/>
        <v>121070.4087824054</v>
      </c>
      <c r="V86" s="307">
        <f t="shared" si="95"/>
        <v>1328.0039866073964</v>
      </c>
      <c r="W86" s="307">
        <f t="shared" si="96"/>
        <v>155908.97446459151</v>
      </c>
      <c r="X86" s="307">
        <f t="shared" si="97"/>
        <v>0</v>
      </c>
    </row>
    <row r="89" spans="2:24">
      <c r="Q89" s="285" t="s">
        <v>342</v>
      </c>
      <c r="R89" s="285" t="s">
        <v>343</v>
      </c>
      <c r="S89" s="285" t="s">
        <v>344</v>
      </c>
      <c r="T89" s="285" t="s">
        <v>345</v>
      </c>
      <c r="U89" s="285" t="s">
        <v>346</v>
      </c>
      <c r="V89" s="285" t="s">
        <v>347</v>
      </c>
      <c r="W89" s="285" t="s">
        <v>348</v>
      </c>
      <c r="X89" s="285" t="s">
        <v>349</v>
      </c>
    </row>
    <row r="91" spans="2:24">
      <c r="O91" s="308" t="s">
        <v>354</v>
      </c>
      <c r="Q91" s="27">
        <f>SUM(Q16:Q18,Q21:Q23,Q26:Q28,Q31:Q33,Q36:Q38,Q41:Q43,Q47:Q50,Q53:Q56,Q59:Q62,Q66:Q69,Q72:Q73,Q76:Q81,Q85:Q86)</f>
        <v>16645707.117943246</v>
      </c>
      <c r="R91" s="27">
        <f t="shared" ref="R91:X91" si="98">SUM(R16:R18,R21:R23,R26:R28,R31:R33,R36:R38,R41:R43,R47:R50,R53:R56,R59:R62,R66:R69,R72:R73,R76:R81,R85:R86)</f>
        <v>66056908.929292642</v>
      </c>
      <c r="S91" s="27">
        <f t="shared" si="98"/>
        <v>32976371.569355085</v>
      </c>
      <c r="T91" s="27">
        <f t="shared" si="98"/>
        <v>882421930.89280713</v>
      </c>
      <c r="U91" s="27">
        <f>SUM(U16:U18,U21:U23,U26:U28,U31:U33,U36:U38,U41:U43,U47:U50,U53:U56,U59:U62,U66:U69,U72:U73,U76:U81,U85:U86)</f>
        <v>920820732.03431094</v>
      </c>
      <c r="V91" s="27">
        <f t="shared" si="98"/>
        <v>10122909.943233505</v>
      </c>
      <c r="W91" s="27">
        <f t="shared" si="98"/>
        <v>642534970.14862025</v>
      </c>
      <c r="X91" s="27">
        <f t="shared" si="98"/>
        <v>38285483.57898242</v>
      </c>
    </row>
    <row r="94" spans="2:24">
      <c r="Q94" s="309"/>
    </row>
  </sheetData>
  <mergeCells count="1">
    <mergeCell ref="H12:O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pageSetUpPr fitToPage="1"/>
  </sheetPr>
  <dimension ref="A2:S70"/>
  <sheetViews>
    <sheetView showGridLines="0" tabSelected="1" zoomScale="80" zoomScaleNormal="80" workbookViewId="0">
      <pane xSplit="3" ySplit="2" topLeftCell="D3" activePane="bottomRight" state="frozen"/>
      <selection pane="topRight" activeCell="E1" sqref="E1"/>
      <selection pane="bottomLeft" activeCell="A4" sqref="A4"/>
      <selection pane="bottomRight" activeCell="B54" sqref="B54"/>
    </sheetView>
  </sheetViews>
  <sheetFormatPr defaultRowHeight="12.75"/>
  <cols>
    <col min="1" max="1" width="3.42578125" customWidth="1"/>
    <col min="2" max="2" width="68.5703125" bestFit="1" customWidth="1"/>
    <col min="3" max="3" width="12.5703125" customWidth="1"/>
    <col min="4" max="4" width="13" customWidth="1"/>
    <col min="5" max="5" width="5.28515625" customWidth="1"/>
    <col min="6" max="13" width="17.28515625" customWidth="1"/>
    <col min="14" max="17" width="11.85546875" customWidth="1"/>
    <col min="18" max="18" width="16.7109375" bestFit="1" customWidth="1"/>
  </cols>
  <sheetData>
    <row r="2" spans="2:17" s="2" customFormat="1" ht="18">
      <c r="B2" s="1" t="s">
        <v>151</v>
      </c>
      <c r="C2" s="172"/>
      <c r="D2" s="173"/>
      <c r="E2" s="173"/>
      <c r="F2" s="173" t="s">
        <v>2</v>
      </c>
      <c r="G2" s="173" t="s">
        <v>3</v>
      </c>
      <c r="H2" s="173" t="s">
        <v>4</v>
      </c>
      <c r="I2" s="173" t="s">
        <v>5</v>
      </c>
      <c r="J2" s="173" t="s">
        <v>6</v>
      </c>
      <c r="K2" s="173" t="s">
        <v>7</v>
      </c>
      <c r="L2" s="173" t="s">
        <v>8</v>
      </c>
      <c r="M2" s="173" t="s">
        <v>9</v>
      </c>
      <c r="N2" s="3"/>
      <c r="O2" s="3"/>
      <c r="P2" s="3"/>
      <c r="Q2" s="3"/>
    </row>
    <row r="4" spans="2:17" s="5" customFormat="1">
      <c r="B4" s="70" t="s">
        <v>133</v>
      </c>
      <c r="C4" s="4"/>
    </row>
    <row r="5" spans="2:17">
      <c r="F5" s="6"/>
      <c r="G5" s="6"/>
      <c r="H5" s="6"/>
      <c r="I5" s="6"/>
      <c r="J5" s="6"/>
      <c r="K5" s="6"/>
      <c r="L5" s="6"/>
      <c r="M5" s="6"/>
      <c r="N5" s="6"/>
      <c r="O5" s="6"/>
      <c r="P5" s="6"/>
      <c r="Q5" s="6"/>
    </row>
    <row r="6" spans="2:17">
      <c r="B6" s="94" t="s">
        <v>146</v>
      </c>
      <c r="C6" t="s">
        <v>40</v>
      </c>
      <c r="F6" s="127">
        <v>16251532.03419756</v>
      </c>
      <c r="G6" s="127">
        <v>70834134.776799843</v>
      </c>
      <c r="H6" s="127">
        <v>32965084.544473227</v>
      </c>
      <c r="I6" s="127">
        <v>903546016.89316106</v>
      </c>
      <c r="J6" s="127">
        <v>971176421.11023355</v>
      </c>
      <c r="K6" s="127">
        <v>11090234.255739108</v>
      </c>
      <c r="L6" s="127">
        <v>667070702.78320694</v>
      </c>
      <c r="M6" s="127">
        <v>47410024.691383064</v>
      </c>
      <c r="N6" s="7"/>
      <c r="O6" s="94" t="s">
        <v>295</v>
      </c>
      <c r="P6" s="7"/>
      <c r="Q6" s="7"/>
    </row>
    <row r="7" spans="2:17" s="74" customFormat="1">
      <c r="B7" s="74" t="s">
        <v>131</v>
      </c>
      <c r="C7" s="94" t="s">
        <v>40</v>
      </c>
      <c r="E7" s="89"/>
      <c r="F7" s="127">
        <v>3313999.1784239993</v>
      </c>
      <c r="G7" s="127">
        <v>9411091.1641945187</v>
      </c>
      <c r="H7" s="127">
        <v>7076465.3530574366</v>
      </c>
      <c r="I7" s="127">
        <v>146052066.31004247</v>
      </c>
      <c r="J7" s="127">
        <v>122472725.78122026</v>
      </c>
      <c r="K7" s="127">
        <v>2064671.53827561</v>
      </c>
      <c r="L7" s="127">
        <v>83752058.552296177</v>
      </c>
      <c r="M7" s="127">
        <v>7289906.8673159992</v>
      </c>
      <c r="O7" s="94" t="s">
        <v>296</v>
      </c>
    </row>
    <row r="8" spans="2:17" s="74" customFormat="1">
      <c r="B8" s="94" t="s">
        <v>132</v>
      </c>
      <c r="C8" s="74" t="s">
        <v>40</v>
      </c>
      <c r="F8" s="129">
        <f>F6-F7</f>
        <v>12937532.855773561</v>
      </c>
      <c r="G8" s="129">
        <f t="shared" ref="G8:M8" si="0">G6-G7</f>
        <v>61423043.612605326</v>
      </c>
      <c r="H8" s="129">
        <f t="shared" si="0"/>
        <v>25888619.19141579</v>
      </c>
      <c r="I8" s="129">
        <f t="shared" si="0"/>
        <v>757493950.58311856</v>
      </c>
      <c r="J8" s="129">
        <f t="shared" si="0"/>
        <v>848703695.32901335</v>
      </c>
      <c r="K8" s="129">
        <f>K6-K7</f>
        <v>9025562.7174634971</v>
      </c>
      <c r="L8" s="129">
        <f t="shared" si="0"/>
        <v>583318644.23091078</v>
      </c>
      <c r="M8" s="129">
        <f t="shared" si="0"/>
        <v>40120117.824067064</v>
      </c>
      <c r="N8" s="7"/>
      <c r="O8" s="94"/>
      <c r="P8" s="7"/>
      <c r="Q8" s="7"/>
    </row>
    <row r="9" spans="2:17">
      <c r="B9" t="s">
        <v>76</v>
      </c>
      <c r="D9" s="9"/>
      <c r="E9" s="8"/>
      <c r="F9" s="261">
        <v>4.75</v>
      </c>
      <c r="G9" s="261">
        <v>4.3899999999999997</v>
      </c>
      <c r="H9" s="261">
        <v>4.93</v>
      </c>
      <c r="I9" s="261">
        <v>4.59</v>
      </c>
      <c r="J9" s="261">
        <v>4.3</v>
      </c>
      <c r="K9" s="261">
        <v>4.82</v>
      </c>
      <c r="L9" s="261">
        <v>4.29</v>
      </c>
      <c r="M9" s="261">
        <v>4.5599999999999996</v>
      </c>
      <c r="N9" s="8"/>
      <c r="O9" s="94" t="s">
        <v>297</v>
      </c>
      <c r="P9" s="8"/>
      <c r="Q9" s="8"/>
    </row>
    <row r="10" spans="2:17">
      <c r="B10" t="s">
        <v>77</v>
      </c>
      <c r="D10" s="9"/>
      <c r="E10" s="9"/>
      <c r="F10" s="261">
        <v>2.09</v>
      </c>
      <c r="G10" s="261">
        <v>0.02</v>
      </c>
      <c r="H10" s="261">
        <v>0.98</v>
      </c>
      <c r="I10" s="261">
        <v>0.04</v>
      </c>
      <c r="J10" s="261">
        <v>-0.18</v>
      </c>
      <c r="K10" s="261">
        <v>1.25</v>
      </c>
      <c r="L10" s="261">
        <v>9.9999999999999992E-2</v>
      </c>
      <c r="M10" s="261">
        <v>0.02</v>
      </c>
      <c r="O10" s="94" t="s">
        <v>298</v>
      </c>
    </row>
    <row r="11" spans="2:17" s="79" customFormat="1">
      <c r="F11" s="138"/>
      <c r="G11" s="138"/>
      <c r="H11" s="138"/>
      <c r="I11" s="138"/>
      <c r="J11" s="138"/>
      <c r="K11" s="138"/>
      <c r="L11" s="138"/>
      <c r="M11" s="138"/>
      <c r="O11" s="58"/>
    </row>
    <row r="12" spans="2:17">
      <c r="B12" s="92" t="s">
        <v>73</v>
      </c>
      <c r="C12" t="s">
        <v>48</v>
      </c>
      <c r="D12" s="126">
        <f>CPI!C14</f>
        <v>2.8000000000000001E-2</v>
      </c>
      <c r="E12" s="56"/>
      <c r="N12" s="9"/>
      <c r="O12" s="58"/>
      <c r="P12" s="9"/>
      <c r="Q12" s="9"/>
    </row>
    <row r="13" spans="2:17" s="74" customFormat="1">
      <c r="B13" s="94" t="s">
        <v>134</v>
      </c>
      <c r="C13" s="74" t="s">
        <v>75</v>
      </c>
      <c r="E13" s="89"/>
      <c r="F13" s="128">
        <f>F7*(1+$D$12)</f>
        <v>3406791.1554198712</v>
      </c>
      <c r="G13" s="128">
        <f t="shared" ref="G13:M13" si="1">G7*(1+$D$12)</f>
        <v>9674601.7167919651</v>
      </c>
      <c r="H13" s="128">
        <f t="shared" si="1"/>
        <v>7274606.3829430453</v>
      </c>
      <c r="I13" s="128">
        <f t="shared" si="1"/>
        <v>150141524.16672367</v>
      </c>
      <c r="J13" s="128">
        <f>J7*(1+$D$12)</f>
        <v>125901962.10309443</v>
      </c>
      <c r="K13" s="128">
        <f t="shared" si="1"/>
        <v>2122482.341347327</v>
      </c>
      <c r="L13" s="128">
        <f t="shared" si="1"/>
        <v>86097116.191760466</v>
      </c>
      <c r="M13" s="128">
        <f t="shared" si="1"/>
        <v>7494024.259600847</v>
      </c>
      <c r="O13" s="94"/>
    </row>
    <row r="14" spans="2:17">
      <c r="B14" s="92" t="s">
        <v>74</v>
      </c>
      <c r="C14" t="s">
        <v>75</v>
      </c>
      <c r="D14" s="10"/>
      <c r="E14" s="10"/>
      <c r="F14" s="11">
        <f>F8*(1-F9/100+F10/100+$D$12)+F13</f>
        <v>16362436.557191515</v>
      </c>
      <c r="G14" s="11">
        <f t="shared" ref="G14:M14" si="2">G8*(1-G9/100+G10/100+$D$12)+G13</f>
        <v>70133303.544679374</v>
      </c>
      <c r="H14" s="11">
        <f t="shared" si="2"/>
        <v>32865506.453657556</v>
      </c>
      <c r="I14" s="11">
        <f t="shared" si="2"/>
        <v>894379330.61463761</v>
      </c>
      <c r="J14" s="11">
        <f>J8*(1-J9/100+J10/100+$D$12)+J13</f>
        <v>960347435.35058033</v>
      </c>
      <c r="K14" s="11">
        <f t="shared" si="2"/>
        <v>11078548.225886356</v>
      </c>
      <c r="L14" s="11">
        <f t="shared" si="2"/>
        <v>661307631.26786149</v>
      </c>
      <c r="M14" s="11">
        <f t="shared" si="2"/>
        <v>46916052.033529148</v>
      </c>
      <c r="N14" s="7"/>
      <c r="O14" s="7"/>
      <c r="P14" s="7"/>
      <c r="Q14" s="7"/>
    </row>
    <row r="15" spans="2:17" s="74" customFormat="1">
      <c r="B15" s="92"/>
      <c r="D15" s="10"/>
      <c r="E15" s="10"/>
      <c r="F15" s="224"/>
      <c r="G15" s="224"/>
      <c r="H15" s="224"/>
      <c r="I15" s="224"/>
      <c r="J15" s="224"/>
      <c r="K15" s="224"/>
      <c r="L15" s="224"/>
      <c r="M15" s="224"/>
      <c r="N15" s="7"/>
      <c r="O15" s="7"/>
      <c r="P15" s="7"/>
      <c r="Q15" s="7"/>
    </row>
    <row r="16" spans="2:17" s="74" customFormat="1">
      <c r="B16" s="71" t="s">
        <v>152</v>
      </c>
      <c r="C16" s="74" t="s">
        <v>48</v>
      </c>
      <c r="D16" s="126">
        <f>CPI!C15</f>
        <v>0.01</v>
      </c>
      <c r="E16" s="134"/>
      <c r="F16" s="224"/>
      <c r="G16" s="224"/>
      <c r="H16" s="224"/>
      <c r="I16" s="224"/>
      <c r="J16" s="224"/>
      <c r="K16" s="224"/>
      <c r="L16" s="224"/>
      <c r="M16" s="224"/>
      <c r="N16" s="136"/>
      <c r="O16" s="136"/>
      <c r="P16" s="136"/>
      <c r="Q16" s="136"/>
    </row>
    <row r="17" spans="1:19" s="74" customFormat="1">
      <c r="B17" s="94" t="s">
        <v>155</v>
      </c>
      <c r="C17" s="94" t="s">
        <v>153</v>
      </c>
      <c r="E17" s="89"/>
      <c r="F17" s="128">
        <f>F13*(1+$D$16)</f>
        <v>3440859.0669740699</v>
      </c>
      <c r="G17" s="128">
        <f t="shared" ref="G17:M17" si="3">G13*(1+$D$16)</f>
        <v>9771347.7339598853</v>
      </c>
      <c r="H17" s="128">
        <f t="shared" si="3"/>
        <v>7347352.4467724757</v>
      </c>
      <c r="I17" s="128">
        <f t="shared" si="3"/>
        <v>151642939.40839091</v>
      </c>
      <c r="J17" s="128">
        <f t="shared" si="3"/>
        <v>127160981.72412537</v>
      </c>
      <c r="K17" s="128">
        <f t="shared" si="3"/>
        <v>2143707.1647608001</v>
      </c>
      <c r="L17" s="128">
        <f t="shared" si="3"/>
        <v>86958087.353678077</v>
      </c>
      <c r="M17" s="128">
        <f t="shared" si="3"/>
        <v>7568964.5021968558</v>
      </c>
      <c r="O17" s="94"/>
    </row>
    <row r="18" spans="1:19" s="74" customFormat="1">
      <c r="B18" s="71" t="s">
        <v>178</v>
      </c>
      <c r="C18" s="94" t="s">
        <v>75</v>
      </c>
      <c r="D18" s="127">
        <v>116698790</v>
      </c>
      <c r="E18" s="134"/>
      <c r="G18" s="135"/>
      <c r="H18" s="135"/>
      <c r="I18" s="135"/>
      <c r="J18" s="135"/>
      <c r="K18" s="135"/>
      <c r="L18" s="135"/>
      <c r="M18" s="135"/>
      <c r="N18" s="136"/>
      <c r="O18" s="94" t="s">
        <v>176</v>
      </c>
      <c r="P18" s="136"/>
      <c r="Q18" s="136"/>
    </row>
    <row r="19" spans="1:19" s="74" customFormat="1">
      <c r="B19" s="71" t="s">
        <v>177</v>
      </c>
      <c r="C19" s="94" t="s">
        <v>48</v>
      </c>
      <c r="D19" s="140">
        <v>0.84409806383667796</v>
      </c>
      <c r="E19" s="134"/>
      <c r="F19" s="88"/>
      <c r="G19" s="88"/>
      <c r="H19" s="88"/>
      <c r="I19" s="88"/>
      <c r="J19" s="88"/>
      <c r="K19" s="88"/>
      <c r="L19" s="88"/>
      <c r="M19" s="88"/>
      <c r="N19" s="136"/>
      <c r="O19" s="94" t="s">
        <v>382</v>
      </c>
      <c r="P19" s="136"/>
      <c r="Q19" s="136"/>
    </row>
    <row r="20" spans="1:19" s="142" customFormat="1">
      <c r="B20" s="267" t="s">
        <v>307</v>
      </c>
      <c r="C20" s="142" t="s">
        <v>48</v>
      </c>
      <c r="F20" s="317">
        <v>5.9408966489459545E-3</v>
      </c>
      <c r="G20" s="317">
        <v>2.6174507998731108E-2</v>
      </c>
      <c r="H20" s="317">
        <v>1.2311406805248381E-2</v>
      </c>
      <c r="I20" s="317">
        <v>0.33678213889270653</v>
      </c>
      <c r="J20" s="317">
        <v>0.35448900130346295</v>
      </c>
      <c r="K20" s="317">
        <v>3.780817649993213E-3</v>
      </c>
      <c r="L20" s="317">
        <v>0.24282461445587655</v>
      </c>
      <c r="M20" s="317">
        <v>1.7696616245035265E-2</v>
      </c>
      <c r="N20" s="136"/>
      <c r="O20" s="94" t="s">
        <v>308</v>
      </c>
    </row>
    <row r="21" spans="1:19" s="74" customFormat="1">
      <c r="B21" s="71" t="s">
        <v>179</v>
      </c>
      <c r="C21" s="94" t="s">
        <v>153</v>
      </c>
      <c r="D21" s="139"/>
      <c r="E21" s="134"/>
      <c r="F21" s="128">
        <f>($D$18*$D$19)*F20*(1+$D$16)</f>
        <v>591061.44086302165</v>
      </c>
      <c r="G21" s="128">
        <f t="shared" ref="G21:M21" si="4">($D$18*$D$19)*G20*(1+$D$16)</f>
        <v>2604108.9966369886</v>
      </c>
      <c r="H21" s="128">
        <f t="shared" si="4"/>
        <v>1224865.2476814226</v>
      </c>
      <c r="I21" s="128">
        <f t="shared" si="4"/>
        <v>33506547.585905381</v>
      </c>
      <c r="J21" s="128">
        <f t="shared" si="4"/>
        <v>35268208.195086636</v>
      </c>
      <c r="K21" s="128">
        <f t="shared" si="4"/>
        <v>376154.58741262846</v>
      </c>
      <c r="L21" s="128">
        <f t="shared" si="4"/>
        <v>24158687.649071038</v>
      </c>
      <c r="M21" s="128">
        <f t="shared" si="4"/>
        <v>1760641.2153367954</v>
      </c>
      <c r="N21" s="136"/>
      <c r="O21" s="7"/>
      <c r="P21" s="136"/>
      <c r="Q21" s="136"/>
    </row>
    <row r="22" spans="1:19" s="74" customFormat="1">
      <c r="B22" s="71" t="s">
        <v>154</v>
      </c>
      <c r="C22" s="94" t="s">
        <v>153</v>
      </c>
      <c r="D22" s="137"/>
      <c r="E22" s="137"/>
      <c r="F22" s="11">
        <f>(F14-F13)*(1-F9/100+F10/100+$D$16)+F17+F21</f>
        <v>16772502.195939329</v>
      </c>
      <c r="G22" s="11">
        <f t="shared" ref="G22:L22" si="5">(G14-G13)*(1-G9/100+G10/100+$D$16)+G17+G21</f>
        <v>70796700.306884468</v>
      </c>
      <c r="H22" s="11">
        <f t="shared" si="5"/>
        <v>33408186.213082332</v>
      </c>
      <c r="I22" s="11">
        <f t="shared" si="5"/>
        <v>902966851.31330919</v>
      </c>
      <c r="J22" s="11">
        <f t="shared" si="5"/>
        <v>967835960.69768536</v>
      </c>
      <c r="K22" s="11">
        <f t="shared" si="5"/>
        <v>11245756.743479805</v>
      </c>
      <c r="L22" s="11">
        <f t="shared" si="5"/>
        <v>667978074.64792252</v>
      </c>
      <c r="M22" s="11">
        <f>(M14-M13)*(1-M9/100+M10/100+$D$16)+M17+M21</f>
        <v>47356093.708264887</v>
      </c>
      <c r="N22" s="136"/>
      <c r="O22" s="136"/>
      <c r="P22" s="136"/>
      <c r="Q22" s="136"/>
    </row>
    <row r="23" spans="1:19">
      <c r="B23" s="71"/>
      <c r="D23" s="10"/>
      <c r="E23" s="10"/>
      <c r="F23" s="28"/>
      <c r="G23" s="28"/>
      <c r="H23" s="28"/>
      <c r="I23" s="28"/>
      <c r="J23" s="28"/>
      <c r="K23" s="28"/>
      <c r="L23" s="28"/>
      <c r="M23" s="28"/>
      <c r="N23" s="7"/>
      <c r="O23" s="7"/>
      <c r="P23" s="7"/>
      <c r="Q23" s="7"/>
    </row>
    <row r="24" spans="1:19">
      <c r="E24" s="9"/>
      <c r="F24" s="103"/>
      <c r="G24" s="103"/>
      <c r="H24" s="103"/>
      <c r="I24" s="103"/>
      <c r="J24" s="103"/>
      <c r="K24" s="103"/>
      <c r="L24" s="103"/>
      <c r="M24" s="103"/>
      <c r="N24" s="103"/>
      <c r="O24" s="103"/>
      <c r="P24" s="103"/>
      <c r="Q24" s="103"/>
      <c r="R24" s="103"/>
      <c r="S24" s="103"/>
    </row>
    <row r="25" spans="1:19" s="5" customFormat="1">
      <c r="B25" s="4" t="s">
        <v>156</v>
      </c>
      <c r="C25" s="4"/>
    </row>
    <row r="27" spans="1:19" s="74" customFormat="1">
      <c r="A27" s="43"/>
      <c r="B27" s="96" t="s">
        <v>263</v>
      </c>
      <c r="C27" s="94" t="s">
        <v>153</v>
      </c>
      <c r="F27" s="225">
        <f>'Nacalculaties en correcties'!G30</f>
        <v>0</v>
      </c>
      <c r="G27" s="225">
        <f>'Nacalculaties en correcties'!H30</f>
        <v>0</v>
      </c>
      <c r="H27" s="225">
        <f>'Nacalculaties en correcties'!I30</f>
        <v>0</v>
      </c>
      <c r="I27" s="225">
        <f>'Nacalculaties en correcties'!J30</f>
        <v>0</v>
      </c>
      <c r="J27" s="225">
        <f>'Nacalculaties en correcties'!K30</f>
        <v>0</v>
      </c>
      <c r="K27" s="225">
        <f>'Nacalculaties en correcties'!L30</f>
        <v>0</v>
      </c>
      <c r="L27" s="225">
        <f>'Nacalculaties en correcties'!M30</f>
        <v>0</v>
      </c>
      <c r="M27" s="225">
        <f>'Nacalculaties en correcties'!N30</f>
        <v>0</v>
      </c>
    </row>
    <row r="28" spans="1:19" s="74" customFormat="1">
      <c r="A28" s="43"/>
      <c r="B28" s="96" t="s">
        <v>264</v>
      </c>
      <c r="C28" s="94" t="s">
        <v>153</v>
      </c>
      <c r="F28" s="225">
        <f>'Nacalculaties en correcties'!G31</f>
        <v>0</v>
      </c>
      <c r="G28" s="225">
        <f>'Nacalculaties en correcties'!H31</f>
        <v>0</v>
      </c>
      <c r="H28" s="225">
        <f>'Nacalculaties en correcties'!I31</f>
        <v>0</v>
      </c>
      <c r="I28" s="225">
        <f>'Nacalculaties en correcties'!J31</f>
        <v>0</v>
      </c>
      <c r="J28" s="225">
        <f>'Nacalculaties en correcties'!K31</f>
        <v>0</v>
      </c>
      <c r="K28" s="225">
        <f>'Nacalculaties en correcties'!L31</f>
        <v>0</v>
      </c>
      <c r="L28" s="225">
        <f>'Nacalculaties en correcties'!M31</f>
        <v>0</v>
      </c>
      <c r="M28" s="225">
        <f>'Nacalculaties en correcties'!N31</f>
        <v>0</v>
      </c>
    </row>
    <row r="29" spans="1:19" s="74" customFormat="1">
      <c r="A29" s="43"/>
      <c r="B29" s="96" t="s">
        <v>265</v>
      </c>
      <c r="C29" s="94" t="s">
        <v>153</v>
      </c>
      <c r="F29" s="225">
        <f>'Nacalculaties en correcties'!G32</f>
        <v>0</v>
      </c>
      <c r="G29" s="225">
        <f>'Nacalculaties en correcties'!H32</f>
        <v>0</v>
      </c>
      <c r="H29" s="225">
        <f>'Nacalculaties en correcties'!I32</f>
        <v>0</v>
      </c>
      <c r="I29" s="225">
        <f>'Nacalculaties en correcties'!J32</f>
        <v>0</v>
      </c>
      <c r="J29" s="225">
        <f>'Nacalculaties en correcties'!K32</f>
        <v>0</v>
      </c>
      <c r="K29" s="225">
        <f>'Nacalculaties en correcties'!L32</f>
        <v>0</v>
      </c>
      <c r="L29" s="225">
        <f>'Nacalculaties en correcties'!M32</f>
        <v>0</v>
      </c>
      <c r="M29" s="225">
        <f>'Nacalculaties en correcties'!N32</f>
        <v>0</v>
      </c>
    </row>
    <row r="30" spans="1:19" s="74" customFormat="1">
      <c r="A30" s="43"/>
      <c r="B30" s="96" t="s">
        <v>266</v>
      </c>
      <c r="C30" s="94" t="s">
        <v>153</v>
      </c>
      <c r="F30" s="225">
        <f>'Nacalculaties en correcties'!G33</f>
        <v>-1157984.9494259397</v>
      </c>
      <c r="G30" s="225">
        <f>'Nacalculaties en correcties'!H33</f>
        <v>450087.17732746154</v>
      </c>
      <c r="H30" s="225">
        <f>'Nacalculaties en correcties'!I33</f>
        <v>0</v>
      </c>
      <c r="I30" s="225">
        <f>'Nacalculaties en correcties'!J33</f>
        <v>0</v>
      </c>
      <c r="J30" s="225">
        <f>'Nacalculaties en correcties'!K33</f>
        <v>27306728.248753626</v>
      </c>
      <c r="K30" s="225">
        <f>'Nacalculaties en correcties'!L33</f>
        <v>-107900.24236386189</v>
      </c>
      <c r="L30" s="225">
        <f>'Nacalculaties en correcties'!M33</f>
        <v>-2148185.7503273739</v>
      </c>
      <c r="M30" s="225">
        <f>'Nacalculaties en correcties'!N33</f>
        <v>0</v>
      </c>
    </row>
    <row r="31" spans="1:19" s="74" customFormat="1">
      <c r="B31" s="130" t="s">
        <v>267</v>
      </c>
      <c r="C31" s="94" t="s">
        <v>153</v>
      </c>
      <c r="F31" s="225">
        <f>'Nacalculaties en correcties'!G34</f>
        <v>-356872.18938225455</v>
      </c>
      <c r="G31" s="225">
        <f>'Nacalculaties en correcties'!H34</f>
        <v>225212.20603838039</v>
      </c>
      <c r="H31" s="225">
        <f>'Nacalculaties en correcties'!I34</f>
        <v>-1153261.3625039223</v>
      </c>
      <c r="I31" s="225">
        <f>'Nacalculaties en correcties'!J34</f>
        <v>27171457.568990093</v>
      </c>
      <c r="J31" s="225">
        <f>'Nacalculaties en correcties'!K34</f>
        <v>27790871.690912813</v>
      </c>
      <c r="K31" s="225">
        <f>'Nacalculaties en correcties'!L34</f>
        <v>-295676.95280465478</v>
      </c>
      <c r="L31" s="225">
        <f>'Nacalculaties en correcties'!M34</f>
        <v>8107191.405143843</v>
      </c>
      <c r="M31" s="225">
        <f>'Nacalculaties en correcties'!N34</f>
        <v>827800.67883986409</v>
      </c>
    </row>
    <row r="32" spans="1:19" s="74" customFormat="1">
      <c r="B32" s="130" t="s">
        <v>235</v>
      </c>
      <c r="C32" s="94" t="s">
        <v>153</v>
      </c>
      <c r="F32" s="225">
        <f>'Nacalculaties en correcties'!G35</f>
        <v>-128304.48564964521</v>
      </c>
      <c r="G32" s="225">
        <f>'Nacalculaties en correcties'!H35</f>
        <v>-486225.15127752989</v>
      </c>
      <c r="H32" s="225">
        <f>'Nacalculaties en correcties'!I35</f>
        <v>-270822.40811368445</v>
      </c>
      <c r="I32" s="225">
        <f>'Nacalculaties en correcties'!J35</f>
        <v>-7218216.9460699875</v>
      </c>
      <c r="J32" s="225">
        <f>'Nacalculaties en correcties'!K35</f>
        <v>-6369016.2565959049</v>
      </c>
      <c r="K32" s="225">
        <f>'Nacalculaties en correcties'!L35</f>
        <v>-76202.396986721316</v>
      </c>
      <c r="L32" s="225">
        <f>'Nacalculaties en correcties'!M35</f>
        <v>-8636189.7216689903</v>
      </c>
      <c r="M32" s="225">
        <f>'Nacalculaties en correcties'!N35</f>
        <v>-315721.69962950749</v>
      </c>
    </row>
    <row r="33" spans="2:16" s="74" customFormat="1">
      <c r="B33" s="130" t="s">
        <v>236</v>
      </c>
      <c r="C33" s="94" t="s">
        <v>153</v>
      </c>
      <c r="F33" s="225">
        <f>'Nacalculaties en correcties'!G36</f>
        <v>-267726.01984599617</v>
      </c>
      <c r="G33" s="225">
        <f>'Nacalculaties en correcties'!H36</f>
        <v>-1012449.7056131769</v>
      </c>
      <c r="H33" s="225">
        <f>'Nacalculaties en correcties'!I36</f>
        <v>-573045.98577550566</v>
      </c>
      <c r="I33" s="225">
        <f>'Nacalculaties en correcties'!J36</f>
        <v>-15145480.740988353</v>
      </c>
      <c r="J33" s="225">
        <f>'Nacalculaties en correcties'!K36</f>
        <v>-13388462.551968163</v>
      </c>
      <c r="K33" s="225">
        <f>'Nacalculaties en correcties'!L36</f>
        <v>-161878.22649617097</v>
      </c>
      <c r="L33" s="225">
        <f>'Nacalculaties en correcties'!M36</f>
        <v>-14652443.270976292</v>
      </c>
      <c r="M33" s="225">
        <f>'Nacalculaties en correcties'!N36</f>
        <v>-655695.15795681963</v>
      </c>
    </row>
    <row r="34" spans="2:16" s="74" customFormat="1">
      <c r="B34" s="130" t="s">
        <v>237</v>
      </c>
      <c r="C34" s="94" t="s">
        <v>153</v>
      </c>
      <c r="F34" s="225">
        <f>'Nacalculaties en correcties'!G37</f>
        <v>-419790.35701388499</v>
      </c>
      <c r="G34" s="225">
        <f>'Nacalculaties en correcties'!H37</f>
        <v>-1584178.3894888386</v>
      </c>
      <c r="H34" s="225">
        <f>'Nacalculaties en correcties'!I37</f>
        <v>-911126.5784700556</v>
      </c>
      <c r="I34" s="225">
        <f>'Nacalculaties en correcties'!J37</f>
        <v>-23879550.237089448</v>
      </c>
      <c r="J34" s="225">
        <f>'Nacalculaties en correcties'!K37</f>
        <v>-21148389.761377469</v>
      </c>
      <c r="K34" s="225">
        <f>'Nacalculaties en correcties'!L37</f>
        <v>-258398.23472885112</v>
      </c>
      <c r="L34" s="225">
        <f>'Nacalculaties en correcties'!M37</f>
        <v>-21440663.07988748</v>
      </c>
      <c r="M34" s="225">
        <f>'Nacalculaties en correcties'!N37</f>
        <v>-1023283.2628224752</v>
      </c>
    </row>
    <row r="35" spans="2:16" s="74" customFormat="1">
      <c r="B35" s="130" t="s">
        <v>238</v>
      </c>
      <c r="C35" s="94" t="s">
        <v>153</v>
      </c>
      <c r="F35" s="225">
        <f>'Nacalculaties en correcties'!G38</f>
        <v>101236.9411942811</v>
      </c>
      <c r="G35" s="225">
        <f>'Nacalculaties en correcties'!H38</f>
        <v>443744.68927527528</v>
      </c>
      <c r="H35" s="225">
        <f>'Nacalculaties en correcties'!I38</f>
        <v>207904.60139609568</v>
      </c>
      <c r="I35" s="225">
        <f>'Nacalculaties en correcties'!J38</f>
        <v>5758661.2673735982</v>
      </c>
      <c r="J35" s="225">
        <f>'Nacalculaties en correcties'!K38</f>
        <v>5970550.1597211333</v>
      </c>
      <c r="K35" s="225">
        <f>'Nacalculaties en correcties'!L38</f>
        <v>63929.00780909491</v>
      </c>
      <c r="L35" s="225">
        <f>'Nacalculaties en correcties'!M38</f>
        <v>8085219.5771743078</v>
      </c>
      <c r="M35" s="225">
        <f>'Nacalculaties en correcties'!N38</f>
        <v>299735.21744026768</v>
      </c>
    </row>
    <row r="36" spans="2:16" s="74" customFormat="1">
      <c r="B36" s="130" t="s">
        <v>234</v>
      </c>
      <c r="C36" s="94" t="s">
        <v>153</v>
      </c>
      <c r="F36" s="89"/>
      <c r="G36" s="89"/>
      <c r="H36" s="89"/>
      <c r="I36" s="89"/>
      <c r="J36" s="89"/>
      <c r="K36" s="89"/>
      <c r="L36" s="225">
        <f>'Nacalculaties en correcties'!M39</f>
        <v>0</v>
      </c>
      <c r="M36" s="89"/>
    </row>
    <row r="37" spans="2:16" s="74" customFormat="1">
      <c r="B37" s="130" t="s">
        <v>239</v>
      </c>
      <c r="C37" s="94" t="s">
        <v>153</v>
      </c>
      <c r="F37" s="89"/>
      <c r="G37" s="89"/>
      <c r="H37" s="89"/>
      <c r="I37" s="89"/>
      <c r="K37" s="225">
        <f>'Nacalculaties en correcties'!L40</f>
        <v>110162.28368412703</v>
      </c>
      <c r="L37" s="89"/>
      <c r="M37" s="89"/>
    </row>
    <row r="38" spans="2:16" s="74" customFormat="1">
      <c r="B38" s="131" t="s">
        <v>268</v>
      </c>
      <c r="C38" s="94" t="s">
        <v>153</v>
      </c>
      <c r="G38" s="14"/>
      <c r="H38" s="14"/>
      <c r="I38" s="225">
        <f>'Nacalculaties en correcties'!J41</f>
        <v>0</v>
      </c>
      <c r="K38" s="14"/>
      <c r="L38" s="14"/>
      <c r="M38" s="14"/>
      <c r="N38" s="14"/>
      <c r="P38" s="94"/>
    </row>
    <row r="39" spans="2:16" s="74" customFormat="1">
      <c r="B39" s="131" t="s">
        <v>269</v>
      </c>
      <c r="C39" s="94" t="s">
        <v>153</v>
      </c>
      <c r="G39" s="14"/>
      <c r="H39" s="14"/>
      <c r="I39" s="225">
        <f>'Nacalculaties en correcties'!J42</f>
        <v>0</v>
      </c>
      <c r="K39" s="14"/>
      <c r="L39" s="14"/>
      <c r="M39" s="14"/>
      <c r="N39" s="14"/>
    </row>
    <row r="40" spans="2:16" s="74" customFormat="1">
      <c r="B40" s="131"/>
      <c r="C40" s="94"/>
      <c r="G40" s="269"/>
      <c r="H40" s="268"/>
      <c r="I40" s="269"/>
    </row>
    <row r="41" spans="2:16">
      <c r="B41" s="29" t="s">
        <v>157</v>
      </c>
      <c r="C41" s="94" t="s">
        <v>153</v>
      </c>
      <c r="F41" s="33">
        <f t="shared" ref="F41:M41" si="6">SUM(F27:F39)</f>
        <v>-2229441.0601234394</v>
      </c>
      <c r="G41" s="76">
        <f t="shared" si="6"/>
        <v>-1963809.1737384282</v>
      </c>
      <c r="H41" s="76">
        <f t="shared" si="6"/>
        <v>-2700351.7334670727</v>
      </c>
      <c r="I41" s="76">
        <f t="shared" si="6"/>
        <v>-13313129.087784097</v>
      </c>
      <c r="J41" s="76">
        <f t="shared" si="6"/>
        <v>20162281.529446032</v>
      </c>
      <c r="K41" s="76">
        <f t="shared" si="6"/>
        <v>-725964.76188703813</v>
      </c>
      <c r="L41" s="76">
        <f t="shared" si="6"/>
        <v>-30685070.840541989</v>
      </c>
      <c r="M41" s="76">
        <f t="shared" si="6"/>
        <v>-867164.22412867041</v>
      </c>
    </row>
    <row r="43" spans="2:16" s="5" customFormat="1">
      <c r="B43" s="70" t="s">
        <v>158</v>
      </c>
      <c r="C43" s="4"/>
    </row>
    <row r="45" spans="2:16">
      <c r="B45" s="93" t="s">
        <v>159</v>
      </c>
      <c r="C45" s="93" t="s">
        <v>153</v>
      </c>
      <c r="F45" s="27">
        <f>F22+F41</f>
        <v>14543061.135815889</v>
      </c>
      <c r="G45" s="27">
        <f t="shared" ref="G45:M45" si="7">G22+G41</f>
        <v>68832891.133146033</v>
      </c>
      <c r="H45" s="27">
        <f t="shared" si="7"/>
        <v>30707834.47961526</v>
      </c>
      <c r="I45" s="27">
        <f t="shared" si="7"/>
        <v>889653722.22552514</v>
      </c>
      <c r="J45" s="27">
        <f t="shared" si="7"/>
        <v>987998242.22713137</v>
      </c>
      <c r="K45" s="27">
        <f t="shared" si="7"/>
        <v>10519791.981592767</v>
      </c>
      <c r="L45" s="27">
        <f t="shared" si="7"/>
        <v>637293003.80738056</v>
      </c>
      <c r="M45" s="27">
        <f t="shared" si="7"/>
        <v>46488929.484136216</v>
      </c>
      <c r="O45" s="46"/>
    </row>
    <row r="47" spans="2:16">
      <c r="D47" s="9"/>
      <c r="E47" s="9"/>
      <c r="F47" s="88"/>
      <c r="G47" s="88"/>
      <c r="H47" s="88"/>
      <c r="I47" s="88"/>
      <c r="J47" s="88"/>
      <c r="K47" s="88"/>
      <c r="L47" s="88"/>
      <c r="M47" s="88"/>
      <c r="N47" s="9"/>
      <c r="O47" s="47"/>
    </row>
    <row r="48" spans="2:16">
      <c r="D48" s="9"/>
      <c r="E48" s="9"/>
      <c r="F48" s="318"/>
      <c r="G48" s="318"/>
      <c r="H48" s="318"/>
      <c r="I48" s="318"/>
      <c r="J48" s="318"/>
      <c r="K48" s="318"/>
      <c r="L48" s="318"/>
      <c r="M48" s="318"/>
      <c r="N48" s="9"/>
      <c r="O48" s="9"/>
    </row>
    <row r="49" spans="4:15">
      <c r="D49" s="9"/>
      <c r="E49" s="9"/>
      <c r="F49" s="88"/>
      <c r="G49" s="48"/>
      <c r="H49" s="48"/>
      <c r="I49" s="48"/>
      <c r="J49" s="48"/>
      <c r="K49" s="48"/>
      <c r="L49" s="48"/>
      <c r="M49" s="48"/>
      <c r="N49" s="9"/>
      <c r="O49" s="49"/>
    </row>
    <row r="50" spans="4:15">
      <c r="D50" s="9"/>
      <c r="E50" s="9"/>
      <c r="F50" s="9"/>
      <c r="G50" s="9"/>
      <c r="H50" s="9"/>
      <c r="I50" s="9"/>
      <c r="J50" s="9"/>
      <c r="K50" s="9"/>
      <c r="L50" s="9"/>
      <c r="M50" s="9"/>
      <c r="N50" s="9"/>
      <c r="O50" s="9"/>
    </row>
    <row r="51" spans="4:15">
      <c r="D51" s="9"/>
      <c r="E51" s="9"/>
      <c r="F51" s="48"/>
      <c r="G51" s="48"/>
      <c r="H51" s="48"/>
      <c r="I51" s="48"/>
      <c r="J51" s="48"/>
      <c r="K51" s="48"/>
      <c r="L51" s="48"/>
      <c r="M51" s="48"/>
      <c r="N51" s="9"/>
      <c r="O51" s="49"/>
    </row>
    <row r="52" spans="4:15">
      <c r="D52" s="9"/>
      <c r="E52" s="9"/>
      <c r="F52" s="9"/>
      <c r="G52" s="9"/>
      <c r="H52" s="9"/>
      <c r="I52" s="9"/>
      <c r="J52" s="9"/>
      <c r="K52" s="9"/>
      <c r="L52" s="9"/>
      <c r="M52" s="9"/>
      <c r="N52" s="9"/>
      <c r="O52" s="9"/>
    </row>
    <row r="53" spans="4:15">
      <c r="D53" s="9"/>
      <c r="E53" s="9"/>
      <c r="F53" s="50"/>
      <c r="G53" s="50"/>
      <c r="H53" s="50"/>
      <c r="I53" s="50"/>
      <c r="J53" s="50"/>
      <c r="K53" s="50"/>
      <c r="L53" s="50"/>
      <c r="M53" s="50"/>
      <c r="N53" s="9"/>
      <c r="O53" s="49"/>
    </row>
    <row r="54" spans="4:15">
      <c r="D54" s="9"/>
      <c r="E54" s="9"/>
      <c r="F54" s="9"/>
      <c r="G54" s="9"/>
      <c r="H54" s="9"/>
      <c r="I54" s="9"/>
      <c r="J54" s="9"/>
      <c r="K54" s="9"/>
      <c r="L54" s="9"/>
      <c r="M54" s="9"/>
      <c r="N54" s="9"/>
      <c r="O54" s="9"/>
    </row>
    <row r="55" spans="4:15">
      <c r="D55" s="9"/>
      <c r="E55" s="9"/>
      <c r="F55" s="48"/>
      <c r="G55" s="48"/>
      <c r="H55" s="48"/>
      <c r="I55" s="48"/>
      <c r="J55" s="48"/>
      <c r="K55" s="48"/>
      <c r="L55" s="48"/>
      <c r="M55" s="48"/>
      <c r="N55" s="9"/>
      <c r="O55" s="49"/>
    </row>
    <row r="56" spans="4:15">
      <c r="D56" s="9"/>
      <c r="E56" s="9"/>
      <c r="F56" s="9"/>
      <c r="G56" s="9"/>
      <c r="H56" s="9"/>
      <c r="I56" s="9"/>
      <c r="J56" s="9"/>
      <c r="K56" s="9"/>
      <c r="L56" s="9"/>
      <c r="M56" s="9"/>
      <c r="N56" s="9"/>
      <c r="O56" s="9"/>
    </row>
    <row r="57" spans="4:15">
      <c r="D57" s="9"/>
      <c r="E57" s="9"/>
      <c r="F57" s="9"/>
      <c r="G57" s="9"/>
      <c r="H57" s="9"/>
      <c r="I57" s="9"/>
      <c r="J57" s="9"/>
      <c r="K57" s="9"/>
      <c r="L57" s="9"/>
      <c r="M57" s="9"/>
      <c r="N57" s="9"/>
      <c r="O57" s="9"/>
    </row>
    <row r="58" spans="4:15">
      <c r="D58" s="9"/>
      <c r="E58" s="9"/>
      <c r="F58" s="9"/>
      <c r="G58" s="9"/>
      <c r="H58" s="9"/>
      <c r="I58" s="9"/>
      <c r="J58" s="9"/>
      <c r="K58" s="9"/>
      <c r="L58" s="9"/>
      <c r="M58" s="9"/>
      <c r="N58" s="9"/>
      <c r="O58" s="9"/>
    </row>
    <row r="59" spans="4:15">
      <c r="D59" s="9"/>
      <c r="E59" s="9"/>
      <c r="F59" s="9"/>
      <c r="G59" s="9"/>
      <c r="H59" s="9"/>
      <c r="I59" s="9"/>
      <c r="J59" s="9"/>
      <c r="K59" s="9"/>
      <c r="L59" s="9"/>
      <c r="M59" s="9"/>
      <c r="N59" s="9"/>
      <c r="O59" s="9"/>
    </row>
    <row r="60" spans="4:15">
      <c r="D60" s="9"/>
      <c r="E60" s="9"/>
      <c r="F60" s="9"/>
      <c r="G60" s="51"/>
      <c r="H60" s="51"/>
      <c r="I60" s="51"/>
      <c r="J60" s="51"/>
      <c r="K60" s="51"/>
      <c r="L60" s="9"/>
      <c r="M60" s="9"/>
      <c r="N60" s="9"/>
      <c r="O60" s="9"/>
    </row>
    <row r="61" spans="4:15">
      <c r="D61" s="9"/>
      <c r="E61" s="9"/>
      <c r="F61" s="9"/>
      <c r="G61" s="52"/>
      <c r="H61" s="53"/>
      <c r="I61" s="53"/>
      <c r="J61" s="53"/>
      <c r="K61" s="53"/>
      <c r="L61" s="9"/>
      <c r="M61" s="9"/>
      <c r="N61" s="9"/>
      <c r="O61" s="9"/>
    </row>
    <row r="62" spans="4:15">
      <c r="D62" s="9"/>
      <c r="E62" s="9"/>
      <c r="F62" s="9"/>
      <c r="G62" s="52"/>
      <c r="H62" s="53"/>
      <c r="I62" s="53"/>
      <c r="J62" s="53"/>
      <c r="K62" s="53"/>
      <c r="L62" s="9"/>
      <c r="M62" s="9"/>
      <c r="N62" s="9"/>
      <c r="O62" s="9"/>
    </row>
    <row r="63" spans="4:15">
      <c r="D63" s="9"/>
      <c r="E63" s="9"/>
      <c r="F63" s="9"/>
      <c r="G63" s="52"/>
      <c r="H63" s="53"/>
      <c r="I63" s="53"/>
      <c r="J63" s="53"/>
      <c r="K63" s="53"/>
      <c r="L63" s="9"/>
      <c r="M63" s="9"/>
      <c r="N63" s="9"/>
      <c r="O63" s="9"/>
    </row>
    <row r="64" spans="4:15">
      <c r="D64" s="9"/>
      <c r="E64" s="9"/>
      <c r="F64" s="9"/>
      <c r="G64" s="52"/>
      <c r="H64" s="53"/>
      <c r="I64" s="53"/>
      <c r="J64" s="53"/>
      <c r="K64" s="53"/>
      <c r="L64" s="9"/>
      <c r="M64" s="9"/>
      <c r="N64" s="9"/>
      <c r="O64" s="9"/>
    </row>
    <row r="65" spans="4:15">
      <c r="D65" s="9"/>
      <c r="E65" s="9"/>
      <c r="F65" s="9"/>
      <c r="G65" s="52"/>
      <c r="H65" s="53"/>
      <c r="I65" s="53"/>
      <c r="J65" s="53"/>
      <c r="K65" s="53"/>
      <c r="L65" s="9"/>
      <c r="M65" s="9"/>
      <c r="N65" s="9"/>
      <c r="O65" s="9"/>
    </row>
    <row r="66" spans="4:15">
      <c r="D66" s="9"/>
      <c r="E66" s="9"/>
      <c r="F66" s="9"/>
      <c r="G66" s="52"/>
      <c r="H66" s="53"/>
      <c r="I66" s="53"/>
      <c r="J66" s="53"/>
      <c r="K66" s="53"/>
      <c r="L66" s="9"/>
      <c r="M66" s="9"/>
      <c r="N66" s="9"/>
      <c r="O66" s="9"/>
    </row>
    <row r="67" spans="4:15">
      <c r="D67" s="9"/>
      <c r="E67" s="9"/>
      <c r="F67" s="9"/>
      <c r="G67" s="52"/>
      <c r="H67" s="53"/>
      <c r="I67" s="53"/>
      <c r="J67" s="53"/>
      <c r="K67" s="53"/>
      <c r="L67" s="9"/>
      <c r="M67" s="9"/>
      <c r="N67" s="9"/>
      <c r="O67" s="9"/>
    </row>
    <row r="68" spans="4:15">
      <c r="D68" s="9"/>
      <c r="E68" s="9"/>
      <c r="F68" s="9"/>
      <c r="G68" s="52"/>
      <c r="H68" s="53"/>
      <c r="I68" s="53"/>
      <c r="J68" s="53"/>
      <c r="K68" s="53"/>
      <c r="L68" s="9"/>
      <c r="M68" s="9"/>
      <c r="N68" s="9"/>
      <c r="O68" s="9"/>
    </row>
    <row r="69" spans="4:15">
      <c r="D69" s="9"/>
      <c r="E69" s="9"/>
      <c r="F69" s="9"/>
      <c r="G69" s="9"/>
      <c r="H69" s="9"/>
      <c r="I69" s="9"/>
      <c r="J69" s="9"/>
      <c r="K69" s="9"/>
      <c r="L69" s="9"/>
      <c r="M69" s="9"/>
      <c r="N69" s="9"/>
      <c r="O69" s="9"/>
    </row>
    <row r="70" spans="4:15">
      <c r="J70" s="45"/>
      <c r="K70" s="45"/>
    </row>
  </sheetData>
  <phoneticPr fontId="4" type="noConversion"/>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39997558519241921"/>
    <pageSetUpPr fitToPage="1"/>
  </sheetPr>
  <dimension ref="A2:R42"/>
  <sheetViews>
    <sheetView showGridLines="0" zoomScale="80" zoomScaleNormal="80" workbookViewId="0">
      <pane xSplit="4" ySplit="3" topLeftCell="E4" activePane="bottomRight" state="frozen"/>
      <selection activeCell="G15" sqref="G15"/>
      <selection pane="topRight" activeCell="G15" sqref="G15"/>
      <selection pane="bottomLeft" activeCell="G15" sqref="G15"/>
      <selection pane="bottomRight"/>
    </sheetView>
  </sheetViews>
  <sheetFormatPr defaultRowHeight="12.75"/>
  <cols>
    <col min="1" max="1" width="4" customWidth="1"/>
    <col min="2" max="2" width="71.28515625" customWidth="1"/>
    <col min="3" max="3" width="19.7109375" customWidth="1"/>
    <col min="4" max="4" width="12" customWidth="1"/>
    <col min="5" max="5" width="5" customWidth="1"/>
    <col min="6" max="6" width="11.85546875" customWidth="1"/>
    <col min="7" max="9" width="13.5703125" customWidth="1"/>
    <col min="10" max="13" width="14.85546875" customWidth="1"/>
    <col min="14" max="14" width="13.5703125" customWidth="1"/>
    <col min="15" max="15" width="5.28515625" customWidth="1"/>
    <col min="16" max="18" width="13.5703125" customWidth="1"/>
  </cols>
  <sheetData>
    <row r="2" spans="1:18" s="172" customFormat="1" ht="18">
      <c r="B2" s="1" t="s">
        <v>31</v>
      </c>
      <c r="C2" s="1"/>
      <c r="F2" s="173" t="s">
        <v>1</v>
      </c>
      <c r="G2" s="173" t="s">
        <v>2</v>
      </c>
      <c r="H2" s="173" t="s">
        <v>3</v>
      </c>
      <c r="I2" s="173" t="s">
        <v>4</v>
      </c>
      <c r="J2" s="173" t="s">
        <v>5</v>
      </c>
      <c r="K2" s="173" t="s">
        <v>6</v>
      </c>
      <c r="L2" s="173" t="s">
        <v>7</v>
      </c>
      <c r="M2" s="173" t="s">
        <v>8</v>
      </c>
      <c r="N2" s="173" t="s">
        <v>9</v>
      </c>
      <c r="O2" s="173"/>
      <c r="P2" s="173"/>
      <c r="Q2" s="173"/>
      <c r="R2" s="173"/>
    </row>
    <row r="3" spans="1:18" ht="13.5" customHeight="1">
      <c r="B3" s="97"/>
    </row>
    <row r="5" spans="1:18" s="5" customFormat="1">
      <c r="B5" s="4" t="s">
        <v>68</v>
      </c>
      <c r="C5" s="54"/>
      <c r="P5" s="4" t="s">
        <v>0</v>
      </c>
    </row>
    <row r="7" spans="1:18">
      <c r="A7" s="74"/>
      <c r="B7" s="96" t="s">
        <v>263</v>
      </c>
      <c r="C7" s="95"/>
      <c r="D7" s="94" t="s">
        <v>40</v>
      </c>
      <c r="G7" s="13">
        <f>'Overname private netten'!G35</f>
        <v>0</v>
      </c>
      <c r="H7" s="13">
        <f>'Overname private netten'!H35</f>
        <v>0</v>
      </c>
      <c r="I7" s="13">
        <f>'Overname private netten'!I35</f>
        <v>0</v>
      </c>
      <c r="J7" s="13">
        <f>'Overname private netten'!J35</f>
        <v>0</v>
      </c>
      <c r="K7" s="13">
        <f>'Overname private netten'!K35</f>
        <v>0</v>
      </c>
      <c r="L7" s="13">
        <f>'Overname private netten'!L35</f>
        <v>0</v>
      </c>
      <c r="M7" s="13">
        <f>'Overname private netten'!M35</f>
        <v>0</v>
      </c>
      <c r="N7" s="13">
        <f>'Overname private netten'!N35</f>
        <v>0</v>
      </c>
    </row>
    <row r="8" spans="1:18">
      <c r="A8" s="74"/>
      <c r="B8" s="96" t="s">
        <v>264</v>
      </c>
      <c r="C8" s="95"/>
      <c r="D8" s="94" t="s">
        <v>75</v>
      </c>
      <c r="G8" s="13">
        <f>'Overname private netten'!G62</f>
        <v>0</v>
      </c>
      <c r="H8" s="13">
        <f>'Overname private netten'!H62</f>
        <v>0</v>
      </c>
      <c r="I8" s="13">
        <f>'Overname private netten'!I62</f>
        <v>0</v>
      </c>
      <c r="J8" s="13">
        <f>'Overname private netten'!J62</f>
        <v>0</v>
      </c>
      <c r="K8" s="13">
        <f>'Overname private netten'!K62</f>
        <v>0</v>
      </c>
      <c r="L8" s="13">
        <f>'Overname private netten'!L62</f>
        <v>0</v>
      </c>
      <c r="M8" s="13">
        <f>'Overname private netten'!M62</f>
        <v>0</v>
      </c>
      <c r="N8" s="13">
        <f>'Overname private netten'!N62</f>
        <v>0</v>
      </c>
    </row>
    <row r="9" spans="1:18" s="74" customFormat="1">
      <c r="B9" s="96" t="s">
        <v>265</v>
      </c>
      <c r="C9" s="95"/>
      <c r="D9" s="94" t="s">
        <v>75</v>
      </c>
      <c r="G9" s="13">
        <f>'Overname private netten'!G84</f>
        <v>0</v>
      </c>
      <c r="H9" s="13">
        <f>'Overname private netten'!H84</f>
        <v>0</v>
      </c>
      <c r="I9" s="13">
        <f>'Overname private netten'!I84</f>
        <v>0</v>
      </c>
      <c r="J9" s="13">
        <f>'Overname private netten'!J84</f>
        <v>0</v>
      </c>
      <c r="K9" s="13">
        <f>'Overname private netten'!K84</f>
        <v>0</v>
      </c>
      <c r="L9" s="13">
        <f>'Overname private netten'!L84</f>
        <v>0</v>
      </c>
      <c r="M9" s="13">
        <f>'Overname private netten'!M84</f>
        <v>0</v>
      </c>
      <c r="N9" s="13">
        <f>'Overname private netten'!N84</f>
        <v>0</v>
      </c>
    </row>
    <row r="10" spans="1:18">
      <c r="A10" s="74"/>
      <c r="B10" s="96" t="s">
        <v>266</v>
      </c>
      <c r="C10" s="95"/>
      <c r="D10" s="94" t="s">
        <v>40</v>
      </c>
      <c r="G10" s="13">
        <f>'LH2013'!E94</f>
        <v>-1078408.5492937937</v>
      </c>
      <c r="H10" s="13">
        <f>'LH2013'!F94</f>
        <v>419157.31305322051</v>
      </c>
      <c r="I10" s="13">
        <f>'LH2013'!G94</f>
        <v>0</v>
      </c>
      <c r="J10" s="13">
        <f>'LH2013'!H94</f>
        <v>0</v>
      </c>
      <c r="K10" s="13">
        <f>'LH2013'!I94</f>
        <v>25430217.561373949</v>
      </c>
      <c r="L10" s="13">
        <f>'LH2013'!J94</f>
        <v>-100485.36804709397</v>
      </c>
      <c r="M10" s="13">
        <f>'LH2013'!K94</f>
        <v>-2000563.0295735598</v>
      </c>
      <c r="N10" s="13">
        <f>'LH2013'!L94</f>
        <v>0</v>
      </c>
    </row>
    <row r="11" spans="1:18">
      <c r="A11" s="74"/>
      <c r="B11" s="130" t="s">
        <v>267</v>
      </c>
      <c r="C11" s="55"/>
      <c r="D11" s="94" t="s">
        <v>40</v>
      </c>
      <c r="G11" s="13">
        <f>'IT 2013'!G88</f>
        <v>-332348.03287020698</v>
      </c>
      <c r="H11" s="13">
        <f>'IT 2013'!H88</f>
        <v>209735.68656268436</v>
      </c>
      <c r="I11" s="13">
        <f>'IT 2013'!I88</f>
        <v>-1074009.5659369193</v>
      </c>
      <c r="J11" s="13">
        <f>'IT 2013'!J88</f>
        <v>25304242.6446895</v>
      </c>
      <c r="K11" s="13">
        <f>'IT 2013'!K88</f>
        <v>25881090.80231531</v>
      </c>
      <c r="L11" s="13">
        <f>'IT 2013'!L88</f>
        <v>-275358.1157438613</v>
      </c>
      <c r="M11" s="13">
        <f>'IT 2013'!M88</f>
        <v>7550067.4912938029</v>
      </c>
      <c r="N11" s="13">
        <f>'IT 2013'!N88</f>
        <v>770914.44894397538</v>
      </c>
    </row>
    <row r="12" spans="1:18" s="74" customFormat="1">
      <c r="B12" s="130" t="s">
        <v>235</v>
      </c>
      <c r="C12" s="55"/>
      <c r="D12" s="94" t="s">
        <v>12</v>
      </c>
      <c r="G12" s="13">
        <f>'TI2011-2014'!G32</f>
        <v>-113274.48418647796</v>
      </c>
      <c r="H12" s="13">
        <f>'TI2011-2014'!H32</f>
        <v>-429267.16810081154</v>
      </c>
      <c r="I12" s="13">
        <f>'TI2011-2014'!I32</f>
        <v>-239097.39733485505</v>
      </c>
      <c r="J12" s="13">
        <f>'TI2011-2014'!J32</f>
        <v>-6372651.7211943865</v>
      </c>
      <c r="K12" s="13">
        <f>'TI2011-2014'!K32</f>
        <v>-5622929.1406943798</v>
      </c>
      <c r="L12" s="13">
        <f>'TI2011-2014'!L32</f>
        <v>-67275.802313057706</v>
      </c>
      <c r="M12" s="13">
        <f>'TI2011-2014'!M32</f>
        <v>-7624518.590331316</v>
      </c>
      <c r="N12" s="13">
        <f>'TI2011-2014'!N32</f>
        <v>-278737.04096104205</v>
      </c>
    </row>
    <row r="13" spans="1:18" s="74" customFormat="1">
      <c r="B13" s="130" t="s">
        <v>236</v>
      </c>
      <c r="C13" s="55"/>
      <c r="D13" s="94" t="s">
        <v>13</v>
      </c>
      <c r="G13" s="13">
        <f>'TI2011-2014'!G33</f>
        <v>-242803.85685371608</v>
      </c>
      <c r="H13" s="13">
        <f>'TI2011-2014'!H33</f>
        <v>-918202.4725676477</v>
      </c>
      <c r="I13" s="13">
        <f>'TI2011-2014'!I33</f>
        <v>-519702.1028470397</v>
      </c>
      <c r="J13" s="13">
        <f>'TI2011-2014'!J33</f>
        <v>-13735613.519862533</v>
      </c>
      <c r="K13" s="13">
        <f>'TI2011-2014'!K33</f>
        <v>-12142153.186415553</v>
      </c>
      <c r="L13" s="13">
        <f>'TI2011-2014'!L33</f>
        <v>-146809.25580755621</v>
      </c>
      <c r="M13" s="13">
        <f>'TI2011-2014'!M33</f>
        <v>-13288472.075182676</v>
      </c>
      <c r="N13" s="13">
        <f>'TI2011-2014'!N33</f>
        <v>-594657.60318627954</v>
      </c>
    </row>
    <row r="14" spans="1:18" s="74" customFormat="1">
      <c r="B14" s="130" t="s">
        <v>237</v>
      </c>
      <c r="C14" s="55"/>
      <c r="D14" s="94" t="s">
        <v>40</v>
      </c>
      <c r="G14" s="13">
        <f>'TI2011-2014'!G34</f>
        <v>-390942.48171298951</v>
      </c>
      <c r="H14" s="13">
        <f>'TI2011-2014'!H34</f>
        <v>-1475314.0959890336</v>
      </c>
      <c r="I14" s="13">
        <f>'TI2011-2014'!I34</f>
        <v>-848514.21618045121</v>
      </c>
      <c r="J14" s="13">
        <f>'TI2011-2014'!J34</f>
        <v>-22238554.259046435</v>
      </c>
      <c r="K14" s="13">
        <f>'TI2011-2014'!K34</f>
        <v>-19695078.3633008</v>
      </c>
      <c r="L14" s="13">
        <f>'TI2011-2014'!L34</f>
        <v>-240641.18069251254</v>
      </c>
      <c r="M14" s="13">
        <f>'TI2011-2014'!M34</f>
        <v>-19967266.741541743</v>
      </c>
      <c r="N14" s="13">
        <f>'TI2011-2014'!N34</f>
        <v>-952963.52471943945</v>
      </c>
    </row>
    <row r="15" spans="1:18" s="74" customFormat="1">
      <c r="B15" s="130" t="s">
        <v>238</v>
      </c>
      <c r="C15" s="55"/>
      <c r="D15" s="94" t="s">
        <v>75</v>
      </c>
      <c r="G15" s="13">
        <f>'TI2011-2014'!G53</f>
        <v>97343.21268680878</v>
      </c>
      <c r="H15" s="13">
        <f>'TI2011-2014'!H53</f>
        <v>426677.58584161103</v>
      </c>
      <c r="I15" s="13">
        <f>'TI2011-2014'!I53</f>
        <v>199908.27057316899</v>
      </c>
      <c r="J15" s="13">
        <f>'TI2011-2014'!J53</f>
        <v>5537174.2955515385</v>
      </c>
      <c r="K15" s="13">
        <f>'TI2011-2014'!K53</f>
        <v>5740913.615116477</v>
      </c>
      <c r="L15" s="13">
        <f>'TI2011-2014'!L53</f>
        <v>61470.199816437438</v>
      </c>
      <c r="M15" s="13">
        <f>'TI2011-2014'!M53</f>
        <v>7774249.5934368372</v>
      </c>
      <c r="N15" s="13">
        <f>'TI2011-2014'!N53</f>
        <v>288206.93984641135</v>
      </c>
    </row>
    <row r="16" spans="1:18" s="74" customFormat="1">
      <c r="B16" s="130" t="s">
        <v>234</v>
      </c>
      <c r="C16" s="55"/>
      <c r="D16" s="94" t="s">
        <v>153</v>
      </c>
      <c r="G16" s="14"/>
      <c r="H16" s="14"/>
      <c r="I16" s="14"/>
      <c r="J16" s="14"/>
      <c r="K16" s="14"/>
      <c r="L16" s="14"/>
      <c r="M16" s="13"/>
      <c r="N16" s="14"/>
    </row>
    <row r="17" spans="1:16" s="74" customFormat="1">
      <c r="B17" s="130" t="s">
        <v>239</v>
      </c>
      <c r="C17" s="55"/>
      <c r="D17" s="94" t="s">
        <v>13</v>
      </c>
      <c r="L17" s="13">
        <f>'BOB Tar2012 (Rendo)'!G17</f>
        <v>99907.462762511364</v>
      </c>
    </row>
    <row r="18" spans="1:16" s="74" customFormat="1">
      <c r="B18" s="131" t="s">
        <v>268</v>
      </c>
      <c r="C18" s="222"/>
      <c r="D18" s="74" t="s">
        <v>13</v>
      </c>
      <c r="G18" s="14"/>
      <c r="H18" s="14"/>
      <c r="I18" s="14"/>
      <c r="J18" s="13">
        <f>'Lagere tarieven Enexis'!D34</f>
        <v>0</v>
      </c>
      <c r="K18" s="14"/>
      <c r="L18" s="14"/>
      <c r="M18" s="14"/>
      <c r="N18" s="14"/>
      <c r="P18" s="77"/>
    </row>
    <row r="19" spans="1:16" s="74" customFormat="1">
      <c r="B19" s="131" t="s">
        <v>269</v>
      </c>
      <c r="C19" s="222"/>
      <c r="D19" s="94" t="s">
        <v>40</v>
      </c>
      <c r="G19" s="14"/>
      <c r="H19" s="14"/>
      <c r="I19" s="14"/>
      <c r="J19" s="13">
        <f>'Lagere tarieven Enexis'!D54</f>
        <v>0</v>
      </c>
      <c r="K19" s="14"/>
      <c r="L19" s="14"/>
      <c r="M19" s="14"/>
      <c r="N19" s="14"/>
      <c r="P19" s="77"/>
    </row>
    <row r="20" spans="1:16" s="74" customFormat="1">
      <c r="B20" s="130"/>
      <c r="C20" s="55"/>
      <c r="D20" s="94"/>
    </row>
    <row r="21" spans="1:16" s="5" customFormat="1">
      <c r="B21" s="4" t="s">
        <v>14</v>
      </c>
      <c r="G21" s="30"/>
      <c r="H21" s="30"/>
      <c r="I21" s="30"/>
      <c r="J21" s="30"/>
      <c r="K21" s="30"/>
      <c r="L21" s="30"/>
      <c r="M21" s="30"/>
      <c r="N21" s="30"/>
    </row>
    <row r="22" spans="1:16">
      <c r="G22" s="14"/>
      <c r="H22" s="14"/>
      <c r="I22" s="14"/>
      <c r="J22" s="14"/>
      <c r="K22" s="14"/>
      <c r="L22" s="14"/>
      <c r="M22" s="14"/>
      <c r="N22" s="14"/>
    </row>
    <row r="23" spans="1:16">
      <c r="B23" s="94" t="s">
        <v>230</v>
      </c>
      <c r="C23" s="67"/>
      <c r="E23" s="9"/>
      <c r="F23" s="44">
        <f>Heffingsrente!D14</f>
        <v>0.13268655841702293</v>
      </c>
      <c r="G23" s="31"/>
      <c r="H23" s="32"/>
      <c r="I23" s="14"/>
      <c r="J23" s="14"/>
      <c r="K23" s="14"/>
      <c r="L23" s="14"/>
      <c r="M23" s="14"/>
      <c r="N23" s="14"/>
    </row>
    <row r="24" spans="1:16">
      <c r="B24" s="94" t="s">
        <v>231</v>
      </c>
      <c r="C24" s="67"/>
      <c r="E24" s="9"/>
      <c r="F24" s="44">
        <f>Heffingsrente!D15</f>
        <v>0.10264319239086528</v>
      </c>
      <c r="G24" s="9"/>
      <c r="H24" s="31"/>
      <c r="I24" s="9"/>
    </row>
    <row r="25" spans="1:16">
      <c r="B25" s="94" t="s">
        <v>232</v>
      </c>
      <c r="C25" s="67"/>
      <c r="E25" s="9"/>
      <c r="F25" s="44">
        <f>Heffingsrente!D16</f>
        <v>7.3790587235475158E-2</v>
      </c>
      <c r="G25" s="9"/>
      <c r="H25" s="31"/>
      <c r="I25" s="9"/>
    </row>
    <row r="26" spans="1:16" s="74" customFormat="1">
      <c r="B26" s="94" t="s">
        <v>229</v>
      </c>
      <c r="C26" s="67"/>
      <c r="E26" s="79"/>
      <c r="F26" s="44">
        <f>Heffingsrente!D17</f>
        <v>3.9999999999999591E-2</v>
      </c>
      <c r="G26" s="79"/>
      <c r="H26" s="31"/>
      <c r="I26" s="79"/>
    </row>
    <row r="27" spans="1:16">
      <c r="H27" s="31"/>
    </row>
    <row r="28" spans="1:16" s="5" customFormat="1">
      <c r="B28" s="4" t="s">
        <v>156</v>
      </c>
      <c r="C28" s="4"/>
    </row>
    <row r="30" spans="1:16">
      <c r="A30" s="43"/>
      <c r="B30" s="96" t="s">
        <v>263</v>
      </c>
      <c r="C30" s="95"/>
      <c r="D30" s="94" t="s">
        <v>153</v>
      </c>
      <c r="G30" s="200">
        <f t="shared" ref="G30:N30" si="0">(1+$F$25)*G7</f>
        <v>0</v>
      </c>
      <c r="H30" s="200">
        <f t="shared" si="0"/>
        <v>0</v>
      </c>
      <c r="I30" s="200">
        <f t="shared" si="0"/>
        <v>0</v>
      </c>
      <c r="J30" s="200">
        <f t="shared" si="0"/>
        <v>0</v>
      </c>
      <c r="K30" s="200">
        <f t="shared" si="0"/>
        <v>0</v>
      </c>
      <c r="L30" s="200">
        <f t="shared" si="0"/>
        <v>0</v>
      </c>
      <c r="M30" s="200">
        <f t="shared" si="0"/>
        <v>0</v>
      </c>
      <c r="N30" s="200">
        <f t="shared" si="0"/>
        <v>0</v>
      </c>
      <c r="O30" s="74"/>
    </row>
    <row r="31" spans="1:16">
      <c r="A31" s="43"/>
      <c r="B31" s="96" t="s">
        <v>264</v>
      </c>
      <c r="C31" s="95"/>
      <c r="D31" s="94" t="s">
        <v>153</v>
      </c>
      <c r="G31" s="200">
        <f t="shared" ref="G31:N32" si="1">(1+$F$26)*G8</f>
        <v>0</v>
      </c>
      <c r="H31" s="200">
        <f t="shared" si="1"/>
        <v>0</v>
      </c>
      <c r="I31" s="200">
        <f t="shared" si="1"/>
        <v>0</v>
      </c>
      <c r="J31" s="200">
        <f t="shared" si="1"/>
        <v>0</v>
      </c>
      <c r="K31" s="200">
        <f t="shared" si="1"/>
        <v>0</v>
      </c>
      <c r="L31" s="200">
        <f t="shared" si="1"/>
        <v>0</v>
      </c>
      <c r="M31" s="200">
        <f t="shared" si="1"/>
        <v>0</v>
      </c>
      <c r="N31" s="200">
        <f t="shared" si="1"/>
        <v>0</v>
      </c>
      <c r="O31" s="74"/>
    </row>
    <row r="32" spans="1:16">
      <c r="A32" s="43"/>
      <c r="B32" s="96" t="s">
        <v>265</v>
      </c>
      <c r="C32" s="95"/>
      <c r="D32" s="94" t="s">
        <v>153</v>
      </c>
      <c r="G32" s="200">
        <f t="shared" si="1"/>
        <v>0</v>
      </c>
      <c r="H32" s="200">
        <f t="shared" si="1"/>
        <v>0</v>
      </c>
      <c r="I32" s="200">
        <f t="shared" si="1"/>
        <v>0</v>
      </c>
      <c r="J32" s="200">
        <f t="shared" si="1"/>
        <v>0</v>
      </c>
      <c r="K32" s="200">
        <f t="shared" si="1"/>
        <v>0</v>
      </c>
      <c r="L32" s="200">
        <f t="shared" si="1"/>
        <v>0</v>
      </c>
      <c r="M32" s="200">
        <f t="shared" si="1"/>
        <v>0</v>
      </c>
      <c r="N32" s="200">
        <f t="shared" si="1"/>
        <v>0</v>
      </c>
      <c r="O32" s="74"/>
    </row>
    <row r="33" spans="1:16">
      <c r="A33" s="43"/>
      <c r="B33" s="96" t="s">
        <v>266</v>
      </c>
      <c r="C33" s="95"/>
      <c r="D33" s="94" t="s">
        <v>153</v>
      </c>
      <c r="G33" s="200">
        <f t="shared" ref="G33:N34" si="2">(1+$F$25)*G10</f>
        <v>-1157984.9494259397</v>
      </c>
      <c r="H33" s="200">
        <f t="shared" si="2"/>
        <v>450087.17732746154</v>
      </c>
      <c r="I33" s="200">
        <f t="shared" si="2"/>
        <v>0</v>
      </c>
      <c r="J33" s="200">
        <f t="shared" si="2"/>
        <v>0</v>
      </c>
      <c r="K33" s="200">
        <f t="shared" si="2"/>
        <v>27306728.248753626</v>
      </c>
      <c r="L33" s="200">
        <f t="shared" si="2"/>
        <v>-107900.24236386189</v>
      </c>
      <c r="M33" s="200">
        <f t="shared" si="2"/>
        <v>-2148185.7503273739</v>
      </c>
      <c r="N33" s="200">
        <f t="shared" si="2"/>
        <v>0</v>
      </c>
      <c r="O33" s="74"/>
    </row>
    <row r="34" spans="1:16">
      <c r="B34" s="130" t="s">
        <v>267</v>
      </c>
      <c r="C34" s="55"/>
      <c r="D34" s="94" t="s">
        <v>153</v>
      </c>
      <c r="G34" s="200">
        <f t="shared" si="2"/>
        <v>-356872.18938225455</v>
      </c>
      <c r="H34" s="200">
        <f t="shared" si="2"/>
        <v>225212.20603838039</v>
      </c>
      <c r="I34" s="200">
        <f t="shared" si="2"/>
        <v>-1153261.3625039223</v>
      </c>
      <c r="J34" s="200">
        <f t="shared" si="2"/>
        <v>27171457.568990093</v>
      </c>
      <c r="K34" s="200">
        <f t="shared" si="2"/>
        <v>27790871.690912813</v>
      </c>
      <c r="L34" s="200">
        <f t="shared" si="2"/>
        <v>-295676.95280465478</v>
      </c>
      <c r="M34" s="200">
        <f t="shared" si="2"/>
        <v>8107191.405143843</v>
      </c>
      <c r="N34" s="200">
        <f t="shared" si="2"/>
        <v>827800.67883986409</v>
      </c>
      <c r="O34" s="74"/>
    </row>
    <row r="35" spans="1:16">
      <c r="B35" s="130" t="s">
        <v>235</v>
      </c>
      <c r="C35" s="55"/>
      <c r="D35" s="94" t="s">
        <v>153</v>
      </c>
      <c r="G35" s="200">
        <f t="shared" ref="G35:N35" si="3">(1+$F$23)*G12</f>
        <v>-128304.48564964521</v>
      </c>
      <c r="H35" s="200">
        <f t="shared" si="3"/>
        <v>-486225.15127752989</v>
      </c>
      <c r="I35" s="200">
        <f t="shared" si="3"/>
        <v>-270822.40811368445</v>
      </c>
      <c r="J35" s="200">
        <f t="shared" si="3"/>
        <v>-7218216.9460699875</v>
      </c>
      <c r="K35" s="200">
        <f t="shared" si="3"/>
        <v>-6369016.2565959049</v>
      </c>
      <c r="L35" s="200">
        <f t="shared" si="3"/>
        <v>-76202.396986721316</v>
      </c>
      <c r="M35" s="200">
        <f t="shared" si="3"/>
        <v>-8636189.7216689903</v>
      </c>
      <c r="N35" s="200">
        <f t="shared" si="3"/>
        <v>-315721.69962950749</v>
      </c>
      <c r="O35" s="74"/>
    </row>
    <row r="36" spans="1:16">
      <c r="B36" s="130" t="s">
        <v>236</v>
      </c>
      <c r="C36" s="55"/>
      <c r="D36" s="94" t="s">
        <v>153</v>
      </c>
      <c r="G36" s="200">
        <f t="shared" ref="G36:N36" si="4">(1+$F$24)*G13</f>
        <v>-267726.01984599617</v>
      </c>
      <c r="H36" s="200">
        <f t="shared" si="4"/>
        <v>-1012449.7056131769</v>
      </c>
      <c r="I36" s="200">
        <f t="shared" si="4"/>
        <v>-573045.98577550566</v>
      </c>
      <c r="J36" s="200">
        <f t="shared" si="4"/>
        <v>-15145480.740988353</v>
      </c>
      <c r="K36" s="200">
        <f t="shared" si="4"/>
        <v>-13388462.551968163</v>
      </c>
      <c r="L36" s="200">
        <f t="shared" si="4"/>
        <v>-161878.22649617097</v>
      </c>
      <c r="M36" s="200">
        <f t="shared" si="4"/>
        <v>-14652443.270976292</v>
      </c>
      <c r="N36" s="200">
        <f t="shared" si="4"/>
        <v>-655695.15795681963</v>
      </c>
      <c r="O36" s="74"/>
    </row>
    <row r="37" spans="1:16">
      <c r="B37" s="130" t="s">
        <v>237</v>
      </c>
      <c r="C37" s="55"/>
      <c r="D37" s="94" t="s">
        <v>153</v>
      </c>
      <c r="G37" s="200">
        <f t="shared" ref="G37:N37" si="5">(1+$F$25)*G14</f>
        <v>-419790.35701388499</v>
      </c>
      <c r="H37" s="200">
        <f t="shared" si="5"/>
        <v>-1584178.3894888386</v>
      </c>
      <c r="I37" s="200">
        <f t="shared" si="5"/>
        <v>-911126.5784700556</v>
      </c>
      <c r="J37" s="200">
        <f t="shared" si="5"/>
        <v>-23879550.237089448</v>
      </c>
      <c r="K37" s="200">
        <f t="shared" si="5"/>
        <v>-21148389.761377469</v>
      </c>
      <c r="L37" s="200">
        <f t="shared" si="5"/>
        <v>-258398.23472885112</v>
      </c>
      <c r="M37" s="200">
        <f t="shared" si="5"/>
        <v>-21440663.07988748</v>
      </c>
      <c r="N37" s="200">
        <f t="shared" si="5"/>
        <v>-1023283.2628224752</v>
      </c>
      <c r="O37" s="74"/>
    </row>
    <row r="38" spans="1:16">
      <c r="B38" s="130" t="s">
        <v>238</v>
      </c>
      <c r="C38" s="55"/>
      <c r="D38" s="94" t="s">
        <v>153</v>
      </c>
      <c r="G38" s="200">
        <f t="shared" ref="G38:N38" si="6">(1+$F$26)*G15</f>
        <v>101236.9411942811</v>
      </c>
      <c r="H38" s="200">
        <f t="shared" si="6"/>
        <v>443744.68927527528</v>
      </c>
      <c r="I38" s="200">
        <f t="shared" si="6"/>
        <v>207904.60139609568</v>
      </c>
      <c r="J38" s="200">
        <f t="shared" si="6"/>
        <v>5758661.2673735982</v>
      </c>
      <c r="K38" s="200">
        <f t="shared" si="6"/>
        <v>5970550.1597211333</v>
      </c>
      <c r="L38" s="200">
        <f t="shared" si="6"/>
        <v>63929.00780909491</v>
      </c>
      <c r="M38" s="200">
        <f t="shared" si="6"/>
        <v>8085219.5771743078</v>
      </c>
      <c r="N38" s="200">
        <f t="shared" si="6"/>
        <v>299735.21744026768</v>
      </c>
      <c r="O38" s="74"/>
    </row>
    <row r="39" spans="1:16">
      <c r="B39" s="130" t="s">
        <v>234</v>
      </c>
      <c r="C39" s="55"/>
      <c r="D39" s="94" t="s">
        <v>153</v>
      </c>
      <c r="G39" s="79"/>
      <c r="H39" s="79"/>
      <c r="I39" s="79"/>
      <c r="J39" s="79"/>
      <c r="K39" s="79"/>
      <c r="L39" s="79"/>
      <c r="M39" s="200">
        <f>M16</f>
        <v>0</v>
      </c>
      <c r="N39" s="79"/>
      <c r="O39" s="74"/>
    </row>
    <row r="40" spans="1:16">
      <c r="B40" s="130" t="s">
        <v>239</v>
      </c>
      <c r="C40" s="55"/>
      <c r="D40" s="94" t="s">
        <v>153</v>
      </c>
      <c r="G40" s="74"/>
      <c r="H40" s="74"/>
      <c r="I40" s="74"/>
      <c r="J40" s="74"/>
      <c r="K40" s="74"/>
      <c r="L40" s="200">
        <f>(1+$F$24)*L17</f>
        <v>110162.28368412703</v>
      </c>
      <c r="M40" s="74"/>
      <c r="N40" s="74"/>
      <c r="O40" s="74"/>
    </row>
    <row r="41" spans="1:16" s="74" customFormat="1">
      <c r="B41" s="131" t="s">
        <v>268</v>
      </c>
      <c r="C41" s="222"/>
      <c r="D41" s="94" t="s">
        <v>153</v>
      </c>
      <c r="G41" s="14"/>
      <c r="H41" s="14"/>
      <c r="I41" s="14"/>
      <c r="J41" s="223">
        <f>J18*(1+F24)</f>
        <v>0</v>
      </c>
      <c r="K41" s="14"/>
      <c r="L41" s="14"/>
      <c r="M41" s="14"/>
      <c r="N41" s="14"/>
      <c r="P41" s="94"/>
    </row>
    <row r="42" spans="1:16" s="74" customFormat="1">
      <c r="B42" s="131" t="s">
        <v>269</v>
      </c>
      <c r="C42" s="222"/>
      <c r="D42" s="94" t="s">
        <v>153</v>
      </c>
      <c r="G42" s="14"/>
      <c r="H42" s="14"/>
      <c r="I42" s="14"/>
      <c r="J42" s="223">
        <f>J19*(1+F25)</f>
        <v>0</v>
      </c>
      <c r="K42" s="14"/>
      <c r="L42" s="14"/>
      <c r="M42" s="14"/>
      <c r="N42" s="14"/>
    </row>
  </sheetData>
  <phoneticPr fontId="4" type="noConversion"/>
  <pageMargins left="0.75" right="0.75" top="1" bottom="1" header="0.5" footer="0.5"/>
  <pageSetup paperSize="9" scale="3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RowHeight="12.75"/>
  <cols>
    <col min="1" max="16384" width="9.140625" style="86"/>
  </cols>
  <sheetData/>
  <phoneticPr fontId="4"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P84"/>
  <sheetViews>
    <sheetView showGridLines="0" zoomScale="85" workbookViewId="0"/>
  </sheetViews>
  <sheetFormatPr defaultRowHeight="12.75"/>
  <cols>
    <col min="1" max="1" width="3.42578125" style="60" customWidth="1"/>
    <col min="2" max="2" width="61.5703125" style="60" customWidth="1"/>
    <col min="3" max="3" width="5.5703125" style="60" customWidth="1"/>
    <col min="4" max="4" width="17.7109375" style="60" customWidth="1"/>
    <col min="5" max="5" width="12.85546875" style="60" customWidth="1"/>
    <col min="6" max="6" width="3.28515625" style="60" customWidth="1"/>
    <col min="7" max="8" width="12.5703125" style="60" customWidth="1"/>
    <col min="9" max="9" width="15.140625" style="60" customWidth="1"/>
    <col min="10" max="10" width="15.28515625" style="60" bestFit="1" customWidth="1"/>
    <col min="11" max="11" width="14.42578125" style="60" customWidth="1"/>
    <col min="12" max="14" width="12.5703125" style="60" customWidth="1"/>
    <col min="15" max="15" width="7.5703125" style="60" customWidth="1"/>
    <col min="16" max="16" width="21.28515625" style="60" customWidth="1"/>
    <col min="17" max="16384" width="9.140625" style="60"/>
  </cols>
  <sheetData>
    <row r="2" spans="2:14" s="59" customFormat="1" ht="15.75">
      <c r="B2" s="59" t="s">
        <v>270</v>
      </c>
    </row>
    <row r="3" spans="2:14">
      <c r="B3" s="65"/>
    </row>
    <row r="4" spans="2:14" s="73" customFormat="1">
      <c r="B4" s="4" t="s">
        <v>32</v>
      </c>
    </row>
    <row r="5" spans="2:14" s="74" customFormat="1">
      <c r="B5" s="79"/>
    </row>
    <row r="6" spans="2:14" s="74" customFormat="1" ht="37.5" customHeight="1">
      <c r="B6" s="321" t="s">
        <v>271</v>
      </c>
      <c r="C6" s="322"/>
      <c r="D6" s="322"/>
      <c r="E6" s="322"/>
      <c r="F6" s="322"/>
      <c r="G6" s="322"/>
      <c r="H6" s="322"/>
      <c r="I6" s="322"/>
      <c r="J6" s="322"/>
      <c r="K6" s="322"/>
      <c r="L6" s="322"/>
      <c r="M6" s="322"/>
      <c r="N6" s="322"/>
    </row>
    <row r="7" spans="2:14" s="74" customFormat="1">
      <c r="B7" s="79"/>
    </row>
    <row r="8" spans="2:14" s="74" customFormat="1" ht="48.75" customHeight="1">
      <c r="B8" s="319" t="s">
        <v>144</v>
      </c>
      <c r="C8" s="320"/>
      <c r="D8" s="320"/>
      <c r="E8" s="320"/>
      <c r="F8" s="320"/>
      <c r="G8" s="320"/>
      <c r="H8" s="320"/>
      <c r="I8" s="320"/>
      <c r="J8" s="320"/>
      <c r="K8" s="320"/>
      <c r="L8" s="320"/>
      <c r="M8" s="320"/>
      <c r="N8" s="320"/>
    </row>
    <row r="10" spans="2:14">
      <c r="B10" s="62" t="s">
        <v>93</v>
      </c>
    </row>
    <row r="11" spans="2:14">
      <c r="B11" s="62" t="s">
        <v>143</v>
      </c>
    </row>
    <row r="12" spans="2:14">
      <c r="B12" s="62" t="s">
        <v>130</v>
      </c>
    </row>
    <row r="13" spans="2:14">
      <c r="B13" s="62"/>
    </row>
    <row r="15" spans="2:14" s="63" customFormat="1">
      <c r="B15" s="64" t="s">
        <v>124</v>
      </c>
    </row>
    <row r="17" spans="1:16">
      <c r="G17" s="168" t="s">
        <v>2</v>
      </c>
      <c r="H17" s="168" t="s">
        <v>3</v>
      </c>
      <c r="I17" s="168" t="s">
        <v>4</v>
      </c>
      <c r="J17" s="168" t="s">
        <v>5</v>
      </c>
      <c r="K17" s="168" t="s">
        <v>6</v>
      </c>
      <c r="L17" s="168" t="s">
        <v>7</v>
      </c>
      <c r="M17" s="168" t="s">
        <v>8</v>
      </c>
      <c r="N17" s="168" t="s">
        <v>9</v>
      </c>
      <c r="P17" s="61" t="s">
        <v>47</v>
      </c>
    </row>
    <row r="18" spans="1:16">
      <c r="B18" s="66" t="s">
        <v>145</v>
      </c>
      <c r="D18" s="94"/>
      <c r="P18" s="77"/>
    </row>
    <row r="19" spans="1:16">
      <c r="B19" s="60" t="s">
        <v>125</v>
      </c>
      <c r="D19" s="94" t="s">
        <v>40</v>
      </c>
      <c r="G19" s="123"/>
      <c r="H19" s="123"/>
      <c r="I19" s="123"/>
      <c r="J19" s="123"/>
      <c r="K19" s="123"/>
      <c r="L19" s="123"/>
      <c r="M19" s="123"/>
      <c r="N19" s="123"/>
      <c r="P19" s="66" t="s">
        <v>147</v>
      </c>
    </row>
    <row r="20" spans="1:16">
      <c r="B20" s="60" t="s">
        <v>126</v>
      </c>
      <c r="D20" s="94" t="s">
        <v>40</v>
      </c>
      <c r="G20" s="123"/>
      <c r="H20" s="123"/>
      <c r="I20" s="123"/>
      <c r="J20" s="123"/>
      <c r="K20" s="123"/>
      <c r="L20" s="123"/>
      <c r="M20" s="123"/>
      <c r="N20" s="123"/>
      <c r="P20" s="66" t="s">
        <v>147</v>
      </c>
    </row>
    <row r="21" spans="1:16">
      <c r="B21" s="60" t="s">
        <v>127</v>
      </c>
      <c r="D21" s="94" t="s">
        <v>40</v>
      </c>
      <c r="G21" s="75">
        <f>G19+G20</f>
        <v>0</v>
      </c>
      <c r="H21" s="75">
        <f t="shared" ref="H21:N21" si="0">H19+H20</f>
        <v>0</v>
      </c>
      <c r="I21" s="75">
        <f t="shared" si="0"/>
        <v>0</v>
      </c>
      <c r="J21" s="75">
        <f t="shared" si="0"/>
        <v>0</v>
      </c>
      <c r="K21" s="75">
        <f t="shared" si="0"/>
        <v>0</v>
      </c>
      <c r="L21" s="75">
        <f t="shared" si="0"/>
        <v>0</v>
      </c>
      <c r="M21" s="75">
        <f t="shared" si="0"/>
        <v>0</v>
      </c>
      <c r="N21" s="75">
        <f t="shared" si="0"/>
        <v>0</v>
      </c>
    </row>
    <row r="22" spans="1:16" s="62" customFormat="1">
      <c r="D22" s="58"/>
      <c r="G22" s="113"/>
      <c r="H22" s="113"/>
      <c r="I22" s="113"/>
      <c r="J22" s="113"/>
      <c r="K22" s="113"/>
      <c r="L22" s="113"/>
      <c r="M22" s="113"/>
      <c r="N22" s="113"/>
    </row>
    <row r="23" spans="1:16">
      <c r="B23" s="60" t="s">
        <v>92</v>
      </c>
      <c r="D23" s="94"/>
      <c r="E23" s="94"/>
      <c r="G23" s="123">
        <v>50</v>
      </c>
      <c r="H23" s="123">
        <v>50</v>
      </c>
      <c r="I23" s="123">
        <v>50</v>
      </c>
      <c r="J23" s="123">
        <v>50</v>
      </c>
      <c r="K23" s="123">
        <v>50</v>
      </c>
      <c r="L23" s="123">
        <v>50</v>
      </c>
      <c r="M23" s="123">
        <v>50</v>
      </c>
      <c r="N23" s="123">
        <v>50</v>
      </c>
      <c r="P23" s="66" t="s">
        <v>147</v>
      </c>
    </row>
    <row r="24" spans="1:16">
      <c r="B24" s="60" t="s">
        <v>128</v>
      </c>
      <c r="D24" s="94" t="s">
        <v>40</v>
      </c>
      <c r="G24" s="75">
        <f>G21/G23*0.5</f>
        <v>0</v>
      </c>
      <c r="H24" s="75">
        <f t="shared" ref="H24:N24" si="1">H21/H23*0.5</f>
        <v>0</v>
      </c>
      <c r="I24" s="75">
        <f t="shared" si="1"/>
        <v>0</v>
      </c>
      <c r="J24" s="75">
        <f t="shared" si="1"/>
        <v>0</v>
      </c>
      <c r="K24" s="75">
        <f t="shared" si="1"/>
        <v>0</v>
      </c>
      <c r="L24" s="75">
        <f t="shared" si="1"/>
        <v>0</v>
      </c>
      <c r="M24" s="75">
        <f t="shared" si="1"/>
        <v>0</v>
      </c>
      <c r="N24" s="75">
        <f t="shared" si="1"/>
        <v>0</v>
      </c>
    </row>
    <row r="25" spans="1:16">
      <c r="B25" s="60" t="s">
        <v>129</v>
      </c>
      <c r="D25" s="94" t="s">
        <v>40</v>
      </c>
      <c r="G25" s="75">
        <f>G21-G24</f>
        <v>0</v>
      </c>
      <c r="H25" s="75">
        <f t="shared" ref="H25:N25" si="2">H21-H24</f>
        <v>0</v>
      </c>
      <c r="I25" s="75">
        <f t="shared" si="2"/>
        <v>0</v>
      </c>
      <c r="J25" s="75">
        <f t="shared" si="2"/>
        <v>0</v>
      </c>
      <c r="K25" s="75">
        <f t="shared" si="2"/>
        <v>0</v>
      </c>
      <c r="L25" s="75">
        <f t="shared" si="2"/>
        <v>0</v>
      </c>
      <c r="M25" s="75">
        <f t="shared" si="2"/>
        <v>0</v>
      </c>
      <c r="N25" s="75">
        <f t="shared" si="2"/>
        <v>0</v>
      </c>
    </row>
    <row r="26" spans="1:16" s="62" customFormat="1">
      <c r="D26" s="58"/>
      <c r="G26" s="14"/>
      <c r="H26" s="14"/>
      <c r="I26" s="14"/>
      <c r="J26" s="14"/>
      <c r="K26" s="14"/>
      <c r="L26" s="14"/>
      <c r="M26" s="14"/>
      <c r="N26" s="14"/>
    </row>
    <row r="27" spans="1:16">
      <c r="B27" s="60" t="s">
        <v>91</v>
      </c>
      <c r="D27" s="94"/>
      <c r="E27" s="114">
        <v>6.2E-2</v>
      </c>
      <c r="G27" s="113"/>
      <c r="H27" s="113"/>
      <c r="I27" s="113"/>
      <c r="J27" s="113"/>
      <c r="K27" s="113"/>
      <c r="L27" s="113"/>
      <c r="M27" s="113"/>
      <c r="N27" s="113"/>
    </row>
    <row r="28" spans="1:16">
      <c r="B28" s="60" t="s">
        <v>96</v>
      </c>
      <c r="D28" s="94" t="s">
        <v>40</v>
      </c>
      <c r="G28" s="75">
        <f>G21*$E$27+G24</f>
        <v>0</v>
      </c>
      <c r="H28" s="75">
        <f t="shared" ref="H28:N28" si="3">H21*$E$27+H24</f>
        <v>0</v>
      </c>
      <c r="I28" s="75">
        <f t="shared" si="3"/>
        <v>0</v>
      </c>
      <c r="J28" s="75">
        <f t="shared" si="3"/>
        <v>0</v>
      </c>
      <c r="K28" s="75">
        <f t="shared" si="3"/>
        <v>0</v>
      </c>
      <c r="L28" s="75">
        <f t="shared" si="3"/>
        <v>0</v>
      </c>
      <c r="M28" s="75">
        <f t="shared" si="3"/>
        <v>0</v>
      </c>
      <c r="N28" s="75">
        <f t="shared" si="3"/>
        <v>0</v>
      </c>
    </row>
    <row r="29" spans="1:16" s="62" customFormat="1">
      <c r="A29" s="60"/>
      <c r="D29" s="58"/>
      <c r="G29" s="115"/>
      <c r="H29" s="14"/>
      <c r="I29" s="14"/>
      <c r="J29" s="14"/>
      <c r="K29" s="14"/>
      <c r="L29" s="14"/>
      <c r="M29" s="14"/>
      <c r="N29" s="14"/>
    </row>
    <row r="30" spans="1:16" s="62" customFormat="1">
      <c r="B30" s="62" t="s">
        <v>122</v>
      </c>
      <c r="D30" s="58"/>
      <c r="E30" s="124">
        <v>0.01</v>
      </c>
      <c r="G30" s="115"/>
      <c r="H30" s="14"/>
      <c r="I30" s="14"/>
      <c r="J30" s="14"/>
      <c r="K30" s="14"/>
      <c r="L30" s="14"/>
      <c r="M30" s="14"/>
      <c r="N30" s="14"/>
    </row>
    <row r="31" spans="1:16">
      <c r="A31" s="62"/>
      <c r="B31" s="60" t="s">
        <v>95</v>
      </c>
      <c r="D31" s="94" t="s">
        <v>40</v>
      </c>
      <c r="G31" s="75">
        <f>G21*$E$30*0.5</f>
        <v>0</v>
      </c>
      <c r="H31" s="75">
        <f t="shared" ref="H31:N31" si="4">H21*$E$30*0.5</f>
        <v>0</v>
      </c>
      <c r="I31" s="75">
        <f t="shared" si="4"/>
        <v>0</v>
      </c>
      <c r="J31" s="75">
        <f t="shared" si="4"/>
        <v>0</v>
      </c>
      <c r="K31" s="75">
        <f t="shared" si="4"/>
        <v>0</v>
      </c>
      <c r="L31" s="75">
        <f t="shared" si="4"/>
        <v>0</v>
      </c>
      <c r="M31" s="75">
        <f t="shared" si="4"/>
        <v>0</v>
      </c>
      <c r="N31" s="75">
        <f t="shared" si="4"/>
        <v>0</v>
      </c>
    </row>
    <row r="32" spans="1:16">
      <c r="A32" s="62"/>
      <c r="G32" s="113"/>
      <c r="H32" s="113"/>
      <c r="I32" s="113"/>
      <c r="J32" s="113"/>
      <c r="K32" s="113"/>
      <c r="L32" s="113"/>
      <c r="M32" s="113"/>
      <c r="N32" s="113"/>
    </row>
    <row r="33" spans="1:16">
      <c r="A33" s="62"/>
      <c r="B33" s="60" t="s">
        <v>94</v>
      </c>
      <c r="D33" s="94" t="s">
        <v>40</v>
      </c>
      <c r="G33" s="123"/>
      <c r="H33" s="123"/>
      <c r="I33" s="123"/>
      <c r="J33" s="123"/>
      <c r="K33" s="123"/>
      <c r="L33" s="123"/>
      <c r="M33" s="123"/>
      <c r="N33" s="123"/>
      <c r="P33" s="66" t="s">
        <v>147</v>
      </c>
    </row>
    <row r="34" spans="1:16">
      <c r="A34" s="62"/>
    </row>
    <row r="35" spans="1:16">
      <c r="A35" s="62"/>
      <c r="B35" s="60" t="s">
        <v>123</v>
      </c>
      <c r="D35" s="94" t="s">
        <v>40</v>
      </c>
      <c r="G35" s="110">
        <f>G28+G31-G33</f>
        <v>0</v>
      </c>
      <c r="H35" s="110">
        <f t="shared" ref="H35:M35" si="5">H28+H31-H33</f>
        <v>0</v>
      </c>
      <c r="I35" s="110">
        <f t="shared" si="5"/>
        <v>0</v>
      </c>
      <c r="J35" s="110">
        <f t="shared" si="5"/>
        <v>0</v>
      </c>
      <c r="K35" s="110">
        <f t="shared" si="5"/>
        <v>0</v>
      </c>
      <c r="L35" s="110">
        <f t="shared" si="5"/>
        <v>0</v>
      </c>
      <c r="M35" s="110">
        <f t="shared" si="5"/>
        <v>0</v>
      </c>
      <c r="N35" s="110">
        <f>N28+N31-N33</f>
        <v>0</v>
      </c>
    </row>
    <row r="36" spans="1:16">
      <c r="A36" s="62"/>
    </row>
    <row r="37" spans="1:16">
      <c r="A37" s="62"/>
      <c r="B37" s="74" t="s">
        <v>225</v>
      </c>
      <c r="E37" s="122">
        <f>CPI!C14</f>
        <v>2.8000000000000001E-2</v>
      </c>
    </row>
    <row r="38" spans="1:16">
      <c r="B38" s="60" t="s">
        <v>206</v>
      </c>
      <c r="D38" s="94" t="s">
        <v>75</v>
      </c>
      <c r="G38" s="75">
        <f>G21/G23*(1+$E$37)</f>
        <v>0</v>
      </c>
      <c r="H38" s="75">
        <f t="shared" ref="H38:N38" si="6">H21/H23*(1+$E$37)</f>
        <v>0</v>
      </c>
      <c r="I38" s="75">
        <f t="shared" si="6"/>
        <v>0</v>
      </c>
      <c r="J38" s="75">
        <f t="shared" si="6"/>
        <v>0</v>
      </c>
      <c r="K38" s="75">
        <f t="shared" si="6"/>
        <v>0</v>
      </c>
      <c r="L38" s="75">
        <f t="shared" si="6"/>
        <v>0</v>
      </c>
      <c r="M38" s="75">
        <f t="shared" si="6"/>
        <v>0</v>
      </c>
      <c r="N38" s="75">
        <f t="shared" si="6"/>
        <v>0</v>
      </c>
    </row>
    <row r="39" spans="1:16">
      <c r="A39" s="62"/>
      <c r="B39" s="60" t="s">
        <v>207</v>
      </c>
      <c r="D39" s="94" t="s">
        <v>75</v>
      </c>
      <c r="G39" s="75">
        <f>G25*(1+$E$37)-G38</f>
        <v>0</v>
      </c>
      <c r="H39" s="75">
        <f t="shared" ref="H39:N39" si="7">H25*(1+$E$37)-H38</f>
        <v>0</v>
      </c>
      <c r="I39" s="75">
        <f t="shared" si="7"/>
        <v>0</v>
      </c>
      <c r="J39" s="75">
        <f t="shared" si="7"/>
        <v>0</v>
      </c>
      <c r="K39" s="75">
        <f t="shared" si="7"/>
        <v>0</v>
      </c>
      <c r="L39" s="75">
        <f t="shared" si="7"/>
        <v>0</v>
      </c>
      <c r="M39" s="75">
        <f t="shared" si="7"/>
        <v>0</v>
      </c>
      <c r="N39" s="75">
        <f t="shared" si="7"/>
        <v>0</v>
      </c>
    </row>
    <row r="40" spans="1:16" s="62" customFormat="1">
      <c r="D40" s="58"/>
      <c r="G40" s="14"/>
      <c r="H40" s="14"/>
      <c r="I40" s="14"/>
      <c r="J40" s="14"/>
      <c r="K40" s="14"/>
      <c r="L40" s="14"/>
      <c r="M40" s="14"/>
      <c r="N40" s="14"/>
    </row>
    <row r="41" spans="1:16">
      <c r="B41" s="60" t="s">
        <v>228</v>
      </c>
      <c r="D41" s="94"/>
      <c r="E41" s="114">
        <v>3.5999999999999997E-2</v>
      </c>
      <c r="G41" s="113"/>
      <c r="H41" s="113"/>
      <c r="I41" s="113"/>
      <c r="J41" s="113"/>
      <c r="K41" s="113"/>
      <c r="L41" s="113"/>
      <c r="M41" s="113"/>
      <c r="N41" s="113"/>
    </row>
    <row r="42" spans="1:16">
      <c r="A42" s="62"/>
      <c r="B42" s="60" t="s">
        <v>208</v>
      </c>
      <c r="D42" s="94" t="s">
        <v>75</v>
      </c>
      <c r="G42" s="75">
        <f>G39*$E$41+G38</f>
        <v>0</v>
      </c>
      <c r="H42" s="75">
        <f t="shared" ref="H42:M42" si="8">H39*$E$41+H38</f>
        <v>0</v>
      </c>
      <c r="I42" s="75">
        <f t="shared" si="8"/>
        <v>0</v>
      </c>
      <c r="J42" s="75">
        <f t="shared" si="8"/>
        <v>0</v>
      </c>
      <c r="K42" s="75">
        <f t="shared" si="8"/>
        <v>0</v>
      </c>
      <c r="L42" s="75">
        <f t="shared" si="8"/>
        <v>0</v>
      </c>
      <c r="M42" s="75">
        <f t="shared" si="8"/>
        <v>0</v>
      </c>
      <c r="N42" s="75">
        <f>N39*$E$41+N38</f>
        <v>0</v>
      </c>
    </row>
    <row r="43" spans="1:16" s="62" customFormat="1">
      <c r="D43" s="58"/>
      <c r="G43" s="14"/>
      <c r="H43" s="14"/>
      <c r="I43" s="14"/>
      <c r="J43" s="14"/>
      <c r="K43" s="14"/>
      <c r="L43" s="14"/>
      <c r="M43" s="14"/>
      <c r="N43" s="115"/>
    </row>
    <row r="44" spans="1:16">
      <c r="A44" s="62"/>
      <c r="B44" s="60" t="s">
        <v>209</v>
      </c>
      <c r="D44" s="94" t="s">
        <v>75</v>
      </c>
      <c r="G44" s="75">
        <f>G21*$E$30</f>
        <v>0</v>
      </c>
      <c r="H44" s="75">
        <f t="shared" ref="H44:N44" si="9">H21*$E$30</f>
        <v>0</v>
      </c>
      <c r="I44" s="75">
        <f t="shared" si="9"/>
        <v>0</v>
      </c>
      <c r="J44" s="75">
        <f t="shared" si="9"/>
        <v>0</v>
      </c>
      <c r="K44" s="75">
        <f t="shared" si="9"/>
        <v>0</v>
      </c>
      <c r="L44" s="75">
        <f t="shared" si="9"/>
        <v>0</v>
      </c>
      <c r="M44" s="75">
        <f t="shared" si="9"/>
        <v>0</v>
      </c>
      <c r="N44" s="75">
        <f t="shared" si="9"/>
        <v>0</v>
      </c>
      <c r="O44" s="85"/>
      <c r="P44" s="66"/>
    </row>
    <row r="45" spans="1:16">
      <c r="D45" s="94"/>
      <c r="P45" s="77"/>
    </row>
    <row r="46" spans="1:16">
      <c r="B46" s="66" t="s">
        <v>226</v>
      </c>
      <c r="D46" s="94"/>
      <c r="P46" s="77"/>
    </row>
    <row r="47" spans="1:16">
      <c r="B47" s="60" t="s">
        <v>204</v>
      </c>
      <c r="D47" s="94" t="s">
        <v>75</v>
      </c>
      <c r="G47" s="123"/>
      <c r="H47" s="123"/>
      <c r="I47" s="123"/>
      <c r="J47" s="123"/>
      <c r="K47" s="123"/>
      <c r="L47" s="123"/>
      <c r="M47" s="123"/>
      <c r="N47" s="123"/>
      <c r="P47" s="66" t="s">
        <v>147</v>
      </c>
    </row>
    <row r="48" spans="1:16">
      <c r="B48" s="60" t="s">
        <v>227</v>
      </c>
      <c r="D48" s="94" t="s">
        <v>75</v>
      </c>
      <c r="G48" s="75">
        <f>G47</f>
        <v>0</v>
      </c>
      <c r="H48" s="75">
        <f t="shared" ref="H48:N48" si="10">H47</f>
        <v>0</v>
      </c>
      <c r="I48" s="75">
        <f t="shared" si="10"/>
        <v>0</v>
      </c>
      <c r="J48" s="75">
        <f t="shared" si="10"/>
        <v>0</v>
      </c>
      <c r="K48" s="75">
        <f t="shared" si="10"/>
        <v>0</v>
      </c>
      <c r="L48" s="75">
        <f t="shared" si="10"/>
        <v>0</v>
      </c>
      <c r="M48" s="75">
        <f t="shared" si="10"/>
        <v>0</v>
      </c>
      <c r="N48" s="75">
        <f t="shared" si="10"/>
        <v>0</v>
      </c>
    </row>
    <row r="49" spans="1:16" s="62" customFormat="1">
      <c r="D49" s="58"/>
      <c r="G49" s="113"/>
      <c r="H49" s="113"/>
      <c r="I49" s="113"/>
      <c r="J49" s="113"/>
      <c r="K49" s="113"/>
      <c r="L49" s="113"/>
      <c r="M49" s="113"/>
      <c r="N49" s="113"/>
    </row>
    <row r="50" spans="1:16">
      <c r="B50" s="60" t="s">
        <v>92</v>
      </c>
      <c r="D50" s="94"/>
      <c r="E50" s="94"/>
      <c r="G50" s="123">
        <v>50</v>
      </c>
      <c r="H50" s="123">
        <v>50</v>
      </c>
      <c r="I50" s="123">
        <v>50</v>
      </c>
      <c r="J50" s="123">
        <v>50</v>
      </c>
      <c r="K50" s="123">
        <v>50</v>
      </c>
      <c r="L50" s="123">
        <v>50</v>
      </c>
      <c r="M50" s="123">
        <v>50</v>
      </c>
      <c r="N50" s="123">
        <v>50</v>
      </c>
      <c r="P50" s="66" t="s">
        <v>147</v>
      </c>
    </row>
    <row r="51" spans="1:16">
      <c r="B51" s="60" t="s">
        <v>206</v>
      </c>
      <c r="D51" s="94" t="s">
        <v>75</v>
      </c>
      <c r="G51" s="75">
        <f>G48/G50*0.5</f>
        <v>0</v>
      </c>
      <c r="H51" s="75">
        <f t="shared" ref="H51:N51" si="11">H48/H50*0.5</f>
        <v>0</v>
      </c>
      <c r="I51" s="75">
        <f t="shared" si="11"/>
        <v>0</v>
      </c>
      <c r="J51" s="75">
        <f t="shared" si="11"/>
        <v>0</v>
      </c>
      <c r="K51" s="75">
        <f t="shared" si="11"/>
        <v>0</v>
      </c>
      <c r="L51" s="75">
        <f t="shared" si="11"/>
        <v>0</v>
      </c>
      <c r="M51" s="75">
        <f t="shared" si="11"/>
        <v>0</v>
      </c>
      <c r="N51" s="75">
        <f t="shared" si="11"/>
        <v>0</v>
      </c>
    </row>
    <row r="52" spans="1:16">
      <c r="B52" s="60" t="s">
        <v>207</v>
      </c>
      <c r="D52" s="94" t="s">
        <v>75</v>
      </c>
      <c r="G52" s="75">
        <f>G48-G51</f>
        <v>0</v>
      </c>
      <c r="H52" s="75">
        <f t="shared" ref="H52:N52" si="12">H48-H51</f>
        <v>0</v>
      </c>
      <c r="I52" s="75">
        <f t="shared" si="12"/>
        <v>0</v>
      </c>
      <c r="J52" s="75">
        <f t="shared" si="12"/>
        <v>0</v>
      </c>
      <c r="K52" s="75">
        <f t="shared" si="12"/>
        <v>0</v>
      </c>
      <c r="L52" s="75">
        <f t="shared" si="12"/>
        <v>0</v>
      </c>
      <c r="M52" s="75">
        <f t="shared" si="12"/>
        <v>0</v>
      </c>
      <c r="N52" s="75">
        <f t="shared" si="12"/>
        <v>0</v>
      </c>
    </row>
    <row r="53" spans="1:16" s="62" customFormat="1">
      <c r="D53" s="58"/>
      <c r="G53" s="14"/>
      <c r="H53" s="14"/>
      <c r="I53" s="14"/>
      <c r="J53" s="14"/>
      <c r="K53" s="14"/>
      <c r="L53" s="14"/>
      <c r="M53" s="14"/>
      <c r="N53" s="14"/>
    </row>
    <row r="54" spans="1:16">
      <c r="B54" s="60" t="s">
        <v>228</v>
      </c>
      <c r="D54" s="94"/>
      <c r="E54" s="114">
        <v>3.5999999999999997E-2</v>
      </c>
      <c r="G54" s="113"/>
      <c r="H54" s="113"/>
      <c r="I54" s="113"/>
      <c r="J54" s="113"/>
      <c r="K54" s="113"/>
      <c r="L54" s="113"/>
      <c r="M54" s="113"/>
      <c r="N54" s="113"/>
    </row>
    <row r="55" spans="1:16">
      <c r="B55" s="60" t="s">
        <v>208</v>
      </c>
      <c r="D55" s="94" t="s">
        <v>75</v>
      </c>
      <c r="G55" s="75">
        <f>G48*$E$54+G51</f>
        <v>0</v>
      </c>
      <c r="H55" s="75">
        <f t="shared" ref="H55:N55" si="13">H48*$E$54+H51</f>
        <v>0</v>
      </c>
      <c r="I55" s="75">
        <f t="shared" si="13"/>
        <v>0</v>
      </c>
      <c r="J55" s="75">
        <f t="shared" si="13"/>
        <v>0</v>
      </c>
      <c r="K55" s="75">
        <f t="shared" si="13"/>
        <v>0</v>
      </c>
      <c r="L55" s="75">
        <f t="shared" si="13"/>
        <v>0</v>
      </c>
      <c r="M55" s="75">
        <f t="shared" si="13"/>
        <v>0</v>
      </c>
      <c r="N55" s="75">
        <f t="shared" si="13"/>
        <v>0</v>
      </c>
    </row>
    <row r="56" spans="1:16" s="62" customFormat="1">
      <c r="D56" s="58"/>
      <c r="G56" s="115"/>
      <c r="H56" s="14"/>
      <c r="I56" s="14"/>
      <c r="J56" s="14"/>
      <c r="K56" s="14"/>
      <c r="L56" s="14"/>
      <c r="M56" s="14"/>
      <c r="N56" s="14"/>
    </row>
    <row r="57" spans="1:16" s="62" customFormat="1">
      <c r="B57" s="62" t="s">
        <v>122</v>
      </c>
      <c r="D57" s="58"/>
      <c r="E57" s="124">
        <v>0.01</v>
      </c>
      <c r="G57" s="115"/>
      <c r="H57" s="14"/>
      <c r="I57" s="14"/>
      <c r="J57" s="14"/>
      <c r="K57" s="14"/>
      <c r="L57" s="14"/>
      <c r="M57" s="14"/>
      <c r="N57" s="14"/>
    </row>
    <row r="58" spans="1:16">
      <c r="A58" s="62"/>
      <c r="B58" s="60" t="s">
        <v>209</v>
      </c>
      <c r="D58" s="94" t="s">
        <v>75</v>
      </c>
      <c r="G58" s="75">
        <f t="shared" ref="G58:N58" si="14">G48*$E$79*0.5</f>
        <v>0</v>
      </c>
      <c r="H58" s="75">
        <f t="shared" si="14"/>
        <v>0</v>
      </c>
      <c r="I58" s="75">
        <f t="shared" si="14"/>
        <v>0</v>
      </c>
      <c r="J58" s="75">
        <f t="shared" si="14"/>
        <v>0</v>
      </c>
      <c r="K58" s="75">
        <f t="shared" si="14"/>
        <v>0</v>
      </c>
      <c r="L58" s="75">
        <f t="shared" si="14"/>
        <v>0</v>
      </c>
      <c r="M58" s="75">
        <f t="shared" si="14"/>
        <v>0</v>
      </c>
      <c r="N58" s="75">
        <f t="shared" si="14"/>
        <v>0</v>
      </c>
    </row>
    <row r="59" spans="1:16" s="62" customFormat="1">
      <c r="D59" s="58"/>
      <c r="G59" s="14"/>
      <c r="H59" s="14"/>
      <c r="I59" s="14"/>
      <c r="J59" s="14"/>
      <c r="K59" s="14"/>
      <c r="L59" s="14"/>
      <c r="M59" s="14"/>
      <c r="N59" s="14"/>
      <c r="O59" s="14"/>
    </row>
    <row r="60" spans="1:16">
      <c r="A60" s="62"/>
      <c r="B60" s="60" t="s">
        <v>210</v>
      </c>
      <c r="D60" s="94" t="s">
        <v>75</v>
      </c>
      <c r="G60" s="123"/>
      <c r="H60" s="123"/>
      <c r="I60" s="123"/>
      <c r="J60" s="123"/>
      <c r="K60" s="123"/>
      <c r="L60" s="123"/>
      <c r="M60" s="123"/>
      <c r="N60" s="123"/>
      <c r="P60" s="66" t="s">
        <v>147</v>
      </c>
    </row>
    <row r="61" spans="1:16">
      <c r="A61" s="62"/>
      <c r="G61" s="85"/>
      <c r="H61" s="85"/>
      <c r="I61" s="85"/>
      <c r="J61" s="85"/>
      <c r="K61" s="85"/>
      <c r="L61" s="85"/>
      <c r="M61" s="85"/>
      <c r="N61" s="85"/>
      <c r="O61" s="85"/>
    </row>
    <row r="62" spans="1:16">
      <c r="B62" s="60" t="s">
        <v>211</v>
      </c>
      <c r="D62" s="94" t="s">
        <v>75</v>
      </c>
      <c r="G62" s="110">
        <f>G42+G44+G55+G58-G60</f>
        <v>0</v>
      </c>
      <c r="H62" s="110">
        <f t="shared" ref="H62:N62" si="15">H42+H44+H55+H58-H60</f>
        <v>0</v>
      </c>
      <c r="I62" s="110">
        <f t="shared" si="15"/>
        <v>0</v>
      </c>
      <c r="J62" s="110">
        <f t="shared" si="15"/>
        <v>0</v>
      </c>
      <c r="K62" s="110">
        <f t="shared" si="15"/>
        <v>0</v>
      </c>
      <c r="L62" s="110">
        <f t="shared" si="15"/>
        <v>0</v>
      </c>
      <c r="M62" s="110">
        <f t="shared" si="15"/>
        <v>0</v>
      </c>
      <c r="N62" s="110">
        <f t="shared" si="15"/>
        <v>0</v>
      </c>
    </row>
    <row r="64" spans="1:16" s="63" customFormat="1">
      <c r="B64" s="64" t="s">
        <v>201</v>
      </c>
    </row>
    <row r="66" spans="1:16">
      <c r="G66" s="168" t="s">
        <v>2</v>
      </c>
      <c r="H66" s="168" t="s">
        <v>3</v>
      </c>
      <c r="I66" s="168" t="s">
        <v>4</v>
      </c>
      <c r="J66" s="168" t="s">
        <v>5</v>
      </c>
      <c r="K66" s="168" t="s">
        <v>6</v>
      </c>
      <c r="L66" s="168" t="s">
        <v>7</v>
      </c>
      <c r="M66" s="168" t="s">
        <v>8</v>
      </c>
      <c r="N66" s="168" t="s">
        <v>9</v>
      </c>
      <c r="P66" s="61" t="s">
        <v>47</v>
      </c>
    </row>
    <row r="67" spans="1:16">
      <c r="B67" s="66" t="s">
        <v>202</v>
      </c>
      <c r="D67" s="94"/>
      <c r="P67" s="77"/>
    </row>
    <row r="68" spans="1:16">
      <c r="B68" s="60" t="s">
        <v>203</v>
      </c>
      <c r="D68" s="94" t="s">
        <v>75</v>
      </c>
      <c r="G68" s="123"/>
      <c r="H68" s="123"/>
      <c r="I68" s="123"/>
      <c r="J68" s="123"/>
      <c r="K68" s="123"/>
      <c r="L68" s="123"/>
      <c r="M68" s="123"/>
      <c r="N68" s="123"/>
      <c r="P68" s="66" t="s">
        <v>147</v>
      </c>
    </row>
    <row r="69" spans="1:16">
      <c r="B69" s="60" t="s">
        <v>204</v>
      </c>
      <c r="D69" s="94" t="s">
        <v>75</v>
      </c>
      <c r="G69" s="123"/>
      <c r="H69" s="123"/>
      <c r="I69" s="123"/>
      <c r="J69" s="123"/>
      <c r="K69" s="123"/>
      <c r="L69" s="123"/>
      <c r="M69" s="123"/>
      <c r="N69" s="123"/>
      <c r="P69" s="66" t="s">
        <v>147</v>
      </c>
    </row>
    <row r="70" spans="1:16">
      <c r="B70" s="60" t="s">
        <v>205</v>
      </c>
      <c r="D70" s="94" t="s">
        <v>75</v>
      </c>
      <c r="G70" s="75">
        <f t="shared" ref="G70:N70" si="16">G68+G69</f>
        <v>0</v>
      </c>
      <c r="H70" s="75">
        <f t="shared" si="16"/>
        <v>0</v>
      </c>
      <c r="I70" s="75">
        <f t="shared" si="16"/>
        <v>0</v>
      </c>
      <c r="J70" s="75">
        <f t="shared" si="16"/>
        <v>0</v>
      </c>
      <c r="K70" s="75">
        <f t="shared" si="16"/>
        <v>0</v>
      </c>
      <c r="L70" s="75">
        <f t="shared" si="16"/>
        <v>0</v>
      </c>
      <c r="M70" s="75">
        <f t="shared" si="16"/>
        <v>0</v>
      </c>
      <c r="N70" s="75">
        <f t="shared" si="16"/>
        <v>0</v>
      </c>
    </row>
    <row r="71" spans="1:16" s="62" customFormat="1">
      <c r="D71" s="58"/>
      <c r="G71" s="113"/>
      <c r="H71" s="113"/>
      <c r="I71" s="113"/>
      <c r="J71" s="113"/>
      <c r="K71" s="113"/>
      <c r="L71" s="113"/>
      <c r="M71" s="113"/>
      <c r="N71" s="113"/>
    </row>
    <row r="72" spans="1:16">
      <c r="B72" s="60" t="s">
        <v>92</v>
      </c>
      <c r="D72" s="94"/>
      <c r="E72" s="94"/>
      <c r="G72" s="123">
        <v>50</v>
      </c>
      <c r="H72" s="123">
        <v>50</v>
      </c>
      <c r="I72" s="123">
        <v>50</v>
      </c>
      <c r="J72" s="123">
        <v>50</v>
      </c>
      <c r="K72" s="123">
        <v>50</v>
      </c>
      <c r="L72" s="123">
        <v>50</v>
      </c>
      <c r="M72" s="123">
        <v>50</v>
      </c>
      <c r="N72" s="123">
        <v>50</v>
      </c>
      <c r="P72" s="66" t="s">
        <v>147</v>
      </c>
    </row>
    <row r="73" spans="1:16">
      <c r="B73" s="60" t="s">
        <v>206</v>
      </c>
      <c r="D73" s="94" t="s">
        <v>75</v>
      </c>
      <c r="G73" s="75">
        <f>G70/G72*0.5</f>
        <v>0</v>
      </c>
      <c r="H73" s="75">
        <f t="shared" ref="H73:N73" si="17">H70/H72*0.5</f>
        <v>0</v>
      </c>
      <c r="I73" s="75">
        <f t="shared" si="17"/>
        <v>0</v>
      </c>
      <c r="J73" s="75">
        <f t="shared" si="17"/>
        <v>0</v>
      </c>
      <c r="K73" s="75">
        <f t="shared" si="17"/>
        <v>0</v>
      </c>
      <c r="L73" s="75">
        <f t="shared" si="17"/>
        <v>0</v>
      </c>
      <c r="M73" s="75">
        <f t="shared" si="17"/>
        <v>0</v>
      </c>
      <c r="N73" s="75">
        <f t="shared" si="17"/>
        <v>0</v>
      </c>
    </row>
    <row r="74" spans="1:16">
      <c r="B74" s="60" t="s">
        <v>207</v>
      </c>
      <c r="D74" s="94" t="s">
        <v>75</v>
      </c>
      <c r="G74" s="75">
        <f>G70-G73</f>
        <v>0</v>
      </c>
      <c r="H74" s="75">
        <f t="shared" ref="H74" si="18">H70-H73</f>
        <v>0</v>
      </c>
      <c r="I74" s="75">
        <f t="shared" ref="I74" si="19">I70-I73</f>
        <v>0</v>
      </c>
      <c r="J74" s="75">
        <f t="shared" ref="J74" si="20">J70-J73</f>
        <v>0</v>
      </c>
      <c r="K74" s="75">
        <f t="shared" ref="K74" si="21">K70-K73</f>
        <v>0</v>
      </c>
      <c r="L74" s="75">
        <f t="shared" ref="L74" si="22">L70-L73</f>
        <v>0</v>
      </c>
      <c r="M74" s="75">
        <f t="shared" ref="M74" si="23">M70-M73</f>
        <v>0</v>
      </c>
      <c r="N74" s="75">
        <f t="shared" ref="N74" si="24">N70-N73</f>
        <v>0</v>
      </c>
    </row>
    <row r="75" spans="1:16" s="62" customFormat="1">
      <c r="D75" s="58"/>
      <c r="G75" s="14"/>
      <c r="H75" s="14"/>
      <c r="I75" s="14"/>
      <c r="J75" s="14"/>
      <c r="K75" s="14"/>
      <c r="L75" s="14"/>
      <c r="M75" s="14"/>
      <c r="N75" s="14"/>
    </row>
    <row r="76" spans="1:16">
      <c r="B76" s="60" t="s">
        <v>228</v>
      </c>
      <c r="D76" s="94"/>
      <c r="E76" s="114">
        <v>3.5999999999999997E-2</v>
      </c>
      <c r="G76" s="113"/>
      <c r="H76" s="113"/>
      <c r="I76" s="113"/>
      <c r="J76" s="113"/>
      <c r="K76" s="113"/>
      <c r="L76" s="113"/>
      <c r="M76" s="113"/>
      <c r="N76" s="113"/>
    </row>
    <row r="77" spans="1:16">
      <c r="B77" s="60" t="s">
        <v>208</v>
      </c>
      <c r="D77" s="94" t="s">
        <v>75</v>
      </c>
      <c r="G77" s="75">
        <f>G70*$E$76+G73</f>
        <v>0</v>
      </c>
      <c r="H77" s="75">
        <f>H70*$E$76+H73</f>
        <v>0</v>
      </c>
      <c r="I77" s="75">
        <f t="shared" ref="I77:N77" si="25">I70*$E$76+I73</f>
        <v>0</v>
      </c>
      <c r="J77" s="75">
        <f>J70*$E$76+J73</f>
        <v>0</v>
      </c>
      <c r="K77" s="75">
        <f t="shared" si="25"/>
        <v>0</v>
      </c>
      <c r="L77" s="75">
        <f t="shared" si="25"/>
        <v>0</v>
      </c>
      <c r="M77" s="75">
        <f t="shared" si="25"/>
        <v>0</v>
      </c>
      <c r="N77" s="75">
        <f t="shared" si="25"/>
        <v>0</v>
      </c>
    </row>
    <row r="78" spans="1:16" s="62" customFormat="1">
      <c r="D78" s="58"/>
      <c r="G78" s="115"/>
      <c r="H78" s="14"/>
      <c r="I78" s="14"/>
      <c r="J78" s="14"/>
      <c r="K78" s="14"/>
      <c r="L78" s="14"/>
      <c r="M78" s="14"/>
      <c r="N78" s="14"/>
    </row>
    <row r="79" spans="1:16" s="62" customFormat="1">
      <c r="B79" s="62" t="s">
        <v>122</v>
      </c>
      <c r="D79" s="58"/>
      <c r="E79" s="124">
        <v>0.01</v>
      </c>
      <c r="G79" s="115"/>
      <c r="H79" s="14"/>
      <c r="I79" s="14"/>
      <c r="J79" s="14"/>
      <c r="K79" s="14"/>
      <c r="L79" s="14"/>
      <c r="M79" s="14"/>
      <c r="N79" s="14"/>
    </row>
    <row r="80" spans="1:16">
      <c r="A80" s="62"/>
      <c r="B80" s="60" t="s">
        <v>209</v>
      </c>
      <c r="D80" s="94" t="s">
        <v>75</v>
      </c>
      <c r="G80" s="75">
        <f>G70*$E$79*0.5</f>
        <v>0</v>
      </c>
      <c r="H80" s="75">
        <f>H70*$E$79*0.5</f>
        <v>0</v>
      </c>
      <c r="I80" s="75">
        <f t="shared" ref="I80:N80" si="26">I70*$E$79*0.5</f>
        <v>0</v>
      </c>
      <c r="J80" s="75">
        <f t="shared" si="26"/>
        <v>0</v>
      </c>
      <c r="K80" s="75">
        <f t="shared" si="26"/>
        <v>0</v>
      </c>
      <c r="L80" s="75">
        <f t="shared" si="26"/>
        <v>0</v>
      </c>
      <c r="M80" s="75">
        <f t="shared" si="26"/>
        <v>0</v>
      </c>
      <c r="N80" s="75">
        <f t="shared" si="26"/>
        <v>0</v>
      </c>
    </row>
    <row r="81" spans="1:16">
      <c r="A81" s="62"/>
      <c r="G81" s="113"/>
      <c r="H81" s="113"/>
      <c r="I81" s="113"/>
      <c r="J81" s="113"/>
      <c r="K81" s="113"/>
      <c r="L81" s="113"/>
      <c r="M81" s="113"/>
      <c r="N81" s="113"/>
    </row>
    <row r="82" spans="1:16">
      <c r="A82" s="62"/>
      <c r="B82" s="60" t="s">
        <v>210</v>
      </c>
      <c r="D82" s="94" t="s">
        <v>75</v>
      </c>
      <c r="G82" s="123"/>
      <c r="H82" s="123"/>
      <c r="I82" s="123"/>
      <c r="J82" s="123"/>
      <c r="K82" s="123"/>
      <c r="L82" s="123"/>
      <c r="M82" s="123"/>
      <c r="N82" s="123"/>
      <c r="P82" s="66" t="s">
        <v>147</v>
      </c>
    </row>
    <row r="84" spans="1:16">
      <c r="B84" s="60" t="s">
        <v>211</v>
      </c>
      <c r="D84" s="94" t="s">
        <v>75</v>
      </c>
      <c r="G84" s="110">
        <f>G77+G80-G82</f>
        <v>0</v>
      </c>
      <c r="H84" s="110">
        <f t="shared" ref="H84:M84" si="27">H77+H80-H82</f>
        <v>0</v>
      </c>
      <c r="I84" s="110">
        <f t="shared" si="27"/>
        <v>0</v>
      </c>
      <c r="J84" s="110">
        <f t="shared" si="27"/>
        <v>0</v>
      </c>
      <c r="K84" s="110">
        <f t="shared" si="27"/>
        <v>0</v>
      </c>
      <c r="L84" s="110">
        <f t="shared" si="27"/>
        <v>0</v>
      </c>
      <c r="M84" s="110">
        <f t="shared" si="27"/>
        <v>0</v>
      </c>
      <c r="N84" s="110">
        <f>N77+N80-N82</f>
        <v>0</v>
      </c>
    </row>
  </sheetData>
  <mergeCells count="2">
    <mergeCell ref="B8:N8"/>
    <mergeCell ref="B6:N6"/>
  </mergeCells>
  <pageMargins left="0.75" right="0.75" top="1" bottom="1" header="0.5" footer="0.5"/>
  <pageSetup paperSize="9" scale="3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BD96"/>
  <sheetViews>
    <sheetView showGridLines="0" zoomScale="80" zoomScaleNormal="80" workbookViewId="0">
      <selection activeCell="P69" sqref="P69"/>
    </sheetView>
  </sheetViews>
  <sheetFormatPr defaultRowHeight="12.75"/>
  <cols>
    <col min="1" max="1" width="4.85546875" style="98" customWidth="1"/>
    <col min="2" max="2" width="66.7109375" style="98" customWidth="1"/>
    <col min="3" max="3" width="10.28515625" style="98" bestFit="1" customWidth="1"/>
    <col min="4" max="4" width="6.140625" style="98" customWidth="1"/>
    <col min="5" max="12" width="15.42578125" style="98" customWidth="1"/>
    <col min="13" max="13" width="5.28515625" style="98" customWidth="1"/>
    <col min="14" max="254" width="9.140625" style="98"/>
    <col min="255" max="255" width="4.85546875" style="98" customWidth="1"/>
    <col min="256" max="256" width="62" style="98" customWidth="1"/>
    <col min="257" max="257" width="4.42578125" style="98" customWidth="1"/>
    <col min="258" max="258" width="18.28515625" style="98" customWidth="1"/>
    <col min="259" max="259" width="5.85546875" style="98" customWidth="1"/>
    <col min="260" max="260" width="4.140625" style="98" customWidth="1"/>
    <col min="261" max="268" width="15.42578125" style="98" customWidth="1"/>
    <col min="269" max="269" width="5.28515625" style="98" customWidth="1"/>
    <col min="270" max="510" width="9.140625" style="98"/>
    <col min="511" max="511" width="4.85546875" style="98" customWidth="1"/>
    <col min="512" max="512" width="62" style="98" customWidth="1"/>
    <col min="513" max="513" width="4.42578125" style="98" customWidth="1"/>
    <col min="514" max="514" width="18.28515625" style="98" customWidth="1"/>
    <col min="515" max="515" width="5.85546875" style="98" customWidth="1"/>
    <col min="516" max="516" width="4.140625" style="98" customWidth="1"/>
    <col min="517" max="524" width="15.42578125" style="98" customWidth="1"/>
    <col min="525" max="525" width="5.28515625" style="98" customWidth="1"/>
    <col min="526" max="766" width="9.140625" style="98"/>
    <col min="767" max="767" width="4.85546875" style="98" customWidth="1"/>
    <col min="768" max="768" width="62" style="98" customWidth="1"/>
    <col min="769" max="769" width="4.42578125" style="98" customWidth="1"/>
    <col min="770" max="770" width="18.28515625" style="98" customWidth="1"/>
    <col min="771" max="771" width="5.85546875" style="98" customWidth="1"/>
    <col min="772" max="772" width="4.140625" style="98" customWidth="1"/>
    <col min="773" max="780" width="15.42578125" style="98" customWidth="1"/>
    <col min="781" max="781" width="5.28515625" style="98" customWidth="1"/>
    <col min="782" max="1022" width="9.140625" style="98"/>
    <col min="1023" max="1023" width="4.85546875" style="98" customWidth="1"/>
    <col min="1024" max="1024" width="62" style="98" customWidth="1"/>
    <col min="1025" max="1025" width="4.42578125" style="98" customWidth="1"/>
    <col min="1026" max="1026" width="18.28515625" style="98" customWidth="1"/>
    <col min="1027" max="1027" width="5.85546875" style="98" customWidth="1"/>
    <col min="1028" max="1028" width="4.140625" style="98" customWidth="1"/>
    <col min="1029" max="1036" width="15.42578125" style="98" customWidth="1"/>
    <col min="1037" max="1037" width="5.28515625" style="98" customWidth="1"/>
    <col min="1038" max="1278" width="9.140625" style="98"/>
    <col min="1279" max="1279" width="4.85546875" style="98" customWidth="1"/>
    <col min="1280" max="1280" width="62" style="98" customWidth="1"/>
    <col min="1281" max="1281" width="4.42578125" style="98" customWidth="1"/>
    <col min="1282" max="1282" width="18.28515625" style="98" customWidth="1"/>
    <col min="1283" max="1283" width="5.85546875" style="98" customWidth="1"/>
    <col min="1284" max="1284" width="4.140625" style="98" customWidth="1"/>
    <col min="1285" max="1292" width="15.42578125" style="98" customWidth="1"/>
    <col min="1293" max="1293" width="5.28515625" style="98" customWidth="1"/>
    <col min="1294" max="1534" width="9.140625" style="98"/>
    <col min="1535" max="1535" width="4.85546875" style="98" customWidth="1"/>
    <col min="1536" max="1536" width="62" style="98" customWidth="1"/>
    <col min="1537" max="1537" width="4.42578125" style="98" customWidth="1"/>
    <col min="1538" max="1538" width="18.28515625" style="98" customWidth="1"/>
    <col min="1539" max="1539" width="5.85546875" style="98" customWidth="1"/>
    <col min="1540" max="1540" width="4.140625" style="98" customWidth="1"/>
    <col min="1541" max="1548" width="15.42578125" style="98" customWidth="1"/>
    <col min="1549" max="1549" width="5.28515625" style="98" customWidth="1"/>
    <col min="1550" max="1790" width="9.140625" style="98"/>
    <col min="1791" max="1791" width="4.85546875" style="98" customWidth="1"/>
    <col min="1792" max="1792" width="62" style="98" customWidth="1"/>
    <col min="1793" max="1793" width="4.42578125" style="98" customWidth="1"/>
    <col min="1794" max="1794" width="18.28515625" style="98" customWidth="1"/>
    <col min="1795" max="1795" width="5.85546875" style="98" customWidth="1"/>
    <col min="1796" max="1796" width="4.140625" style="98" customWidth="1"/>
    <col min="1797" max="1804" width="15.42578125" style="98" customWidth="1"/>
    <col min="1805" max="1805" width="5.28515625" style="98" customWidth="1"/>
    <col min="1806" max="2046" width="9.140625" style="98"/>
    <col min="2047" max="2047" width="4.85546875" style="98" customWidth="1"/>
    <col min="2048" max="2048" width="62" style="98" customWidth="1"/>
    <col min="2049" max="2049" width="4.42578125" style="98" customWidth="1"/>
    <col min="2050" max="2050" width="18.28515625" style="98" customWidth="1"/>
    <col min="2051" max="2051" width="5.85546875" style="98" customWidth="1"/>
    <col min="2052" max="2052" width="4.140625" style="98" customWidth="1"/>
    <col min="2053" max="2060" width="15.42578125" style="98" customWidth="1"/>
    <col min="2061" max="2061" width="5.28515625" style="98" customWidth="1"/>
    <col min="2062" max="2302" width="9.140625" style="98"/>
    <col min="2303" max="2303" width="4.85546875" style="98" customWidth="1"/>
    <col min="2304" max="2304" width="62" style="98" customWidth="1"/>
    <col min="2305" max="2305" width="4.42578125" style="98" customWidth="1"/>
    <col min="2306" max="2306" width="18.28515625" style="98" customWidth="1"/>
    <col min="2307" max="2307" width="5.85546875" style="98" customWidth="1"/>
    <col min="2308" max="2308" width="4.140625" style="98" customWidth="1"/>
    <col min="2309" max="2316" width="15.42578125" style="98" customWidth="1"/>
    <col min="2317" max="2317" width="5.28515625" style="98" customWidth="1"/>
    <col min="2318" max="2558" width="9.140625" style="98"/>
    <col min="2559" max="2559" width="4.85546875" style="98" customWidth="1"/>
    <col min="2560" max="2560" width="62" style="98" customWidth="1"/>
    <col min="2561" max="2561" width="4.42578125" style="98" customWidth="1"/>
    <col min="2562" max="2562" width="18.28515625" style="98" customWidth="1"/>
    <col min="2563" max="2563" width="5.85546875" style="98" customWidth="1"/>
    <col min="2564" max="2564" width="4.140625" style="98" customWidth="1"/>
    <col min="2565" max="2572" width="15.42578125" style="98" customWidth="1"/>
    <col min="2573" max="2573" width="5.28515625" style="98" customWidth="1"/>
    <col min="2574" max="2814" width="9.140625" style="98"/>
    <col min="2815" max="2815" width="4.85546875" style="98" customWidth="1"/>
    <col min="2816" max="2816" width="62" style="98" customWidth="1"/>
    <col min="2817" max="2817" width="4.42578125" style="98" customWidth="1"/>
    <col min="2818" max="2818" width="18.28515625" style="98" customWidth="1"/>
    <col min="2819" max="2819" width="5.85546875" style="98" customWidth="1"/>
    <col min="2820" max="2820" width="4.140625" style="98" customWidth="1"/>
    <col min="2821" max="2828" width="15.42578125" style="98" customWidth="1"/>
    <col min="2829" max="2829" width="5.28515625" style="98" customWidth="1"/>
    <col min="2830" max="3070" width="9.140625" style="98"/>
    <col min="3071" max="3071" width="4.85546875" style="98" customWidth="1"/>
    <col min="3072" max="3072" width="62" style="98" customWidth="1"/>
    <col min="3073" max="3073" width="4.42578125" style="98" customWidth="1"/>
    <col min="3074" max="3074" width="18.28515625" style="98" customWidth="1"/>
    <col min="3075" max="3075" width="5.85546875" style="98" customWidth="1"/>
    <col min="3076" max="3076" width="4.140625" style="98" customWidth="1"/>
    <col min="3077" max="3084" width="15.42578125" style="98" customWidth="1"/>
    <col min="3085" max="3085" width="5.28515625" style="98" customWidth="1"/>
    <col min="3086" max="3326" width="9.140625" style="98"/>
    <col min="3327" max="3327" width="4.85546875" style="98" customWidth="1"/>
    <col min="3328" max="3328" width="62" style="98" customWidth="1"/>
    <col min="3329" max="3329" width="4.42578125" style="98" customWidth="1"/>
    <col min="3330" max="3330" width="18.28515625" style="98" customWidth="1"/>
    <col min="3331" max="3331" width="5.85546875" style="98" customWidth="1"/>
    <col min="3332" max="3332" width="4.140625" style="98" customWidth="1"/>
    <col min="3333" max="3340" width="15.42578125" style="98" customWidth="1"/>
    <col min="3341" max="3341" width="5.28515625" style="98" customWidth="1"/>
    <col min="3342" max="3582" width="9.140625" style="98"/>
    <col min="3583" max="3583" width="4.85546875" style="98" customWidth="1"/>
    <col min="3584" max="3584" width="62" style="98" customWidth="1"/>
    <col min="3585" max="3585" width="4.42578125" style="98" customWidth="1"/>
    <col min="3586" max="3586" width="18.28515625" style="98" customWidth="1"/>
    <col min="3587" max="3587" width="5.85546875" style="98" customWidth="1"/>
    <col min="3588" max="3588" width="4.140625" style="98" customWidth="1"/>
    <col min="3589" max="3596" width="15.42578125" style="98" customWidth="1"/>
    <col min="3597" max="3597" width="5.28515625" style="98" customWidth="1"/>
    <col min="3598" max="3838" width="9.140625" style="98"/>
    <col min="3839" max="3839" width="4.85546875" style="98" customWidth="1"/>
    <col min="3840" max="3840" width="62" style="98" customWidth="1"/>
    <col min="3841" max="3841" width="4.42578125" style="98" customWidth="1"/>
    <col min="3842" max="3842" width="18.28515625" style="98" customWidth="1"/>
    <col min="3843" max="3843" width="5.85546875" style="98" customWidth="1"/>
    <col min="3844" max="3844" width="4.140625" style="98" customWidth="1"/>
    <col min="3845" max="3852" width="15.42578125" style="98" customWidth="1"/>
    <col min="3853" max="3853" width="5.28515625" style="98" customWidth="1"/>
    <col min="3854" max="4094" width="9.140625" style="98"/>
    <col min="4095" max="4095" width="4.85546875" style="98" customWidth="1"/>
    <col min="4096" max="4096" width="62" style="98" customWidth="1"/>
    <col min="4097" max="4097" width="4.42578125" style="98" customWidth="1"/>
    <col min="4098" max="4098" width="18.28515625" style="98" customWidth="1"/>
    <col min="4099" max="4099" width="5.85546875" style="98" customWidth="1"/>
    <col min="4100" max="4100" width="4.140625" style="98" customWidth="1"/>
    <col min="4101" max="4108" width="15.42578125" style="98" customWidth="1"/>
    <col min="4109" max="4109" width="5.28515625" style="98" customWidth="1"/>
    <col min="4110" max="4350" width="9.140625" style="98"/>
    <col min="4351" max="4351" width="4.85546875" style="98" customWidth="1"/>
    <col min="4352" max="4352" width="62" style="98" customWidth="1"/>
    <col min="4353" max="4353" width="4.42578125" style="98" customWidth="1"/>
    <col min="4354" max="4354" width="18.28515625" style="98" customWidth="1"/>
    <col min="4355" max="4355" width="5.85546875" style="98" customWidth="1"/>
    <col min="4356" max="4356" width="4.140625" style="98" customWidth="1"/>
    <col min="4357" max="4364" width="15.42578125" style="98" customWidth="1"/>
    <col min="4365" max="4365" width="5.28515625" style="98" customWidth="1"/>
    <col min="4366" max="4606" width="9.140625" style="98"/>
    <col min="4607" max="4607" width="4.85546875" style="98" customWidth="1"/>
    <col min="4608" max="4608" width="62" style="98" customWidth="1"/>
    <col min="4609" max="4609" width="4.42578125" style="98" customWidth="1"/>
    <col min="4610" max="4610" width="18.28515625" style="98" customWidth="1"/>
    <col min="4611" max="4611" width="5.85546875" style="98" customWidth="1"/>
    <col min="4612" max="4612" width="4.140625" style="98" customWidth="1"/>
    <col min="4613" max="4620" width="15.42578125" style="98" customWidth="1"/>
    <col min="4621" max="4621" width="5.28515625" style="98" customWidth="1"/>
    <col min="4622" max="4862" width="9.140625" style="98"/>
    <col min="4863" max="4863" width="4.85546875" style="98" customWidth="1"/>
    <col min="4864" max="4864" width="62" style="98" customWidth="1"/>
    <col min="4865" max="4865" width="4.42578125" style="98" customWidth="1"/>
    <col min="4866" max="4866" width="18.28515625" style="98" customWidth="1"/>
    <col min="4867" max="4867" width="5.85546875" style="98" customWidth="1"/>
    <col min="4868" max="4868" width="4.140625" style="98" customWidth="1"/>
    <col min="4869" max="4876" width="15.42578125" style="98" customWidth="1"/>
    <col min="4877" max="4877" width="5.28515625" style="98" customWidth="1"/>
    <col min="4878" max="5118" width="9.140625" style="98"/>
    <col min="5119" max="5119" width="4.85546875" style="98" customWidth="1"/>
    <col min="5120" max="5120" width="62" style="98" customWidth="1"/>
    <col min="5121" max="5121" width="4.42578125" style="98" customWidth="1"/>
    <col min="5122" max="5122" width="18.28515625" style="98" customWidth="1"/>
    <col min="5123" max="5123" width="5.85546875" style="98" customWidth="1"/>
    <col min="5124" max="5124" width="4.140625" style="98" customWidth="1"/>
    <col min="5125" max="5132" width="15.42578125" style="98" customWidth="1"/>
    <col min="5133" max="5133" width="5.28515625" style="98" customWidth="1"/>
    <col min="5134" max="5374" width="9.140625" style="98"/>
    <col min="5375" max="5375" width="4.85546875" style="98" customWidth="1"/>
    <col min="5376" max="5376" width="62" style="98" customWidth="1"/>
    <col min="5377" max="5377" width="4.42578125" style="98" customWidth="1"/>
    <col min="5378" max="5378" width="18.28515625" style="98" customWidth="1"/>
    <col min="5379" max="5379" width="5.85546875" style="98" customWidth="1"/>
    <col min="5380" max="5380" width="4.140625" style="98" customWidth="1"/>
    <col min="5381" max="5388" width="15.42578125" style="98" customWidth="1"/>
    <col min="5389" max="5389" width="5.28515625" style="98" customWidth="1"/>
    <col min="5390" max="5630" width="9.140625" style="98"/>
    <col min="5631" max="5631" width="4.85546875" style="98" customWidth="1"/>
    <col min="5632" max="5632" width="62" style="98" customWidth="1"/>
    <col min="5633" max="5633" width="4.42578125" style="98" customWidth="1"/>
    <col min="5634" max="5634" width="18.28515625" style="98" customWidth="1"/>
    <col min="5635" max="5635" width="5.85546875" style="98" customWidth="1"/>
    <col min="5636" max="5636" width="4.140625" style="98" customWidth="1"/>
    <col min="5637" max="5644" width="15.42578125" style="98" customWidth="1"/>
    <col min="5645" max="5645" width="5.28515625" style="98" customWidth="1"/>
    <col min="5646" max="5886" width="9.140625" style="98"/>
    <col min="5887" max="5887" width="4.85546875" style="98" customWidth="1"/>
    <col min="5888" max="5888" width="62" style="98" customWidth="1"/>
    <col min="5889" max="5889" width="4.42578125" style="98" customWidth="1"/>
    <col min="5890" max="5890" width="18.28515625" style="98" customWidth="1"/>
    <col min="5891" max="5891" width="5.85546875" style="98" customWidth="1"/>
    <col min="5892" max="5892" width="4.140625" style="98" customWidth="1"/>
    <col min="5893" max="5900" width="15.42578125" style="98" customWidth="1"/>
    <col min="5901" max="5901" width="5.28515625" style="98" customWidth="1"/>
    <col min="5902" max="6142" width="9.140625" style="98"/>
    <col min="6143" max="6143" width="4.85546875" style="98" customWidth="1"/>
    <col min="6144" max="6144" width="62" style="98" customWidth="1"/>
    <col min="6145" max="6145" width="4.42578125" style="98" customWidth="1"/>
    <col min="6146" max="6146" width="18.28515625" style="98" customWidth="1"/>
    <col min="6147" max="6147" width="5.85546875" style="98" customWidth="1"/>
    <col min="6148" max="6148" width="4.140625" style="98" customWidth="1"/>
    <col min="6149" max="6156" width="15.42578125" style="98" customWidth="1"/>
    <col min="6157" max="6157" width="5.28515625" style="98" customWidth="1"/>
    <col min="6158" max="6398" width="9.140625" style="98"/>
    <col min="6399" max="6399" width="4.85546875" style="98" customWidth="1"/>
    <col min="6400" max="6400" width="62" style="98" customWidth="1"/>
    <col min="6401" max="6401" width="4.42578125" style="98" customWidth="1"/>
    <col min="6402" max="6402" width="18.28515625" style="98" customWidth="1"/>
    <col min="6403" max="6403" width="5.85546875" style="98" customWidth="1"/>
    <col min="6404" max="6404" width="4.140625" style="98" customWidth="1"/>
    <col min="6405" max="6412" width="15.42578125" style="98" customWidth="1"/>
    <col min="6413" max="6413" width="5.28515625" style="98" customWidth="1"/>
    <col min="6414" max="6654" width="9.140625" style="98"/>
    <col min="6655" max="6655" width="4.85546875" style="98" customWidth="1"/>
    <col min="6656" max="6656" width="62" style="98" customWidth="1"/>
    <col min="6657" max="6657" width="4.42578125" style="98" customWidth="1"/>
    <col min="6658" max="6658" width="18.28515625" style="98" customWidth="1"/>
    <col min="6659" max="6659" width="5.85546875" style="98" customWidth="1"/>
    <col min="6660" max="6660" width="4.140625" style="98" customWidth="1"/>
    <col min="6661" max="6668" width="15.42578125" style="98" customWidth="1"/>
    <col min="6669" max="6669" width="5.28515625" style="98" customWidth="1"/>
    <col min="6670" max="6910" width="9.140625" style="98"/>
    <col min="6911" max="6911" width="4.85546875" style="98" customWidth="1"/>
    <col min="6912" max="6912" width="62" style="98" customWidth="1"/>
    <col min="6913" max="6913" width="4.42578125" style="98" customWidth="1"/>
    <col min="6914" max="6914" width="18.28515625" style="98" customWidth="1"/>
    <col min="6915" max="6915" width="5.85546875" style="98" customWidth="1"/>
    <col min="6916" max="6916" width="4.140625" style="98" customWidth="1"/>
    <col min="6917" max="6924" width="15.42578125" style="98" customWidth="1"/>
    <col min="6925" max="6925" width="5.28515625" style="98" customWidth="1"/>
    <col min="6926" max="7166" width="9.140625" style="98"/>
    <col min="7167" max="7167" width="4.85546875" style="98" customWidth="1"/>
    <col min="7168" max="7168" width="62" style="98" customWidth="1"/>
    <col min="7169" max="7169" width="4.42578125" style="98" customWidth="1"/>
    <col min="7170" max="7170" width="18.28515625" style="98" customWidth="1"/>
    <col min="7171" max="7171" width="5.85546875" style="98" customWidth="1"/>
    <col min="7172" max="7172" width="4.140625" style="98" customWidth="1"/>
    <col min="7173" max="7180" width="15.42578125" style="98" customWidth="1"/>
    <col min="7181" max="7181" width="5.28515625" style="98" customWidth="1"/>
    <col min="7182" max="7422" width="9.140625" style="98"/>
    <col min="7423" max="7423" width="4.85546875" style="98" customWidth="1"/>
    <col min="7424" max="7424" width="62" style="98" customWidth="1"/>
    <col min="7425" max="7425" width="4.42578125" style="98" customWidth="1"/>
    <col min="7426" max="7426" width="18.28515625" style="98" customWidth="1"/>
    <col min="7427" max="7427" width="5.85546875" style="98" customWidth="1"/>
    <col min="7428" max="7428" width="4.140625" style="98" customWidth="1"/>
    <col min="7429" max="7436" width="15.42578125" style="98" customWidth="1"/>
    <col min="7437" max="7437" width="5.28515625" style="98" customWidth="1"/>
    <col min="7438" max="7678" width="9.140625" style="98"/>
    <col min="7679" max="7679" width="4.85546875" style="98" customWidth="1"/>
    <col min="7680" max="7680" width="62" style="98" customWidth="1"/>
    <col min="7681" max="7681" width="4.42578125" style="98" customWidth="1"/>
    <col min="7682" max="7682" width="18.28515625" style="98" customWidth="1"/>
    <col min="7683" max="7683" width="5.85546875" style="98" customWidth="1"/>
    <col min="7684" max="7684" width="4.140625" style="98" customWidth="1"/>
    <col min="7685" max="7692" width="15.42578125" style="98" customWidth="1"/>
    <col min="7693" max="7693" width="5.28515625" style="98" customWidth="1"/>
    <col min="7694" max="7934" width="9.140625" style="98"/>
    <col min="7935" max="7935" width="4.85546875" style="98" customWidth="1"/>
    <col min="7936" max="7936" width="62" style="98" customWidth="1"/>
    <col min="7937" max="7937" width="4.42578125" style="98" customWidth="1"/>
    <col min="7938" max="7938" width="18.28515625" style="98" customWidth="1"/>
    <col min="7939" max="7939" width="5.85546875" style="98" customWidth="1"/>
    <col min="7940" max="7940" width="4.140625" style="98" customWidth="1"/>
    <col min="7941" max="7948" width="15.42578125" style="98" customWidth="1"/>
    <col min="7949" max="7949" width="5.28515625" style="98" customWidth="1"/>
    <col min="7950" max="8190" width="9.140625" style="98"/>
    <col min="8191" max="8191" width="4.85546875" style="98" customWidth="1"/>
    <col min="8192" max="8192" width="62" style="98" customWidth="1"/>
    <col min="8193" max="8193" width="4.42578125" style="98" customWidth="1"/>
    <col min="8194" max="8194" width="18.28515625" style="98" customWidth="1"/>
    <col min="8195" max="8195" width="5.85546875" style="98" customWidth="1"/>
    <col min="8196" max="8196" width="4.140625" style="98" customWidth="1"/>
    <col min="8197" max="8204" width="15.42578125" style="98" customWidth="1"/>
    <col min="8205" max="8205" width="5.28515625" style="98" customWidth="1"/>
    <col min="8206" max="8446" width="9.140625" style="98"/>
    <col min="8447" max="8447" width="4.85546875" style="98" customWidth="1"/>
    <col min="8448" max="8448" width="62" style="98" customWidth="1"/>
    <col min="8449" max="8449" width="4.42578125" style="98" customWidth="1"/>
    <col min="8450" max="8450" width="18.28515625" style="98" customWidth="1"/>
    <col min="8451" max="8451" width="5.85546875" style="98" customWidth="1"/>
    <col min="8452" max="8452" width="4.140625" style="98" customWidth="1"/>
    <col min="8453" max="8460" width="15.42578125" style="98" customWidth="1"/>
    <col min="8461" max="8461" width="5.28515625" style="98" customWidth="1"/>
    <col min="8462" max="8702" width="9.140625" style="98"/>
    <col min="8703" max="8703" width="4.85546875" style="98" customWidth="1"/>
    <col min="8704" max="8704" width="62" style="98" customWidth="1"/>
    <col min="8705" max="8705" width="4.42578125" style="98" customWidth="1"/>
    <col min="8706" max="8706" width="18.28515625" style="98" customWidth="1"/>
    <col min="8707" max="8707" width="5.85546875" style="98" customWidth="1"/>
    <col min="8708" max="8708" width="4.140625" style="98" customWidth="1"/>
    <col min="8709" max="8716" width="15.42578125" style="98" customWidth="1"/>
    <col min="8717" max="8717" width="5.28515625" style="98" customWidth="1"/>
    <col min="8718" max="8958" width="9.140625" style="98"/>
    <col min="8959" max="8959" width="4.85546875" style="98" customWidth="1"/>
    <col min="8960" max="8960" width="62" style="98" customWidth="1"/>
    <col min="8961" max="8961" width="4.42578125" style="98" customWidth="1"/>
    <col min="8962" max="8962" width="18.28515625" style="98" customWidth="1"/>
    <col min="8963" max="8963" width="5.85546875" style="98" customWidth="1"/>
    <col min="8964" max="8964" width="4.140625" style="98" customWidth="1"/>
    <col min="8965" max="8972" width="15.42578125" style="98" customWidth="1"/>
    <col min="8973" max="8973" width="5.28515625" style="98" customWidth="1"/>
    <col min="8974" max="9214" width="9.140625" style="98"/>
    <col min="9215" max="9215" width="4.85546875" style="98" customWidth="1"/>
    <col min="9216" max="9216" width="62" style="98" customWidth="1"/>
    <col min="9217" max="9217" width="4.42578125" style="98" customWidth="1"/>
    <col min="9218" max="9218" width="18.28515625" style="98" customWidth="1"/>
    <col min="9219" max="9219" width="5.85546875" style="98" customWidth="1"/>
    <col min="9220" max="9220" width="4.140625" style="98" customWidth="1"/>
    <col min="9221" max="9228" width="15.42578125" style="98" customWidth="1"/>
    <col min="9229" max="9229" width="5.28515625" style="98" customWidth="1"/>
    <col min="9230" max="9470" width="9.140625" style="98"/>
    <col min="9471" max="9471" width="4.85546875" style="98" customWidth="1"/>
    <col min="9472" max="9472" width="62" style="98" customWidth="1"/>
    <col min="9473" max="9473" width="4.42578125" style="98" customWidth="1"/>
    <col min="9474" max="9474" width="18.28515625" style="98" customWidth="1"/>
    <col min="9475" max="9475" width="5.85546875" style="98" customWidth="1"/>
    <col min="9476" max="9476" width="4.140625" style="98" customWidth="1"/>
    <col min="9477" max="9484" width="15.42578125" style="98" customWidth="1"/>
    <col min="9485" max="9485" width="5.28515625" style="98" customWidth="1"/>
    <col min="9486" max="9726" width="9.140625" style="98"/>
    <col min="9727" max="9727" width="4.85546875" style="98" customWidth="1"/>
    <col min="9728" max="9728" width="62" style="98" customWidth="1"/>
    <col min="9729" max="9729" width="4.42578125" style="98" customWidth="1"/>
    <col min="9730" max="9730" width="18.28515625" style="98" customWidth="1"/>
    <col min="9731" max="9731" width="5.85546875" style="98" customWidth="1"/>
    <col min="9732" max="9732" width="4.140625" style="98" customWidth="1"/>
    <col min="9733" max="9740" width="15.42578125" style="98" customWidth="1"/>
    <col min="9741" max="9741" width="5.28515625" style="98" customWidth="1"/>
    <col min="9742" max="9982" width="9.140625" style="98"/>
    <col min="9983" max="9983" width="4.85546875" style="98" customWidth="1"/>
    <col min="9984" max="9984" width="62" style="98" customWidth="1"/>
    <col min="9985" max="9985" width="4.42578125" style="98" customWidth="1"/>
    <col min="9986" max="9986" width="18.28515625" style="98" customWidth="1"/>
    <col min="9987" max="9987" width="5.85546875" style="98" customWidth="1"/>
    <col min="9988" max="9988" width="4.140625" style="98" customWidth="1"/>
    <col min="9989" max="9996" width="15.42578125" style="98" customWidth="1"/>
    <col min="9997" max="9997" width="5.28515625" style="98" customWidth="1"/>
    <col min="9998" max="10238" width="9.140625" style="98"/>
    <col min="10239" max="10239" width="4.85546875" style="98" customWidth="1"/>
    <col min="10240" max="10240" width="62" style="98" customWidth="1"/>
    <col min="10241" max="10241" width="4.42578125" style="98" customWidth="1"/>
    <col min="10242" max="10242" width="18.28515625" style="98" customWidth="1"/>
    <col min="10243" max="10243" width="5.85546875" style="98" customWidth="1"/>
    <col min="10244" max="10244" width="4.140625" style="98" customWidth="1"/>
    <col min="10245" max="10252" width="15.42578125" style="98" customWidth="1"/>
    <col min="10253" max="10253" width="5.28515625" style="98" customWidth="1"/>
    <col min="10254" max="10494" width="9.140625" style="98"/>
    <col min="10495" max="10495" width="4.85546875" style="98" customWidth="1"/>
    <col min="10496" max="10496" width="62" style="98" customWidth="1"/>
    <col min="10497" max="10497" width="4.42578125" style="98" customWidth="1"/>
    <col min="10498" max="10498" width="18.28515625" style="98" customWidth="1"/>
    <col min="10499" max="10499" width="5.85546875" style="98" customWidth="1"/>
    <col min="10500" max="10500" width="4.140625" style="98" customWidth="1"/>
    <col min="10501" max="10508" width="15.42578125" style="98" customWidth="1"/>
    <col min="10509" max="10509" width="5.28515625" style="98" customWidth="1"/>
    <col min="10510" max="10750" width="9.140625" style="98"/>
    <col min="10751" max="10751" width="4.85546875" style="98" customWidth="1"/>
    <col min="10752" max="10752" width="62" style="98" customWidth="1"/>
    <col min="10753" max="10753" width="4.42578125" style="98" customWidth="1"/>
    <col min="10754" max="10754" width="18.28515625" style="98" customWidth="1"/>
    <col min="10755" max="10755" width="5.85546875" style="98" customWidth="1"/>
    <col min="10756" max="10756" width="4.140625" style="98" customWidth="1"/>
    <col min="10757" max="10764" width="15.42578125" style="98" customWidth="1"/>
    <col min="10765" max="10765" width="5.28515625" style="98" customWidth="1"/>
    <col min="10766" max="11006" width="9.140625" style="98"/>
    <col min="11007" max="11007" width="4.85546875" style="98" customWidth="1"/>
    <col min="11008" max="11008" width="62" style="98" customWidth="1"/>
    <col min="11009" max="11009" width="4.42578125" style="98" customWidth="1"/>
    <col min="11010" max="11010" width="18.28515625" style="98" customWidth="1"/>
    <col min="11011" max="11011" width="5.85546875" style="98" customWidth="1"/>
    <col min="11012" max="11012" width="4.140625" style="98" customWidth="1"/>
    <col min="11013" max="11020" width="15.42578125" style="98" customWidth="1"/>
    <col min="11021" max="11021" width="5.28515625" style="98" customWidth="1"/>
    <col min="11022" max="11262" width="9.140625" style="98"/>
    <col min="11263" max="11263" width="4.85546875" style="98" customWidth="1"/>
    <col min="11264" max="11264" width="62" style="98" customWidth="1"/>
    <col min="11265" max="11265" width="4.42578125" style="98" customWidth="1"/>
    <col min="11266" max="11266" width="18.28515625" style="98" customWidth="1"/>
    <col min="11267" max="11267" width="5.85546875" style="98" customWidth="1"/>
    <col min="11268" max="11268" width="4.140625" style="98" customWidth="1"/>
    <col min="11269" max="11276" width="15.42578125" style="98" customWidth="1"/>
    <col min="11277" max="11277" width="5.28515625" style="98" customWidth="1"/>
    <col min="11278" max="11518" width="9.140625" style="98"/>
    <col min="11519" max="11519" width="4.85546875" style="98" customWidth="1"/>
    <col min="11520" max="11520" width="62" style="98" customWidth="1"/>
    <col min="11521" max="11521" width="4.42578125" style="98" customWidth="1"/>
    <col min="11522" max="11522" width="18.28515625" style="98" customWidth="1"/>
    <col min="11523" max="11523" width="5.85546875" style="98" customWidth="1"/>
    <col min="11524" max="11524" width="4.140625" style="98" customWidth="1"/>
    <col min="11525" max="11532" width="15.42578125" style="98" customWidth="1"/>
    <col min="11533" max="11533" width="5.28515625" style="98" customWidth="1"/>
    <col min="11534" max="11774" width="9.140625" style="98"/>
    <col min="11775" max="11775" width="4.85546875" style="98" customWidth="1"/>
    <col min="11776" max="11776" width="62" style="98" customWidth="1"/>
    <col min="11777" max="11777" width="4.42578125" style="98" customWidth="1"/>
    <col min="11778" max="11778" width="18.28515625" style="98" customWidth="1"/>
    <col min="11779" max="11779" width="5.85546875" style="98" customWidth="1"/>
    <col min="11780" max="11780" width="4.140625" style="98" customWidth="1"/>
    <col min="11781" max="11788" width="15.42578125" style="98" customWidth="1"/>
    <col min="11789" max="11789" width="5.28515625" style="98" customWidth="1"/>
    <col min="11790" max="12030" width="9.140625" style="98"/>
    <col min="12031" max="12031" width="4.85546875" style="98" customWidth="1"/>
    <col min="12032" max="12032" width="62" style="98" customWidth="1"/>
    <col min="12033" max="12033" width="4.42578125" style="98" customWidth="1"/>
    <col min="12034" max="12034" width="18.28515625" style="98" customWidth="1"/>
    <col min="12035" max="12035" width="5.85546875" style="98" customWidth="1"/>
    <col min="12036" max="12036" width="4.140625" style="98" customWidth="1"/>
    <col min="12037" max="12044" width="15.42578125" style="98" customWidth="1"/>
    <col min="12045" max="12045" width="5.28515625" style="98" customWidth="1"/>
    <col min="12046" max="12286" width="9.140625" style="98"/>
    <col min="12287" max="12287" width="4.85546875" style="98" customWidth="1"/>
    <col min="12288" max="12288" width="62" style="98" customWidth="1"/>
    <col min="12289" max="12289" width="4.42578125" style="98" customWidth="1"/>
    <col min="12290" max="12290" width="18.28515625" style="98" customWidth="1"/>
    <col min="12291" max="12291" width="5.85546875" style="98" customWidth="1"/>
    <col min="12292" max="12292" width="4.140625" style="98" customWidth="1"/>
    <col min="12293" max="12300" width="15.42578125" style="98" customWidth="1"/>
    <col min="12301" max="12301" width="5.28515625" style="98" customWidth="1"/>
    <col min="12302" max="12542" width="9.140625" style="98"/>
    <col min="12543" max="12543" width="4.85546875" style="98" customWidth="1"/>
    <col min="12544" max="12544" width="62" style="98" customWidth="1"/>
    <col min="12545" max="12545" width="4.42578125" style="98" customWidth="1"/>
    <col min="12546" max="12546" width="18.28515625" style="98" customWidth="1"/>
    <col min="12547" max="12547" width="5.85546875" style="98" customWidth="1"/>
    <col min="12548" max="12548" width="4.140625" style="98" customWidth="1"/>
    <col min="12549" max="12556" width="15.42578125" style="98" customWidth="1"/>
    <col min="12557" max="12557" width="5.28515625" style="98" customWidth="1"/>
    <col min="12558" max="12798" width="9.140625" style="98"/>
    <col min="12799" max="12799" width="4.85546875" style="98" customWidth="1"/>
    <col min="12800" max="12800" width="62" style="98" customWidth="1"/>
    <col min="12801" max="12801" width="4.42578125" style="98" customWidth="1"/>
    <col min="12802" max="12802" width="18.28515625" style="98" customWidth="1"/>
    <col min="12803" max="12803" width="5.85546875" style="98" customWidth="1"/>
    <col min="12804" max="12804" width="4.140625" style="98" customWidth="1"/>
    <col min="12805" max="12812" width="15.42578125" style="98" customWidth="1"/>
    <col min="12813" max="12813" width="5.28515625" style="98" customWidth="1"/>
    <col min="12814" max="13054" width="9.140625" style="98"/>
    <col min="13055" max="13055" width="4.85546875" style="98" customWidth="1"/>
    <col min="13056" max="13056" width="62" style="98" customWidth="1"/>
    <col min="13057" max="13057" width="4.42578125" style="98" customWidth="1"/>
    <col min="13058" max="13058" width="18.28515625" style="98" customWidth="1"/>
    <col min="13059" max="13059" width="5.85546875" style="98" customWidth="1"/>
    <col min="13060" max="13060" width="4.140625" style="98" customWidth="1"/>
    <col min="13061" max="13068" width="15.42578125" style="98" customWidth="1"/>
    <col min="13069" max="13069" width="5.28515625" style="98" customWidth="1"/>
    <col min="13070" max="13310" width="9.140625" style="98"/>
    <col min="13311" max="13311" width="4.85546875" style="98" customWidth="1"/>
    <col min="13312" max="13312" width="62" style="98" customWidth="1"/>
    <col min="13313" max="13313" width="4.42578125" style="98" customWidth="1"/>
    <col min="13314" max="13314" width="18.28515625" style="98" customWidth="1"/>
    <col min="13315" max="13315" width="5.85546875" style="98" customWidth="1"/>
    <col min="13316" max="13316" width="4.140625" style="98" customWidth="1"/>
    <col min="13317" max="13324" width="15.42578125" style="98" customWidth="1"/>
    <col min="13325" max="13325" width="5.28515625" style="98" customWidth="1"/>
    <col min="13326" max="13566" width="9.140625" style="98"/>
    <col min="13567" max="13567" width="4.85546875" style="98" customWidth="1"/>
    <col min="13568" max="13568" width="62" style="98" customWidth="1"/>
    <col min="13569" max="13569" width="4.42578125" style="98" customWidth="1"/>
    <col min="13570" max="13570" width="18.28515625" style="98" customWidth="1"/>
    <col min="13571" max="13571" width="5.85546875" style="98" customWidth="1"/>
    <col min="13572" max="13572" width="4.140625" style="98" customWidth="1"/>
    <col min="13573" max="13580" width="15.42578125" style="98" customWidth="1"/>
    <col min="13581" max="13581" width="5.28515625" style="98" customWidth="1"/>
    <col min="13582" max="13822" width="9.140625" style="98"/>
    <col min="13823" max="13823" width="4.85546875" style="98" customWidth="1"/>
    <col min="13824" max="13824" width="62" style="98" customWidth="1"/>
    <col min="13825" max="13825" width="4.42578125" style="98" customWidth="1"/>
    <col min="13826" max="13826" width="18.28515625" style="98" customWidth="1"/>
    <col min="13827" max="13827" width="5.85546875" style="98" customWidth="1"/>
    <col min="13828" max="13828" width="4.140625" style="98" customWidth="1"/>
    <col min="13829" max="13836" width="15.42578125" style="98" customWidth="1"/>
    <col min="13837" max="13837" width="5.28515625" style="98" customWidth="1"/>
    <col min="13838" max="14078" width="9.140625" style="98"/>
    <col min="14079" max="14079" width="4.85546875" style="98" customWidth="1"/>
    <col min="14080" max="14080" width="62" style="98" customWidth="1"/>
    <col min="14081" max="14081" width="4.42578125" style="98" customWidth="1"/>
    <col min="14082" max="14082" width="18.28515625" style="98" customWidth="1"/>
    <col min="14083" max="14083" width="5.85546875" style="98" customWidth="1"/>
    <col min="14084" max="14084" width="4.140625" style="98" customWidth="1"/>
    <col min="14085" max="14092" width="15.42578125" style="98" customWidth="1"/>
    <col min="14093" max="14093" width="5.28515625" style="98" customWidth="1"/>
    <col min="14094" max="14334" width="9.140625" style="98"/>
    <col min="14335" max="14335" width="4.85546875" style="98" customWidth="1"/>
    <col min="14336" max="14336" width="62" style="98" customWidth="1"/>
    <col min="14337" max="14337" width="4.42578125" style="98" customWidth="1"/>
    <col min="14338" max="14338" width="18.28515625" style="98" customWidth="1"/>
    <col min="14339" max="14339" width="5.85546875" style="98" customWidth="1"/>
    <col min="14340" max="14340" width="4.140625" style="98" customWidth="1"/>
    <col min="14341" max="14348" width="15.42578125" style="98" customWidth="1"/>
    <col min="14349" max="14349" width="5.28515625" style="98" customWidth="1"/>
    <col min="14350" max="14590" width="9.140625" style="98"/>
    <col min="14591" max="14591" width="4.85546875" style="98" customWidth="1"/>
    <col min="14592" max="14592" width="62" style="98" customWidth="1"/>
    <col min="14593" max="14593" width="4.42578125" style="98" customWidth="1"/>
    <col min="14594" max="14594" width="18.28515625" style="98" customWidth="1"/>
    <col min="14595" max="14595" width="5.85546875" style="98" customWidth="1"/>
    <col min="14596" max="14596" width="4.140625" style="98" customWidth="1"/>
    <col min="14597" max="14604" width="15.42578125" style="98" customWidth="1"/>
    <col min="14605" max="14605" width="5.28515625" style="98" customWidth="1"/>
    <col min="14606" max="14846" width="9.140625" style="98"/>
    <col min="14847" max="14847" width="4.85546875" style="98" customWidth="1"/>
    <col min="14848" max="14848" width="62" style="98" customWidth="1"/>
    <col min="14849" max="14849" width="4.42578125" style="98" customWidth="1"/>
    <col min="14850" max="14850" width="18.28515625" style="98" customWidth="1"/>
    <col min="14851" max="14851" width="5.85546875" style="98" customWidth="1"/>
    <col min="14852" max="14852" width="4.140625" style="98" customWidth="1"/>
    <col min="14853" max="14860" width="15.42578125" style="98" customWidth="1"/>
    <col min="14861" max="14861" width="5.28515625" style="98" customWidth="1"/>
    <col min="14862" max="15102" width="9.140625" style="98"/>
    <col min="15103" max="15103" width="4.85546875" style="98" customWidth="1"/>
    <col min="15104" max="15104" width="62" style="98" customWidth="1"/>
    <col min="15105" max="15105" width="4.42578125" style="98" customWidth="1"/>
    <col min="15106" max="15106" width="18.28515625" style="98" customWidth="1"/>
    <col min="15107" max="15107" width="5.85546875" style="98" customWidth="1"/>
    <col min="15108" max="15108" width="4.140625" style="98" customWidth="1"/>
    <col min="15109" max="15116" width="15.42578125" style="98" customWidth="1"/>
    <col min="15117" max="15117" width="5.28515625" style="98" customWidth="1"/>
    <col min="15118" max="15358" width="9.140625" style="98"/>
    <col min="15359" max="15359" width="4.85546875" style="98" customWidth="1"/>
    <col min="15360" max="15360" width="62" style="98" customWidth="1"/>
    <col min="15361" max="15361" width="4.42578125" style="98" customWidth="1"/>
    <col min="15362" max="15362" width="18.28515625" style="98" customWidth="1"/>
    <col min="15363" max="15363" width="5.85546875" style="98" customWidth="1"/>
    <col min="15364" max="15364" width="4.140625" style="98" customWidth="1"/>
    <col min="15365" max="15372" width="15.42578125" style="98" customWidth="1"/>
    <col min="15373" max="15373" width="5.28515625" style="98" customWidth="1"/>
    <col min="15374" max="15614" width="9.140625" style="98"/>
    <col min="15615" max="15615" width="4.85546875" style="98" customWidth="1"/>
    <col min="15616" max="15616" width="62" style="98" customWidth="1"/>
    <col min="15617" max="15617" width="4.42578125" style="98" customWidth="1"/>
    <col min="15618" max="15618" width="18.28515625" style="98" customWidth="1"/>
    <col min="15619" max="15619" width="5.85546875" style="98" customWidth="1"/>
    <col min="15620" max="15620" width="4.140625" style="98" customWidth="1"/>
    <col min="15621" max="15628" width="15.42578125" style="98" customWidth="1"/>
    <col min="15629" max="15629" width="5.28515625" style="98" customWidth="1"/>
    <col min="15630" max="15870" width="9.140625" style="98"/>
    <col min="15871" max="15871" width="4.85546875" style="98" customWidth="1"/>
    <col min="15872" max="15872" width="62" style="98" customWidth="1"/>
    <col min="15873" max="15873" width="4.42578125" style="98" customWidth="1"/>
    <col min="15874" max="15874" width="18.28515625" style="98" customWidth="1"/>
    <col min="15875" max="15875" width="5.85546875" style="98" customWidth="1"/>
    <col min="15876" max="15876" width="4.140625" style="98" customWidth="1"/>
    <col min="15877" max="15884" width="15.42578125" style="98" customWidth="1"/>
    <col min="15885" max="15885" width="5.28515625" style="98" customWidth="1"/>
    <col min="15886" max="16126" width="9.140625" style="98"/>
    <col min="16127" max="16127" width="4.85546875" style="98" customWidth="1"/>
    <col min="16128" max="16128" width="62" style="98" customWidth="1"/>
    <col min="16129" max="16129" width="4.42578125" style="98" customWidth="1"/>
    <col min="16130" max="16130" width="18.28515625" style="98" customWidth="1"/>
    <col min="16131" max="16131" width="5.85546875" style="98" customWidth="1"/>
    <col min="16132" max="16132" width="4.140625" style="98" customWidth="1"/>
    <col min="16133" max="16140" width="15.42578125" style="98" customWidth="1"/>
    <col min="16141" max="16141" width="5.28515625" style="98" customWidth="1"/>
    <col min="16142" max="16384" width="9.140625" style="98"/>
  </cols>
  <sheetData>
    <row r="2" spans="2:12" s="59" customFormat="1" ht="15.75">
      <c r="B2" s="59" t="s">
        <v>160</v>
      </c>
    </row>
    <row r="3" spans="2:12" s="112" customFormat="1"/>
    <row r="4" spans="2:12" s="175" customFormat="1">
      <c r="B4" s="100" t="s">
        <v>32</v>
      </c>
    </row>
    <row r="5" spans="2:12" s="112" customFormat="1">
      <c r="B5" s="174"/>
    </row>
    <row r="6" spans="2:12" s="112" customFormat="1">
      <c r="B6" s="174" t="s">
        <v>161</v>
      </c>
    </row>
    <row r="7" spans="2:12" s="112" customFormat="1">
      <c r="B7" s="174" t="s">
        <v>121</v>
      </c>
    </row>
    <row r="8" spans="2:12" s="112" customFormat="1">
      <c r="B8" s="174" t="s">
        <v>361</v>
      </c>
    </row>
    <row r="9" spans="2:12" s="91" customFormat="1">
      <c r="B9" s="83" t="s">
        <v>162</v>
      </c>
    </row>
    <row r="10" spans="2:12" s="91" customFormat="1">
      <c r="B10" s="234"/>
    </row>
    <row r="11" spans="2:12" s="91" customFormat="1">
      <c r="B11" s="84" t="s">
        <v>120</v>
      </c>
    </row>
    <row r="12" spans="2:12" s="91" customFormat="1">
      <c r="B12" s="234" t="s">
        <v>49</v>
      </c>
      <c r="C12" s="235">
        <f>CPI!C9</f>
        <v>3.2000000000000001E-2</v>
      </c>
    </row>
    <row r="13" spans="2:12" s="91" customFormat="1">
      <c r="B13" s="234" t="s">
        <v>50</v>
      </c>
      <c r="C13" s="235">
        <f>CPI!C10</f>
        <v>3.0000000000000001E-3</v>
      </c>
      <c r="E13" s="263"/>
      <c r="F13" s="263"/>
      <c r="G13" s="263"/>
      <c r="H13" s="263"/>
      <c r="I13" s="263"/>
      <c r="J13" s="263"/>
      <c r="K13" s="263"/>
      <c r="L13" s="263"/>
    </row>
    <row r="14" spans="2:12" s="91" customFormat="1">
      <c r="B14" s="234" t="s">
        <v>55</v>
      </c>
      <c r="C14" s="235">
        <f>CPI!C11</f>
        <v>1.4999999999999999E-2</v>
      </c>
      <c r="E14" s="207"/>
      <c r="F14" s="207"/>
      <c r="G14" s="207"/>
      <c r="H14" s="207"/>
      <c r="I14" s="207"/>
      <c r="J14" s="207"/>
      <c r="K14" s="207"/>
      <c r="L14" s="207"/>
    </row>
    <row r="15" spans="2:12" s="91" customFormat="1">
      <c r="B15" s="234" t="s">
        <v>79</v>
      </c>
      <c r="C15" s="235">
        <f>CPI!C12</f>
        <v>2.5999999999999999E-2</v>
      </c>
      <c r="E15" s="22"/>
    </row>
    <row r="16" spans="2:12" s="91" customFormat="1">
      <c r="B16" s="234" t="s">
        <v>80</v>
      </c>
      <c r="C16" s="235">
        <f>CPI!C13</f>
        <v>2.3E-2</v>
      </c>
      <c r="E16" s="22"/>
    </row>
    <row r="17" spans="1:24" s="91" customFormat="1">
      <c r="B17" s="234"/>
      <c r="E17" s="22"/>
    </row>
    <row r="18" spans="1:24" s="91" customFormat="1">
      <c r="B18" s="234" t="s">
        <v>56</v>
      </c>
      <c r="C18" s="236">
        <v>6.2E-2</v>
      </c>
      <c r="E18" s="22" t="s">
        <v>57</v>
      </c>
    </row>
    <row r="19" spans="1:24" s="91" customFormat="1"/>
    <row r="20" spans="1:24" s="237" customFormat="1">
      <c r="B20" s="205" t="s">
        <v>277</v>
      </c>
    </row>
    <row r="21" spans="1:24" s="91" customFormat="1"/>
    <row r="22" spans="1:24" s="176" customFormat="1" ht="12.75" customHeight="1">
      <c r="A22" s="108"/>
      <c r="B22" s="105"/>
      <c r="C22" s="108"/>
      <c r="D22" s="12"/>
      <c r="E22" s="173" t="s">
        <v>2</v>
      </c>
      <c r="F22" s="173" t="s">
        <v>3</v>
      </c>
      <c r="G22" s="173" t="s">
        <v>4</v>
      </c>
      <c r="H22" s="173" t="s">
        <v>5</v>
      </c>
      <c r="I22" s="173" t="s">
        <v>6</v>
      </c>
      <c r="J22" s="173" t="s">
        <v>7</v>
      </c>
      <c r="K22" s="173" t="s">
        <v>8</v>
      </c>
      <c r="L22" s="173" t="s">
        <v>9</v>
      </c>
      <c r="M22" s="12"/>
      <c r="N22" s="12"/>
      <c r="O22" s="12"/>
      <c r="P22" s="12"/>
      <c r="Q22" s="108"/>
      <c r="R22" s="108"/>
      <c r="S22" s="108"/>
      <c r="T22" s="108"/>
      <c r="U22" s="108"/>
      <c r="V22" s="108"/>
      <c r="W22" s="108"/>
      <c r="X22" s="108"/>
    </row>
    <row r="23" spans="1:24" s="91" customFormat="1">
      <c r="A23" s="238"/>
      <c r="B23" s="238"/>
      <c r="C23" s="238"/>
      <c r="D23" s="238"/>
      <c r="E23" s="238"/>
      <c r="F23" s="238"/>
      <c r="G23" s="238"/>
      <c r="H23" s="238"/>
      <c r="I23" s="238"/>
      <c r="J23" s="238"/>
      <c r="K23" s="238"/>
      <c r="L23" s="238"/>
    </row>
    <row r="24" spans="1:24" s="241" customFormat="1">
      <c r="A24" s="239"/>
      <c r="B24" s="240" t="s">
        <v>39</v>
      </c>
      <c r="C24" s="240"/>
      <c r="D24" s="239"/>
      <c r="E24" s="239"/>
      <c r="F24" s="239"/>
      <c r="G24" s="239"/>
      <c r="H24" s="239"/>
      <c r="I24" s="239"/>
      <c r="J24" s="239"/>
      <c r="K24" s="239"/>
      <c r="L24" s="239"/>
    </row>
    <row r="25" spans="1:24" s="91" customFormat="1">
      <c r="A25" s="238"/>
      <c r="B25" s="238"/>
      <c r="C25" s="238"/>
      <c r="D25" s="238"/>
      <c r="E25" s="238"/>
      <c r="F25" s="238"/>
      <c r="G25" s="238"/>
      <c r="H25" s="238"/>
      <c r="I25" s="238"/>
      <c r="J25" s="238"/>
      <c r="K25" s="238"/>
      <c r="L25" s="238"/>
    </row>
    <row r="26" spans="1:24" s="91" customFormat="1">
      <c r="A26" s="238"/>
      <c r="B26" s="238" t="s">
        <v>59</v>
      </c>
      <c r="C26" s="112" t="s">
        <v>10</v>
      </c>
      <c r="D26" s="238"/>
      <c r="E26" s="212">
        <v>16416591.911083693</v>
      </c>
      <c r="F26" s="212">
        <v>61323881.157258138</v>
      </c>
      <c r="G26" s="212">
        <v>29887174.666856606</v>
      </c>
      <c r="H26" s="212">
        <v>796581465.14931011</v>
      </c>
      <c r="I26" s="212">
        <v>803275591.52776539</v>
      </c>
      <c r="J26" s="212">
        <v>9610828.9018656407</v>
      </c>
      <c r="K26" s="212">
        <v>561454698.46686971</v>
      </c>
      <c r="L26" s="212">
        <v>39819577.280147642</v>
      </c>
      <c r="N26" s="174" t="s">
        <v>366</v>
      </c>
    </row>
    <row r="27" spans="1:24" s="91" customFormat="1">
      <c r="A27" s="238"/>
      <c r="B27" s="238"/>
      <c r="C27" s="238"/>
      <c r="D27" s="238"/>
      <c r="E27" s="262"/>
      <c r="F27" s="262"/>
      <c r="G27" s="262"/>
      <c r="H27" s="262"/>
      <c r="I27" s="262"/>
      <c r="J27" s="262"/>
      <c r="K27" s="262"/>
      <c r="L27" s="262"/>
      <c r="M27" s="263"/>
      <c r="N27" s="242"/>
    </row>
    <row r="28" spans="1:24" s="241" customFormat="1">
      <c r="A28" s="239"/>
      <c r="B28" s="240" t="s">
        <v>11</v>
      </c>
      <c r="C28" s="240"/>
      <c r="D28" s="239"/>
      <c r="E28" s="206"/>
      <c r="F28" s="206"/>
      <c r="G28" s="206"/>
      <c r="H28" s="206"/>
      <c r="I28" s="206"/>
      <c r="J28" s="206"/>
      <c r="K28" s="206"/>
      <c r="L28" s="206"/>
      <c r="N28" s="32"/>
    </row>
    <row r="29" spans="1:24" s="91" customFormat="1">
      <c r="A29" s="238"/>
      <c r="B29" s="238"/>
      <c r="C29" s="238"/>
      <c r="D29" s="238"/>
      <c r="E29" s="209"/>
      <c r="F29" s="209"/>
      <c r="G29" s="209"/>
      <c r="H29" s="209"/>
      <c r="I29" s="204"/>
      <c r="J29" s="204"/>
      <c r="K29" s="209"/>
      <c r="L29" s="204"/>
      <c r="N29" s="242"/>
    </row>
    <row r="30" spans="1:24" s="91" customFormat="1">
      <c r="A30" s="238"/>
      <c r="B30" s="238" t="s">
        <v>11</v>
      </c>
      <c r="C30" s="112" t="s">
        <v>10</v>
      </c>
      <c r="D30" s="238"/>
      <c r="E30" s="212">
        <v>18159979.414726462</v>
      </c>
      <c r="F30" s="212">
        <v>69825471.158655047</v>
      </c>
      <c r="G30" s="212">
        <v>34912277.35598769</v>
      </c>
      <c r="H30" s="212">
        <v>929669021.06078541</v>
      </c>
      <c r="I30" s="212">
        <v>946391362.67318964</v>
      </c>
      <c r="J30" s="212">
        <v>11357581.833936078</v>
      </c>
      <c r="K30" s="212">
        <v>684674625.4196471</v>
      </c>
      <c r="L30" s="212">
        <v>39333754.993507586</v>
      </c>
      <c r="N30" s="174" t="s">
        <v>367</v>
      </c>
    </row>
    <row r="31" spans="1:24" s="91" customFormat="1">
      <c r="A31" s="238"/>
      <c r="B31" s="238"/>
      <c r="C31" s="238"/>
      <c r="D31" s="238"/>
      <c r="E31" s="210"/>
      <c r="F31" s="210"/>
      <c r="G31" s="210"/>
      <c r="H31" s="210"/>
      <c r="I31" s="210"/>
      <c r="J31" s="210"/>
      <c r="K31" s="210"/>
      <c r="L31" s="210"/>
      <c r="N31" s="22"/>
    </row>
    <row r="32" spans="1:24" s="91" customFormat="1">
      <c r="A32" s="238"/>
      <c r="B32" s="238" t="s">
        <v>70</v>
      </c>
      <c r="C32" s="112" t="s">
        <v>10</v>
      </c>
      <c r="D32" s="238"/>
      <c r="E32" s="212">
        <v>1028763.0283376739</v>
      </c>
      <c r="F32" s="212">
        <v>495492.00993999996</v>
      </c>
      <c r="G32" s="212">
        <v>0</v>
      </c>
      <c r="H32" s="212">
        <v>1743213.9999999998</v>
      </c>
      <c r="I32" s="212">
        <v>13690254.666194815</v>
      </c>
      <c r="J32" s="212">
        <v>986010.47563952568</v>
      </c>
      <c r="K32" s="212">
        <v>15505350.921999998</v>
      </c>
      <c r="L32" s="212">
        <v>24413.019999999997</v>
      </c>
      <c r="N32" s="174" t="s">
        <v>369</v>
      </c>
    </row>
    <row r="33" spans="1:15" s="91" customFormat="1">
      <c r="A33" s="238"/>
      <c r="B33" s="238"/>
      <c r="C33" s="238"/>
      <c r="D33" s="238"/>
      <c r="E33" s="211"/>
      <c r="F33" s="211"/>
      <c r="G33" s="211"/>
      <c r="H33" s="211"/>
      <c r="I33" s="211"/>
      <c r="J33" s="211"/>
      <c r="K33" s="211"/>
      <c r="L33" s="211"/>
    </row>
    <row r="34" spans="1:15" s="91" customFormat="1">
      <c r="A34" s="244"/>
      <c r="B34" s="240" t="s">
        <v>60</v>
      </c>
      <c r="C34" s="244"/>
      <c r="D34" s="244"/>
      <c r="E34" s="233">
        <v>-3.5</v>
      </c>
      <c r="F34" s="233">
        <v>-4.5</v>
      </c>
      <c r="G34" s="233">
        <v>-5.3999999999999995</v>
      </c>
      <c r="H34" s="233">
        <v>-5.3</v>
      </c>
      <c r="I34" s="233">
        <v>-5.6999999999999993</v>
      </c>
      <c r="J34" s="233">
        <v>-5.8</v>
      </c>
      <c r="K34" s="233">
        <v>-6.8999999999999995</v>
      </c>
      <c r="L34" s="257">
        <v>-4.3</v>
      </c>
      <c r="N34" s="174" t="s">
        <v>368</v>
      </c>
    </row>
    <row r="35" spans="1:15" s="91" customFormat="1"/>
    <row r="36" spans="1:15" s="91" customFormat="1"/>
    <row r="37" spans="1:15" s="91" customFormat="1">
      <c r="B37" s="72" t="s">
        <v>62</v>
      </c>
      <c r="C37" s="112" t="s">
        <v>12</v>
      </c>
      <c r="E37" s="11">
        <f t="shared" ref="E37:L37" si="0">E26*(1-E34/100+$C$14)</f>
        <v>17237421.506637875</v>
      </c>
      <c r="F37" s="11">
        <f t="shared" si="0"/>
        <v>65003314.026693612</v>
      </c>
      <c r="G37" s="11">
        <f t="shared" si="0"/>
        <v>31949389.718869708</v>
      </c>
      <c r="H37" s="11">
        <f t="shared" si="0"/>
        <v>850749004.77946305</v>
      </c>
      <c r="I37" s="11">
        <f t="shared" si="0"/>
        <v>861111434.11776435</v>
      </c>
      <c r="J37" s="11">
        <f t="shared" si="0"/>
        <v>10312419.411701832</v>
      </c>
      <c r="K37" s="11">
        <f t="shared" si="0"/>
        <v>608616893.13808668</v>
      </c>
      <c r="L37" s="11">
        <f t="shared" si="0"/>
        <v>42129112.762396201</v>
      </c>
    </row>
    <row r="38" spans="1:15" s="91" customFormat="1">
      <c r="B38" s="72" t="s">
        <v>81</v>
      </c>
      <c r="C38" s="112" t="s">
        <v>13</v>
      </c>
      <c r="E38" s="11">
        <f t="shared" ref="E38:L38" si="1">E37*(1-E34/100+$C$15)</f>
        <v>18288904.218542784</v>
      </c>
      <c r="F38" s="11">
        <f t="shared" si="1"/>
        <v>69618549.322588861</v>
      </c>
      <c r="G38" s="11">
        <f t="shared" si="1"/>
        <v>34505340.896379285</v>
      </c>
      <c r="H38" s="11">
        <f t="shared" si="1"/>
        <v>917958176.1570406</v>
      </c>
      <c r="I38" s="11">
        <f t="shared" si="1"/>
        <v>932583683.14953876</v>
      </c>
      <c r="J38" s="11">
        <f t="shared" si="1"/>
        <v>11178662.642284786</v>
      </c>
      <c r="K38" s="11">
        <f t="shared" si="1"/>
        <v>666435497.98620486</v>
      </c>
      <c r="L38" s="11">
        <f t="shared" si="1"/>
        <v>45036021.54300154</v>
      </c>
    </row>
    <row r="39" spans="1:15" s="91" customFormat="1">
      <c r="B39" s="72" t="s">
        <v>174</v>
      </c>
      <c r="C39" s="112" t="s">
        <v>40</v>
      </c>
      <c r="E39" s="11">
        <f>E38*(1-E34/100+$C$16)</f>
        <v>19349660.663218264</v>
      </c>
      <c r="F39" s="11">
        <f t="shared" ref="F39:L39" si="2">F38*(1-F34/100+$C$16)</f>
        <v>74352610.676524892</v>
      </c>
      <c r="G39" s="11">
        <f t="shared" si="2"/>
        <v>37162252.145400487</v>
      </c>
      <c r="H39" s="11">
        <f t="shared" si="2"/>
        <v>987722997.54497552</v>
      </c>
      <c r="I39" s="11">
        <f>I38*(1-I34/100+$C$16)</f>
        <v>1007190377.8015018</v>
      </c>
      <c r="J39" s="11">
        <f t="shared" si="2"/>
        <v>12084134.316309854</v>
      </c>
      <c r="K39" s="11">
        <f t="shared" si="2"/>
        <v>727747563.80093563</v>
      </c>
      <c r="L39" s="11">
        <f t="shared" si="2"/>
        <v>48008398.964839637</v>
      </c>
    </row>
    <row r="40" spans="1:15" s="91" customFormat="1"/>
    <row r="41" spans="1:15" s="237" customFormat="1">
      <c r="B41" s="35" t="s">
        <v>63</v>
      </c>
    </row>
    <row r="42" spans="1:15" s="91" customFormat="1">
      <c r="D42" s="241"/>
      <c r="E42" s="241"/>
    </row>
    <row r="43" spans="1:15" s="91" customFormat="1">
      <c r="B43" s="72" t="s">
        <v>64</v>
      </c>
      <c r="J43" s="245"/>
    </row>
    <row r="44" spans="1:15" s="91" customFormat="1">
      <c r="B44" s="91" t="s">
        <v>163</v>
      </c>
      <c r="C44" s="112" t="s">
        <v>40</v>
      </c>
      <c r="E44" s="246"/>
      <c r="F44" s="246"/>
      <c r="G44" s="246"/>
      <c r="H44" s="246"/>
      <c r="I44" s="246"/>
      <c r="J44" s="125">
        <v>3611394.2161527867</v>
      </c>
      <c r="K44" s="246"/>
      <c r="L44" s="246"/>
      <c r="N44" s="22" t="s">
        <v>388</v>
      </c>
    </row>
    <row r="45" spans="1:15" s="91" customFormat="1">
      <c r="B45" s="91" t="s">
        <v>164</v>
      </c>
      <c r="C45" s="112" t="s">
        <v>40</v>
      </c>
      <c r="E45" s="246"/>
      <c r="F45" s="246"/>
      <c r="G45" s="246"/>
      <c r="H45" s="246"/>
      <c r="I45" s="246"/>
      <c r="J45" s="125">
        <v>722278.78396985133</v>
      </c>
      <c r="K45" s="246"/>
      <c r="L45" s="246"/>
      <c r="N45" s="22" t="s">
        <v>388</v>
      </c>
    </row>
    <row r="46" spans="1:15" s="91" customFormat="1">
      <c r="J46" s="247"/>
    </row>
    <row r="47" spans="1:15" s="91" customFormat="1">
      <c r="B47" s="91" t="s">
        <v>65</v>
      </c>
      <c r="C47" s="112" t="s">
        <v>40</v>
      </c>
      <c r="E47" s="11">
        <f>E44*$C$18</f>
        <v>0</v>
      </c>
      <c r="F47" s="11">
        <f>F44*$C$18</f>
        <v>0</v>
      </c>
      <c r="G47" s="11">
        <f>G44*$C$18</f>
        <v>0</v>
      </c>
      <c r="H47" s="11">
        <f t="shared" ref="H47:L47" si="3">H44*$C$18</f>
        <v>0</v>
      </c>
      <c r="I47" s="11">
        <f t="shared" si="3"/>
        <v>0</v>
      </c>
      <c r="J47" s="11">
        <f>J44*$C$18</f>
        <v>223906.44140147278</v>
      </c>
      <c r="K47" s="11">
        <f t="shared" si="3"/>
        <v>0</v>
      </c>
      <c r="L47" s="11">
        <f t="shared" si="3"/>
        <v>0</v>
      </c>
      <c r="O47" s="245"/>
    </row>
    <row r="48" spans="1:15" s="91" customFormat="1">
      <c r="O48" s="245"/>
    </row>
    <row r="49" spans="1:14" s="91" customFormat="1">
      <c r="B49" s="72" t="s">
        <v>66</v>
      </c>
    </row>
    <row r="50" spans="1:14" s="91" customFormat="1">
      <c r="B50" s="91" t="s">
        <v>165</v>
      </c>
      <c r="C50" s="112" t="s">
        <v>40</v>
      </c>
      <c r="E50" s="125"/>
      <c r="F50" s="125">
        <v>991640</v>
      </c>
      <c r="G50" s="125"/>
      <c r="H50" s="125"/>
      <c r="I50" s="125">
        <v>41444801.299999997</v>
      </c>
      <c r="J50" s="125"/>
      <c r="K50" s="125">
        <v>15610776</v>
      </c>
      <c r="L50" s="125">
        <v>31731.439999999999</v>
      </c>
      <c r="N50" s="22" t="s">
        <v>166</v>
      </c>
    </row>
    <row r="51" spans="1:14" s="91" customFormat="1">
      <c r="B51" s="91" t="s">
        <v>167</v>
      </c>
      <c r="C51" s="112" t="s">
        <v>40</v>
      </c>
      <c r="E51" s="125">
        <v>551.77859999999998</v>
      </c>
      <c r="F51" s="125"/>
      <c r="G51" s="125"/>
      <c r="H51" s="125">
        <v>1480866.7443985795</v>
      </c>
      <c r="I51" s="125"/>
      <c r="J51" s="125"/>
      <c r="K51" s="125">
        <v>0</v>
      </c>
      <c r="L51" s="125"/>
      <c r="N51" s="22" t="s">
        <v>166</v>
      </c>
    </row>
    <row r="52" spans="1:14" s="91" customFormat="1"/>
    <row r="53" spans="1:14" s="91" customFormat="1">
      <c r="B53" s="91" t="s">
        <v>168</v>
      </c>
      <c r="C53" s="112" t="s">
        <v>40</v>
      </c>
      <c r="E53" s="248">
        <f>E45+E47+E50+E51</f>
        <v>551.77859999999998</v>
      </c>
      <c r="F53" s="248">
        <f t="shared" ref="F53:L53" si="4">F45+F47+F50+F51</f>
        <v>991640</v>
      </c>
      <c r="G53" s="248">
        <f t="shared" si="4"/>
        <v>0</v>
      </c>
      <c r="H53" s="248">
        <f t="shared" si="4"/>
        <v>1480866.7443985795</v>
      </c>
      <c r="I53" s="248">
        <f t="shared" si="4"/>
        <v>41444801.299999997</v>
      </c>
      <c r="J53" s="248">
        <f>J45+J47+J50+J51</f>
        <v>946185.22537132411</v>
      </c>
      <c r="K53" s="248">
        <f t="shared" si="4"/>
        <v>15610776</v>
      </c>
      <c r="L53" s="248">
        <f t="shared" si="4"/>
        <v>31731.439999999999</v>
      </c>
    </row>
    <row r="54" spans="1:14" s="91" customFormat="1">
      <c r="B54" s="91" t="s">
        <v>169</v>
      </c>
      <c r="C54" s="112" t="s">
        <v>10</v>
      </c>
      <c r="E54" s="249">
        <f>E53/(1+$C$14)/(1+$C$15)/(1+$C$16)</f>
        <v>517.93566341894893</v>
      </c>
      <c r="F54" s="249">
        <f t="shared" ref="F54:L54" si="5">F53/(1+$C$14)/(1+$C$15)/(1+$C$16)</f>
        <v>930818.48638705211</v>
      </c>
      <c r="G54" s="249">
        <f t="shared" si="5"/>
        <v>0</v>
      </c>
      <c r="H54" s="249">
        <f t="shared" si="5"/>
        <v>1390038.8664858288</v>
      </c>
      <c r="I54" s="249">
        <f t="shared" si="5"/>
        <v>38902814.745954297</v>
      </c>
      <c r="J54" s="249">
        <f t="shared" si="5"/>
        <v>888151.64709161338</v>
      </c>
      <c r="K54" s="249">
        <f t="shared" si="5"/>
        <v>14653300.479657251</v>
      </c>
      <c r="L54" s="249">
        <f t="shared" si="5"/>
        <v>29785.215352024483</v>
      </c>
    </row>
    <row r="55" spans="1:14" s="91" customFormat="1">
      <c r="E55" s="157"/>
    </row>
    <row r="56" spans="1:14" s="91" customFormat="1">
      <c r="B56" s="72" t="s">
        <v>71</v>
      </c>
    </row>
    <row r="57" spans="1:14" s="91" customFormat="1">
      <c r="B57" s="91" t="s">
        <v>72</v>
      </c>
      <c r="C57" s="112" t="s">
        <v>10</v>
      </c>
      <c r="E57" s="250">
        <f>E54</f>
        <v>517.93566341894893</v>
      </c>
      <c r="F57" s="250">
        <f t="shared" ref="F57:L57" si="6">F54</f>
        <v>930818.48638705211</v>
      </c>
      <c r="G57" s="250">
        <f t="shared" si="6"/>
        <v>0</v>
      </c>
      <c r="H57" s="250">
        <f t="shared" si="6"/>
        <v>1390038.8664858288</v>
      </c>
      <c r="I57" s="250">
        <f t="shared" si="6"/>
        <v>38902814.745954297</v>
      </c>
      <c r="J57" s="250">
        <f>J54</f>
        <v>888151.64709161338</v>
      </c>
      <c r="K57" s="250">
        <f t="shared" si="6"/>
        <v>14653300.479657251</v>
      </c>
      <c r="L57" s="250">
        <f t="shared" si="6"/>
        <v>29785.215352024483</v>
      </c>
    </row>
    <row r="58" spans="1:14" s="91" customFormat="1"/>
    <row r="59" spans="1:14" s="237" customFormat="1">
      <c r="B59" s="205" t="s">
        <v>276</v>
      </c>
    </row>
    <row r="60" spans="1:14" s="91" customFormat="1"/>
    <row r="61" spans="1:14" s="241" customFormat="1">
      <c r="A61" s="91"/>
      <c r="B61" s="91"/>
      <c r="C61" s="91"/>
      <c r="D61" s="91"/>
      <c r="E61" s="168" t="s">
        <v>2</v>
      </c>
      <c r="F61" s="168" t="s">
        <v>3</v>
      </c>
      <c r="G61" s="168" t="s">
        <v>4</v>
      </c>
      <c r="H61" s="168" t="s">
        <v>5</v>
      </c>
      <c r="I61" s="168" t="s">
        <v>6</v>
      </c>
      <c r="J61" s="168" t="s">
        <v>7</v>
      </c>
      <c r="K61" s="168" t="s">
        <v>8</v>
      </c>
      <c r="L61" s="168" t="s">
        <v>9</v>
      </c>
    </row>
    <row r="62" spans="1:14" s="91" customFormat="1">
      <c r="A62" s="238"/>
      <c r="B62" s="238"/>
      <c r="C62" s="238"/>
      <c r="D62" s="238"/>
      <c r="E62" s="238"/>
      <c r="F62" s="238"/>
      <c r="G62" s="238"/>
      <c r="H62" s="238"/>
      <c r="I62" s="238"/>
      <c r="J62" s="238"/>
      <c r="K62" s="238"/>
      <c r="L62" s="238"/>
    </row>
    <row r="63" spans="1:14" s="241" customFormat="1">
      <c r="A63" s="239"/>
      <c r="B63" s="240" t="s">
        <v>69</v>
      </c>
      <c r="C63" s="240"/>
      <c r="D63" s="239"/>
      <c r="E63" s="239"/>
      <c r="F63" s="239"/>
      <c r="G63" s="239"/>
      <c r="H63" s="239"/>
      <c r="I63" s="239"/>
      <c r="J63" s="239"/>
      <c r="K63" s="239"/>
      <c r="L63" s="239"/>
    </row>
    <row r="64" spans="1:14" s="91" customFormat="1">
      <c r="A64" s="238"/>
      <c r="B64" s="238"/>
      <c r="C64" s="238"/>
      <c r="D64" s="238"/>
      <c r="E64" s="238"/>
      <c r="F64" s="238"/>
      <c r="G64" s="238"/>
      <c r="H64" s="238"/>
      <c r="I64" s="238"/>
      <c r="J64" s="238"/>
      <c r="K64" s="238"/>
      <c r="L64" s="238"/>
      <c r="N64" s="241"/>
    </row>
    <row r="65" spans="1:56" s="91" customFormat="1">
      <c r="A65" s="238"/>
      <c r="B65" s="238" t="s">
        <v>59</v>
      </c>
      <c r="C65" s="112" t="s">
        <v>10</v>
      </c>
      <c r="D65" s="238"/>
      <c r="E65" s="251">
        <f t="shared" ref="E65:L65" si="7">E26</f>
        <v>16416591.911083693</v>
      </c>
      <c r="F65" s="251">
        <f t="shared" si="7"/>
        <v>61323881.157258138</v>
      </c>
      <c r="G65" s="251">
        <f t="shared" si="7"/>
        <v>29887174.666856606</v>
      </c>
      <c r="H65" s="251">
        <f t="shared" si="7"/>
        <v>796581465.14931011</v>
      </c>
      <c r="I65" s="251">
        <f t="shared" si="7"/>
        <v>803275591.52776539</v>
      </c>
      <c r="J65" s="251">
        <f t="shared" si="7"/>
        <v>9610828.9018656407</v>
      </c>
      <c r="K65" s="251">
        <f t="shared" si="7"/>
        <v>561454698.46686971</v>
      </c>
      <c r="L65" s="251">
        <f t="shared" si="7"/>
        <v>39819577.280147642</v>
      </c>
      <c r="N65" s="241"/>
    </row>
    <row r="66" spans="1:56" s="91" customFormat="1">
      <c r="A66" s="238"/>
      <c r="B66" s="238"/>
      <c r="C66" s="238"/>
      <c r="D66" s="238"/>
      <c r="E66" s="243"/>
      <c r="F66" s="243"/>
      <c r="G66" s="243"/>
      <c r="H66" s="243"/>
      <c r="I66" s="243"/>
      <c r="J66" s="243"/>
      <c r="K66" s="243"/>
      <c r="L66" s="243"/>
      <c r="N66" s="241"/>
    </row>
    <row r="67" spans="1:56" s="241" customFormat="1">
      <c r="A67" s="239"/>
      <c r="B67" s="240" t="s">
        <v>11</v>
      </c>
      <c r="C67" s="240"/>
      <c r="D67" s="239"/>
      <c r="E67" s="239"/>
      <c r="F67" s="239"/>
      <c r="G67" s="239"/>
      <c r="H67" s="239"/>
      <c r="I67" s="239"/>
      <c r="J67" s="239"/>
      <c r="K67" s="239"/>
      <c r="L67" s="239"/>
    </row>
    <row r="68" spans="1:56" s="91" customFormat="1">
      <c r="A68" s="238"/>
      <c r="B68" s="238"/>
      <c r="C68" s="238"/>
      <c r="D68" s="238"/>
      <c r="E68" s="238"/>
      <c r="F68" s="238"/>
      <c r="G68" s="238"/>
      <c r="H68" s="238"/>
      <c r="I68" s="238"/>
      <c r="J68" s="238"/>
      <c r="K68" s="238"/>
      <c r="L68" s="238"/>
      <c r="N68" s="241"/>
    </row>
    <row r="69" spans="1:56" s="214" customFormat="1">
      <c r="B69" s="214" t="s">
        <v>275</v>
      </c>
      <c r="C69" s="218" t="s">
        <v>10</v>
      </c>
      <c r="E69" s="215">
        <f>E30</f>
        <v>18159979.414726462</v>
      </c>
      <c r="F69" s="215">
        <f t="shared" ref="F69:L69" si="8">F30</f>
        <v>69825471.158655047</v>
      </c>
      <c r="G69" s="215">
        <f t="shared" si="8"/>
        <v>34912277.35598769</v>
      </c>
      <c r="H69" s="215">
        <f t="shared" si="8"/>
        <v>929669021.06078541</v>
      </c>
      <c r="I69" s="215">
        <f t="shared" si="8"/>
        <v>946391362.67318964</v>
      </c>
      <c r="J69" s="215">
        <f t="shared" si="8"/>
        <v>11357581.833936078</v>
      </c>
      <c r="K69" s="215">
        <f t="shared" si="8"/>
        <v>684674625.4196471</v>
      </c>
      <c r="L69" s="215">
        <f t="shared" si="8"/>
        <v>39333754.993507586</v>
      </c>
      <c r="M69" s="217"/>
      <c r="N69" s="208"/>
      <c r="O69" s="204"/>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row>
    <row r="70" spans="1:56" s="214" customFormat="1">
      <c r="B70" s="214" t="s">
        <v>261</v>
      </c>
      <c r="C70" s="218" t="s">
        <v>10</v>
      </c>
      <c r="E70" s="215">
        <f>E32</f>
        <v>1028763.0283376739</v>
      </c>
      <c r="F70" s="215">
        <f t="shared" ref="F70:L70" si="9">F32</f>
        <v>495492.00993999996</v>
      </c>
      <c r="G70" s="215">
        <f t="shared" si="9"/>
        <v>0</v>
      </c>
      <c r="H70" s="215">
        <f t="shared" si="9"/>
        <v>1743213.9999999998</v>
      </c>
      <c r="I70" s="215">
        <f t="shared" si="9"/>
        <v>13690254.666194815</v>
      </c>
      <c r="J70" s="215">
        <f t="shared" si="9"/>
        <v>986010.47563952568</v>
      </c>
      <c r="K70" s="215">
        <f t="shared" si="9"/>
        <v>15505350.921999998</v>
      </c>
      <c r="L70" s="215">
        <f t="shared" si="9"/>
        <v>24413.019999999997</v>
      </c>
      <c r="M70" s="217"/>
      <c r="N70" s="208"/>
      <c r="O70" s="204"/>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row>
    <row r="71" spans="1:56" s="214" customFormat="1">
      <c r="B71" s="214" t="s">
        <v>262</v>
      </c>
      <c r="C71" s="218" t="s">
        <v>10</v>
      </c>
      <c r="E71" s="219">
        <f>E57</f>
        <v>517.93566341894893</v>
      </c>
      <c r="F71" s="219">
        <f t="shared" ref="F71:L71" si="10">F57</f>
        <v>930818.48638705211</v>
      </c>
      <c r="G71" s="219">
        <f t="shared" si="10"/>
        <v>0</v>
      </c>
      <c r="H71" s="219">
        <f t="shared" si="10"/>
        <v>1390038.8664858288</v>
      </c>
      <c r="I71" s="219">
        <f t="shared" si="10"/>
        <v>38902814.745954297</v>
      </c>
      <c r="J71" s="219">
        <f t="shared" si="10"/>
        <v>888151.64709161338</v>
      </c>
      <c r="K71" s="219">
        <f t="shared" si="10"/>
        <v>14653300.479657251</v>
      </c>
      <c r="L71" s="219">
        <f t="shared" si="10"/>
        <v>29785.215352024483</v>
      </c>
      <c r="M71" s="217"/>
      <c r="N71" s="208"/>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row>
    <row r="72" spans="1:56" s="91" customFormat="1">
      <c r="A72" s="238"/>
      <c r="B72" s="214" t="s">
        <v>274</v>
      </c>
      <c r="C72" s="112" t="s">
        <v>10</v>
      </c>
      <c r="D72" s="238"/>
      <c r="E72" s="213">
        <f>E69-E70+E71</f>
        <v>17131734.322052211</v>
      </c>
      <c r="F72" s="213">
        <f t="shared" ref="F72:L72" si="11">F69-F70+F71</f>
        <v>70260797.635102108</v>
      </c>
      <c r="G72" s="213">
        <f t="shared" si="11"/>
        <v>34912277.35598769</v>
      </c>
      <c r="H72" s="213">
        <f t="shared" si="11"/>
        <v>929315845.92727125</v>
      </c>
      <c r="I72" s="213">
        <f t="shared" si="11"/>
        <v>971603922.75294912</v>
      </c>
      <c r="J72" s="213">
        <f t="shared" si="11"/>
        <v>11259723.005388167</v>
      </c>
      <c r="K72" s="213">
        <f t="shared" si="11"/>
        <v>683822574.97730434</v>
      </c>
      <c r="L72" s="213">
        <f t="shared" si="11"/>
        <v>39339127.188859604</v>
      </c>
      <c r="N72" s="241"/>
    </row>
    <row r="73" spans="1:56" s="91" customFormat="1">
      <c r="A73" s="238"/>
      <c r="B73" s="238"/>
      <c r="C73" s="238"/>
      <c r="D73" s="238"/>
      <c r="E73" s="238"/>
      <c r="F73" s="238"/>
      <c r="G73" s="238"/>
      <c r="H73" s="238"/>
      <c r="I73" s="238"/>
      <c r="J73" s="238"/>
      <c r="K73" s="238"/>
      <c r="L73" s="238"/>
      <c r="N73" s="241"/>
    </row>
    <row r="74" spans="1:56" s="241" customFormat="1">
      <c r="A74" s="239"/>
      <c r="B74" s="240" t="s">
        <v>60</v>
      </c>
      <c r="C74" s="240"/>
      <c r="D74" s="239"/>
      <c r="E74" s="239"/>
      <c r="F74" s="239"/>
      <c r="G74" s="239"/>
      <c r="H74" s="239"/>
      <c r="I74" s="239"/>
      <c r="J74" s="239"/>
      <c r="K74" s="239"/>
      <c r="L74" s="239"/>
    </row>
    <row r="75" spans="1:56" s="91" customFormat="1">
      <c r="A75" s="238"/>
      <c r="B75" s="238"/>
      <c r="C75" s="238"/>
      <c r="D75" s="238"/>
      <c r="E75" s="238"/>
      <c r="F75" s="238"/>
      <c r="G75" s="238"/>
      <c r="H75" s="238"/>
      <c r="I75" s="238"/>
      <c r="J75" s="238"/>
      <c r="K75" s="238"/>
      <c r="L75" s="238"/>
      <c r="N75" s="241"/>
    </row>
    <row r="76" spans="1:56" s="91" customFormat="1">
      <c r="A76" s="238"/>
      <c r="B76" s="238" t="s">
        <v>61</v>
      </c>
      <c r="C76" s="238"/>
      <c r="D76" s="238"/>
      <c r="E76" s="253">
        <f t="shared" ref="E76:L76" si="12">100*(1-(E72/E65)^(1/3))</f>
        <v>-1.4314832025152935</v>
      </c>
      <c r="F76" s="253">
        <f t="shared" si="12"/>
        <v>-4.6392169027415386</v>
      </c>
      <c r="G76" s="253">
        <f t="shared" si="12"/>
        <v>-5.316828534762208</v>
      </c>
      <c r="H76" s="253">
        <f t="shared" si="12"/>
        <v>-5.2715575173699847</v>
      </c>
      <c r="I76" s="253">
        <f t="shared" si="12"/>
        <v>-6.5470826795866799</v>
      </c>
      <c r="J76" s="253">
        <f t="shared" si="12"/>
        <v>-5.4198240491237559</v>
      </c>
      <c r="K76" s="253">
        <f t="shared" si="12"/>
        <v>-6.7930289507040387</v>
      </c>
      <c r="L76" s="253">
        <f t="shared" si="12"/>
        <v>0.40381766981041345</v>
      </c>
      <c r="N76" s="241"/>
    </row>
    <row r="77" spans="1:56" s="91" customFormat="1">
      <c r="A77" s="244"/>
      <c r="B77" s="244" t="s">
        <v>58</v>
      </c>
      <c r="C77" s="244"/>
      <c r="D77" s="244"/>
      <c r="E77" s="254">
        <f>IF(E76&gt;0,ROUNDDOWN(E76,1),ROUNDUP(E76,1))</f>
        <v>-1.5</v>
      </c>
      <c r="F77" s="254">
        <f t="shared" ref="F77:J77" si="13">IF(F76&gt;0,ROUNDDOWN(F76,1),ROUNDUP(F76,1))</f>
        <v>-4.6999999999999993</v>
      </c>
      <c r="G77" s="254">
        <f t="shared" si="13"/>
        <v>-5.3999999999999995</v>
      </c>
      <c r="H77" s="254">
        <f t="shared" si="13"/>
        <v>-5.3</v>
      </c>
      <c r="I77" s="254">
        <f t="shared" si="13"/>
        <v>-6.6</v>
      </c>
      <c r="J77" s="254">
        <f t="shared" si="13"/>
        <v>-5.5</v>
      </c>
      <c r="K77" s="254">
        <f>IF(K76&gt;0,ROUNDDOWN(K76,1),ROUNDUP(K76,1))</f>
        <v>-6.8</v>
      </c>
      <c r="L77" s="257">
        <v>-4.3</v>
      </c>
      <c r="N77" s="241"/>
    </row>
    <row r="78" spans="1:56" s="91" customFormat="1">
      <c r="N78" s="241"/>
    </row>
    <row r="79" spans="1:56" s="91" customFormat="1"/>
    <row r="80" spans="1:56" s="91" customFormat="1">
      <c r="B80" s="72" t="s">
        <v>67</v>
      </c>
      <c r="C80" s="112" t="s">
        <v>12</v>
      </c>
      <c r="E80" s="252">
        <f>E65*(1-E77/100+$C$14)</f>
        <v>16909089.668416202</v>
      </c>
      <c r="F80" s="252">
        <f t="shared" ref="F80:L80" si="14">F65*(1-F77/100+$C$14)</f>
        <v>65125961.789008133</v>
      </c>
      <c r="G80" s="252">
        <f t="shared" si="14"/>
        <v>31949389.718869708</v>
      </c>
      <c r="H80" s="252">
        <f t="shared" si="14"/>
        <v>850749004.77946305</v>
      </c>
      <c r="I80" s="252">
        <f t="shared" si="14"/>
        <v>868340914.44151437</v>
      </c>
      <c r="J80" s="252">
        <f t="shared" si="14"/>
        <v>10283586.924996234</v>
      </c>
      <c r="K80" s="252">
        <f>K65*(1-K77/100+$C$14)</f>
        <v>608055438.4396199</v>
      </c>
      <c r="L80" s="252">
        <f t="shared" si="14"/>
        <v>42129112.762396201</v>
      </c>
    </row>
    <row r="81" spans="1:24" s="91" customFormat="1">
      <c r="B81" s="72" t="s">
        <v>82</v>
      </c>
      <c r="C81" s="112" t="s">
        <v>13</v>
      </c>
      <c r="E81" s="252">
        <f>E80*(1-E77/100+$C$15)</f>
        <v>17602362.344821267</v>
      </c>
      <c r="F81" s="252">
        <f t="shared" ref="F81:L81" si="15">F80*(1-F77/100+$C$15)</f>
        <v>69880156.99960573</v>
      </c>
      <c r="G81" s="252">
        <f t="shared" si="15"/>
        <v>34505340.896379285</v>
      </c>
      <c r="H81" s="252">
        <f t="shared" si="15"/>
        <v>917958176.1570406</v>
      </c>
      <c r="I81" s="252">
        <f t="shared" si="15"/>
        <v>948228278.57013381</v>
      </c>
      <c r="J81" s="252">
        <f>J80*(1-J77/100+$C$15)</f>
        <v>11116557.465920929</v>
      </c>
      <c r="K81" s="252">
        <f t="shared" si="15"/>
        <v>665212649.65294421</v>
      </c>
      <c r="L81" s="252">
        <f t="shared" si="15"/>
        <v>45036021.54300154</v>
      </c>
    </row>
    <row r="82" spans="1:24" s="91" customFormat="1">
      <c r="B82" s="72" t="s">
        <v>175</v>
      </c>
      <c r="C82" s="112" t="s">
        <v>40</v>
      </c>
      <c r="E82" s="249">
        <f>E81*(1-E77/100+$C$16)</f>
        <v>18271252.11392447</v>
      </c>
      <c r="F82" s="249">
        <f t="shared" ref="F82:K82" si="16">F81*(1-F77/100+$C$16)</f>
        <v>74771767.989578113</v>
      </c>
      <c r="G82" s="249">
        <f t="shared" si="16"/>
        <v>37162252.145400487</v>
      </c>
      <c r="H82" s="249">
        <f>H81*(1-H77/100+$C$16)</f>
        <v>987722997.54497552</v>
      </c>
      <c r="I82" s="249">
        <f>I81*(1-I77/100+$C$16)</f>
        <v>1032620595.3628757</v>
      </c>
      <c r="J82" s="249">
        <f t="shared" si="16"/>
        <v>11983648.94826276</v>
      </c>
      <c r="K82" s="249">
        <f t="shared" si="16"/>
        <v>725747000.77136207</v>
      </c>
      <c r="L82" s="249">
        <f>L81*(1-L77/100+$C$16)</f>
        <v>48008398.964839637</v>
      </c>
    </row>
    <row r="83" spans="1:24" s="112" customFormat="1"/>
    <row r="84" spans="1:24" s="175" customFormat="1">
      <c r="B84" s="100" t="s">
        <v>170</v>
      </c>
    </row>
    <row r="85" spans="1:24" s="112" customFormat="1"/>
    <row r="86" spans="1:24" s="176" customFormat="1" ht="12.75" customHeight="1">
      <c r="A86" s="108"/>
      <c r="B86" s="105" t="s">
        <v>43</v>
      </c>
      <c r="C86" s="108"/>
      <c r="D86" s="12"/>
      <c r="E86" s="173" t="s">
        <v>2</v>
      </c>
      <c r="F86" s="173" t="s">
        <v>3</v>
      </c>
      <c r="G86" s="173" t="s">
        <v>4</v>
      </c>
      <c r="H86" s="173" t="s">
        <v>5</v>
      </c>
      <c r="I86" s="173" t="s">
        <v>6</v>
      </c>
      <c r="J86" s="173" t="s">
        <v>7</v>
      </c>
      <c r="K86" s="173" t="s">
        <v>8</v>
      </c>
      <c r="L86" s="173" t="s">
        <v>9</v>
      </c>
      <c r="M86" s="12"/>
      <c r="N86" s="12"/>
      <c r="O86" s="12"/>
      <c r="P86" s="12"/>
      <c r="Q86" s="108"/>
      <c r="R86" s="108"/>
      <c r="S86" s="108"/>
      <c r="T86" s="108"/>
      <c r="U86" s="108"/>
      <c r="V86" s="108"/>
      <c r="W86" s="108"/>
      <c r="X86" s="108"/>
    </row>
    <row r="87" spans="1:24" s="108" customFormat="1" ht="12.75" customHeight="1">
      <c r="B87" s="105"/>
      <c r="D87" s="12"/>
      <c r="E87" s="12"/>
      <c r="F87" s="12"/>
      <c r="G87" s="12"/>
      <c r="H87" s="12"/>
      <c r="I87" s="12"/>
      <c r="J87" s="12"/>
      <c r="K87" s="12"/>
      <c r="L87" s="12"/>
      <c r="M87" s="12"/>
      <c r="N87" s="12"/>
      <c r="O87" s="12"/>
      <c r="P87" s="12"/>
    </row>
    <row r="88" spans="1:24" s="108" customFormat="1">
      <c r="B88" s="112" t="s">
        <v>171</v>
      </c>
      <c r="C88" s="112" t="s">
        <v>40</v>
      </c>
      <c r="D88" s="112"/>
      <c r="E88" s="255">
        <f t="shared" ref="E88:L88" si="17">E39</f>
        <v>19349660.663218264</v>
      </c>
      <c r="F88" s="255">
        <f t="shared" si="17"/>
        <v>74352610.676524892</v>
      </c>
      <c r="G88" s="255">
        <f t="shared" si="17"/>
        <v>37162252.145400487</v>
      </c>
      <c r="H88" s="255">
        <f t="shared" si="17"/>
        <v>987722997.54497552</v>
      </c>
      <c r="I88" s="255">
        <f t="shared" si="17"/>
        <v>1007190377.8015018</v>
      </c>
      <c r="J88" s="255">
        <f t="shared" si="17"/>
        <v>12084134.316309854</v>
      </c>
      <c r="K88" s="255">
        <f t="shared" si="17"/>
        <v>727747563.80093563</v>
      </c>
      <c r="L88" s="255">
        <f t="shared" si="17"/>
        <v>48008398.964839637</v>
      </c>
      <c r="M88" s="28"/>
      <c r="N88" s="102"/>
      <c r="O88" s="28"/>
      <c r="P88" s="28"/>
    </row>
    <row r="89" spans="1:24" s="108" customFormat="1">
      <c r="B89" s="109" t="s">
        <v>44</v>
      </c>
      <c r="D89" s="12"/>
      <c r="E89" s="256"/>
      <c r="F89" s="256"/>
      <c r="G89" s="256"/>
      <c r="H89" s="256"/>
      <c r="I89" s="256"/>
      <c r="J89" s="256"/>
      <c r="K89" s="256"/>
      <c r="L89" s="256"/>
      <c r="M89" s="12"/>
      <c r="N89" s="12"/>
      <c r="O89" s="12"/>
      <c r="P89" s="12"/>
    </row>
    <row r="90" spans="1:24" s="108" customFormat="1">
      <c r="B90" s="105"/>
      <c r="D90" s="12"/>
      <c r="E90" s="256"/>
      <c r="F90" s="256"/>
      <c r="G90" s="256"/>
      <c r="H90" s="256"/>
      <c r="I90" s="256"/>
      <c r="J90" s="256"/>
      <c r="K90" s="256"/>
      <c r="L90" s="256"/>
      <c r="M90" s="12"/>
      <c r="N90" s="12"/>
      <c r="O90" s="12"/>
      <c r="P90" s="12"/>
    </row>
    <row r="91" spans="1:24" s="112" customFormat="1">
      <c r="B91" s="112" t="s">
        <v>172</v>
      </c>
      <c r="C91" s="112" t="s">
        <v>40</v>
      </c>
      <c r="E91" s="255">
        <f t="shared" ref="E91:L91" si="18">E82</f>
        <v>18271252.11392447</v>
      </c>
      <c r="F91" s="255">
        <f t="shared" si="18"/>
        <v>74771767.989578113</v>
      </c>
      <c r="G91" s="255">
        <f t="shared" si="18"/>
        <v>37162252.145400487</v>
      </c>
      <c r="H91" s="255">
        <f t="shared" si="18"/>
        <v>987722997.54497552</v>
      </c>
      <c r="I91" s="255">
        <f t="shared" si="18"/>
        <v>1032620595.3628757</v>
      </c>
      <c r="J91" s="255">
        <f t="shared" si="18"/>
        <v>11983648.94826276</v>
      </c>
      <c r="K91" s="255">
        <f t="shared" si="18"/>
        <v>725747000.77136207</v>
      </c>
      <c r="L91" s="255">
        <f t="shared" si="18"/>
        <v>48008398.964839637</v>
      </c>
      <c r="M91" s="28"/>
      <c r="N91" s="102"/>
      <c r="O91" s="28"/>
      <c r="P91" s="28"/>
      <c r="Q91" s="108"/>
      <c r="R91" s="108"/>
      <c r="S91" s="108"/>
      <c r="T91" s="108"/>
      <c r="U91" s="108"/>
      <c r="V91" s="108"/>
      <c r="W91" s="108"/>
      <c r="X91" s="108"/>
    </row>
    <row r="92" spans="1:24" s="112" customFormat="1">
      <c r="B92" s="109" t="s">
        <v>45</v>
      </c>
    </row>
    <row r="93" spans="1:24" s="112" customFormat="1">
      <c r="B93" s="105"/>
    </row>
    <row r="94" spans="1:24" s="112" customFormat="1">
      <c r="B94" s="112" t="s">
        <v>173</v>
      </c>
      <c r="C94" s="112" t="s">
        <v>40</v>
      </c>
      <c r="E94" s="220">
        <f>E91-E88</f>
        <v>-1078408.5492937937</v>
      </c>
      <c r="F94" s="220">
        <f t="shared" ref="F94:L94" si="19">F91-F88</f>
        <v>419157.31305322051</v>
      </c>
      <c r="G94" s="220">
        <f t="shared" si="19"/>
        <v>0</v>
      </c>
      <c r="H94" s="220">
        <f t="shared" si="19"/>
        <v>0</v>
      </c>
      <c r="I94" s="220">
        <f>I91-I88</f>
        <v>25430217.561373949</v>
      </c>
      <c r="J94" s="220">
        <f t="shared" si="19"/>
        <v>-100485.36804709397</v>
      </c>
      <c r="K94" s="220">
        <f t="shared" si="19"/>
        <v>-2000563.0295735598</v>
      </c>
      <c r="L94" s="220">
        <f t="shared" si="19"/>
        <v>0</v>
      </c>
      <c r="M94" s="221"/>
      <c r="N94" s="221"/>
      <c r="O94" s="221"/>
      <c r="P94" s="221"/>
      <c r="Q94" s="108"/>
      <c r="R94" s="108"/>
      <c r="S94" s="108"/>
      <c r="T94" s="108"/>
      <c r="U94" s="108"/>
      <c r="V94" s="108"/>
      <c r="W94" s="108"/>
      <c r="X94" s="108"/>
    </row>
    <row r="95" spans="1:24" s="112" customFormat="1">
      <c r="I95" s="258"/>
    </row>
    <row r="96" spans="1:24" s="112" customFormat="1"/>
  </sheetData>
  <pageMargins left="0.74803149606299213" right="0.74803149606299213" top="0.98425196850393704" bottom="0.98425196850393704" header="0.51181102362204722" footer="0.51181102362204722"/>
  <pageSetup paperSize="8" scale="4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Z88"/>
  <sheetViews>
    <sheetView showGridLines="0" zoomScale="80" zoomScaleNormal="80" workbookViewId="0">
      <pane xSplit="5" ySplit="15" topLeftCell="F16" activePane="bottomRight" state="frozen"/>
      <selection pane="topRight" activeCell="F1" sqref="F1"/>
      <selection pane="bottomLeft" activeCell="A8" sqref="A8"/>
      <selection pane="bottomRight"/>
    </sheetView>
  </sheetViews>
  <sheetFormatPr defaultRowHeight="12.75"/>
  <cols>
    <col min="1" max="1" width="3.42578125" style="94" customWidth="1"/>
    <col min="2" max="2" width="44.28515625" style="94" customWidth="1"/>
    <col min="3" max="3" width="5.5703125" style="94" customWidth="1"/>
    <col min="4" max="4" width="17.7109375" style="94" customWidth="1"/>
    <col min="5" max="5" width="3.5703125" style="94" customWidth="1"/>
    <col min="6" max="6" width="18" style="94" customWidth="1"/>
    <col min="7" max="15" width="14.7109375" style="94" customWidth="1"/>
    <col min="16" max="16" width="7.5703125" style="94" customWidth="1"/>
    <col min="17" max="17" width="21.28515625" style="94" customWidth="1"/>
    <col min="18" max="255" width="9.140625" style="94"/>
    <col min="256" max="256" width="3.42578125" style="94" customWidth="1"/>
    <col min="257" max="257" width="44.28515625" style="94" customWidth="1"/>
    <col min="258" max="258" width="5.5703125" style="94" customWidth="1"/>
    <col min="259" max="259" width="17.7109375" style="94" customWidth="1"/>
    <col min="260" max="260" width="3.5703125" style="94" customWidth="1"/>
    <col min="261" max="261" width="18" style="94" customWidth="1"/>
    <col min="262" max="262" width="3.28515625" style="94" customWidth="1"/>
    <col min="263" max="264" width="12.5703125" style="94" customWidth="1"/>
    <col min="265" max="265" width="15.140625" style="94" customWidth="1"/>
    <col min="266" max="270" width="12.5703125" style="94" customWidth="1"/>
    <col min="271" max="271" width="16" style="94" customWidth="1"/>
    <col min="272" max="272" width="7.5703125" style="94" customWidth="1"/>
    <col min="273" max="273" width="21.28515625" style="94" customWidth="1"/>
    <col min="274" max="511" width="9.140625" style="94"/>
    <col min="512" max="512" width="3.42578125" style="94" customWidth="1"/>
    <col min="513" max="513" width="44.28515625" style="94" customWidth="1"/>
    <col min="514" max="514" width="5.5703125" style="94" customWidth="1"/>
    <col min="515" max="515" width="17.7109375" style="94" customWidth="1"/>
    <col min="516" max="516" width="3.5703125" style="94" customWidth="1"/>
    <col min="517" max="517" width="18" style="94" customWidth="1"/>
    <col min="518" max="518" width="3.28515625" style="94" customWidth="1"/>
    <col min="519" max="520" width="12.5703125" style="94" customWidth="1"/>
    <col min="521" max="521" width="15.140625" style="94" customWidth="1"/>
    <col min="522" max="526" width="12.5703125" style="94" customWidth="1"/>
    <col min="527" max="527" width="16" style="94" customWidth="1"/>
    <col min="528" max="528" width="7.5703125" style="94" customWidth="1"/>
    <col min="529" max="529" width="21.28515625" style="94" customWidth="1"/>
    <col min="530" max="767" width="9.140625" style="94"/>
    <col min="768" max="768" width="3.42578125" style="94" customWidth="1"/>
    <col min="769" max="769" width="44.28515625" style="94" customWidth="1"/>
    <col min="770" max="770" width="5.5703125" style="94" customWidth="1"/>
    <col min="771" max="771" width="17.7109375" style="94" customWidth="1"/>
    <col min="772" max="772" width="3.5703125" style="94" customWidth="1"/>
    <col min="773" max="773" width="18" style="94" customWidth="1"/>
    <col min="774" max="774" width="3.28515625" style="94" customWidth="1"/>
    <col min="775" max="776" width="12.5703125" style="94" customWidth="1"/>
    <col min="777" max="777" width="15.140625" style="94" customWidth="1"/>
    <col min="778" max="782" width="12.5703125" style="94" customWidth="1"/>
    <col min="783" max="783" width="16" style="94" customWidth="1"/>
    <col min="784" max="784" width="7.5703125" style="94" customWidth="1"/>
    <col min="785" max="785" width="21.28515625" style="94" customWidth="1"/>
    <col min="786" max="1023" width="9.140625" style="94"/>
    <col min="1024" max="1024" width="3.42578125" style="94" customWidth="1"/>
    <col min="1025" max="1025" width="44.28515625" style="94" customWidth="1"/>
    <col min="1026" max="1026" width="5.5703125" style="94" customWidth="1"/>
    <col min="1027" max="1027" width="17.7109375" style="94" customWidth="1"/>
    <col min="1028" max="1028" width="3.5703125" style="94" customWidth="1"/>
    <col min="1029" max="1029" width="18" style="94" customWidth="1"/>
    <col min="1030" max="1030" width="3.28515625" style="94" customWidth="1"/>
    <col min="1031" max="1032" width="12.5703125" style="94" customWidth="1"/>
    <col min="1033" max="1033" width="15.140625" style="94" customWidth="1"/>
    <col min="1034" max="1038" width="12.5703125" style="94" customWidth="1"/>
    <col min="1039" max="1039" width="16" style="94" customWidth="1"/>
    <col min="1040" max="1040" width="7.5703125" style="94" customWidth="1"/>
    <col min="1041" max="1041" width="21.28515625" style="94" customWidth="1"/>
    <col min="1042" max="1279" width="9.140625" style="94"/>
    <col min="1280" max="1280" width="3.42578125" style="94" customWidth="1"/>
    <col min="1281" max="1281" width="44.28515625" style="94" customWidth="1"/>
    <col min="1282" max="1282" width="5.5703125" style="94" customWidth="1"/>
    <col min="1283" max="1283" width="17.7109375" style="94" customWidth="1"/>
    <col min="1284" max="1284" width="3.5703125" style="94" customWidth="1"/>
    <col min="1285" max="1285" width="18" style="94" customWidth="1"/>
    <col min="1286" max="1286" width="3.28515625" style="94" customWidth="1"/>
    <col min="1287" max="1288" width="12.5703125" style="94" customWidth="1"/>
    <col min="1289" max="1289" width="15.140625" style="94" customWidth="1"/>
    <col min="1290" max="1294" width="12.5703125" style="94" customWidth="1"/>
    <col min="1295" max="1295" width="16" style="94" customWidth="1"/>
    <col min="1296" max="1296" width="7.5703125" style="94" customWidth="1"/>
    <col min="1297" max="1297" width="21.28515625" style="94" customWidth="1"/>
    <col min="1298" max="1535" width="9.140625" style="94"/>
    <col min="1536" max="1536" width="3.42578125" style="94" customWidth="1"/>
    <col min="1537" max="1537" width="44.28515625" style="94" customWidth="1"/>
    <col min="1538" max="1538" width="5.5703125" style="94" customWidth="1"/>
    <col min="1539" max="1539" width="17.7109375" style="94" customWidth="1"/>
    <col min="1540" max="1540" width="3.5703125" style="94" customWidth="1"/>
    <col min="1541" max="1541" width="18" style="94" customWidth="1"/>
    <col min="1542" max="1542" width="3.28515625" style="94" customWidth="1"/>
    <col min="1543" max="1544" width="12.5703125" style="94" customWidth="1"/>
    <col min="1545" max="1545" width="15.140625" style="94" customWidth="1"/>
    <col min="1546" max="1550" width="12.5703125" style="94" customWidth="1"/>
    <col min="1551" max="1551" width="16" style="94" customWidth="1"/>
    <col min="1552" max="1552" width="7.5703125" style="94" customWidth="1"/>
    <col min="1553" max="1553" width="21.28515625" style="94" customWidth="1"/>
    <col min="1554" max="1791" width="9.140625" style="94"/>
    <col min="1792" max="1792" width="3.42578125" style="94" customWidth="1"/>
    <col min="1793" max="1793" width="44.28515625" style="94" customWidth="1"/>
    <col min="1794" max="1794" width="5.5703125" style="94" customWidth="1"/>
    <col min="1795" max="1795" width="17.7109375" style="94" customWidth="1"/>
    <col min="1796" max="1796" width="3.5703125" style="94" customWidth="1"/>
    <col min="1797" max="1797" width="18" style="94" customWidth="1"/>
    <col min="1798" max="1798" width="3.28515625" style="94" customWidth="1"/>
    <col min="1799" max="1800" width="12.5703125" style="94" customWidth="1"/>
    <col min="1801" max="1801" width="15.140625" style="94" customWidth="1"/>
    <col min="1802" max="1806" width="12.5703125" style="94" customWidth="1"/>
    <col min="1807" max="1807" width="16" style="94" customWidth="1"/>
    <col min="1808" max="1808" width="7.5703125" style="94" customWidth="1"/>
    <col min="1809" max="1809" width="21.28515625" style="94" customWidth="1"/>
    <col min="1810" max="2047" width="9.140625" style="94"/>
    <col min="2048" max="2048" width="3.42578125" style="94" customWidth="1"/>
    <col min="2049" max="2049" width="44.28515625" style="94" customWidth="1"/>
    <col min="2050" max="2050" width="5.5703125" style="94" customWidth="1"/>
    <col min="2051" max="2051" width="17.7109375" style="94" customWidth="1"/>
    <col min="2052" max="2052" width="3.5703125" style="94" customWidth="1"/>
    <col min="2053" max="2053" width="18" style="94" customWidth="1"/>
    <col min="2054" max="2054" width="3.28515625" style="94" customWidth="1"/>
    <col min="2055" max="2056" width="12.5703125" style="94" customWidth="1"/>
    <col min="2057" max="2057" width="15.140625" style="94" customWidth="1"/>
    <col min="2058" max="2062" width="12.5703125" style="94" customWidth="1"/>
    <col min="2063" max="2063" width="16" style="94" customWidth="1"/>
    <col min="2064" max="2064" width="7.5703125" style="94" customWidth="1"/>
    <col min="2065" max="2065" width="21.28515625" style="94" customWidth="1"/>
    <col min="2066" max="2303" width="9.140625" style="94"/>
    <col min="2304" max="2304" width="3.42578125" style="94" customWidth="1"/>
    <col min="2305" max="2305" width="44.28515625" style="94" customWidth="1"/>
    <col min="2306" max="2306" width="5.5703125" style="94" customWidth="1"/>
    <col min="2307" max="2307" width="17.7109375" style="94" customWidth="1"/>
    <col min="2308" max="2308" width="3.5703125" style="94" customWidth="1"/>
    <col min="2309" max="2309" width="18" style="94" customWidth="1"/>
    <col min="2310" max="2310" width="3.28515625" style="94" customWidth="1"/>
    <col min="2311" max="2312" width="12.5703125" style="94" customWidth="1"/>
    <col min="2313" max="2313" width="15.140625" style="94" customWidth="1"/>
    <col min="2314" max="2318" width="12.5703125" style="94" customWidth="1"/>
    <col min="2319" max="2319" width="16" style="94" customWidth="1"/>
    <col min="2320" max="2320" width="7.5703125" style="94" customWidth="1"/>
    <col min="2321" max="2321" width="21.28515625" style="94" customWidth="1"/>
    <col min="2322" max="2559" width="9.140625" style="94"/>
    <col min="2560" max="2560" width="3.42578125" style="94" customWidth="1"/>
    <col min="2561" max="2561" width="44.28515625" style="94" customWidth="1"/>
    <col min="2562" max="2562" width="5.5703125" style="94" customWidth="1"/>
    <col min="2563" max="2563" width="17.7109375" style="94" customWidth="1"/>
    <col min="2564" max="2564" width="3.5703125" style="94" customWidth="1"/>
    <col min="2565" max="2565" width="18" style="94" customWidth="1"/>
    <col min="2566" max="2566" width="3.28515625" style="94" customWidth="1"/>
    <col min="2567" max="2568" width="12.5703125" style="94" customWidth="1"/>
    <col min="2569" max="2569" width="15.140625" style="94" customWidth="1"/>
    <col min="2570" max="2574" width="12.5703125" style="94" customWidth="1"/>
    <col min="2575" max="2575" width="16" style="94" customWidth="1"/>
    <col min="2576" max="2576" width="7.5703125" style="94" customWidth="1"/>
    <col min="2577" max="2577" width="21.28515625" style="94" customWidth="1"/>
    <col min="2578" max="2815" width="9.140625" style="94"/>
    <col min="2816" max="2816" width="3.42578125" style="94" customWidth="1"/>
    <col min="2817" max="2817" width="44.28515625" style="94" customWidth="1"/>
    <col min="2818" max="2818" width="5.5703125" style="94" customWidth="1"/>
    <col min="2819" max="2819" width="17.7109375" style="94" customWidth="1"/>
    <col min="2820" max="2820" width="3.5703125" style="94" customWidth="1"/>
    <col min="2821" max="2821" width="18" style="94" customWidth="1"/>
    <col min="2822" max="2822" width="3.28515625" style="94" customWidth="1"/>
    <col min="2823" max="2824" width="12.5703125" style="94" customWidth="1"/>
    <col min="2825" max="2825" width="15.140625" style="94" customWidth="1"/>
    <col min="2826" max="2830" width="12.5703125" style="94" customWidth="1"/>
    <col min="2831" max="2831" width="16" style="94" customWidth="1"/>
    <col min="2832" max="2832" width="7.5703125" style="94" customWidth="1"/>
    <col min="2833" max="2833" width="21.28515625" style="94" customWidth="1"/>
    <col min="2834" max="3071" width="9.140625" style="94"/>
    <col min="3072" max="3072" width="3.42578125" style="94" customWidth="1"/>
    <col min="3073" max="3073" width="44.28515625" style="94" customWidth="1"/>
    <col min="3074" max="3074" width="5.5703125" style="94" customWidth="1"/>
    <col min="3075" max="3075" width="17.7109375" style="94" customWidth="1"/>
    <col min="3076" max="3076" width="3.5703125" style="94" customWidth="1"/>
    <col min="3077" max="3077" width="18" style="94" customWidth="1"/>
    <col min="3078" max="3078" width="3.28515625" style="94" customWidth="1"/>
    <col min="3079" max="3080" width="12.5703125" style="94" customWidth="1"/>
    <col min="3081" max="3081" width="15.140625" style="94" customWidth="1"/>
    <col min="3082" max="3086" width="12.5703125" style="94" customWidth="1"/>
    <col min="3087" max="3087" width="16" style="94" customWidth="1"/>
    <col min="3088" max="3088" width="7.5703125" style="94" customWidth="1"/>
    <col min="3089" max="3089" width="21.28515625" style="94" customWidth="1"/>
    <col min="3090" max="3327" width="9.140625" style="94"/>
    <col min="3328" max="3328" width="3.42578125" style="94" customWidth="1"/>
    <col min="3329" max="3329" width="44.28515625" style="94" customWidth="1"/>
    <col min="3330" max="3330" width="5.5703125" style="94" customWidth="1"/>
    <col min="3331" max="3331" width="17.7109375" style="94" customWidth="1"/>
    <col min="3332" max="3332" width="3.5703125" style="94" customWidth="1"/>
    <col min="3333" max="3333" width="18" style="94" customWidth="1"/>
    <col min="3334" max="3334" width="3.28515625" style="94" customWidth="1"/>
    <col min="3335" max="3336" width="12.5703125" style="94" customWidth="1"/>
    <col min="3337" max="3337" width="15.140625" style="94" customWidth="1"/>
    <col min="3338" max="3342" width="12.5703125" style="94" customWidth="1"/>
    <col min="3343" max="3343" width="16" style="94" customWidth="1"/>
    <col min="3344" max="3344" width="7.5703125" style="94" customWidth="1"/>
    <col min="3345" max="3345" width="21.28515625" style="94" customWidth="1"/>
    <col min="3346" max="3583" width="9.140625" style="94"/>
    <col min="3584" max="3584" width="3.42578125" style="94" customWidth="1"/>
    <col min="3585" max="3585" width="44.28515625" style="94" customWidth="1"/>
    <col min="3586" max="3586" width="5.5703125" style="94" customWidth="1"/>
    <col min="3587" max="3587" width="17.7109375" style="94" customWidth="1"/>
    <col min="3588" max="3588" width="3.5703125" style="94" customWidth="1"/>
    <col min="3589" max="3589" width="18" style="94" customWidth="1"/>
    <col min="3590" max="3590" width="3.28515625" style="94" customWidth="1"/>
    <col min="3591" max="3592" width="12.5703125" style="94" customWidth="1"/>
    <col min="3593" max="3593" width="15.140625" style="94" customWidth="1"/>
    <col min="3594" max="3598" width="12.5703125" style="94" customWidth="1"/>
    <col min="3599" max="3599" width="16" style="94" customWidth="1"/>
    <col min="3600" max="3600" width="7.5703125" style="94" customWidth="1"/>
    <col min="3601" max="3601" width="21.28515625" style="94" customWidth="1"/>
    <col min="3602" max="3839" width="9.140625" style="94"/>
    <col min="3840" max="3840" width="3.42578125" style="94" customWidth="1"/>
    <col min="3841" max="3841" width="44.28515625" style="94" customWidth="1"/>
    <col min="3842" max="3842" width="5.5703125" style="94" customWidth="1"/>
    <col min="3843" max="3843" width="17.7109375" style="94" customWidth="1"/>
    <col min="3844" max="3844" width="3.5703125" style="94" customWidth="1"/>
    <col min="3845" max="3845" width="18" style="94" customWidth="1"/>
    <col min="3846" max="3846" width="3.28515625" style="94" customWidth="1"/>
    <col min="3847" max="3848" width="12.5703125" style="94" customWidth="1"/>
    <col min="3849" max="3849" width="15.140625" style="94" customWidth="1"/>
    <col min="3850" max="3854" width="12.5703125" style="94" customWidth="1"/>
    <col min="3855" max="3855" width="16" style="94" customWidth="1"/>
    <col min="3856" max="3856" width="7.5703125" style="94" customWidth="1"/>
    <col min="3857" max="3857" width="21.28515625" style="94" customWidth="1"/>
    <col min="3858" max="4095" width="9.140625" style="94"/>
    <col min="4096" max="4096" width="3.42578125" style="94" customWidth="1"/>
    <col min="4097" max="4097" width="44.28515625" style="94" customWidth="1"/>
    <col min="4098" max="4098" width="5.5703125" style="94" customWidth="1"/>
    <col min="4099" max="4099" width="17.7109375" style="94" customWidth="1"/>
    <col min="4100" max="4100" width="3.5703125" style="94" customWidth="1"/>
    <col min="4101" max="4101" width="18" style="94" customWidth="1"/>
    <col min="4102" max="4102" width="3.28515625" style="94" customWidth="1"/>
    <col min="4103" max="4104" width="12.5703125" style="94" customWidth="1"/>
    <col min="4105" max="4105" width="15.140625" style="94" customWidth="1"/>
    <col min="4106" max="4110" width="12.5703125" style="94" customWidth="1"/>
    <col min="4111" max="4111" width="16" style="94" customWidth="1"/>
    <col min="4112" max="4112" width="7.5703125" style="94" customWidth="1"/>
    <col min="4113" max="4113" width="21.28515625" style="94" customWidth="1"/>
    <col min="4114" max="4351" width="9.140625" style="94"/>
    <col min="4352" max="4352" width="3.42578125" style="94" customWidth="1"/>
    <col min="4353" max="4353" width="44.28515625" style="94" customWidth="1"/>
    <col min="4354" max="4354" width="5.5703125" style="94" customWidth="1"/>
    <col min="4355" max="4355" width="17.7109375" style="94" customWidth="1"/>
    <col min="4356" max="4356" width="3.5703125" style="94" customWidth="1"/>
    <col min="4357" max="4357" width="18" style="94" customWidth="1"/>
    <col min="4358" max="4358" width="3.28515625" style="94" customWidth="1"/>
    <col min="4359" max="4360" width="12.5703125" style="94" customWidth="1"/>
    <col min="4361" max="4361" width="15.140625" style="94" customWidth="1"/>
    <col min="4362" max="4366" width="12.5703125" style="94" customWidth="1"/>
    <col min="4367" max="4367" width="16" style="94" customWidth="1"/>
    <col min="4368" max="4368" width="7.5703125" style="94" customWidth="1"/>
    <col min="4369" max="4369" width="21.28515625" style="94" customWidth="1"/>
    <col min="4370" max="4607" width="9.140625" style="94"/>
    <col min="4608" max="4608" width="3.42578125" style="94" customWidth="1"/>
    <col min="4609" max="4609" width="44.28515625" style="94" customWidth="1"/>
    <col min="4610" max="4610" width="5.5703125" style="94" customWidth="1"/>
    <col min="4611" max="4611" width="17.7109375" style="94" customWidth="1"/>
    <col min="4612" max="4612" width="3.5703125" style="94" customWidth="1"/>
    <col min="4613" max="4613" width="18" style="94" customWidth="1"/>
    <col min="4614" max="4614" width="3.28515625" style="94" customWidth="1"/>
    <col min="4615" max="4616" width="12.5703125" style="94" customWidth="1"/>
    <col min="4617" max="4617" width="15.140625" style="94" customWidth="1"/>
    <col min="4618" max="4622" width="12.5703125" style="94" customWidth="1"/>
    <col min="4623" max="4623" width="16" style="94" customWidth="1"/>
    <col min="4624" max="4624" width="7.5703125" style="94" customWidth="1"/>
    <col min="4625" max="4625" width="21.28515625" style="94" customWidth="1"/>
    <col min="4626" max="4863" width="9.140625" style="94"/>
    <col min="4864" max="4864" width="3.42578125" style="94" customWidth="1"/>
    <col min="4865" max="4865" width="44.28515625" style="94" customWidth="1"/>
    <col min="4866" max="4866" width="5.5703125" style="94" customWidth="1"/>
    <col min="4867" max="4867" width="17.7109375" style="94" customWidth="1"/>
    <col min="4868" max="4868" width="3.5703125" style="94" customWidth="1"/>
    <col min="4869" max="4869" width="18" style="94" customWidth="1"/>
    <col min="4870" max="4870" width="3.28515625" style="94" customWidth="1"/>
    <col min="4871" max="4872" width="12.5703125" style="94" customWidth="1"/>
    <col min="4873" max="4873" width="15.140625" style="94" customWidth="1"/>
    <col min="4874" max="4878" width="12.5703125" style="94" customWidth="1"/>
    <col min="4879" max="4879" width="16" style="94" customWidth="1"/>
    <col min="4880" max="4880" width="7.5703125" style="94" customWidth="1"/>
    <col min="4881" max="4881" width="21.28515625" style="94" customWidth="1"/>
    <col min="4882" max="5119" width="9.140625" style="94"/>
    <col min="5120" max="5120" width="3.42578125" style="94" customWidth="1"/>
    <col min="5121" max="5121" width="44.28515625" style="94" customWidth="1"/>
    <col min="5122" max="5122" width="5.5703125" style="94" customWidth="1"/>
    <col min="5123" max="5123" width="17.7109375" style="94" customWidth="1"/>
    <col min="5124" max="5124" width="3.5703125" style="94" customWidth="1"/>
    <col min="5125" max="5125" width="18" style="94" customWidth="1"/>
    <col min="5126" max="5126" width="3.28515625" style="94" customWidth="1"/>
    <col min="5127" max="5128" width="12.5703125" style="94" customWidth="1"/>
    <col min="5129" max="5129" width="15.140625" style="94" customWidth="1"/>
    <col min="5130" max="5134" width="12.5703125" style="94" customWidth="1"/>
    <col min="5135" max="5135" width="16" style="94" customWidth="1"/>
    <col min="5136" max="5136" width="7.5703125" style="94" customWidth="1"/>
    <col min="5137" max="5137" width="21.28515625" style="94" customWidth="1"/>
    <col min="5138" max="5375" width="9.140625" style="94"/>
    <col min="5376" max="5376" width="3.42578125" style="94" customWidth="1"/>
    <col min="5377" max="5377" width="44.28515625" style="94" customWidth="1"/>
    <col min="5378" max="5378" width="5.5703125" style="94" customWidth="1"/>
    <col min="5379" max="5379" width="17.7109375" style="94" customWidth="1"/>
    <col min="5380" max="5380" width="3.5703125" style="94" customWidth="1"/>
    <col min="5381" max="5381" width="18" style="94" customWidth="1"/>
    <col min="5382" max="5382" width="3.28515625" style="94" customWidth="1"/>
    <col min="5383" max="5384" width="12.5703125" style="94" customWidth="1"/>
    <col min="5385" max="5385" width="15.140625" style="94" customWidth="1"/>
    <col min="5386" max="5390" width="12.5703125" style="94" customWidth="1"/>
    <col min="5391" max="5391" width="16" style="94" customWidth="1"/>
    <col min="5392" max="5392" width="7.5703125" style="94" customWidth="1"/>
    <col min="5393" max="5393" width="21.28515625" style="94" customWidth="1"/>
    <col min="5394" max="5631" width="9.140625" style="94"/>
    <col min="5632" max="5632" width="3.42578125" style="94" customWidth="1"/>
    <col min="5633" max="5633" width="44.28515625" style="94" customWidth="1"/>
    <col min="5634" max="5634" width="5.5703125" style="94" customWidth="1"/>
    <col min="5635" max="5635" width="17.7109375" style="94" customWidth="1"/>
    <col min="5636" max="5636" width="3.5703125" style="94" customWidth="1"/>
    <col min="5637" max="5637" width="18" style="94" customWidth="1"/>
    <col min="5638" max="5638" width="3.28515625" style="94" customWidth="1"/>
    <col min="5639" max="5640" width="12.5703125" style="94" customWidth="1"/>
    <col min="5641" max="5641" width="15.140625" style="94" customWidth="1"/>
    <col min="5642" max="5646" width="12.5703125" style="94" customWidth="1"/>
    <col min="5647" max="5647" width="16" style="94" customWidth="1"/>
    <col min="5648" max="5648" width="7.5703125" style="94" customWidth="1"/>
    <col min="5649" max="5649" width="21.28515625" style="94" customWidth="1"/>
    <col min="5650" max="5887" width="9.140625" style="94"/>
    <col min="5888" max="5888" width="3.42578125" style="94" customWidth="1"/>
    <col min="5889" max="5889" width="44.28515625" style="94" customWidth="1"/>
    <col min="5890" max="5890" width="5.5703125" style="94" customWidth="1"/>
    <col min="5891" max="5891" width="17.7109375" style="94" customWidth="1"/>
    <col min="5892" max="5892" width="3.5703125" style="94" customWidth="1"/>
    <col min="5893" max="5893" width="18" style="94" customWidth="1"/>
    <col min="5894" max="5894" width="3.28515625" style="94" customWidth="1"/>
    <col min="5895" max="5896" width="12.5703125" style="94" customWidth="1"/>
    <col min="5897" max="5897" width="15.140625" style="94" customWidth="1"/>
    <col min="5898" max="5902" width="12.5703125" style="94" customWidth="1"/>
    <col min="5903" max="5903" width="16" style="94" customWidth="1"/>
    <col min="5904" max="5904" width="7.5703125" style="94" customWidth="1"/>
    <col min="5905" max="5905" width="21.28515625" style="94" customWidth="1"/>
    <col min="5906" max="6143" width="9.140625" style="94"/>
    <col min="6144" max="6144" width="3.42578125" style="94" customWidth="1"/>
    <col min="6145" max="6145" width="44.28515625" style="94" customWidth="1"/>
    <col min="6146" max="6146" width="5.5703125" style="94" customWidth="1"/>
    <col min="6147" max="6147" width="17.7109375" style="94" customWidth="1"/>
    <col min="6148" max="6148" width="3.5703125" style="94" customWidth="1"/>
    <col min="6149" max="6149" width="18" style="94" customWidth="1"/>
    <col min="6150" max="6150" width="3.28515625" style="94" customWidth="1"/>
    <col min="6151" max="6152" width="12.5703125" style="94" customWidth="1"/>
    <col min="6153" max="6153" width="15.140625" style="94" customWidth="1"/>
    <col min="6154" max="6158" width="12.5703125" style="94" customWidth="1"/>
    <col min="6159" max="6159" width="16" style="94" customWidth="1"/>
    <col min="6160" max="6160" width="7.5703125" style="94" customWidth="1"/>
    <col min="6161" max="6161" width="21.28515625" style="94" customWidth="1"/>
    <col min="6162" max="6399" width="9.140625" style="94"/>
    <col min="6400" max="6400" width="3.42578125" style="94" customWidth="1"/>
    <col min="6401" max="6401" width="44.28515625" style="94" customWidth="1"/>
    <col min="6402" max="6402" width="5.5703125" style="94" customWidth="1"/>
    <col min="6403" max="6403" width="17.7109375" style="94" customWidth="1"/>
    <col min="6404" max="6404" width="3.5703125" style="94" customWidth="1"/>
    <col min="6405" max="6405" width="18" style="94" customWidth="1"/>
    <col min="6406" max="6406" width="3.28515625" style="94" customWidth="1"/>
    <col min="6407" max="6408" width="12.5703125" style="94" customWidth="1"/>
    <col min="6409" max="6409" width="15.140625" style="94" customWidth="1"/>
    <col min="6410" max="6414" width="12.5703125" style="94" customWidth="1"/>
    <col min="6415" max="6415" width="16" style="94" customWidth="1"/>
    <col min="6416" max="6416" width="7.5703125" style="94" customWidth="1"/>
    <col min="6417" max="6417" width="21.28515625" style="94" customWidth="1"/>
    <col min="6418" max="6655" width="9.140625" style="94"/>
    <col min="6656" max="6656" width="3.42578125" style="94" customWidth="1"/>
    <col min="6657" max="6657" width="44.28515625" style="94" customWidth="1"/>
    <col min="6658" max="6658" width="5.5703125" style="94" customWidth="1"/>
    <col min="6659" max="6659" width="17.7109375" style="94" customWidth="1"/>
    <col min="6660" max="6660" width="3.5703125" style="94" customWidth="1"/>
    <col min="6661" max="6661" width="18" style="94" customWidth="1"/>
    <col min="6662" max="6662" width="3.28515625" style="94" customWidth="1"/>
    <col min="6663" max="6664" width="12.5703125" style="94" customWidth="1"/>
    <col min="6665" max="6665" width="15.140625" style="94" customWidth="1"/>
    <col min="6666" max="6670" width="12.5703125" style="94" customWidth="1"/>
    <col min="6671" max="6671" width="16" style="94" customWidth="1"/>
    <col min="6672" max="6672" width="7.5703125" style="94" customWidth="1"/>
    <col min="6673" max="6673" width="21.28515625" style="94" customWidth="1"/>
    <col min="6674" max="6911" width="9.140625" style="94"/>
    <col min="6912" max="6912" width="3.42578125" style="94" customWidth="1"/>
    <col min="6913" max="6913" width="44.28515625" style="94" customWidth="1"/>
    <col min="6914" max="6914" width="5.5703125" style="94" customWidth="1"/>
    <col min="6915" max="6915" width="17.7109375" style="94" customWidth="1"/>
    <col min="6916" max="6916" width="3.5703125" style="94" customWidth="1"/>
    <col min="6917" max="6917" width="18" style="94" customWidth="1"/>
    <col min="6918" max="6918" width="3.28515625" style="94" customWidth="1"/>
    <col min="6919" max="6920" width="12.5703125" style="94" customWidth="1"/>
    <col min="6921" max="6921" width="15.140625" style="94" customWidth="1"/>
    <col min="6922" max="6926" width="12.5703125" style="94" customWidth="1"/>
    <col min="6927" max="6927" width="16" style="94" customWidth="1"/>
    <col min="6928" max="6928" width="7.5703125" style="94" customWidth="1"/>
    <col min="6929" max="6929" width="21.28515625" style="94" customWidth="1"/>
    <col min="6930" max="7167" width="9.140625" style="94"/>
    <col min="7168" max="7168" width="3.42578125" style="94" customWidth="1"/>
    <col min="7169" max="7169" width="44.28515625" style="94" customWidth="1"/>
    <col min="7170" max="7170" width="5.5703125" style="94" customWidth="1"/>
    <col min="7171" max="7171" width="17.7109375" style="94" customWidth="1"/>
    <col min="7172" max="7172" width="3.5703125" style="94" customWidth="1"/>
    <col min="7173" max="7173" width="18" style="94" customWidth="1"/>
    <col min="7174" max="7174" width="3.28515625" style="94" customWidth="1"/>
    <col min="7175" max="7176" width="12.5703125" style="94" customWidth="1"/>
    <col min="7177" max="7177" width="15.140625" style="94" customWidth="1"/>
    <col min="7178" max="7182" width="12.5703125" style="94" customWidth="1"/>
    <col min="7183" max="7183" width="16" style="94" customWidth="1"/>
    <col min="7184" max="7184" width="7.5703125" style="94" customWidth="1"/>
    <col min="7185" max="7185" width="21.28515625" style="94" customWidth="1"/>
    <col min="7186" max="7423" width="9.140625" style="94"/>
    <col min="7424" max="7424" width="3.42578125" style="94" customWidth="1"/>
    <col min="7425" max="7425" width="44.28515625" style="94" customWidth="1"/>
    <col min="7426" max="7426" width="5.5703125" style="94" customWidth="1"/>
    <col min="7427" max="7427" width="17.7109375" style="94" customWidth="1"/>
    <col min="7428" max="7428" width="3.5703125" style="94" customWidth="1"/>
    <col min="7429" max="7429" width="18" style="94" customWidth="1"/>
    <col min="7430" max="7430" width="3.28515625" style="94" customWidth="1"/>
    <col min="7431" max="7432" width="12.5703125" style="94" customWidth="1"/>
    <col min="7433" max="7433" width="15.140625" style="94" customWidth="1"/>
    <col min="7434" max="7438" width="12.5703125" style="94" customWidth="1"/>
    <col min="7439" max="7439" width="16" style="94" customWidth="1"/>
    <col min="7440" max="7440" width="7.5703125" style="94" customWidth="1"/>
    <col min="7441" max="7441" width="21.28515625" style="94" customWidth="1"/>
    <col min="7442" max="7679" width="9.140625" style="94"/>
    <col min="7680" max="7680" width="3.42578125" style="94" customWidth="1"/>
    <col min="7681" max="7681" width="44.28515625" style="94" customWidth="1"/>
    <col min="7682" max="7682" width="5.5703125" style="94" customWidth="1"/>
    <col min="7683" max="7683" width="17.7109375" style="94" customWidth="1"/>
    <col min="7684" max="7684" width="3.5703125" style="94" customWidth="1"/>
    <col min="7685" max="7685" width="18" style="94" customWidth="1"/>
    <col min="7686" max="7686" width="3.28515625" style="94" customWidth="1"/>
    <col min="7687" max="7688" width="12.5703125" style="94" customWidth="1"/>
    <col min="7689" max="7689" width="15.140625" style="94" customWidth="1"/>
    <col min="7690" max="7694" width="12.5703125" style="94" customWidth="1"/>
    <col min="7695" max="7695" width="16" style="94" customWidth="1"/>
    <col min="7696" max="7696" width="7.5703125" style="94" customWidth="1"/>
    <col min="7697" max="7697" width="21.28515625" style="94" customWidth="1"/>
    <col min="7698" max="7935" width="9.140625" style="94"/>
    <col min="7936" max="7936" width="3.42578125" style="94" customWidth="1"/>
    <col min="7937" max="7937" width="44.28515625" style="94" customWidth="1"/>
    <col min="7938" max="7938" width="5.5703125" style="94" customWidth="1"/>
    <col min="7939" max="7939" width="17.7109375" style="94" customWidth="1"/>
    <col min="7940" max="7940" width="3.5703125" style="94" customWidth="1"/>
    <col min="7941" max="7941" width="18" style="94" customWidth="1"/>
    <col min="7942" max="7942" width="3.28515625" style="94" customWidth="1"/>
    <col min="7943" max="7944" width="12.5703125" style="94" customWidth="1"/>
    <col min="7945" max="7945" width="15.140625" style="94" customWidth="1"/>
    <col min="7946" max="7950" width="12.5703125" style="94" customWidth="1"/>
    <col min="7951" max="7951" width="16" style="94" customWidth="1"/>
    <col min="7952" max="7952" width="7.5703125" style="94" customWidth="1"/>
    <col min="7953" max="7953" width="21.28515625" style="94" customWidth="1"/>
    <col min="7954" max="8191" width="9.140625" style="94"/>
    <col min="8192" max="8192" width="3.42578125" style="94" customWidth="1"/>
    <col min="8193" max="8193" width="44.28515625" style="94" customWidth="1"/>
    <col min="8194" max="8194" width="5.5703125" style="94" customWidth="1"/>
    <col min="8195" max="8195" width="17.7109375" style="94" customWidth="1"/>
    <col min="8196" max="8196" width="3.5703125" style="94" customWidth="1"/>
    <col min="8197" max="8197" width="18" style="94" customWidth="1"/>
    <col min="8198" max="8198" width="3.28515625" style="94" customWidth="1"/>
    <col min="8199" max="8200" width="12.5703125" style="94" customWidth="1"/>
    <col min="8201" max="8201" width="15.140625" style="94" customWidth="1"/>
    <col min="8202" max="8206" width="12.5703125" style="94" customWidth="1"/>
    <col min="8207" max="8207" width="16" style="94" customWidth="1"/>
    <col min="8208" max="8208" width="7.5703125" style="94" customWidth="1"/>
    <col min="8209" max="8209" width="21.28515625" style="94" customWidth="1"/>
    <col min="8210" max="8447" width="9.140625" style="94"/>
    <col min="8448" max="8448" width="3.42578125" style="94" customWidth="1"/>
    <col min="8449" max="8449" width="44.28515625" style="94" customWidth="1"/>
    <col min="8450" max="8450" width="5.5703125" style="94" customWidth="1"/>
    <col min="8451" max="8451" width="17.7109375" style="94" customWidth="1"/>
    <col min="8452" max="8452" width="3.5703125" style="94" customWidth="1"/>
    <col min="8453" max="8453" width="18" style="94" customWidth="1"/>
    <col min="8454" max="8454" width="3.28515625" style="94" customWidth="1"/>
    <col min="8455" max="8456" width="12.5703125" style="94" customWidth="1"/>
    <col min="8457" max="8457" width="15.140625" style="94" customWidth="1"/>
    <col min="8458" max="8462" width="12.5703125" style="94" customWidth="1"/>
    <col min="8463" max="8463" width="16" style="94" customWidth="1"/>
    <col min="8464" max="8464" width="7.5703125" style="94" customWidth="1"/>
    <col min="8465" max="8465" width="21.28515625" style="94" customWidth="1"/>
    <col min="8466" max="8703" width="9.140625" style="94"/>
    <col min="8704" max="8704" width="3.42578125" style="94" customWidth="1"/>
    <col min="8705" max="8705" width="44.28515625" style="94" customWidth="1"/>
    <col min="8706" max="8706" width="5.5703125" style="94" customWidth="1"/>
    <col min="8707" max="8707" width="17.7109375" style="94" customWidth="1"/>
    <col min="8708" max="8708" width="3.5703125" style="94" customWidth="1"/>
    <col min="8709" max="8709" width="18" style="94" customWidth="1"/>
    <col min="8710" max="8710" width="3.28515625" style="94" customWidth="1"/>
    <col min="8711" max="8712" width="12.5703125" style="94" customWidth="1"/>
    <col min="8713" max="8713" width="15.140625" style="94" customWidth="1"/>
    <col min="8714" max="8718" width="12.5703125" style="94" customWidth="1"/>
    <col min="8719" max="8719" width="16" style="94" customWidth="1"/>
    <col min="8720" max="8720" width="7.5703125" style="94" customWidth="1"/>
    <col min="8721" max="8721" width="21.28515625" style="94" customWidth="1"/>
    <col min="8722" max="8959" width="9.140625" style="94"/>
    <col min="8960" max="8960" width="3.42578125" style="94" customWidth="1"/>
    <col min="8961" max="8961" width="44.28515625" style="94" customWidth="1"/>
    <col min="8962" max="8962" width="5.5703125" style="94" customWidth="1"/>
    <col min="8963" max="8963" width="17.7109375" style="94" customWidth="1"/>
    <col min="8964" max="8964" width="3.5703125" style="94" customWidth="1"/>
    <col min="8965" max="8965" width="18" style="94" customWidth="1"/>
    <col min="8966" max="8966" width="3.28515625" style="94" customWidth="1"/>
    <col min="8967" max="8968" width="12.5703125" style="94" customWidth="1"/>
    <col min="8969" max="8969" width="15.140625" style="94" customWidth="1"/>
    <col min="8970" max="8974" width="12.5703125" style="94" customWidth="1"/>
    <col min="8975" max="8975" width="16" style="94" customWidth="1"/>
    <col min="8976" max="8976" width="7.5703125" style="94" customWidth="1"/>
    <col min="8977" max="8977" width="21.28515625" style="94" customWidth="1"/>
    <col min="8978" max="9215" width="9.140625" style="94"/>
    <col min="9216" max="9216" width="3.42578125" style="94" customWidth="1"/>
    <col min="9217" max="9217" width="44.28515625" style="94" customWidth="1"/>
    <col min="9218" max="9218" width="5.5703125" style="94" customWidth="1"/>
    <col min="9219" max="9219" width="17.7109375" style="94" customWidth="1"/>
    <col min="9220" max="9220" width="3.5703125" style="94" customWidth="1"/>
    <col min="9221" max="9221" width="18" style="94" customWidth="1"/>
    <col min="9222" max="9222" width="3.28515625" style="94" customWidth="1"/>
    <col min="9223" max="9224" width="12.5703125" style="94" customWidth="1"/>
    <col min="9225" max="9225" width="15.140625" style="94" customWidth="1"/>
    <col min="9226" max="9230" width="12.5703125" style="94" customWidth="1"/>
    <col min="9231" max="9231" width="16" style="94" customWidth="1"/>
    <col min="9232" max="9232" width="7.5703125" style="94" customWidth="1"/>
    <col min="9233" max="9233" width="21.28515625" style="94" customWidth="1"/>
    <col min="9234" max="9471" width="9.140625" style="94"/>
    <col min="9472" max="9472" width="3.42578125" style="94" customWidth="1"/>
    <col min="9473" max="9473" width="44.28515625" style="94" customWidth="1"/>
    <col min="9474" max="9474" width="5.5703125" style="94" customWidth="1"/>
    <col min="9475" max="9475" width="17.7109375" style="94" customWidth="1"/>
    <col min="9476" max="9476" width="3.5703125" style="94" customWidth="1"/>
    <col min="9477" max="9477" width="18" style="94" customWidth="1"/>
    <col min="9478" max="9478" width="3.28515625" style="94" customWidth="1"/>
    <col min="9479" max="9480" width="12.5703125" style="94" customWidth="1"/>
    <col min="9481" max="9481" width="15.140625" style="94" customWidth="1"/>
    <col min="9482" max="9486" width="12.5703125" style="94" customWidth="1"/>
    <col min="9487" max="9487" width="16" style="94" customWidth="1"/>
    <col min="9488" max="9488" width="7.5703125" style="94" customWidth="1"/>
    <col min="9489" max="9489" width="21.28515625" style="94" customWidth="1"/>
    <col min="9490" max="9727" width="9.140625" style="94"/>
    <col min="9728" max="9728" width="3.42578125" style="94" customWidth="1"/>
    <col min="9729" max="9729" width="44.28515625" style="94" customWidth="1"/>
    <col min="9730" max="9730" width="5.5703125" style="94" customWidth="1"/>
    <col min="9731" max="9731" width="17.7109375" style="94" customWidth="1"/>
    <col min="9732" max="9732" width="3.5703125" style="94" customWidth="1"/>
    <col min="9733" max="9733" width="18" style="94" customWidth="1"/>
    <col min="9734" max="9734" width="3.28515625" style="94" customWidth="1"/>
    <col min="9735" max="9736" width="12.5703125" style="94" customWidth="1"/>
    <col min="9737" max="9737" width="15.140625" style="94" customWidth="1"/>
    <col min="9738" max="9742" width="12.5703125" style="94" customWidth="1"/>
    <col min="9743" max="9743" width="16" style="94" customWidth="1"/>
    <col min="9744" max="9744" width="7.5703125" style="94" customWidth="1"/>
    <col min="9745" max="9745" width="21.28515625" style="94" customWidth="1"/>
    <col min="9746" max="9983" width="9.140625" style="94"/>
    <col min="9984" max="9984" width="3.42578125" style="94" customWidth="1"/>
    <col min="9985" max="9985" width="44.28515625" style="94" customWidth="1"/>
    <col min="9986" max="9986" width="5.5703125" style="94" customWidth="1"/>
    <col min="9987" max="9987" width="17.7109375" style="94" customWidth="1"/>
    <col min="9988" max="9988" width="3.5703125" style="94" customWidth="1"/>
    <col min="9989" max="9989" width="18" style="94" customWidth="1"/>
    <col min="9990" max="9990" width="3.28515625" style="94" customWidth="1"/>
    <col min="9991" max="9992" width="12.5703125" style="94" customWidth="1"/>
    <col min="9993" max="9993" width="15.140625" style="94" customWidth="1"/>
    <col min="9994" max="9998" width="12.5703125" style="94" customWidth="1"/>
    <col min="9999" max="9999" width="16" style="94" customWidth="1"/>
    <col min="10000" max="10000" width="7.5703125" style="94" customWidth="1"/>
    <col min="10001" max="10001" width="21.28515625" style="94" customWidth="1"/>
    <col min="10002" max="10239" width="9.140625" style="94"/>
    <col min="10240" max="10240" width="3.42578125" style="94" customWidth="1"/>
    <col min="10241" max="10241" width="44.28515625" style="94" customWidth="1"/>
    <col min="10242" max="10242" width="5.5703125" style="94" customWidth="1"/>
    <col min="10243" max="10243" width="17.7109375" style="94" customWidth="1"/>
    <col min="10244" max="10244" width="3.5703125" style="94" customWidth="1"/>
    <col min="10245" max="10245" width="18" style="94" customWidth="1"/>
    <col min="10246" max="10246" width="3.28515625" style="94" customWidth="1"/>
    <col min="10247" max="10248" width="12.5703125" style="94" customWidth="1"/>
    <col min="10249" max="10249" width="15.140625" style="94" customWidth="1"/>
    <col min="10250" max="10254" width="12.5703125" style="94" customWidth="1"/>
    <col min="10255" max="10255" width="16" style="94" customWidth="1"/>
    <col min="10256" max="10256" width="7.5703125" style="94" customWidth="1"/>
    <col min="10257" max="10257" width="21.28515625" style="94" customWidth="1"/>
    <col min="10258" max="10495" width="9.140625" style="94"/>
    <col min="10496" max="10496" width="3.42578125" style="94" customWidth="1"/>
    <col min="10497" max="10497" width="44.28515625" style="94" customWidth="1"/>
    <col min="10498" max="10498" width="5.5703125" style="94" customWidth="1"/>
    <col min="10499" max="10499" width="17.7109375" style="94" customWidth="1"/>
    <col min="10500" max="10500" width="3.5703125" style="94" customWidth="1"/>
    <col min="10501" max="10501" width="18" style="94" customWidth="1"/>
    <col min="10502" max="10502" width="3.28515625" style="94" customWidth="1"/>
    <col min="10503" max="10504" width="12.5703125" style="94" customWidth="1"/>
    <col min="10505" max="10505" width="15.140625" style="94" customWidth="1"/>
    <col min="10506" max="10510" width="12.5703125" style="94" customWidth="1"/>
    <col min="10511" max="10511" width="16" style="94" customWidth="1"/>
    <col min="10512" max="10512" width="7.5703125" style="94" customWidth="1"/>
    <col min="10513" max="10513" width="21.28515625" style="94" customWidth="1"/>
    <col min="10514" max="10751" width="9.140625" style="94"/>
    <col min="10752" max="10752" width="3.42578125" style="94" customWidth="1"/>
    <col min="10753" max="10753" width="44.28515625" style="94" customWidth="1"/>
    <col min="10754" max="10754" width="5.5703125" style="94" customWidth="1"/>
    <col min="10755" max="10755" width="17.7109375" style="94" customWidth="1"/>
    <col min="10756" max="10756" width="3.5703125" style="94" customWidth="1"/>
    <col min="10757" max="10757" width="18" style="94" customWidth="1"/>
    <col min="10758" max="10758" width="3.28515625" style="94" customWidth="1"/>
    <col min="10759" max="10760" width="12.5703125" style="94" customWidth="1"/>
    <col min="10761" max="10761" width="15.140625" style="94" customWidth="1"/>
    <col min="10762" max="10766" width="12.5703125" style="94" customWidth="1"/>
    <col min="10767" max="10767" width="16" style="94" customWidth="1"/>
    <col min="10768" max="10768" width="7.5703125" style="94" customWidth="1"/>
    <col min="10769" max="10769" width="21.28515625" style="94" customWidth="1"/>
    <col min="10770" max="11007" width="9.140625" style="94"/>
    <col min="11008" max="11008" width="3.42578125" style="94" customWidth="1"/>
    <col min="11009" max="11009" width="44.28515625" style="94" customWidth="1"/>
    <col min="11010" max="11010" width="5.5703125" style="94" customWidth="1"/>
    <col min="11011" max="11011" width="17.7109375" style="94" customWidth="1"/>
    <col min="11012" max="11012" width="3.5703125" style="94" customWidth="1"/>
    <col min="11013" max="11013" width="18" style="94" customWidth="1"/>
    <col min="11014" max="11014" width="3.28515625" style="94" customWidth="1"/>
    <col min="11015" max="11016" width="12.5703125" style="94" customWidth="1"/>
    <col min="11017" max="11017" width="15.140625" style="94" customWidth="1"/>
    <col min="11018" max="11022" width="12.5703125" style="94" customWidth="1"/>
    <col min="11023" max="11023" width="16" style="94" customWidth="1"/>
    <col min="11024" max="11024" width="7.5703125" style="94" customWidth="1"/>
    <col min="11025" max="11025" width="21.28515625" style="94" customWidth="1"/>
    <col min="11026" max="11263" width="9.140625" style="94"/>
    <col min="11264" max="11264" width="3.42578125" style="94" customWidth="1"/>
    <col min="11265" max="11265" width="44.28515625" style="94" customWidth="1"/>
    <col min="11266" max="11266" width="5.5703125" style="94" customWidth="1"/>
    <col min="11267" max="11267" width="17.7109375" style="94" customWidth="1"/>
    <col min="11268" max="11268" width="3.5703125" style="94" customWidth="1"/>
    <col min="11269" max="11269" width="18" style="94" customWidth="1"/>
    <col min="11270" max="11270" width="3.28515625" style="94" customWidth="1"/>
    <col min="11271" max="11272" width="12.5703125" style="94" customWidth="1"/>
    <col min="11273" max="11273" width="15.140625" style="94" customWidth="1"/>
    <col min="11274" max="11278" width="12.5703125" style="94" customWidth="1"/>
    <col min="11279" max="11279" width="16" style="94" customWidth="1"/>
    <col min="11280" max="11280" width="7.5703125" style="94" customWidth="1"/>
    <col min="11281" max="11281" width="21.28515625" style="94" customWidth="1"/>
    <col min="11282" max="11519" width="9.140625" style="94"/>
    <col min="11520" max="11520" width="3.42578125" style="94" customWidth="1"/>
    <col min="11521" max="11521" width="44.28515625" style="94" customWidth="1"/>
    <col min="11522" max="11522" width="5.5703125" style="94" customWidth="1"/>
    <col min="11523" max="11523" width="17.7109375" style="94" customWidth="1"/>
    <col min="11524" max="11524" width="3.5703125" style="94" customWidth="1"/>
    <col min="11525" max="11525" width="18" style="94" customWidth="1"/>
    <col min="11526" max="11526" width="3.28515625" style="94" customWidth="1"/>
    <col min="11527" max="11528" width="12.5703125" style="94" customWidth="1"/>
    <col min="11529" max="11529" width="15.140625" style="94" customWidth="1"/>
    <col min="11530" max="11534" width="12.5703125" style="94" customWidth="1"/>
    <col min="11535" max="11535" width="16" style="94" customWidth="1"/>
    <col min="11536" max="11536" width="7.5703125" style="94" customWidth="1"/>
    <col min="11537" max="11537" width="21.28515625" style="94" customWidth="1"/>
    <col min="11538" max="11775" width="9.140625" style="94"/>
    <col min="11776" max="11776" width="3.42578125" style="94" customWidth="1"/>
    <col min="11777" max="11777" width="44.28515625" style="94" customWidth="1"/>
    <col min="11778" max="11778" width="5.5703125" style="94" customWidth="1"/>
    <col min="11779" max="11779" width="17.7109375" style="94" customWidth="1"/>
    <col min="11780" max="11780" width="3.5703125" style="94" customWidth="1"/>
    <col min="11781" max="11781" width="18" style="94" customWidth="1"/>
    <col min="11782" max="11782" width="3.28515625" style="94" customWidth="1"/>
    <col min="11783" max="11784" width="12.5703125" style="94" customWidth="1"/>
    <col min="11785" max="11785" width="15.140625" style="94" customWidth="1"/>
    <col min="11786" max="11790" width="12.5703125" style="94" customWidth="1"/>
    <col min="11791" max="11791" width="16" style="94" customWidth="1"/>
    <col min="11792" max="11792" width="7.5703125" style="94" customWidth="1"/>
    <col min="11793" max="11793" width="21.28515625" style="94" customWidth="1"/>
    <col min="11794" max="12031" width="9.140625" style="94"/>
    <col min="12032" max="12032" width="3.42578125" style="94" customWidth="1"/>
    <col min="12033" max="12033" width="44.28515625" style="94" customWidth="1"/>
    <col min="12034" max="12034" width="5.5703125" style="94" customWidth="1"/>
    <col min="12035" max="12035" width="17.7109375" style="94" customWidth="1"/>
    <col min="12036" max="12036" width="3.5703125" style="94" customWidth="1"/>
    <col min="12037" max="12037" width="18" style="94" customWidth="1"/>
    <col min="12038" max="12038" width="3.28515625" style="94" customWidth="1"/>
    <col min="12039" max="12040" width="12.5703125" style="94" customWidth="1"/>
    <col min="12041" max="12041" width="15.140625" style="94" customWidth="1"/>
    <col min="12042" max="12046" width="12.5703125" style="94" customWidth="1"/>
    <col min="12047" max="12047" width="16" style="94" customWidth="1"/>
    <col min="12048" max="12048" width="7.5703125" style="94" customWidth="1"/>
    <col min="12049" max="12049" width="21.28515625" style="94" customWidth="1"/>
    <col min="12050" max="12287" width="9.140625" style="94"/>
    <col min="12288" max="12288" width="3.42578125" style="94" customWidth="1"/>
    <col min="12289" max="12289" width="44.28515625" style="94" customWidth="1"/>
    <col min="12290" max="12290" width="5.5703125" style="94" customWidth="1"/>
    <col min="12291" max="12291" width="17.7109375" style="94" customWidth="1"/>
    <col min="12292" max="12292" width="3.5703125" style="94" customWidth="1"/>
    <col min="12293" max="12293" width="18" style="94" customWidth="1"/>
    <col min="12294" max="12294" width="3.28515625" style="94" customWidth="1"/>
    <col min="12295" max="12296" width="12.5703125" style="94" customWidth="1"/>
    <col min="12297" max="12297" width="15.140625" style="94" customWidth="1"/>
    <col min="12298" max="12302" width="12.5703125" style="94" customWidth="1"/>
    <col min="12303" max="12303" width="16" style="94" customWidth="1"/>
    <col min="12304" max="12304" width="7.5703125" style="94" customWidth="1"/>
    <col min="12305" max="12305" width="21.28515625" style="94" customWidth="1"/>
    <col min="12306" max="12543" width="9.140625" style="94"/>
    <col min="12544" max="12544" width="3.42578125" style="94" customWidth="1"/>
    <col min="12545" max="12545" width="44.28515625" style="94" customWidth="1"/>
    <col min="12546" max="12546" width="5.5703125" style="94" customWidth="1"/>
    <col min="12547" max="12547" width="17.7109375" style="94" customWidth="1"/>
    <col min="12548" max="12548" width="3.5703125" style="94" customWidth="1"/>
    <col min="12549" max="12549" width="18" style="94" customWidth="1"/>
    <col min="12550" max="12550" width="3.28515625" style="94" customWidth="1"/>
    <col min="12551" max="12552" width="12.5703125" style="94" customWidth="1"/>
    <col min="12553" max="12553" width="15.140625" style="94" customWidth="1"/>
    <col min="12554" max="12558" width="12.5703125" style="94" customWidth="1"/>
    <col min="12559" max="12559" width="16" style="94" customWidth="1"/>
    <col min="12560" max="12560" width="7.5703125" style="94" customWidth="1"/>
    <col min="12561" max="12561" width="21.28515625" style="94" customWidth="1"/>
    <col min="12562" max="12799" width="9.140625" style="94"/>
    <col min="12800" max="12800" width="3.42578125" style="94" customWidth="1"/>
    <col min="12801" max="12801" width="44.28515625" style="94" customWidth="1"/>
    <col min="12802" max="12802" width="5.5703125" style="94" customWidth="1"/>
    <col min="12803" max="12803" width="17.7109375" style="94" customWidth="1"/>
    <col min="12804" max="12804" width="3.5703125" style="94" customWidth="1"/>
    <col min="12805" max="12805" width="18" style="94" customWidth="1"/>
    <col min="12806" max="12806" width="3.28515625" style="94" customWidth="1"/>
    <col min="12807" max="12808" width="12.5703125" style="94" customWidth="1"/>
    <col min="12809" max="12809" width="15.140625" style="94" customWidth="1"/>
    <col min="12810" max="12814" width="12.5703125" style="94" customWidth="1"/>
    <col min="12815" max="12815" width="16" style="94" customWidth="1"/>
    <col min="12816" max="12816" width="7.5703125" style="94" customWidth="1"/>
    <col min="12817" max="12817" width="21.28515625" style="94" customWidth="1"/>
    <col min="12818" max="13055" width="9.140625" style="94"/>
    <col min="13056" max="13056" width="3.42578125" style="94" customWidth="1"/>
    <col min="13057" max="13057" width="44.28515625" style="94" customWidth="1"/>
    <col min="13058" max="13058" width="5.5703125" style="94" customWidth="1"/>
    <col min="13059" max="13059" width="17.7109375" style="94" customWidth="1"/>
    <col min="13060" max="13060" width="3.5703125" style="94" customWidth="1"/>
    <col min="13061" max="13061" width="18" style="94" customWidth="1"/>
    <col min="13062" max="13062" width="3.28515625" style="94" customWidth="1"/>
    <col min="13063" max="13064" width="12.5703125" style="94" customWidth="1"/>
    <col min="13065" max="13065" width="15.140625" style="94" customWidth="1"/>
    <col min="13066" max="13070" width="12.5703125" style="94" customWidth="1"/>
    <col min="13071" max="13071" width="16" style="94" customWidth="1"/>
    <col min="13072" max="13072" width="7.5703125" style="94" customWidth="1"/>
    <col min="13073" max="13073" width="21.28515625" style="94" customWidth="1"/>
    <col min="13074" max="13311" width="9.140625" style="94"/>
    <col min="13312" max="13312" width="3.42578125" style="94" customWidth="1"/>
    <col min="13313" max="13313" width="44.28515625" style="94" customWidth="1"/>
    <col min="13314" max="13314" width="5.5703125" style="94" customWidth="1"/>
    <col min="13315" max="13315" width="17.7109375" style="94" customWidth="1"/>
    <col min="13316" max="13316" width="3.5703125" style="94" customWidth="1"/>
    <col min="13317" max="13317" width="18" style="94" customWidth="1"/>
    <col min="13318" max="13318" width="3.28515625" style="94" customWidth="1"/>
    <col min="13319" max="13320" width="12.5703125" style="94" customWidth="1"/>
    <col min="13321" max="13321" width="15.140625" style="94" customWidth="1"/>
    <col min="13322" max="13326" width="12.5703125" style="94" customWidth="1"/>
    <col min="13327" max="13327" width="16" style="94" customWidth="1"/>
    <col min="13328" max="13328" width="7.5703125" style="94" customWidth="1"/>
    <col min="13329" max="13329" width="21.28515625" style="94" customWidth="1"/>
    <col min="13330" max="13567" width="9.140625" style="94"/>
    <col min="13568" max="13568" width="3.42578125" style="94" customWidth="1"/>
    <col min="13569" max="13569" width="44.28515625" style="94" customWidth="1"/>
    <col min="13570" max="13570" width="5.5703125" style="94" customWidth="1"/>
    <col min="13571" max="13571" width="17.7109375" style="94" customWidth="1"/>
    <col min="13572" max="13572" width="3.5703125" style="94" customWidth="1"/>
    <col min="13573" max="13573" width="18" style="94" customWidth="1"/>
    <col min="13574" max="13574" width="3.28515625" style="94" customWidth="1"/>
    <col min="13575" max="13576" width="12.5703125" style="94" customWidth="1"/>
    <col min="13577" max="13577" width="15.140625" style="94" customWidth="1"/>
    <col min="13578" max="13582" width="12.5703125" style="94" customWidth="1"/>
    <col min="13583" max="13583" width="16" style="94" customWidth="1"/>
    <col min="13584" max="13584" width="7.5703125" style="94" customWidth="1"/>
    <col min="13585" max="13585" width="21.28515625" style="94" customWidth="1"/>
    <col min="13586" max="13823" width="9.140625" style="94"/>
    <col min="13824" max="13824" width="3.42578125" style="94" customWidth="1"/>
    <col min="13825" max="13825" width="44.28515625" style="94" customWidth="1"/>
    <col min="13826" max="13826" width="5.5703125" style="94" customWidth="1"/>
    <col min="13827" max="13827" width="17.7109375" style="94" customWidth="1"/>
    <col min="13828" max="13828" width="3.5703125" style="94" customWidth="1"/>
    <col min="13829" max="13829" width="18" style="94" customWidth="1"/>
    <col min="13830" max="13830" width="3.28515625" style="94" customWidth="1"/>
    <col min="13831" max="13832" width="12.5703125" style="94" customWidth="1"/>
    <col min="13833" max="13833" width="15.140625" style="94" customWidth="1"/>
    <col min="13834" max="13838" width="12.5703125" style="94" customWidth="1"/>
    <col min="13839" max="13839" width="16" style="94" customWidth="1"/>
    <col min="13840" max="13840" width="7.5703125" style="94" customWidth="1"/>
    <col min="13841" max="13841" width="21.28515625" style="94" customWidth="1"/>
    <col min="13842" max="14079" width="9.140625" style="94"/>
    <col min="14080" max="14080" width="3.42578125" style="94" customWidth="1"/>
    <col min="14081" max="14081" width="44.28515625" style="94" customWidth="1"/>
    <col min="14082" max="14082" width="5.5703125" style="94" customWidth="1"/>
    <col min="14083" max="14083" width="17.7109375" style="94" customWidth="1"/>
    <col min="14084" max="14084" width="3.5703125" style="94" customWidth="1"/>
    <col min="14085" max="14085" width="18" style="94" customWidth="1"/>
    <col min="14086" max="14086" width="3.28515625" style="94" customWidth="1"/>
    <col min="14087" max="14088" width="12.5703125" style="94" customWidth="1"/>
    <col min="14089" max="14089" width="15.140625" style="94" customWidth="1"/>
    <col min="14090" max="14094" width="12.5703125" style="94" customWidth="1"/>
    <col min="14095" max="14095" width="16" style="94" customWidth="1"/>
    <col min="14096" max="14096" width="7.5703125" style="94" customWidth="1"/>
    <col min="14097" max="14097" width="21.28515625" style="94" customWidth="1"/>
    <col min="14098" max="14335" width="9.140625" style="94"/>
    <col min="14336" max="14336" width="3.42578125" style="94" customWidth="1"/>
    <col min="14337" max="14337" width="44.28515625" style="94" customWidth="1"/>
    <col min="14338" max="14338" width="5.5703125" style="94" customWidth="1"/>
    <col min="14339" max="14339" width="17.7109375" style="94" customWidth="1"/>
    <col min="14340" max="14340" width="3.5703125" style="94" customWidth="1"/>
    <col min="14341" max="14341" width="18" style="94" customWidth="1"/>
    <col min="14342" max="14342" width="3.28515625" style="94" customWidth="1"/>
    <col min="14343" max="14344" width="12.5703125" style="94" customWidth="1"/>
    <col min="14345" max="14345" width="15.140625" style="94" customWidth="1"/>
    <col min="14346" max="14350" width="12.5703125" style="94" customWidth="1"/>
    <col min="14351" max="14351" width="16" style="94" customWidth="1"/>
    <col min="14352" max="14352" width="7.5703125" style="94" customWidth="1"/>
    <col min="14353" max="14353" width="21.28515625" style="94" customWidth="1"/>
    <col min="14354" max="14591" width="9.140625" style="94"/>
    <col min="14592" max="14592" width="3.42578125" style="94" customWidth="1"/>
    <col min="14593" max="14593" width="44.28515625" style="94" customWidth="1"/>
    <col min="14594" max="14594" width="5.5703125" style="94" customWidth="1"/>
    <col min="14595" max="14595" width="17.7109375" style="94" customWidth="1"/>
    <col min="14596" max="14596" width="3.5703125" style="94" customWidth="1"/>
    <col min="14597" max="14597" width="18" style="94" customWidth="1"/>
    <col min="14598" max="14598" width="3.28515625" style="94" customWidth="1"/>
    <col min="14599" max="14600" width="12.5703125" style="94" customWidth="1"/>
    <col min="14601" max="14601" width="15.140625" style="94" customWidth="1"/>
    <col min="14602" max="14606" width="12.5703125" style="94" customWidth="1"/>
    <col min="14607" max="14607" width="16" style="94" customWidth="1"/>
    <col min="14608" max="14608" width="7.5703125" style="94" customWidth="1"/>
    <col min="14609" max="14609" width="21.28515625" style="94" customWidth="1"/>
    <col min="14610" max="14847" width="9.140625" style="94"/>
    <col min="14848" max="14848" width="3.42578125" style="94" customWidth="1"/>
    <col min="14849" max="14849" width="44.28515625" style="94" customWidth="1"/>
    <col min="14850" max="14850" width="5.5703125" style="94" customWidth="1"/>
    <col min="14851" max="14851" width="17.7109375" style="94" customWidth="1"/>
    <col min="14852" max="14852" width="3.5703125" style="94" customWidth="1"/>
    <col min="14853" max="14853" width="18" style="94" customWidth="1"/>
    <col min="14854" max="14854" width="3.28515625" style="94" customWidth="1"/>
    <col min="14855" max="14856" width="12.5703125" style="94" customWidth="1"/>
    <col min="14857" max="14857" width="15.140625" style="94" customWidth="1"/>
    <col min="14858" max="14862" width="12.5703125" style="94" customWidth="1"/>
    <col min="14863" max="14863" width="16" style="94" customWidth="1"/>
    <col min="14864" max="14864" width="7.5703125" style="94" customWidth="1"/>
    <col min="14865" max="14865" width="21.28515625" style="94" customWidth="1"/>
    <col min="14866" max="15103" width="9.140625" style="94"/>
    <col min="15104" max="15104" width="3.42578125" style="94" customWidth="1"/>
    <col min="15105" max="15105" width="44.28515625" style="94" customWidth="1"/>
    <col min="15106" max="15106" width="5.5703125" style="94" customWidth="1"/>
    <col min="15107" max="15107" width="17.7109375" style="94" customWidth="1"/>
    <col min="15108" max="15108" width="3.5703125" style="94" customWidth="1"/>
    <col min="15109" max="15109" width="18" style="94" customWidth="1"/>
    <col min="15110" max="15110" width="3.28515625" style="94" customWidth="1"/>
    <col min="15111" max="15112" width="12.5703125" style="94" customWidth="1"/>
    <col min="15113" max="15113" width="15.140625" style="94" customWidth="1"/>
    <col min="15114" max="15118" width="12.5703125" style="94" customWidth="1"/>
    <col min="15119" max="15119" width="16" style="94" customWidth="1"/>
    <col min="15120" max="15120" width="7.5703125" style="94" customWidth="1"/>
    <col min="15121" max="15121" width="21.28515625" style="94" customWidth="1"/>
    <col min="15122" max="15359" width="9.140625" style="94"/>
    <col min="15360" max="15360" width="3.42578125" style="94" customWidth="1"/>
    <col min="15361" max="15361" width="44.28515625" style="94" customWidth="1"/>
    <col min="15362" max="15362" width="5.5703125" style="94" customWidth="1"/>
    <col min="15363" max="15363" width="17.7109375" style="94" customWidth="1"/>
    <col min="15364" max="15364" width="3.5703125" style="94" customWidth="1"/>
    <col min="15365" max="15365" width="18" style="94" customWidth="1"/>
    <col min="15366" max="15366" width="3.28515625" style="94" customWidth="1"/>
    <col min="15367" max="15368" width="12.5703125" style="94" customWidth="1"/>
    <col min="15369" max="15369" width="15.140625" style="94" customWidth="1"/>
    <col min="15370" max="15374" width="12.5703125" style="94" customWidth="1"/>
    <col min="15375" max="15375" width="16" style="94" customWidth="1"/>
    <col min="15376" max="15376" width="7.5703125" style="94" customWidth="1"/>
    <col min="15377" max="15377" width="21.28515625" style="94" customWidth="1"/>
    <col min="15378" max="15615" width="9.140625" style="94"/>
    <col min="15616" max="15616" width="3.42578125" style="94" customWidth="1"/>
    <col min="15617" max="15617" width="44.28515625" style="94" customWidth="1"/>
    <col min="15618" max="15618" width="5.5703125" style="94" customWidth="1"/>
    <col min="15619" max="15619" width="17.7109375" style="94" customWidth="1"/>
    <col min="15620" max="15620" width="3.5703125" style="94" customWidth="1"/>
    <col min="15621" max="15621" width="18" style="94" customWidth="1"/>
    <col min="15622" max="15622" width="3.28515625" style="94" customWidth="1"/>
    <col min="15623" max="15624" width="12.5703125" style="94" customWidth="1"/>
    <col min="15625" max="15625" width="15.140625" style="94" customWidth="1"/>
    <col min="15626" max="15630" width="12.5703125" style="94" customWidth="1"/>
    <col min="15631" max="15631" width="16" style="94" customWidth="1"/>
    <col min="15632" max="15632" width="7.5703125" style="94" customWidth="1"/>
    <col min="15633" max="15633" width="21.28515625" style="94" customWidth="1"/>
    <col min="15634" max="15871" width="9.140625" style="94"/>
    <col min="15872" max="15872" width="3.42578125" style="94" customWidth="1"/>
    <col min="15873" max="15873" width="44.28515625" style="94" customWidth="1"/>
    <col min="15874" max="15874" width="5.5703125" style="94" customWidth="1"/>
    <col min="15875" max="15875" width="17.7109375" style="94" customWidth="1"/>
    <col min="15876" max="15876" width="3.5703125" style="94" customWidth="1"/>
    <col min="15877" max="15877" width="18" style="94" customWidth="1"/>
    <col min="15878" max="15878" width="3.28515625" style="94" customWidth="1"/>
    <col min="15879" max="15880" width="12.5703125" style="94" customWidth="1"/>
    <col min="15881" max="15881" width="15.140625" style="94" customWidth="1"/>
    <col min="15882" max="15886" width="12.5703125" style="94" customWidth="1"/>
    <col min="15887" max="15887" width="16" style="94" customWidth="1"/>
    <col min="15888" max="15888" width="7.5703125" style="94" customWidth="1"/>
    <col min="15889" max="15889" width="21.28515625" style="94" customWidth="1"/>
    <col min="15890" max="16127" width="9.140625" style="94"/>
    <col min="16128" max="16128" width="3.42578125" style="94" customWidth="1"/>
    <col min="16129" max="16129" width="44.28515625" style="94" customWidth="1"/>
    <col min="16130" max="16130" width="5.5703125" style="94" customWidth="1"/>
    <col min="16131" max="16131" width="17.7109375" style="94" customWidth="1"/>
    <col min="16132" max="16132" width="3.5703125" style="94" customWidth="1"/>
    <col min="16133" max="16133" width="18" style="94" customWidth="1"/>
    <col min="16134" max="16134" width="3.28515625" style="94" customWidth="1"/>
    <col min="16135" max="16136" width="12.5703125" style="94" customWidth="1"/>
    <col min="16137" max="16137" width="15.140625" style="94" customWidth="1"/>
    <col min="16138" max="16142" width="12.5703125" style="94" customWidth="1"/>
    <col min="16143" max="16143" width="16" style="94" customWidth="1"/>
    <col min="16144" max="16144" width="7.5703125" style="94" customWidth="1"/>
    <col min="16145" max="16145" width="21.28515625" style="94" customWidth="1"/>
    <col min="16146" max="16384" width="9.140625" style="94"/>
  </cols>
  <sheetData>
    <row r="2" spans="1:26" s="59" customFormat="1" ht="15.75">
      <c r="B2" s="59" t="s">
        <v>180</v>
      </c>
    </row>
    <row r="3" spans="1:26" s="112" customFormat="1">
      <c r="B3" s="174"/>
    </row>
    <row r="4" spans="1:26" s="175" customFormat="1">
      <c r="B4" s="100" t="s">
        <v>32</v>
      </c>
    </row>
    <row r="5" spans="1:26" s="112" customFormat="1">
      <c r="B5" s="174"/>
    </row>
    <row r="6" spans="1:26" s="112" customFormat="1">
      <c r="B6" s="174" t="s">
        <v>190</v>
      </c>
    </row>
    <row r="7" spans="1:26" s="112" customFormat="1">
      <c r="B7" s="174" t="s">
        <v>136</v>
      </c>
    </row>
    <row r="8" spans="1:26" s="112" customFormat="1">
      <c r="B8" s="174" t="s">
        <v>387</v>
      </c>
    </row>
    <row r="9" spans="1:26" s="112" customFormat="1">
      <c r="B9" s="174" t="s">
        <v>137</v>
      </c>
    </row>
    <row r="10" spans="1:26" s="112" customFormat="1">
      <c r="B10" s="174" t="s">
        <v>383</v>
      </c>
    </row>
    <row r="11" spans="1:26" s="112" customFormat="1">
      <c r="B11" s="174" t="s">
        <v>191</v>
      </c>
    </row>
    <row r="12" spans="1:26" s="112" customFormat="1">
      <c r="B12" s="174" t="s">
        <v>189</v>
      </c>
    </row>
    <row r="13" spans="1:26" s="112" customFormat="1">
      <c r="B13" s="174" t="s">
        <v>181</v>
      </c>
    </row>
    <row r="15" spans="1:26" s="176" customFormat="1" ht="12.75" customHeight="1">
      <c r="A15" s="108"/>
      <c r="B15" s="105"/>
      <c r="C15" s="105"/>
      <c r="D15" s="108"/>
      <c r="E15" s="108"/>
      <c r="F15" s="12"/>
      <c r="G15" s="173" t="s">
        <v>2</v>
      </c>
      <c r="H15" s="173" t="s">
        <v>3</v>
      </c>
      <c r="I15" s="173" t="s">
        <v>4</v>
      </c>
      <c r="J15" s="173" t="s">
        <v>5</v>
      </c>
      <c r="K15" s="173" t="s">
        <v>6</v>
      </c>
      <c r="L15" s="173" t="s">
        <v>7</v>
      </c>
      <c r="M15" s="173" t="s">
        <v>8</v>
      </c>
      <c r="N15" s="173" t="s">
        <v>9</v>
      </c>
      <c r="O15" s="173" t="s">
        <v>46</v>
      </c>
      <c r="P15" s="173"/>
      <c r="Q15" s="173" t="s">
        <v>47</v>
      </c>
      <c r="R15" s="173"/>
      <c r="S15" s="173"/>
      <c r="T15" s="173"/>
      <c r="U15" s="173"/>
      <c r="V15" s="173"/>
      <c r="W15" s="108"/>
      <c r="X15" s="108"/>
      <c r="Y15" s="108"/>
      <c r="Z15" s="108"/>
    </row>
    <row r="16" spans="1:26" s="177" customFormat="1">
      <c r="B16" s="118" t="s">
        <v>182</v>
      </c>
    </row>
    <row r="17" spans="2:17" s="178" customFormat="1">
      <c r="G17" s="264"/>
      <c r="H17" s="264"/>
      <c r="I17" s="264"/>
      <c r="J17" s="264"/>
      <c r="K17" s="264"/>
      <c r="L17" s="264"/>
      <c r="M17" s="264"/>
      <c r="N17" s="264"/>
      <c r="O17" s="117"/>
      <c r="Q17" s="116"/>
    </row>
    <row r="18" spans="2:17">
      <c r="B18" s="119" t="s">
        <v>97</v>
      </c>
      <c r="G18" s="263"/>
      <c r="H18" s="263"/>
      <c r="I18" s="263"/>
      <c r="J18" s="263"/>
      <c r="K18" s="263"/>
      <c r="L18" s="263"/>
      <c r="M18" s="263"/>
      <c r="N18" s="263"/>
    </row>
    <row r="19" spans="2:17">
      <c r="B19" s="119"/>
      <c r="G19" s="263"/>
      <c r="H19" s="263"/>
      <c r="I19" s="263"/>
      <c r="J19" s="263"/>
      <c r="K19" s="263"/>
      <c r="L19" s="263"/>
      <c r="M19" s="263"/>
      <c r="N19" s="263"/>
    </row>
    <row r="20" spans="2:17">
      <c r="B20" s="94" t="s">
        <v>98</v>
      </c>
      <c r="D20" s="94" t="s">
        <v>113</v>
      </c>
      <c r="G20" s="179">
        <v>0</v>
      </c>
      <c r="H20" s="179">
        <v>6923123.1099999985</v>
      </c>
      <c r="I20" s="179">
        <v>0</v>
      </c>
      <c r="J20" s="179">
        <v>103693222.23999999</v>
      </c>
      <c r="K20" s="179">
        <v>85123882</v>
      </c>
      <c r="L20" s="179">
        <v>0</v>
      </c>
      <c r="M20" s="179">
        <v>49745213.719999999</v>
      </c>
      <c r="N20" s="179">
        <v>5401281.5099999998</v>
      </c>
      <c r="O20" s="180">
        <f>SUM(G20:N20)</f>
        <v>250886722.57999998</v>
      </c>
      <c r="Q20" s="174" t="s">
        <v>309</v>
      </c>
    </row>
    <row r="21" spans="2:17">
      <c r="B21" s="94" t="s">
        <v>99</v>
      </c>
      <c r="D21" s="94" t="s">
        <v>113</v>
      </c>
      <c r="G21" s="179">
        <v>3138000</v>
      </c>
      <c r="H21" s="179">
        <v>0</v>
      </c>
      <c r="I21" s="179">
        <v>6938607.8400000008</v>
      </c>
      <c r="J21" s="179">
        <v>367793.61999999988</v>
      </c>
      <c r="K21" s="179">
        <v>695851.63000000012</v>
      </c>
      <c r="L21" s="179">
        <v>2044465</v>
      </c>
      <c r="M21" s="179">
        <v>5781257.5599999996</v>
      </c>
      <c r="N21" s="179">
        <v>926718.49000000011</v>
      </c>
      <c r="O21" s="180">
        <f>SUM(G21:N21)</f>
        <v>19892694.139999997</v>
      </c>
      <c r="Q21" s="174" t="s">
        <v>310</v>
      </c>
    </row>
    <row r="22" spans="2:17">
      <c r="B22" s="94" t="s">
        <v>100</v>
      </c>
      <c r="D22" s="94" t="s">
        <v>113</v>
      </c>
      <c r="G22" s="180">
        <f>G20+G21</f>
        <v>3138000</v>
      </c>
      <c r="H22" s="180">
        <f t="shared" ref="H22:N22" si="0">H20+H21</f>
        <v>6923123.1099999985</v>
      </c>
      <c r="I22" s="180">
        <f t="shared" si="0"/>
        <v>6938607.8400000008</v>
      </c>
      <c r="J22" s="180">
        <f t="shared" si="0"/>
        <v>104061015.86</v>
      </c>
      <c r="K22" s="180">
        <f t="shared" si="0"/>
        <v>85819733.629999995</v>
      </c>
      <c r="L22" s="180">
        <f t="shared" si="0"/>
        <v>2044465</v>
      </c>
      <c r="M22" s="180">
        <f t="shared" si="0"/>
        <v>55526471.280000001</v>
      </c>
      <c r="N22" s="180">
        <f t="shared" si="0"/>
        <v>6328000</v>
      </c>
      <c r="O22" s="180">
        <f>SUM(G22:N22)</f>
        <v>270779416.72000003</v>
      </c>
    </row>
    <row r="23" spans="2:17">
      <c r="G23" s="181"/>
      <c r="H23" s="181"/>
      <c r="I23" s="181"/>
      <c r="J23" s="181"/>
      <c r="K23" s="181"/>
      <c r="L23" s="181"/>
      <c r="M23" s="181"/>
      <c r="N23" s="181"/>
      <c r="O23" s="181"/>
    </row>
    <row r="24" spans="2:17">
      <c r="G24" s="181"/>
      <c r="H24" s="181"/>
      <c r="I24" s="181"/>
      <c r="J24" s="181"/>
      <c r="K24" s="181"/>
      <c r="L24" s="181"/>
      <c r="M24" s="181"/>
      <c r="N24" s="181"/>
      <c r="O24" s="181"/>
    </row>
    <row r="25" spans="2:17">
      <c r="B25" s="119" t="s">
        <v>83</v>
      </c>
      <c r="G25" s="181"/>
      <c r="H25" s="181"/>
      <c r="I25" s="181"/>
      <c r="J25" s="181"/>
      <c r="K25" s="181"/>
      <c r="L25" s="181"/>
      <c r="M25" s="181"/>
      <c r="N25" s="181"/>
      <c r="O25" s="181"/>
    </row>
    <row r="26" spans="2:17">
      <c r="G26" s="181"/>
      <c r="H26" s="181"/>
      <c r="I26" s="181"/>
      <c r="J26" s="181"/>
      <c r="K26" s="181"/>
      <c r="L26" s="181"/>
      <c r="M26" s="181"/>
      <c r="N26" s="181"/>
      <c r="O26" s="181"/>
    </row>
    <row r="27" spans="2:17">
      <c r="B27" s="94" t="s">
        <v>84</v>
      </c>
      <c r="D27" s="94" t="s">
        <v>48</v>
      </c>
      <c r="F27" s="182">
        <v>-1.07590983423662E-2</v>
      </c>
      <c r="G27" s="183"/>
      <c r="H27" s="183"/>
      <c r="I27" s="183"/>
      <c r="J27" s="183"/>
      <c r="K27" s="183"/>
      <c r="L27" s="183"/>
      <c r="M27" s="183"/>
      <c r="N27" s="183"/>
      <c r="O27" s="178"/>
      <c r="Q27" s="174" t="s">
        <v>311</v>
      </c>
    </row>
    <row r="28" spans="2:17">
      <c r="B28" s="94" t="s">
        <v>101</v>
      </c>
      <c r="D28" s="94" t="s">
        <v>48</v>
      </c>
      <c r="F28" s="184">
        <f>F27</f>
        <v>-1.07590983423662E-2</v>
      </c>
      <c r="G28" s="183"/>
      <c r="H28" s="183"/>
      <c r="I28" s="183"/>
      <c r="J28" s="183"/>
      <c r="K28" s="183"/>
      <c r="L28" s="183"/>
      <c r="M28" s="183"/>
      <c r="N28" s="183"/>
      <c r="O28" s="178"/>
    </row>
    <row r="29" spans="2:17">
      <c r="B29" s="94" t="s">
        <v>102</v>
      </c>
      <c r="D29" s="94" t="s">
        <v>48</v>
      </c>
      <c r="F29" s="184">
        <f>F27</f>
        <v>-1.07590983423662E-2</v>
      </c>
      <c r="G29" s="183"/>
      <c r="H29" s="183"/>
      <c r="I29" s="183"/>
      <c r="J29" s="183"/>
      <c r="K29" s="183"/>
      <c r="L29" s="183"/>
      <c r="M29" s="183"/>
      <c r="N29" s="183"/>
      <c r="O29" s="178"/>
    </row>
    <row r="30" spans="2:17">
      <c r="B30" s="94" t="s">
        <v>103</v>
      </c>
      <c r="D30" s="94" t="s">
        <v>48</v>
      </c>
      <c r="F30" s="184">
        <f>F27</f>
        <v>-1.07590983423662E-2</v>
      </c>
      <c r="G30" s="183"/>
      <c r="H30" s="183"/>
      <c r="I30" s="183"/>
      <c r="J30" s="183"/>
      <c r="K30" s="183"/>
      <c r="L30" s="183"/>
      <c r="M30" s="183"/>
      <c r="N30" s="183"/>
      <c r="O30" s="178"/>
    </row>
    <row r="31" spans="2:17">
      <c r="F31" s="185"/>
      <c r="G31" s="178"/>
      <c r="H31" s="178"/>
      <c r="I31" s="178"/>
      <c r="J31" s="178"/>
      <c r="K31" s="178"/>
      <c r="L31" s="178"/>
      <c r="M31" s="178"/>
      <c r="N31" s="178"/>
      <c r="O31" s="178"/>
    </row>
    <row r="32" spans="2:17">
      <c r="B32" s="94" t="s">
        <v>50</v>
      </c>
      <c r="D32" s="94" t="s">
        <v>48</v>
      </c>
      <c r="F32" s="186">
        <f>CPI!C10</f>
        <v>3.0000000000000001E-3</v>
      </c>
      <c r="G32" s="187"/>
      <c r="H32" s="187"/>
      <c r="I32" s="187"/>
      <c r="J32" s="187"/>
      <c r="K32" s="187"/>
      <c r="L32" s="187"/>
      <c r="M32" s="187"/>
      <c r="N32" s="187"/>
      <c r="O32" s="178"/>
    </row>
    <row r="33" spans="2:17">
      <c r="B33" s="94" t="s">
        <v>55</v>
      </c>
      <c r="D33" s="94" t="s">
        <v>48</v>
      </c>
      <c r="F33" s="186">
        <f>CPI!C11</f>
        <v>1.4999999999999999E-2</v>
      </c>
      <c r="G33" s="187"/>
      <c r="H33" s="187"/>
      <c r="I33" s="187"/>
      <c r="J33" s="187"/>
      <c r="K33" s="187"/>
      <c r="L33" s="187"/>
      <c r="M33" s="187"/>
      <c r="N33" s="187"/>
      <c r="O33" s="178"/>
    </row>
    <row r="34" spans="2:17">
      <c r="B34" s="94" t="s">
        <v>79</v>
      </c>
      <c r="D34" s="94" t="s">
        <v>48</v>
      </c>
      <c r="E34" s="178"/>
      <c r="F34" s="186">
        <f>CPI!C12</f>
        <v>2.5999999999999999E-2</v>
      </c>
      <c r="G34" s="187"/>
      <c r="H34" s="187"/>
      <c r="I34" s="187"/>
      <c r="J34" s="187"/>
      <c r="K34" s="187"/>
      <c r="L34" s="187"/>
      <c r="M34" s="187"/>
      <c r="N34" s="187"/>
      <c r="O34" s="178"/>
    </row>
    <row r="35" spans="2:17">
      <c r="B35" s="94" t="s">
        <v>80</v>
      </c>
      <c r="D35" s="94" t="s">
        <v>48</v>
      </c>
      <c r="E35" s="178"/>
      <c r="F35" s="186">
        <f>CPI!C13</f>
        <v>2.3E-2</v>
      </c>
      <c r="G35" s="188"/>
      <c r="H35" s="188"/>
      <c r="I35" s="188"/>
      <c r="J35" s="188"/>
      <c r="K35" s="188"/>
      <c r="L35" s="188"/>
      <c r="M35" s="188"/>
      <c r="N35" s="188"/>
      <c r="O35" s="178"/>
      <c r="Q35" s="189"/>
    </row>
    <row r="36" spans="2:17">
      <c r="E36" s="178"/>
      <c r="G36" s="181"/>
      <c r="H36" s="181"/>
      <c r="I36" s="181"/>
      <c r="J36" s="181"/>
      <c r="K36" s="181"/>
      <c r="L36" s="181"/>
      <c r="M36" s="181"/>
      <c r="N36" s="181"/>
      <c r="O36" s="181"/>
    </row>
    <row r="37" spans="2:17">
      <c r="B37" s="119" t="s">
        <v>138</v>
      </c>
      <c r="E37" s="178"/>
      <c r="G37" s="181"/>
      <c r="H37" s="181"/>
      <c r="I37" s="181"/>
      <c r="J37" s="181"/>
      <c r="K37" s="181"/>
      <c r="L37" s="181"/>
      <c r="M37" s="181"/>
      <c r="N37" s="181"/>
      <c r="O37" s="181"/>
    </row>
    <row r="38" spans="2:17">
      <c r="E38" s="178"/>
      <c r="G38" s="181"/>
      <c r="H38" s="181"/>
      <c r="I38" s="181"/>
      <c r="J38" s="181"/>
      <c r="K38" s="181"/>
      <c r="L38" s="181"/>
      <c r="M38" s="181"/>
      <c r="N38" s="181"/>
      <c r="O38" s="181"/>
    </row>
    <row r="39" spans="2:17">
      <c r="B39" s="94" t="s">
        <v>139</v>
      </c>
      <c r="D39" s="94" t="s">
        <v>114</v>
      </c>
      <c r="E39" s="178"/>
      <c r="G39" s="180">
        <f>G22*(1-$F$27+$F$32)</f>
        <v>3181176.0505983448</v>
      </c>
      <c r="H39" s="180">
        <f t="shared" ref="H39:N39" si="1">H22*(1-$F$27+$F$32)</f>
        <v>7018379.0417067958</v>
      </c>
      <c r="I39" s="180">
        <f t="shared" si="1"/>
        <v>7034076.8276296733</v>
      </c>
      <c r="J39" s="180">
        <f t="shared" si="1"/>
        <v>105492801.61082426</v>
      </c>
      <c r="K39" s="180">
        <f t="shared" si="1"/>
        <v>87000535.784730822</v>
      </c>
      <c r="L39" s="180">
        <f t="shared" si="1"/>
        <v>2072594.9949925255</v>
      </c>
      <c r="M39" s="180">
        <f t="shared" si="1"/>
        <v>56290465.458946086</v>
      </c>
      <c r="N39" s="180">
        <f t="shared" si="1"/>
        <v>6415067.5743104927</v>
      </c>
      <c r="O39" s="180">
        <f>SUM(G39:N39)</f>
        <v>274505097.34373897</v>
      </c>
    </row>
    <row r="40" spans="2:17">
      <c r="B40" s="94" t="s">
        <v>140</v>
      </c>
      <c r="D40" s="94" t="s">
        <v>115</v>
      </c>
      <c r="E40" s="178"/>
      <c r="G40" s="180">
        <f>G39*(1-$F$28+$F$33)</f>
        <v>3263120.2773300875</v>
      </c>
      <c r="H40" s="180">
        <f t="shared" ref="H40:N40" si="2">H39*(1-$F$28+$F$33)</f>
        <v>7199166.1576461224</v>
      </c>
      <c r="I40" s="180">
        <f t="shared" si="2"/>
        <v>7215268.3043803452</v>
      </c>
      <c r="J40" s="180">
        <f t="shared" si="2"/>
        <v>108210201.0619292</v>
      </c>
      <c r="K40" s="180">
        <f t="shared" si="2"/>
        <v>89241591.141848251</v>
      </c>
      <c r="L40" s="180">
        <f t="shared" si="2"/>
        <v>2125983.1732924338</v>
      </c>
      <c r="M40" s="180">
        <f t="shared" si="2"/>
        <v>57740457.094440639</v>
      </c>
      <c r="N40" s="180">
        <f t="shared" si="2"/>
        <v>6580313.930830081</v>
      </c>
      <c r="O40" s="180">
        <f>SUM(G40:N40)</f>
        <v>281576101.14169711</v>
      </c>
    </row>
    <row r="41" spans="2:17">
      <c r="B41" s="94" t="s">
        <v>141</v>
      </c>
      <c r="D41" s="94" t="s">
        <v>118</v>
      </c>
      <c r="E41" s="178"/>
      <c r="G41" s="180">
        <f>G40*(1-$F$29+$F$34)</f>
        <v>3383069.6365074334</v>
      </c>
      <c r="H41" s="180">
        <f t="shared" ref="H41:N41" si="3">H40*(1-$F$29+$F$34)</f>
        <v>7463801.0144180711</v>
      </c>
      <c r="I41" s="180">
        <f t="shared" si="3"/>
        <v>7480495.0615476202</v>
      </c>
      <c r="J41" s="180">
        <f t="shared" si="3"/>
        <v>112187910.48441188</v>
      </c>
      <c r="K41" s="180">
        <f t="shared" si="3"/>
        <v>92522031.566860691</v>
      </c>
      <c r="L41" s="180">
        <f t="shared" si="3"/>
        <v>2204132.3978337063</v>
      </c>
      <c r="M41" s="180">
        <f t="shared" si="3"/>
        <v>59862944.235108361</v>
      </c>
      <c r="N41" s="180">
        <f t="shared" si="3"/>
        <v>6822200.3377371067</v>
      </c>
      <c r="O41" s="180">
        <f>SUM(G41:N41)</f>
        <v>291926584.73442483</v>
      </c>
    </row>
    <row r="42" spans="2:17">
      <c r="B42" s="94" t="s">
        <v>142</v>
      </c>
      <c r="D42" s="94" t="s">
        <v>119</v>
      </c>
      <c r="E42" s="178"/>
      <c r="G42" s="180">
        <f>G41*(1-$F$30+$F$35)</f>
        <v>3497279.0170653607</v>
      </c>
      <c r="H42" s="180">
        <f t="shared" ref="H42:N42" si="4">H41*(1-$F$30+$F$35)</f>
        <v>7715772.2068716632</v>
      </c>
      <c r="I42" s="180">
        <f t="shared" si="4"/>
        <v>7733029.8299799906</v>
      </c>
      <c r="J42" s="180">
        <f t="shared" si="4"/>
        <v>115975273.1872797</v>
      </c>
      <c r="K42" s="180">
        <f t="shared" si="4"/>
        <v>95645491.92936185</v>
      </c>
      <c r="L42" s="180">
        <f t="shared" si="4"/>
        <v>2278541.9202117696</v>
      </c>
      <c r="M42" s="180">
        <f t="shared" si="4"/>
        <v>61883863.256604962</v>
      </c>
      <c r="N42" s="180">
        <f t="shared" si="4"/>
        <v>7052511.669850097</v>
      </c>
      <c r="O42" s="180">
        <f>SUM(G42:N42)</f>
        <v>301781763.01722538</v>
      </c>
    </row>
    <row r="43" spans="2:17">
      <c r="E43" s="178"/>
      <c r="G43" s="181"/>
      <c r="H43" s="181"/>
      <c r="I43" s="181"/>
      <c r="J43" s="181"/>
      <c r="K43" s="181"/>
      <c r="L43" s="181"/>
      <c r="M43" s="181"/>
      <c r="N43" s="181"/>
      <c r="O43" s="181"/>
    </row>
    <row r="44" spans="2:17">
      <c r="E44" s="178"/>
      <c r="G44" s="181"/>
      <c r="H44" s="181"/>
      <c r="I44" s="181"/>
      <c r="J44" s="181"/>
      <c r="K44" s="181"/>
      <c r="L44" s="181"/>
      <c r="M44" s="181"/>
      <c r="N44" s="181"/>
      <c r="O44" s="181"/>
    </row>
    <row r="45" spans="2:17">
      <c r="B45" s="119" t="s">
        <v>85</v>
      </c>
      <c r="E45" s="178"/>
      <c r="G45" s="181"/>
      <c r="H45" s="181"/>
      <c r="I45" s="181"/>
      <c r="J45" s="181"/>
      <c r="K45" s="181"/>
      <c r="L45" s="181"/>
      <c r="M45" s="181"/>
      <c r="N45" s="181"/>
      <c r="O45" s="181"/>
    </row>
    <row r="46" spans="2:17">
      <c r="E46" s="178"/>
      <c r="G46" s="181"/>
      <c r="H46" s="181"/>
      <c r="I46" s="181"/>
      <c r="J46" s="181"/>
      <c r="K46" s="181"/>
      <c r="L46" s="181"/>
      <c r="M46" s="181"/>
      <c r="N46" s="181"/>
      <c r="O46" s="181"/>
    </row>
    <row r="47" spans="2:17">
      <c r="B47" s="94" t="s">
        <v>86</v>
      </c>
      <c r="D47" s="94" t="s">
        <v>51</v>
      </c>
      <c r="E47" s="178"/>
      <c r="G47" s="190">
        <v>16232366.397952234</v>
      </c>
      <c r="H47" s="190">
        <v>62723641.073291428</v>
      </c>
      <c r="I47" s="190">
        <v>32471965.078389283</v>
      </c>
      <c r="J47" s="190">
        <v>857795976.75996375</v>
      </c>
      <c r="K47" s="190">
        <v>880153681.65282249</v>
      </c>
      <c r="L47" s="190">
        <v>9897132.0036089122</v>
      </c>
      <c r="M47" s="190">
        <v>618256186.83460605</v>
      </c>
      <c r="N47" s="190">
        <v>37692633.178944647</v>
      </c>
      <c r="O47" s="180">
        <f>SUM(G47:N47)</f>
        <v>2515223582.9795785</v>
      </c>
      <c r="Q47" s="174" t="s">
        <v>356</v>
      </c>
    </row>
    <row r="48" spans="2:17">
      <c r="B48" s="94" t="s">
        <v>52</v>
      </c>
      <c r="D48" s="94" t="s">
        <v>51</v>
      </c>
      <c r="E48" s="178"/>
      <c r="G48" s="190">
        <v>16254426.731214251</v>
      </c>
      <c r="H48" s="190">
        <v>63881162.950992644</v>
      </c>
      <c r="I48" s="190">
        <v>32494033.951692306</v>
      </c>
      <c r="J48" s="190">
        <v>865652629.50231218</v>
      </c>
      <c r="K48" s="190">
        <v>891390240.64500022</v>
      </c>
      <c r="L48" s="190">
        <v>9928312.2794973515</v>
      </c>
      <c r="M48" s="190">
        <v>637128441.50486255</v>
      </c>
      <c r="N48" s="190">
        <v>36723403.20130866</v>
      </c>
      <c r="O48" s="180">
        <f>SUM(G48:N48)</f>
        <v>2553452650.7668805</v>
      </c>
      <c r="Q48" s="174" t="s">
        <v>357</v>
      </c>
    </row>
    <row r="49" spans="2:17">
      <c r="B49" s="94" t="s">
        <v>104</v>
      </c>
      <c r="D49" s="94" t="s">
        <v>51</v>
      </c>
      <c r="E49" s="178"/>
      <c r="G49" s="190">
        <v>16502129.399766494</v>
      </c>
      <c r="H49" s="190">
        <v>64779349.896427654</v>
      </c>
      <c r="I49" s="190">
        <v>32805642.93235096</v>
      </c>
      <c r="J49" s="190">
        <v>873634731.20943916</v>
      </c>
      <c r="K49" s="190">
        <v>913570424.0248692</v>
      </c>
      <c r="L49" s="190">
        <v>10011402.803546244</v>
      </c>
      <c r="M49" s="190">
        <v>640375395.35513794</v>
      </c>
      <c r="N49" s="190">
        <v>36609960.536653027</v>
      </c>
      <c r="O49" s="180">
        <f>SUM(G49:N49)</f>
        <v>2588289036.1581907</v>
      </c>
      <c r="Q49" s="174" t="s">
        <v>358</v>
      </c>
    </row>
    <row r="50" spans="2:17">
      <c r="B50" s="94" t="s">
        <v>105</v>
      </c>
      <c r="D50" s="94" t="s">
        <v>51</v>
      </c>
      <c r="E50" s="178"/>
      <c r="G50" s="190">
        <v>16638306.061922939</v>
      </c>
      <c r="H50" s="190">
        <v>66156756.306511015</v>
      </c>
      <c r="I50" s="190">
        <v>32927393.548656821</v>
      </c>
      <c r="J50" s="190">
        <v>879894692.72284019</v>
      </c>
      <c r="K50" s="190">
        <v>918069008.50136757</v>
      </c>
      <c r="L50" s="190">
        <v>10180135.591181165</v>
      </c>
      <c r="M50" s="190">
        <v>641052023.35250568</v>
      </c>
      <c r="N50" s="190">
        <v>37535928.97561425</v>
      </c>
      <c r="O50" s="180">
        <f>SUM(G50:N50)</f>
        <v>2602454245.0605998</v>
      </c>
      <c r="Q50" s="174" t="s">
        <v>359</v>
      </c>
    </row>
    <row r="51" spans="2:17">
      <c r="B51" s="94" t="s">
        <v>278</v>
      </c>
      <c r="D51" s="94" t="s">
        <v>51</v>
      </c>
      <c r="E51" s="178"/>
      <c r="G51" s="310">
        <f>'Berekening SO 2013'!Q91</f>
        <v>16645707.117943246</v>
      </c>
      <c r="H51" s="310">
        <f>'Berekening SO 2013'!R91</f>
        <v>66056908.929292642</v>
      </c>
      <c r="I51" s="310">
        <f>'Berekening SO 2013'!S91</f>
        <v>32976371.569355085</v>
      </c>
      <c r="J51" s="310">
        <f>'Berekening SO 2013'!T91</f>
        <v>882421930.89280713</v>
      </c>
      <c r="K51" s="310">
        <f>'Berekening SO 2013'!U91</f>
        <v>920820732.03431094</v>
      </c>
      <c r="L51" s="310">
        <f>'Berekening SO 2013'!V91</f>
        <v>10122909.943233505</v>
      </c>
      <c r="M51" s="310">
        <f>'Berekening SO 2013'!W91</f>
        <v>642534970.14862025</v>
      </c>
      <c r="N51" s="310">
        <f>'Berekening SO 2013'!X91</f>
        <v>38285483.57898242</v>
      </c>
      <c r="O51" s="180">
        <f>SUM(G51:N51)</f>
        <v>2609865014.2145452</v>
      </c>
      <c r="Q51" s="94" t="s">
        <v>384</v>
      </c>
    </row>
    <row r="52" spans="2:17">
      <c r="E52" s="178"/>
      <c r="O52" s="181"/>
    </row>
    <row r="53" spans="2:17">
      <c r="B53" s="94" t="s">
        <v>87</v>
      </c>
      <c r="D53" s="94" t="s">
        <v>48</v>
      </c>
      <c r="E53" s="178"/>
      <c r="O53" s="191">
        <f>O48/O47-1</f>
        <v>1.5199073373038052E-2</v>
      </c>
    </row>
    <row r="54" spans="2:17">
      <c r="B54" s="94" t="s">
        <v>106</v>
      </c>
      <c r="D54" s="94" t="s">
        <v>48</v>
      </c>
      <c r="E54" s="178"/>
      <c r="O54" s="191">
        <f>O49/O48-1</f>
        <v>1.3642855441571511E-2</v>
      </c>
    </row>
    <row r="55" spans="2:17">
      <c r="B55" s="94" t="s">
        <v>107</v>
      </c>
      <c r="D55" s="94" t="s">
        <v>48</v>
      </c>
      <c r="E55" s="178"/>
      <c r="O55" s="191">
        <f>O50/O49-1</f>
        <v>5.4728079841632749E-3</v>
      </c>
    </row>
    <row r="56" spans="2:17">
      <c r="B56" s="94" t="s">
        <v>193</v>
      </c>
      <c r="D56" s="94" t="s">
        <v>48</v>
      </c>
      <c r="E56" s="178"/>
      <c r="O56" s="191">
        <f>O51/O50-1</f>
        <v>2.847607856319101E-3</v>
      </c>
    </row>
    <row r="57" spans="2:17">
      <c r="E57" s="178"/>
      <c r="G57" s="181"/>
      <c r="H57" s="181"/>
      <c r="I57" s="181"/>
      <c r="J57" s="181"/>
      <c r="K57" s="181"/>
      <c r="L57" s="181"/>
      <c r="M57" s="181"/>
      <c r="N57" s="181"/>
      <c r="O57" s="181"/>
    </row>
    <row r="58" spans="2:17">
      <c r="B58" s="119" t="s">
        <v>116</v>
      </c>
      <c r="E58" s="178"/>
      <c r="G58" s="192"/>
      <c r="H58" s="192"/>
      <c r="I58" s="192"/>
      <c r="J58" s="192"/>
      <c r="K58" s="192"/>
      <c r="L58" s="192"/>
      <c r="M58" s="192"/>
      <c r="N58" s="192"/>
      <c r="O58" s="181"/>
    </row>
    <row r="59" spans="2:17">
      <c r="E59" s="178"/>
      <c r="O59" s="181"/>
    </row>
    <row r="60" spans="2:17">
      <c r="B60" s="94" t="s">
        <v>108</v>
      </c>
      <c r="C60" s="178"/>
      <c r="D60" s="94" t="s">
        <v>114</v>
      </c>
      <c r="E60" s="178"/>
      <c r="O60" s="180">
        <f>O39*(1+O53)</f>
        <v>278677320.45953941</v>
      </c>
    </row>
    <row r="61" spans="2:17">
      <c r="B61" s="94" t="s">
        <v>109</v>
      </c>
      <c r="C61" s="178"/>
      <c r="D61" s="94" t="s">
        <v>115</v>
      </c>
      <c r="E61" s="178"/>
      <c r="O61" s="180">
        <f>O40*(1+O53)*(1+O54)</f>
        <v>289755686.27814579</v>
      </c>
    </row>
    <row r="62" spans="2:17">
      <c r="B62" s="94" t="s">
        <v>110</v>
      </c>
      <c r="D62" s="94" t="s">
        <v>118</v>
      </c>
      <c r="E62" s="178"/>
      <c r="O62" s="180">
        <f>O41*(1+O53)*(1+O54)*(1+O55)</f>
        <v>302050913.01989239</v>
      </c>
    </row>
    <row r="63" spans="2:17">
      <c r="B63" s="94" t="s">
        <v>192</v>
      </c>
      <c r="D63" s="94" t="s">
        <v>119</v>
      </c>
      <c r="G63" s="181"/>
      <c r="H63" s="181"/>
      <c r="I63" s="181"/>
      <c r="J63" s="181"/>
      <c r="K63" s="181"/>
      <c r="L63" s="181"/>
      <c r="M63" s="181"/>
      <c r="N63" s="181"/>
      <c r="O63" s="180">
        <f>O42*(1+O53)*(1+O54)*(1+O55)*(1+O56)</f>
        <v>313137039.01170689</v>
      </c>
    </row>
    <row r="64" spans="2:17">
      <c r="G64" s="181"/>
      <c r="H64" s="181"/>
      <c r="I64" s="181"/>
      <c r="J64" s="181"/>
      <c r="K64" s="181"/>
      <c r="L64" s="181"/>
      <c r="M64" s="181"/>
      <c r="N64" s="181"/>
      <c r="O64" s="181"/>
    </row>
    <row r="65" spans="1:23">
      <c r="B65" s="119" t="s">
        <v>117</v>
      </c>
      <c r="E65" s="178"/>
      <c r="G65" s="192"/>
      <c r="H65" s="192"/>
      <c r="I65" s="192"/>
      <c r="J65" s="192"/>
      <c r="K65" s="192"/>
      <c r="L65" s="192"/>
      <c r="M65" s="192"/>
      <c r="N65" s="192"/>
      <c r="O65" s="181"/>
    </row>
    <row r="66" spans="1:23">
      <c r="E66" s="178"/>
      <c r="O66" s="181"/>
    </row>
    <row r="67" spans="1:23" s="193" customFormat="1">
      <c r="A67" s="94"/>
      <c r="B67" s="111" t="s">
        <v>135</v>
      </c>
      <c r="D67" s="111" t="s">
        <v>48</v>
      </c>
      <c r="F67" s="194"/>
      <c r="G67" s="195">
        <f t="shared" ref="G67:O67" si="5">G22/$O$22</f>
        <v>1.1588768592573101E-2</v>
      </c>
      <c r="H67" s="195">
        <f t="shared" si="5"/>
        <v>2.5567390586260355E-2</v>
      </c>
      <c r="I67" s="195">
        <f t="shared" si="5"/>
        <v>2.5624576358308952E-2</v>
      </c>
      <c r="J67" s="195">
        <f t="shared" si="5"/>
        <v>0.38430179487240895</v>
      </c>
      <c r="K67" s="195">
        <f t="shared" si="5"/>
        <v>0.31693595720660722</v>
      </c>
      <c r="L67" s="195">
        <f t="shared" si="5"/>
        <v>7.5502969345490646E-3</v>
      </c>
      <c r="M67" s="195">
        <f t="shared" si="5"/>
        <v>0.20506164003380381</v>
      </c>
      <c r="N67" s="195">
        <f t="shared" si="5"/>
        <v>2.3369575415488394E-2</v>
      </c>
      <c r="O67" s="195">
        <f t="shared" si="5"/>
        <v>1</v>
      </c>
      <c r="P67" s="196"/>
      <c r="R67" s="196"/>
      <c r="S67" s="196"/>
      <c r="V67" s="111"/>
      <c r="W67" s="196"/>
    </row>
    <row r="68" spans="1:23" s="193" customFormat="1">
      <c r="A68" s="94"/>
      <c r="B68" s="111"/>
      <c r="D68" s="111"/>
      <c r="F68" s="194"/>
      <c r="G68" s="194"/>
      <c r="H68" s="194"/>
      <c r="I68" s="194"/>
      <c r="J68" s="194"/>
      <c r="K68" s="194"/>
      <c r="L68" s="194"/>
      <c r="M68" s="194"/>
      <c r="N68" s="194"/>
      <c r="O68" s="194"/>
      <c r="P68" s="194"/>
      <c r="Q68" s="194"/>
      <c r="R68" s="194"/>
      <c r="S68" s="194"/>
      <c r="V68" s="111"/>
      <c r="W68" s="196"/>
    </row>
    <row r="69" spans="1:23">
      <c r="B69" s="94" t="s">
        <v>108</v>
      </c>
      <c r="C69" s="178"/>
      <c r="D69" s="94" t="s">
        <v>114</v>
      </c>
      <c r="E69" s="178"/>
      <c r="G69" s="180">
        <f t="shared" ref="G69:N72" si="6">G$67*$O60</f>
        <v>3229526.9788039397</v>
      </c>
      <c r="H69" s="180">
        <f t="shared" si="6"/>
        <v>7125051.8997214884</v>
      </c>
      <c r="I69" s="180">
        <f t="shared" si="6"/>
        <v>7140988.2774444008</v>
      </c>
      <c r="J69" s="180">
        <f t="shared" si="6"/>
        <v>107096194.4428345</v>
      </c>
      <c r="K69" s="180">
        <f t="shared" si="6"/>
        <v>88322863.311616555</v>
      </c>
      <c r="L69" s="180">
        <f t="shared" si="6"/>
        <v>2104096.5183940078</v>
      </c>
      <c r="M69" s="180">
        <f t="shared" si="6"/>
        <v>57146028.373659059</v>
      </c>
      <c r="N69" s="180">
        <f t="shared" si="6"/>
        <v>6512570.6570654335</v>
      </c>
      <c r="O69" s="197">
        <f t="shared" ref="O69:O71" si="7">SUM(G69:N69)</f>
        <v>278677320.45953941</v>
      </c>
    </row>
    <row r="70" spans="1:23">
      <c r="B70" s="94" t="s">
        <v>109</v>
      </c>
      <c r="C70" s="178"/>
      <c r="D70" s="94" t="s">
        <v>115</v>
      </c>
      <c r="E70" s="178"/>
      <c r="G70" s="180">
        <f t="shared" si="6"/>
        <v>3357911.5966596408</v>
      </c>
      <c r="H70" s="180">
        <f t="shared" si="6"/>
        <v>7408296.8056632737</v>
      </c>
      <c r="I70" s="180">
        <f t="shared" si="6"/>
        <v>7424866.7082885597</v>
      </c>
      <c r="J70" s="180">
        <f t="shared" si="6"/>
        <v>111353630.31117806</v>
      </c>
      <c r="K70" s="180">
        <f t="shared" si="6"/>
        <v>91833995.786621526</v>
      </c>
      <c r="L70" s="180">
        <f t="shared" si="6"/>
        <v>2187741.4698740444</v>
      </c>
      <c r="M70" s="180">
        <f t="shared" si="6"/>
        <v>59417776.237316921</v>
      </c>
      <c r="N70" s="180">
        <f t="shared" si="6"/>
        <v>6771467.3625437235</v>
      </c>
      <c r="O70" s="197">
        <f t="shared" si="7"/>
        <v>289755686.27814573</v>
      </c>
    </row>
    <row r="71" spans="1:23">
      <c r="B71" s="94" t="s">
        <v>110</v>
      </c>
      <c r="D71" s="94" t="s">
        <v>118</v>
      </c>
      <c r="E71" s="178"/>
      <c r="G71" s="180">
        <f t="shared" si="6"/>
        <v>3500398.1341629587</v>
      </c>
      <c r="H71" s="180">
        <f t="shared" si="6"/>
        <v>7722653.6701161424</v>
      </c>
      <c r="I71" s="180">
        <f t="shared" si="6"/>
        <v>7739926.6847751681</v>
      </c>
      <c r="J71" s="180">
        <f t="shared" si="6"/>
        <v>116078708.01639453</v>
      </c>
      <c r="K71" s="180">
        <f t="shared" si="6"/>
        <v>95730795.243089259</v>
      </c>
      <c r="L71" s="180">
        <f t="shared" si="6"/>
        <v>2280574.0826518396</v>
      </c>
      <c r="M71" s="180">
        <f t="shared" si="6"/>
        <v>61939055.597566962</v>
      </c>
      <c r="N71" s="180">
        <f t="shared" si="6"/>
        <v>7058801.5911355009</v>
      </c>
      <c r="O71" s="197">
        <f t="shared" si="7"/>
        <v>302050913.01989233</v>
      </c>
    </row>
    <row r="72" spans="1:23">
      <c r="B72" s="94" t="s">
        <v>192</v>
      </c>
      <c r="D72" s="94" t="s">
        <v>119</v>
      </c>
      <c r="E72" s="178"/>
      <c r="G72" s="198">
        <f t="shared" si="6"/>
        <v>3628872.6828702069</v>
      </c>
      <c r="H72" s="198">
        <f t="shared" si="6"/>
        <v>8006096.9834373565</v>
      </c>
      <c r="I72" s="198">
        <f t="shared" si="6"/>
        <v>8024003.9667702522</v>
      </c>
      <c r="J72" s="198">
        <f t="shared" si="6"/>
        <v>120339126.13323051</v>
      </c>
      <c r="K72" s="198">
        <f t="shared" si="6"/>
        <v>99244387.196018025</v>
      </c>
      <c r="L72" s="198">
        <f t="shared" si="6"/>
        <v>2364277.6257438613</v>
      </c>
      <c r="M72" s="198">
        <f t="shared" si="6"/>
        <v>64212394.775069818</v>
      </c>
      <c r="N72" s="198">
        <f t="shared" si="6"/>
        <v>7317879.6485668151</v>
      </c>
      <c r="O72" s="197">
        <f>SUM(G72:N72)</f>
        <v>313137039.01170689</v>
      </c>
    </row>
    <row r="73" spans="1:23">
      <c r="G73" s="192"/>
      <c r="H73" s="192"/>
      <c r="I73" s="192"/>
      <c r="J73" s="192"/>
      <c r="K73" s="192"/>
      <c r="L73" s="192"/>
      <c r="M73" s="192"/>
      <c r="N73" s="192"/>
      <c r="O73" s="192"/>
    </row>
    <row r="74" spans="1:23" s="177" customFormat="1">
      <c r="B74" s="118" t="s">
        <v>111</v>
      </c>
    </row>
    <row r="75" spans="1:23" s="178" customFormat="1">
      <c r="G75" s="117"/>
      <c r="H75" s="117"/>
      <c r="I75" s="117"/>
      <c r="J75" s="117"/>
      <c r="K75" s="117"/>
      <c r="L75" s="117"/>
      <c r="M75" s="117"/>
      <c r="N75" s="117"/>
      <c r="O75" s="117"/>
      <c r="Q75" s="116"/>
    </row>
    <row r="76" spans="1:23">
      <c r="B76" s="119" t="s">
        <v>88</v>
      </c>
      <c r="G76" s="181"/>
      <c r="H76" s="181"/>
      <c r="I76" s="181"/>
      <c r="J76" s="181"/>
      <c r="K76" s="181"/>
      <c r="L76" s="181"/>
      <c r="M76" s="181"/>
      <c r="N76" s="181"/>
      <c r="O76" s="181"/>
    </row>
    <row r="77" spans="1:23">
      <c r="B77" s="119"/>
      <c r="G77" s="181"/>
      <c r="H77" s="181"/>
      <c r="I77" s="181"/>
      <c r="J77" s="181"/>
      <c r="K77" s="181"/>
      <c r="L77" s="181"/>
      <c r="M77" s="181"/>
      <c r="N77" s="181"/>
      <c r="O77" s="181"/>
    </row>
    <row r="78" spans="1:23">
      <c r="B78" s="119" t="s">
        <v>183</v>
      </c>
      <c r="G78" s="181"/>
      <c r="H78" s="181"/>
      <c r="I78" s="181"/>
      <c r="J78" s="181"/>
      <c r="K78" s="181"/>
      <c r="L78" s="181"/>
      <c r="M78" s="181"/>
      <c r="N78" s="181"/>
      <c r="O78" s="181"/>
    </row>
    <row r="79" spans="1:23">
      <c r="B79" s="94" t="s">
        <v>184</v>
      </c>
      <c r="D79" s="94" t="s">
        <v>119</v>
      </c>
      <c r="G79" s="190">
        <v>0</v>
      </c>
      <c r="H79" s="190">
        <v>8215832.6700000409</v>
      </c>
      <c r="I79" s="190">
        <v>0</v>
      </c>
      <c r="J79" s="190">
        <v>144632282.83000001</v>
      </c>
      <c r="K79" s="190">
        <v>124350203.34999999</v>
      </c>
      <c r="L79" s="190">
        <v>0</v>
      </c>
      <c r="M79" s="190">
        <v>67749079.479999989</v>
      </c>
      <c r="N79" s="190">
        <v>7884931.0887107914</v>
      </c>
      <c r="O79" s="180">
        <f>SUM(G79:N79)</f>
        <v>352832329.41871083</v>
      </c>
      <c r="Q79" s="94" t="s">
        <v>185</v>
      </c>
    </row>
    <row r="80" spans="1:23">
      <c r="B80" s="94" t="s">
        <v>186</v>
      </c>
      <c r="D80" s="94" t="s">
        <v>119</v>
      </c>
      <c r="G80" s="190">
        <v>3296524.65</v>
      </c>
      <c r="H80" s="190">
        <v>0</v>
      </c>
      <c r="I80" s="190">
        <v>6949994.4008333329</v>
      </c>
      <c r="J80" s="190">
        <v>1011085.9479199999</v>
      </c>
      <c r="K80" s="190">
        <v>775274.64833333343</v>
      </c>
      <c r="L80" s="190">
        <v>2088919.51</v>
      </c>
      <c r="M80" s="190">
        <v>4013382.7863636371</v>
      </c>
      <c r="N80" s="190">
        <v>203863.00879999885</v>
      </c>
      <c r="O80" s="180">
        <f>SUM(G80:N80)</f>
        <v>18339044.952250302</v>
      </c>
      <c r="Q80" s="94" t="s">
        <v>185</v>
      </c>
    </row>
    <row r="81" spans="2:17">
      <c r="B81" s="94" t="s">
        <v>187</v>
      </c>
      <c r="G81" s="199">
        <f>G79+G80</f>
        <v>3296524.65</v>
      </c>
      <c r="H81" s="199">
        <f t="shared" ref="H81:M81" si="8">H79+H80</f>
        <v>8215832.6700000409</v>
      </c>
      <c r="I81" s="199">
        <f t="shared" si="8"/>
        <v>6949994.4008333329</v>
      </c>
      <c r="J81" s="199">
        <f t="shared" si="8"/>
        <v>145643368.77792001</v>
      </c>
      <c r="K81" s="199">
        <f t="shared" si="8"/>
        <v>125125477.99833333</v>
      </c>
      <c r="L81" s="199">
        <f t="shared" si="8"/>
        <v>2088919.51</v>
      </c>
      <c r="M81" s="199">
        <f t="shared" si="8"/>
        <v>71762462.266363621</v>
      </c>
      <c r="N81" s="199">
        <f>N79+N80</f>
        <v>8088794.0975107905</v>
      </c>
      <c r="O81" s="180">
        <f>SUM(G81:N81)</f>
        <v>371171374.37096113</v>
      </c>
    </row>
    <row r="82" spans="2:17">
      <c r="B82" s="178"/>
      <c r="G82" s="181"/>
      <c r="H82" s="181"/>
      <c r="I82" s="181"/>
      <c r="J82" s="181"/>
      <c r="K82" s="181"/>
      <c r="L82" s="181"/>
      <c r="M82" s="181"/>
      <c r="N82" s="181"/>
      <c r="O82" s="181"/>
    </row>
    <row r="83" spans="2:17">
      <c r="G83" s="181"/>
      <c r="H83" s="181"/>
      <c r="I83" s="181"/>
      <c r="J83" s="181"/>
      <c r="K83" s="181"/>
      <c r="L83" s="181"/>
      <c r="M83" s="181"/>
      <c r="N83" s="181"/>
      <c r="O83" s="181"/>
    </row>
    <row r="84" spans="2:17" s="177" customFormat="1">
      <c r="B84" s="118" t="s">
        <v>112</v>
      </c>
    </row>
    <row r="85" spans="2:17" s="178" customFormat="1">
      <c r="G85" s="117"/>
      <c r="H85" s="117"/>
      <c r="I85" s="117"/>
      <c r="J85" s="117"/>
      <c r="K85" s="117"/>
      <c r="L85" s="117"/>
      <c r="M85" s="117"/>
      <c r="N85" s="117"/>
      <c r="O85" s="117"/>
      <c r="Q85" s="116"/>
    </row>
    <row r="86" spans="2:17">
      <c r="B86" s="119" t="s">
        <v>89</v>
      </c>
      <c r="G86" s="181"/>
      <c r="H86" s="181"/>
      <c r="I86" s="181"/>
      <c r="J86" s="181"/>
      <c r="K86" s="181"/>
      <c r="L86" s="181"/>
      <c r="M86" s="181"/>
      <c r="N86" s="181"/>
      <c r="O86" s="181"/>
    </row>
    <row r="87" spans="2:17">
      <c r="B87" s="119"/>
      <c r="G87" s="181"/>
      <c r="H87" s="181"/>
      <c r="I87" s="181"/>
      <c r="J87" s="181"/>
      <c r="K87" s="181"/>
      <c r="L87" s="181"/>
      <c r="M87" s="181"/>
      <c r="N87" s="181"/>
      <c r="O87" s="181"/>
    </row>
    <row r="88" spans="2:17">
      <c r="B88" s="94" t="s">
        <v>188</v>
      </c>
      <c r="D88" s="94" t="s">
        <v>119</v>
      </c>
      <c r="G88" s="199">
        <f>G81-G72</f>
        <v>-332348.03287020698</v>
      </c>
      <c r="H88" s="199">
        <f t="shared" ref="H88:N88" si="9">H81-H72</f>
        <v>209735.68656268436</v>
      </c>
      <c r="I88" s="199">
        <f t="shared" si="9"/>
        <v>-1074009.5659369193</v>
      </c>
      <c r="J88" s="199">
        <f t="shared" si="9"/>
        <v>25304242.6446895</v>
      </c>
      <c r="K88" s="199">
        <f t="shared" si="9"/>
        <v>25881090.80231531</v>
      </c>
      <c r="L88" s="199">
        <f t="shared" si="9"/>
        <v>-275358.1157438613</v>
      </c>
      <c r="M88" s="199">
        <f t="shared" si="9"/>
        <v>7550067.4912938029</v>
      </c>
      <c r="N88" s="199">
        <f t="shared" si="9"/>
        <v>770914.44894397538</v>
      </c>
      <c r="O88" s="180">
        <f>SUM(G88:N88)</f>
        <v>58034335.359254286</v>
      </c>
    </row>
  </sheetData>
  <pageMargins left="0.75" right="0.75" top="1" bottom="1" header="0.5" footer="0.5"/>
  <pageSetup paperSize="8" scale="45"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2:Z53"/>
  <sheetViews>
    <sheetView showGridLines="0" zoomScale="85" workbookViewId="0"/>
  </sheetViews>
  <sheetFormatPr defaultRowHeight="12.75"/>
  <cols>
    <col min="1" max="1" width="4.85546875" style="74" customWidth="1"/>
    <col min="2" max="2" width="57.5703125" style="74" customWidth="1"/>
    <col min="3" max="3" width="4.42578125" style="74" customWidth="1"/>
    <col min="4" max="4" width="18.28515625" style="74" customWidth="1"/>
    <col min="5" max="5" width="6.5703125" style="74" customWidth="1"/>
    <col min="6" max="6" width="4.140625" style="74" customWidth="1"/>
    <col min="7" max="14" width="15.42578125" style="74" customWidth="1"/>
    <col min="15" max="15" width="5.28515625" style="74" customWidth="1"/>
    <col min="16" max="256" width="9.140625" style="74"/>
    <col min="257" max="257" width="4.85546875" style="74" customWidth="1"/>
    <col min="258" max="258" width="57.5703125" style="74" customWidth="1"/>
    <col min="259" max="259" width="4.42578125" style="74" customWidth="1"/>
    <col min="260" max="260" width="18.28515625" style="74" customWidth="1"/>
    <col min="261" max="261" width="5.85546875" style="74" customWidth="1"/>
    <col min="262" max="262" width="4.140625" style="74" customWidth="1"/>
    <col min="263" max="270" width="15.42578125" style="74" customWidth="1"/>
    <col min="271" max="271" width="5.28515625" style="74" customWidth="1"/>
    <col min="272" max="512" width="9.140625" style="74"/>
    <col min="513" max="513" width="4.85546875" style="74" customWidth="1"/>
    <col min="514" max="514" width="57.5703125" style="74" customWidth="1"/>
    <col min="515" max="515" width="4.42578125" style="74" customWidth="1"/>
    <col min="516" max="516" width="18.28515625" style="74" customWidth="1"/>
    <col min="517" max="517" width="5.85546875" style="74" customWidth="1"/>
    <col min="518" max="518" width="4.140625" style="74" customWidth="1"/>
    <col min="519" max="526" width="15.42578125" style="74" customWidth="1"/>
    <col min="527" max="527" width="5.28515625" style="74" customWidth="1"/>
    <col min="528" max="768" width="9.140625" style="74"/>
    <col min="769" max="769" width="4.85546875" style="74" customWidth="1"/>
    <col min="770" max="770" width="57.5703125" style="74" customWidth="1"/>
    <col min="771" max="771" width="4.42578125" style="74" customWidth="1"/>
    <col min="772" max="772" width="18.28515625" style="74" customWidth="1"/>
    <col min="773" max="773" width="5.85546875" style="74" customWidth="1"/>
    <col min="774" max="774" width="4.140625" style="74" customWidth="1"/>
    <col min="775" max="782" width="15.42578125" style="74" customWidth="1"/>
    <col min="783" max="783" width="5.28515625" style="74" customWidth="1"/>
    <col min="784" max="1024" width="9.140625" style="74"/>
    <col min="1025" max="1025" width="4.85546875" style="74" customWidth="1"/>
    <col min="1026" max="1026" width="57.5703125" style="74" customWidth="1"/>
    <col min="1027" max="1027" width="4.42578125" style="74" customWidth="1"/>
    <col min="1028" max="1028" width="18.28515625" style="74" customWidth="1"/>
    <col min="1029" max="1029" width="5.85546875" style="74" customWidth="1"/>
    <col min="1030" max="1030" width="4.140625" style="74" customWidth="1"/>
    <col min="1031" max="1038" width="15.42578125" style="74" customWidth="1"/>
    <col min="1039" max="1039" width="5.28515625" style="74" customWidth="1"/>
    <col min="1040" max="1280" width="9.140625" style="74"/>
    <col min="1281" max="1281" width="4.85546875" style="74" customWidth="1"/>
    <col min="1282" max="1282" width="57.5703125" style="74" customWidth="1"/>
    <col min="1283" max="1283" width="4.42578125" style="74" customWidth="1"/>
    <col min="1284" max="1284" width="18.28515625" style="74" customWidth="1"/>
    <col min="1285" max="1285" width="5.85546875" style="74" customWidth="1"/>
    <col min="1286" max="1286" width="4.140625" style="74" customWidth="1"/>
    <col min="1287" max="1294" width="15.42578125" style="74" customWidth="1"/>
    <col min="1295" max="1295" width="5.28515625" style="74" customWidth="1"/>
    <col min="1296" max="1536" width="9.140625" style="74"/>
    <col min="1537" max="1537" width="4.85546875" style="74" customWidth="1"/>
    <col min="1538" max="1538" width="57.5703125" style="74" customWidth="1"/>
    <col min="1539" max="1539" width="4.42578125" style="74" customWidth="1"/>
    <col min="1540" max="1540" width="18.28515625" style="74" customWidth="1"/>
    <col min="1541" max="1541" width="5.85546875" style="74" customWidth="1"/>
    <col min="1542" max="1542" width="4.140625" style="74" customWidth="1"/>
    <col min="1543" max="1550" width="15.42578125" style="74" customWidth="1"/>
    <col min="1551" max="1551" width="5.28515625" style="74" customWidth="1"/>
    <col min="1552" max="1792" width="9.140625" style="74"/>
    <col min="1793" max="1793" width="4.85546875" style="74" customWidth="1"/>
    <col min="1794" max="1794" width="57.5703125" style="74" customWidth="1"/>
    <col min="1795" max="1795" width="4.42578125" style="74" customWidth="1"/>
    <col min="1796" max="1796" width="18.28515625" style="74" customWidth="1"/>
    <col min="1797" max="1797" width="5.85546875" style="74" customWidth="1"/>
    <col min="1798" max="1798" width="4.140625" style="74" customWidth="1"/>
    <col min="1799" max="1806" width="15.42578125" style="74" customWidth="1"/>
    <col min="1807" max="1807" width="5.28515625" style="74" customWidth="1"/>
    <col min="1808" max="2048" width="9.140625" style="74"/>
    <col min="2049" max="2049" width="4.85546875" style="74" customWidth="1"/>
    <col min="2050" max="2050" width="57.5703125" style="74" customWidth="1"/>
    <col min="2051" max="2051" width="4.42578125" style="74" customWidth="1"/>
    <col min="2052" max="2052" width="18.28515625" style="74" customWidth="1"/>
    <col min="2053" max="2053" width="5.85546875" style="74" customWidth="1"/>
    <col min="2054" max="2054" width="4.140625" style="74" customWidth="1"/>
    <col min="2055" max="2062" width="15.42578125" style="74" customWidth="1"/>
    <col min="2063" max="2063" width="5.28515625" style="74" customWidth="1"/>
    <col min="2064" max="2304" width="9.140625" style="74"/>
    <col min="2305" max="2305" width="4.85546875" style="74" customWidth="1"/>
    <col min="2306" max="2306" width="57.5703125" style="74" customWidth="1"/>
    <col min="2307" max="2307" width="4.42578125" style="74" customWidth="1"/>
    <col min="2308" max="2308" width="18.28515625" style="74" customWidth="1"/>
    <col min="2309" max="2309" width="5.85546875" style="74" customWidth="1"/>
    <col min="2310" max="2310" width="4.140625" style="74" customWidth="1"/>
    <col min="2311" max="2318" width="15.42578125" style="74" customWidth="1"/>
    <col min="2319" max="2319" width="5.28515625" style="74" customWidth="1"/>
    <col min="2320" max="2560" width="9.140625" style="74"/>
    <col min="2561" max="2561" width="4.85546875" style="74" customWidth="1"/>
    <col min="2562" max="2562" width="57.5703125" style="74" customWidth="1"/>
    <col min="2563" max="2563" width="4.42578125" style="74" customWidth="1"/>
    <col min="2564" max="2564" width="18.28515625" style="74" customWidth="1"/>
    <col min="2565" max="2565" width="5.85546875" style="74" customWidth="1"/>
    <col min="2566" max="2566" width="4.140625" style="74" customWidth="1"/>
    <col min="2567" max="2574" width="15.42578125" style="74" customWidth="1"/>
    <col min="2575" max="2575" width="5.28515625" style="74" customWidth="1"/>
    <col min="2576" max="2816" width="9.140625" style="74"/>
    <col min="2817" max="2817" width="4.85546875" style="74" customWidth="1"/>
    <col min="2818" max="2818" width="57.5703125" style="74" customWidth="1"/>
    <col min="2819" max="2819" width="4.42578125" style="74" customWidth="1"/>
    <col min="2820" max="2820" width="18.28515625" style="74" customWidth="1"/>
    <col min="2821" max="2821" width="5.85546875" style="74" customWidth="1"/>
    <col min="2822" max="2822" width="4.140625" style="74" customWidth="1"/>
    <col min="2823" max="2830" width="15.42578125" style="74" customWidth="1"/>
    <col min="2831" max="2831" width="5.28515625" style="74" customWidth="1"/>
    <col min="2832" max="3072" width="9.140625" style="74"/>
    <col min="3073" max="3073" width="4.85546875" style="74" customWidth="1"/>
    <col min="3074" max="3074" width="57.5703125" style="74" customWidth="1"/>
    <col min="3075" max="3075" width="4.42578125" style="74" customWidth="1"/>
    <col min="3076" max="3076" width="18.28515625" style="74" customWidth="1"/>
    <col min="3077" max="3077" width="5.85546875" style="74" customWidth="1"/>
    <col min="3078" max="3078" width="4.140625" style="74" customWidth="1"/>
    <col min="3079" max="3086" width="15.42578125" style="74" customWidth="1"/>
    <col min="3087" max="3087" width="5.28515625" style="74" customWidth="1"/>
    <col min="3088" max="3328" width="9.140625" style="74"/>
    <col min="3329" max="3329" width="4.85546875" style="74" customWidth="1"/>
    <col min="3330" max="3330" width="57.5703125" style="74" customWidth="1"/>
    <col min="3331" max="3331" width="4.42578125" style="74" customWidth="1"/>
    <col min="3332" max="3332" width="18.28515625" style="74" customWidth="1"/>
    <col min="3333" max="3333" width="5.85546875" style="74" customWidth="1"/>
    <col min="3334" max="3334" width="4.140625" style="74" customWidth="1"/>
    <col min="3335" max="3342" width="15.42578125" style="74" customWidth="1"/>
    <col min="3343" max="3343" width="5.28515625" style="74" customWidth="1"/>
    <col min="3344" max="3584" width="9.140625" style="74"/>
    <col min="3585" max="3585" width="4.85546875" style="74" customWidth="1"/>
    <col min="3586" max="3586" width="57.5703125" style="74" customWidth="1"/>
    <col min="3587" max="3587" width="4.42578125" style="74" customWidth="1"/>
    <col min="3588" max="3588" width="18.28515625" style="74" customWidth="1"/>
    <col min="3589" max="3589" width="5.85546875" style="74" customWidth="1"/>
    <col min="3590" max="3590" width="4.140625" style="74" customWidth="1"/>
    <col min="3591" max="3598" width="15.42578125" style="74" customWidth="1"/>
    <col min="3599" max="3599" width="5.28515625" style="74" customWidth="1"/>
    <col min="3600" max="3840" width="9.140625" style="74"/>
    <col min="3841" max="3841" width="4.85546875" style="74" customWidth="1"/>
    <col min="3842" max="3842" width="57.5703125" style="74" customWidth="1"/>
    <col min="3843" max="3843" width="4.42578125" style="74" customWidth="1"/>
    <col min="3844" max="3844" width="18.28515625" style="74" customWidth="1"/>
    <col min="3845" max="3845" width="5.85546875" style="74" customWidth="1"/>
    <col min="3846" max="3846" width="4.140625" style="74" customWidth="1"/>
    <col min="3847" max="3854" width="15.42578125" style="74" customWidth="1"/>
    <col min="3855" max="3855" width="5.28515625" style="74" customWidth="1"/>
    <col min="3856" max="4096" width="9.140625" style="74"/>
    <col min="4097" max="4097" width="4.85546875" style="74" customWidth="1"/>
    <col min="4098" max="4098" width="57.5703125" style="74" customWidth="1"/>
    <col min="4099" max="4099" width="4.42578125" style="74" customWidth="1"/>
    <col min="4100" max="4100" width="18.28515625" style="74" customWidth="1"/>
    <col min="4101" max="4101" width="5.85546875" style="74" customWidth="1"/>
    <col min="4102" max="4102" width="4.140625" style="74" customWidth="1"/>
    <col min="4103" max="4110" width="15.42578125" style="74" customWidth="1"/>
    <col min="4111" max="4111" width="5.28515625" style="74" customWidth="1"/>
    <col min="4112" max="4352" width="9.140625" style="74"/>
    <col min="4353" max="4353" width="4.85546875" style="74" customWidth="1"/>
    <col min="4354" max="4354" width="57.5703125" style="74" customWidth="1"/>
    <col min="4355" max="4355" width="4.42578125" style="74" customWidth="1"/>
    <col min="4356" max="4356" width="18.28515625" style="74" customWidth="1"/>
    <col min="4357" max="4357" width="5.85546875" style="74" customWidth="1"/>
    <col min="4358" max="4358" width="4.140625" style="74" customWidth="1"/>
    <col min="4359" max="4366" width="15.42578125" style="74" customWidth="1"/>
    <col min="4367" max="4367" width="5.28515625" style="74" customWidth="1"/>
    <col min="4368" max="4608" width="9.140625" style="74"/>
    <col min="4609" max="4609" width="4.85546875" style="74" customWidth="1"/>
    <col min="4610" max="4610" width="57.5703125" style="74" customWidth="1"/>
    <col min="4611" max="4611" width="4.42578125" style="74" customWidth="1"/>
    <col min="4612" max="4612" width="18.28515625" style="74" customWidth="1"/>
    <col min="4613" max="4613" width="5.85546875" style="74" customWidth="1"/>
    <col min="4614" max="4614" width="4.140625" style="74" customWidth="1"/>
    <col min="4615" max="4622" width="15.42578125" style="74" customWidth="1"/>
    <col min="4623" max="4623" width="5.28515625" style="74" customWidth="1"/>
    <col min="4624" max="4864" width="9.140625" style="74"/>
    <col min="4865" max="4865" width="4.85546875" style="74" customWidth="1"/>
    <col min="4866" max="4866" width="57.5703125" style="74" customWidth="1"/>
    <col min="4867" max="4867" width="4.42578125" style="74" customWidth="1"/>
    <col min="4868" max="4868" width="18.28515625" style="74" customWidth="1"/>
    <col min="4869" max="4869" width="5.85546875" style="74" customWidth="1"/>
    <col min="4870" max="4870" width="4.140625" style="74" customWidth="1"/>
    <col min="4871" max="4878" width="15.42578125" style="74" customWidth="1"/>
    <col min="4879" max="4879" width="5.28515625" style="74" customWidth="1"/>
    <col min="4880" max="5120" width="9.140625" style="74"/>
    <col min="5121" max="5121" width="4.85546875" style="74" customWidth="1"/>
    <col min="5122" max="5122" width="57.5703125" style="74" customWidth="1"/>
    <col min="5123" max="5123" width="4.42578125" style="74" customWidth="1"/>
    <col min="5124" max="5124" width="18.28515625" style="74" customWidth="1"/>
    <col min="5125" max="5125" width="5.85546875" style="74" customWidth="1"/>
    <col min="5126" max="5126" width="4.140625" style="74" customWidth="1"/>
    <col min="5127" max="5134" width="15.42578125" style="74" customWidth="1"/>
    <col min="5135" max="5135" width="5.28515625" style="74" customWidth="1"/>
    <col min="5136" max="5376" width="9.140625" style="74"/>
    <col min="5377" max="5377" width="4.85546875" style="74" customWidth="1"/>
    <col min="5378" max="5378" width="57.5703125" style="74" customWidth="1"/>
    <col min="5379" max="5379" width="4.42578125" style="74" customWidth="1"/>
    <col min="5380" max="5380" width="18.28515625" style="74" customWidth="1"/>
    <col min="5381" max="5381" width="5.85546875" style="74" customWidth="1"/>
    <col min="5382" max="5382" width="4.140625" style="74" customWidth="1"/>
    <col min="5383" max="5390" width="15.42578125" style="74" customWidth="1"/>
    <col min="5391" max="5391" width="5.28515625" style="74" customWidth="1"/>
    <col min="5392" max="5632" width="9.140625" style="74"/>
    <col min="5633" max="5633" width="4.85546875" style="74" customWidth="1"/>
    <col min="5634" max="5634" width="57.5703125" style="74" customWidth="1"/>
    <col min="5635" max="5635" width="4.42578125" style="74" customWidth="1"/>
    <col min="5636" max="5636" width="18.28515625" style="74" customWidth="1"/>
    <col min="5637" max="5637" width="5.85546875" style="74" customWidth="1"/>
    <col min="5638" max="5638" width="4.140625" style="74" customWidth="1"/>
    <col min="5639" max="5646" width="15.42578125" style="74" customWidth="1"/>
    <col min="5647" max="5647" width="5.28515625" style="74" customWidth="1"/>
    <col min="5648" max="5888" width="9.140625" style="74"/>
    <col min="5889" max="5889" width="4.85546875" style="74" customWidth="1"/>
    <col min="5890" max="5890" width="57.5703125" style="74" customWidth="1"/>
    <col min="5891" max="5891" width="4.42578125" style="74" customWidth="1"/>
    <col min="5892" max="5892" width="18.28515625" style="74" customWidth="1"/>
    <col min="5893" max="5893" width="5.85546875" style="74" customWidth="1"/>
    <col min="5894" max="5894" width="4.140625" style="74" customWidth="1"/>
    <col min="5895" max="5902" width="15.42578125" style="74" customWidth="1"/>
    <col min="5903" max="5903" width="5.28515625" style="74" customWidth="1"/>
    <col min="5904" max="6144" width="9.140625" style="74"/>
    <col min="6145" max="6145" width="4.85546875" style="74" customWidth="1"/>
    <col min="6146" max="6146" width="57.5703125" style="74" customWidth="1"/>
    <col min="6147" max="6147" width="4.42578125" style="74" customWidth="1"/>
    <col min="6148" max="6148" width="18.28515625" style="74" customWidth="1"/>
    <col min="6149" max="6149" width="5.85546875" style="74" customWidth="1"/>
    <col min="6150" max="6150" width="4.140625" style="74" customWidth="1"/>
    <col min="6151" max="6158" width="15.42578125" style="74" customWidth="1"/>
    <col min="6159" max="6159" width="5.28515625" style="74" customWidth="1"/>
    <col min="6160" max="6400" width="9.140625" style="74"/>
    <col min="6401" max="6401" width="4.85546875" style="74" customWidth="1"/>
    <col min="6402" max="6402" width="57.5703125" style="74" customWidth="1"/>
    <col min="6403" max="6403" width="4.42578125" style="74" customWidth="1"/>
    <col min="6404" max="6404" width="18.28515625" style="74" customWidth="1"/>
    <col min="6405" max="6405" width="5.85546875" style="74" customWidth="1"/>
    <col min="6406" max="6406" width="4.140625" style="74" customWidth="1"/>
    <col min="6407" max="6414" width="15.42578125" style="74" customWidth="1"/>
    <col min="6415" max="6415" width="5.28515625" style="74" customWidth="1"/>
    <col min="6416" max="6656" width="9.140625" style="74"/>
    <col min="6657" max="6657" width="4.85546875" style="74" customWidth="1"/>
    <col min="6658" max="6658" width="57.5703125" style="74" customWidth="1"/>
    <col min="6659" max="6659" width="4.42578125" style="74" customWidth="1"/>
    <col min="6660" max="6660" width="18.28515625" style="74" customWidth="1"/>
    <col min="6661" max="6661" width="5.85546875" style="74" customWidth="1"/>
    <col min="6662" max="6662" width="4.140625" style="74" customWidth="1"/>
    <col min="6663" max="6670" width="15.42578125" style="74" customWidth="1"/>
    <col min="6671" max="6671" width="5.28515625" style="74" customWidth="1"/>
    <col min="6672" max="6912" width="9.140625" style="74"/>
    <col min="6913" max="6913" width="4.85546875" style="74" customWidth="1"/>
    <col min="6914" max="6914" width="57.5703125" style="74" customWidth="1"/>
    <col min="6915" max="6915" width="4.42578125" style="74" customWidth="1"/>
    <col min="6916" max="6916" width="18.28515625" style="74" customWidth="1"/>
    <col min="6917" max="6917" width="5.85546875" style="74" customWidth="1"/>
    <col min="6918" max="6918" width="4.140625" style="74" customWidth="1"/>
    <col min="6919" max="6926" width="15.42578125" style="74" customWidth="1"/>
    <col min="6927" max="6927" width="5.28515625" style="74" customWidth="1"/>
    <col min="6928" max="7168" width="9.140625" style="74"/>
    <col min="7169" max="7169" width="4.85546875" style="74" customWidth="1"/>
    <col min="7170" max="7170" width="57.5703125" style="74" customWidth="1"/>
    <col min="7171" max="7171" width="4.42578125" style="74" customWidth="1"/>
    <col min="7172" max="7172" width="18.28515625" style="74" customWidth="1"/>
    <col min="7173" max="7173" width="5.85546875" style="74" customWidth="1"/>
    <col min="7174" max="7174" width="4.140625" style="74" customWidth="1"/>
    <col min="7175" max="7182" width="15.42578125" style="74" customWidth="1"/>
    <col min="7183" max="7183" width="5.28515625" style="74" customWidth="1"/>
    <col min="7184" max="7424" width="9.140625" style="74"/>
    <col min="7425" max="7425" width="4.85546875" style="74" customWidth="1"/>
    <col min="7426" max="7426" width="57.5703125" style="74" customWidth="1"/>
    <col min="7427" max="7427" width="4.42578125" style="74" customWidth="1"/>
    <col min="7428" max="7428" width="18.28515625" style="74" customWidth="1"/>
    <col min="7429" max="7429" width="5.85546875" style="74" customWidth="1"/>
    <col min="7430" max="7430" width="4.140625" style="74" customWidth="1"/>
    <col min="7431" max="7438" width="15.42578125" style="74" customWidth="1"/>
    <col min="7439" max="7439" width="5.28515625" style="74" customWidth="1"/>
    <col min="7440" max="7680" width="9.140625" style="74"/>
    <col min="7681" max="7681" width="4.85546875" style="74" customWidth="1"/>
    <col min="7682" max="7682" width="57.5703125" style="74" customWidth="1"/>
    <col min="7683" max="7683" width="4.42578125" style="74" customWidth="1"/>
    <col min="7684" max="7684" width="18.28515625" style="74" customWidth="1"/>
    <col min="7685" max="7685" width="5.85546875" style="74" customWidth="1"/>
    <col min="7686" max="7686" width="4.140625" style="74" customWidth="1"/>
    <col min="7687" max="7694" width="15.42578125" style="74" customWidth="1"/>
    <col min="7695" max="7695" width="5.28515625" style="74" customWidth="1"/>
    <col min="7696" max="7936" width="9.140625" style="74"/>
    <col min="7937" max="7937" width="4.85546875" style="74" customWidth="1"/>
    <col min="7938" max="7938" width="57.5703125" style="74" customWidth="1"/>
    <col min="7939" max="7939" width="4.42578125" style="74" customWidth="1"/>
    <col min="7940" max="7940" width="18.28515625" style="74" customWidth="1"/>
    <col min="7941" max="7941" width="5.85546875" style="74" customWidth="1"/>
    <col min="7942" max="7942" width="4.140625" style="74" customWidth="1"/>
    <col min="7943" max="7950" width="15.42578125" style="74" customWidth="1"/>
    <col min="7951" max="7951" width="5.28515625" style="74" customWidth="1"/>
    <col min="7952" max="8192" width="9.140625" style="74"/>
    <col min="8193" max="8193" width="4.85546875" style="74" customWidth="1"/>
    <col min="8194" max="8194" width="57.5703125" style="74" customWidth="1"/>
    <col min="8195" max="8195" width="4.42578125" style="74" customWidth="1"/>
    <col min="8196" max="8196" width="18.28515625" style="74" customWidth="1"/>
    <col min="8197" max="8197" width="5.85546875" style="74" customWidth="1"/>
    <col min="8198" max="8198" width="4.140625" style="74" customWidth="1"/>
    <col min="8199" max="8206" width="15.42578125" style="74" customWidth="1"/>
    <col min="8207" max="8207" width="5.28515625" style="74" customWidth="1"/>
    <col min="8208" max="8448" width="9.140625" style="74"/>
    <col min="8449" max="8449" width="4.85546875" style="74" customWidth="1"/>
    <col min="8450" max="8450" width="57.5703125" style="74" customWidth="1"/>
    <col min="8451" max="8451" width="4.42578125" style="74" customWidth="1"/>
    <col min="8452" max="8452" width="18.28515625" style="74" customWidth="1"/>
    <col min="8453" max="8453" width="5.85546875" style="74" customWidth="1"/>
    <col min="8454" max="8454" width="4.140625" style="74" customWidth="1"/>
    <col min="8455" max="8462" width="15.42578125" style="74" customWidth="1"/>
    <col min="8463" max="8463" width="5.28515625" style="74" customWidth="1"/>
    <col min="8464" max="8704" width="9.140625" style="74"/>
    <col min="8705" max="8705" width="4.85546875" style="74" customWidth="1"/>
    <col min="8706" max="8706" width="57.5703125" style="74" customWidth="1"/>
    <col min="8707" max="8707" width="4.42578125" style="74" customWidth="1"/>
    <col min="8708" max="8708" width="18.28515625" style="74" customWidth="1"/>
    <col min="8709" max="8709" width="5.85546875" style="74" customWidth="1"/>
    <col min="8710" max="8710" width="4.140625" style="74" customWidth="1"/>
    <col min="8711" max="8718" width="15.42578125" style="74" customWidth="1"/>
    <col min="8719" max="8719" width="5.28515625" style="74" customWidth="1"/>
    <col min="8720" max="8960" width="9.140625" style="74"/>
    <col min="8961" max="8961" width="4.85546875" style="74" customWidth="1"/>
    <col min="8962" max="8962" width="57.5703125" style="74" customWidth="1"/>
    <col min="8963" max="8963" width="4.42578125" style="74" customWidth="1"/>
    <col min="8964" max="8964" width="18.28515625" style="74" customWidth="1"/>
    <col min="8965" max="8965" width="5.85546875" style="74" customWidth="1"/>
    <col min="8966" max="8966" width="4.140625" style="74" customWidth="1"/>
    <col min="8967" max="8974" width="15.42578125" style="74" customWidth="1"/>
    <col min="8975" max="8975" width="5.28515625" style="74" customWidth="1"/>
    <col min="8976" max="9216" width="9.140625" style="74"/>
    <col min="9217" max="9217" width="4.85546875" style="74" customWidth="1"/>
    <col min="9218" max="9218" width="57.5703125" style="74" customWidth="1"/>
    <col min="9219" max="9219" width="4.42578125" style="74" customWidth="1"/>
    <col min="9220" max="9220" width="18.28515625" style="74" customWidth="1"/>
    <col min="9221" max="9221" width="5.85546875" style="74" customWidth="1"/>
    <col min="9222" max="9222" width="4.140625" style="74" customWidth="1"/>
    <col min="9223" max="9230" width="15.42578125" style="74" customWidth="1"/>
    <col min="9231" max="9231" width="5.28515625" style="74" customWidth="1"/>
    <col min="9232" max="9472" width="9.140625" style="74"/>
    <col min="9473" max="9473" width="4.85546875" style="74" customWidth="1"/>
    <col min="9474" max="9474" width="57.5703125" style="74" customWidth="1"/>
    <col min="9475" max="9475" width="4.42578125" style="74" customWidth="1"/>
    <col min="9476" max="9476" width="18.28515625" style="74" customWidth="1"/>
    <col min="9477" max="9477" width="5.85546875" style="74" customWidth="1"/>
    <col min="9478" max="9478" width="4.140625" style="74" customWidth="1"/>
    <col min="9479" max="9486" width="15.42578125" style="74" customWidth="1"/>
    <col min="9487" max="9487" width="5.28515625" style="74" customWidth="1"/>
    <col min="9488" max="9728" width="9.140625" style="74"/>
    <col min="9729" max="9729" width="4.85546875" style="74" customWidth="1"/>
    <col min="9730" max="9730" width="57.5703125" style="74" customWidth="1"/>
    <col min="9731" max="9731" width="4.42578125" style="74" customWidth="1"/>
    <col min="9732" max="9732" width="18.28515625" style="74" customWidth="1"/>
    <col min="9733" max="9733" width="5.85546875" style="74" customWidth="1"/>
    <col min="9734" max="9734" width="4.140625" style="74" customWidth="1"/>
    <col min="9735" max="9742" width="15.42578125" style="74" customWidth="1"/>
    <col min="9743" max="9743" width="5.28515625" style="74" customWidth="1"/>
    <col min="9744" max="9984" width="9.140625" style="74"/>
    <col min="9985" max="9985" width="4.85546875" style="74" customWidth="1"/>
    <col min="9986" max="9986" width="57.5703125" style="74" customWidth="1"/>
    <col min="9987" max="9987" width="4.42578125" style="74" customWidth="1"/>
    <col min="9988" max="9988" width="18.28515625" style="74" customWidth="1"/>
    <col min="9989" max="9989" width="5.85546875" style="74" customWidth="1"/>
    <col min="9990" max="9990" width="4.140625" style="74" customWidth="1"/>
    <col min="9991" max="9998" width="15.42578125" style="74" customWidth="1"/>
    <col min="9999" max="9999" width="5.28515625" style="74" customWidth="1"/>
    <col min="10000" max="10240" width="9.140625" style="74"/>
    <col min="10241" max="10241" width="4.85546875" style="74" customWidth="1"/>
    <col min="10242" max="10242" width="57.5703125" style="74" customWidth="1"/>
    <col min="10243" max="10243" width="4.42578125" style="74" customWidth="1"/>
    <col min="10244" max="10244" width="18.28515625" style="74" customWidth="1"/>
    <col min="10245" max="10245" width="5.85546875" style="74" customWidth="1"/>
    <col min="10246" max="10246" width="4.140625" style="74" customWidth="1"/>
    <col min="10247" max="10254" width="15.42578125" style="74" customWidth="1"/>
    <col min="10255" max="10255" width="5.28515625" style="74" customWidth="1"/>
    <col min="10256" max="10496" width="9.140625" style="74"/>
    <col min="10497" max="10497" width="4.85546875" style="74" customWidth="1"/>
    <col min="10498" max="10498" width="57.5703125" style="74" customWidth="1"/>
    <col min="10499" max="10499" width="4.42578125" style="74" customWidth="1"/>
    <col min="10500" max="10500" width="18.28515625" style="74" customWidth="1"/>
    <col min="10501" max="10501" width="5.85546875" style="74" customWidth="1"/>
    <col min="10502" max="10502" width="4.140625" style="74" customWidth="1"/>
    <col min="10503" max="10510" width="15.42578125" style="74" customWidth="1"/>
    <col min="10511" max="10511" width="5.28515625" style="74" customWidth="1"/>
    <col min="10512" max="10752" width="9.140625" style="74"/>
    <col min="10753" max="10753" width="4.85546875" style="74" customWidth="1"/>
    <col min="10754" max="10754" width="57.5703125" style="74" customWidth="1"/>
    <col min="10755" max="10755" width="4.42578125" style="74" customWidth="1"/>
    <col min="10756" max="10756" width="18.28515625" style="74" customWidth="1"/>
    <col min="10757" max="10757" width="5.85546875" style="74" customWidth="1"/>
    <col min="10758" max="10758" width="4.140625" style="74" customWidth="1"/>
    <col min="10759" max="10766" width="15.42578125" style="74" customWidth="1"/>
    <col min="10767" max="10767" width="5.28515625" style="74" customWidth="1"/>
    <col min="10768" max="11008" width="9.140625" style="74"/>
    <col min="11009" max="11009" width="4.85546875" style="74" customWidth="1"/>
    <col min="11010" max="11010" width="57.5703125" style="74" customWidth="1"/>
    <col min="11011" max="11011" width="4.42578125" style="74" customWidth="1"/>
    <col min="11012" max="11012" width="18.28515625" style="74" customWidth="1"/>
    <col min="11013" max="11013" width="5.85546875" style="74" customWidth="1"/>
    <col min="11014" max="11014" width="4.140625" style="74" customWidth="1"/>
    <col min="11015" max="11022" width="15.42578125" style="74" customWidth="1"/>
    <col min="11023" max="11023" width="5.28515625" style="74" customWidth="1"/>
    <col min="11024" max="11264" width="9.140625" style="74"/>
    <col min="11265" max="11265" width="4.85546875" style="74" customWidth="1"/>
    <col min="11266" max="11266" width="57.5703125" style="74" customWidth="1"/>
    <col min="11267" max="11267" width="4.42578125" style="74" customWidth="1"/>
    <col min="11268" max="11268" width="18.28515625" style="74" customWidth="1"/>
    <col min="11269" max="11269" width="5.85546875" style="74" customWidth="1"/>
    <col min="11270" max="11270" width="4.140625" style="74" customWidth="1"/>
    <col min="11271" max="11278" width="15.42578125" style="74" customWidth="1"/>
    <col min="11279" max="11279" width="5.28515625" style="74" customWidth="1"/>
    <col min="11280" max="11520" width="9.140625" style="74"/>
    <col min="11521" max="11521" width="4.85546875" style="74" customWidth="1"/>
    <col min="11522" max="11522" width="57.5703125" style="74" customWidth="1"/>
    <col min="11523" max="11523" width="4.42578125" style="74" customWidth="1"/>
    <col min="11524" max="11524" width="18.28515625" style="74" customWidth="1"/>
    <col min="11525" max="11525" width="5.85546875" style="74" customWidth="1"/>
    <col min="11526" max="11526" width="4.140625" style="74" customWidth="1"/>
    <col min="11527" max="11534" width="15.42578125" style="74" customWidth="1"/>
    <col min="11535" max="11535" width="5.28515625" style="74" customWidth="1"/>
    <col min="11536" max="11776" width="9.140625" style="74"/>
    <col min="11777" max="11777" width="4.85546875" style="74" customWidth="1"/>
    <col min="11778" max="11778" width="57.5703125" style="74" customWidth="1"/>
    <col min="11779" max="11779" width="4.42578125" style="74" customWidth="1"/>
    <col min="11780" max="11780" width="18.28515625" style="74" customWidth="1"/>
    <col min="11781" max="11781" width="5.85546875" style="74" customWidth="1"/>
    <col min="11782" max="11782" width="4.140625" style="74" customWidth="1"/>
    <col min="11783" max="11790" width="15.42578125" style="74" customWidth="1"/>
    <col min="11791" max="11791" width="5.28515625" style="74" customWidth="1"/>
    <col min="11792" max="12032" width="9.140625" style="74"/>
    <col min="12033" max="12033" width="4.85546875" style="74" customWidth="1"/>
    <col min="12034" max="12034" width="57.5703125" style="74" customWidth="1"/>
    <col min="12035" max="12035" width="4.42578125" style="74" customWidth="1"/>
    <col min="12036" max="12036" width="18.28515625" style="74" customWidth="1"/>
    <col min="12037" max="12037" width="5.85546875" style="74" customWidth="1"/>
    <col min="12038" max="12038" width="4.140625" style="74" customWidth="1"/>
    <col min="12039" max="12046" width="15.42578125" style="74" customWidth="1"/>
    <col min="12047" max="12047" width="5.28515625" style="74" customWidth="1"/>
    <col min="12048" max="12288" width="9.140625" style="74"/>
    <col min="12289" max="12289" width="4.85546875" style="74" customWidth="1"/>
    <col min="12290" max="12290" width="57.5703125" style="74" customWidth="1"/>
    <col min="12291" max="12291" width="4.42578125" style="74" customWidth="1"/>
    <col min="12292" max="12292" width="18.28515625" style="74" customWidth="1"/>
    <col min="12293" max="12293" width="5.85546875" style="74" customWidth="1"/>
    <col min="12294" max="12294" width="4.140625" style="74" customWidth="1"/>
    <col min="12295" max="12302" width="15.42578125" style="74" customWidth="1"/>
    <col min="12303" max="12303" width="5.28515625" style="74" customWidth="1"/>
    <col min="12304" max="12544" width="9.140625" style="74"/>
    <col min="12545" max="12545" width="4.85546875" style="74" customWidth="1"/>
    <col min="12546" max="12546" width="57.5703125" style="74" customWidth="1"/>
    <col min="12547" max="12547" width="4.42578125" style="74" customWidth="1"/>
    <col min="12548" max="12548" width="18.28515625" style="74" customWidth="1"/>
    <col min="12549" max="12549" width="5.85546875" style="74" customWidth="1"/>
    <col min="12550" max="12550" width="4.140625" style="74" customWidth="1"/>
    <col min="12551" max="12558" width="15.42578125" style="74" customWidth="1"/>
    <col min="12559" max="12559" width="5.28515625" style="74" customWidth="1"/>
    <col min="12560" max="12800" width="9.140625" style="74"/>
    <col min="12801" max="12801" width="4.85546875" style="74" customWidth="1"/>
    <col min="12802" max="12802" width="57.5703125" style="74" customWidth="1"/>
    <col min="12803" max="12803" width="4.42578125" style="74" customWidth="1"/>
    <col min="12804" max="12804" width="18.28515625" style="74" customWidth="1"/>
    <col min="12805" max="12805" width="5.85546875" style="74" customWidth="1"/>
    <col min="12806" max="12806" width="4.140625" style="74" customWidth="1"/>
    <col min="12807" max="12814" width="15.42578125" style="74" customWidth="1"/>
    <col min="12815" max="12815" width="5.28515625" style="74" customWidth="1"/>
    <col min="12816" max="13056" width="9.140625" style="74"/>
    <col min="13057" max="13057" width="4.85546875" style="74" customWidth="1"/>
    <col min="13058" max="13058" width="57.5703125" style="74" customWidth="1"/>
    <col min="13059" max="13059" width="4.42578125" style="74" customWidth="1"/>
    <col min="13060" max="13060" width="18.28515625" style="74" customWidth="1"/>
    <col min="13061" max="13061" width="5.85546875" style="74" customWidth="1"/>
    <col min="13062" max="13062" width="4.140625" style="74" customWidth="1"/>
    <col min="13063" max="13070" width="15.42578125" style="74" customWidth="1"/>
    <col min="13071" max="13071" width="5.28515625" style="74" customWidth="1"/>
    <col min="13072" max="13312" width="9.140625" style="74"/>
    <col min="13313" max="13313" width="4.85546875" style="74" customWidth="1"/>
    <col min="13314" max="13314" width="57.5703125" style="74" customWidth="1"/>
    <col min="13315" max="13315" width="4.42578125" style="74" customWidth="1"/>
    <col min="13316" max="13316" width="18.28515625" style="74" customWidth="1"/>
    <col min="13317" max="13317" width="5.85546875" style="74" customWidth="1"/>
    <col min="13318" max="13318" width="4.140625" style="74" customWidth="1"/>
    <col min="13319" max="13326" width="15.42578125" style="74" customWidth="1"/>
    <col min="13327" max="13327" width="5.28515625" style="74" customWidth="1"/>
    <col min="13328" max="13568" width="9.140625" style="74"/>
    <col min="13569" max="13569" width="4.85546875" style="74" customWidth="1"/>
    <col min="13570" max="13570" width="57.5703125" style="74" customWidth="1"/>
    <col min="13571" max="13571" width="4.42578125" style="74" customWidth="1"/>
    <col min="13572" max="13572" width="18.28515625" style="74" customWidth="1"/>
    <col min="13573" max="13573" width="5.85546875" style="74" customWidth="1"/>
    <col min="13574" max="13574" width="4.140625" style="74" customWidth="1"/>
    <col min="13575" max="13582" width="15.42578125" style="74" customWidth="1"/>
    <col min="13583" max="13583" width="5.28515625" style="74" customWidth="1"/>
    <col min="13584" max="13824" width="9.140625" style="74"/>
    <col min="13825" max="13825" width="4.85546875" style="74" customWidth="1"/>
    <col min="13826" max="13826" width="57.5703125" style="74" customWidth="1"/>
    <col min="13827" max="13827" width="4.42578125" style="74" customWidth="1"/>
    <col min="13828" max="13828" width="18.28515625" style="74" customWidth="1"/>
    <col min="13829" max="13829" width="5.85546875" style="74" customWidth="1"/>
    <col min="13830" max="13830" width="4.140625" style="74" customWidth="1"/>
    <col min="13831" max="13838" width="15.42578125" style="74" customWidth="1"/>
    <col min="13839" max="13839" width="5.28515625" style="74" customWidth="1"/>
    <col min="13840" max="14080" width="9.140625" style="74"/>
    <col min="14081" max="14081" width="4.85546875" style="74" customWidth="1"/>
    <col min="14082" max="14082" width="57.5703125" style="74" customWidth="1"/>
    <col min="14083" max="14083" width="4.42578125" style="74" customWidth="1"/>
    <col min="14084" max="14084" width="18.28515625" style="74" customWidth="1"/>
    <col min="14085" max="14085" width="5.85546875" style="74" customWidth="1"/>
    <col min="14086" max="14086" width="4.140625" style="74" customWidth="1"/>
    <col min="14087" max="14094" width="15.42578125" style="74" customWidth="1"/>
    <col min="14095" max="14095" width="5.28515625" style="74" customWidth="1"/>
    <col min="14096" max="14336" width="9.140625" style="74"/>
    <col min="14337" max="14337" width="4.85546875" style="74" customWidth="1"/>
    <col min="14338" max="14338" width="57.5703125" style="74" customWidth="1"/>
    <col min="14339" max="14339" width="4.42578125" style="74" customWidth="1"/>
    <col min="14340" max="14340" width="18.28515625" style="74" customWidth="1"/>
    <col min="14341" max="14341" width="5.85546875" style="74" customWidth="1"/>
    <col min="14342" max="14342" width="4.140625" style="74" customWidth="1"/>
    <col min="14343" max="14350" width="15.42578125" style="74" customWidth="1"/>
    <col min="14351" max="14351" width="5.28515625" style="74" customWidth="1"/>
    <col min="14352" max="14592" width="9.140625" style="74"/>
    <col min="14593" max="14593" width="4.85546875" style="74" customWidth="1"/>
    <col min="14594" max="14594" width="57.5703125" style="74" customWidth="1"/>
    <col min="14595" max="14595" width="4.42578125" style="74" customWidth="1"/>
    <col min="14596" max="14596" width="18.28515625" style="74" customWidth="1"/>
    <col min="14597" max="14597" width="5.85546875" style="74" customWidth="1"/>
    <col min="14598" max="14598" width="4.140625" style="74" customWidth="1"/>
    <col min="14599" max="14606" width="15.42578125" style="74" customWidth="1"/>
    <col min="14607" max="14607" width="5.28515625" style="74" customWidth="1"/>
    <col min="14608" max="14848" width="9.140625" style="74"/>
    <col min="14849" max="14849" width="4.85546875" style="74" customWidth="1"/>
    <col min="14850" max="14850" width="57.5703125" style="74" customWidth="1"/>
    <col min="14851" max="14851" width="4.42578125" style="74" customWidth="1"/>
    <col min="14852" max="14852" width="18.28515625" style="74" customWidth="1"/>
    <col min="14853" max="14853" width="5.85546875" style="74" customWidth="1"/>
    <col min="14854" max="14854" width="4.140625" style="74" customWidth="1"/>
    <col min="14855" max="14862" width="15.42578125" style="74" customWidth="1"/>
    <col min="14863" max="14863" width="5.28515625" style="74" customWidth="1"/>
    <col min="14864" max="15104" width="9.140625" style="74"/>
    <col min="15105" max="15105" width="4.85546875" style="74" customWidth="1"/>
    <col min="15106" max="15106" width="57.5703125" style="74" customWidth="1"/>
    <col min="15107" max="15107" width="4.42578125" style="74" customWidth="1"/>
    <col min="15108" max="15108" width="18.28515625" style="74" customWidth="1"/>
    <col min="15109" max="15109" width="5.85546875" style="74" customWidth="1"/>
    <col min="15110" max="15110" width="4.140625" style="74" customWidth="1"/>
    <col min="15111" max="15118" width="15.42578125" style="74" customWidth="1"/>
    <col min="15119" max="15119" width="5.28515625" style="74" customWidth="1"/>
    <col min="15120" max="15360" width="9.140625" style="74"/>
    <col min="15361" max="15361" width="4.85546875" style="74" customWidth="1"/>
    <col min="15362" max="15362" width="57.5703125" style="74" customWidth="1"/>
    <col min="15363" max="15363" width="4.42578125" style="74" customWidth="1"/>
    <col min="15364" max="15364" width="18.28515625" style="74" customWidth="1"/>
    <col min="15365" max="15365" width="5.85546875" style="74" customWidth="1"/>
    <col min="15366" max="15366" width="4.140625" style="74" customWidth="1"/>
    <col min="15367" max="15374" width="15.42578125" style="74" customWidth="1"/>
    <col min="15375" max="15375" width="5.28515625" style="74" customWidth="1"/>
    <col min="15376" max="15616" width="9.140625" style="74"/>
    <col min="15617" max="15617" width="4.85546875" style="74" customWidth="1"/>
    <col min="15618" max="15618" width="57.5703125" style="74" customWidth="1"/>
    <col min="15619" max="15619" width="4.42578125" style="74" customWidth="1"/>
    <col min="15620" max="15620" width="18.28515625" style="74" customWidth="1"/>
    <col min="15621" max="15621" width="5.85546875" style="74" customWidth="1"/>
    <col min="15622" max="15622" width="4.140625" style="74" customWidth="1"/>
    <col min="15623" max="15630" width="15.42578125" style="74" customWidth="1"/>
    <col min="15631" max="15631" width="5.28515625" style="74" customWidth="1"/>
    <col min="15632" max="15872" width="9.140625" style="74"/>
    <col min="15873" max="15873" width="4.85546875" style="74" customWidth="1"/>
    <col min="15874" max="15874" width="57.5703125" style="74" customWidth="1"/>
    <col min="15875" max="15875" width="4.42578125" style="74" customWidth="1"/>
    <col min="15876" max="15876" width="18.28515625" style="74" customWidth="1"/>
    <col min="15877" max="15877" width="5.85546875" style="74" customWidth="1"/>
    <col min="15878" max="15878" width="4.140625" style="74" customWidth="1"/>
    <col min="15879" max="15886" width="15.42578125" style="74" customWidth="1"/>
    <col min="15887" max="15887" width="5.28515625" style="74" customWidth="1"/>
    <col min="15888" max="16128" width="9.140625" style="74"/>
    <col min="16129" max="16129" width="4.85546875" style="74" customWidth="1"/>
    <col min="16130" max="16130" width="57.5703125" style="74" customWidth="1"/>
    <col min="16131" max="16131" width="4.42578125" style="74" customWidth="1"/>
    <col min="16132" max="16132" width="18.28515625" style="74" customWidth="1"/>
    <col min="16133" max="16133" width="5.85546875" style="74" customWidth="1"/>
    <col min="16134" max="16134" width="4.140625" style="74" customWidth="1"/>
    <col min="16135" max="16142" width="15.42578125" style="74" customWidth="1"/>
    <col min="16143" max="16143" width="5.28515625" style="74" customWidth="1"/>
    <col min="16144" max="16384" width="9.140625" style="74"/>
  </cols>
  <sheetData>
    <row r="2" spans="1:26" s="59" customFormat="1" ht="15.75">
      <c r="B2" s="59" t="s">
        <v>214</v>
      </c>
    </row>
    <row r="4" spans="1:26" s="73" customFormat="1">
      <c r="B4" s="4" t="s">
        <v>32</v>
      </c>
    </row>
    <row r="5" spans="1:26">
      <c r="B5" s="79"/>
    </row>
    <row r="6" spans="1:26">
      <c r="B6" s="58" t="s">
        <v>360</v>
      </c>
    </row>
    <row r="7" spans="1:26">
      <c r="B7" s="58" t="s">
        <v>280</v>
      </c>
    </row>
    <row r="8" spans="1:26">
      <c r="B8" s="79"/>
    </row>
    <row r="9" spans="1:26">
      <c r="B9" s="58" t="s">
        <v>279</v>
      </c>
    </row>
    <row r="11" spans="1:26" s="73" customFormat="1">
      <c r="B11" s="4" t="s">
        <v>221</v>
      </c>
    </row>
    <row r="13" spans="1:26" s="107" customFormat="1" ht="12.75" customHeight="1">
      <c r="A13" s="104"/>
      <c r="B13" s="105"/>
      <c r="C13" s="106"/>
      <c r="D13" s="104"/>
      <c r="E13" s="104"/>
      <c r="F13" s="12"/>
      <c r="G13" s="173" t="s">
        <v>2</v>
      </c>
      <c r="H13" s="173" t="s">
        <v>3</v>
      </c>
      <c r="I13" s="173" t="s">
        <v>4</v>
      </c>
      <c r="J13" s="173" t="s">
        <v>5</v>
      </c>
      <c r="K13" s="173" t="s">
        <v>6</v>
      </c>
      <c r="L13" s="173" t="s">
        <v>7</v>
      </c>
      <c r="M13" s="173" t="s">
        <v>8</v>
      </c>
      <c r="N13" s="173" t="s">
        <v>9</v>
      </c>
      <c r="O13" s="12"/>
      <c r="P13" s="12"/>
      <c r="Q13" s="12"/>
      <c r="R13" s="12"/>
      <c r="S13" s="104"/>
      <c r="T13" s="104"/>
      <c r="U13" s="104"/>
      <c r="V13" s="104"/>
      <c r="W13" s="104"/>
      <c r="X13" s="104"/>
      <c r="Y13" s="104"/>
      <c r="Z13" s="104"/>
    </row>
    <row r="14" spans="1:26" s="147" customFormat="1">
      <c r="B14" s="201" t="s">
        <v>281</v>
      </c>
      <c r="C14" s="148"/>
      <c r="F14" s="149"/>
      <c r="G14" s="149"/>
      <c r="H14" s="149"/>
      <c r="I14" s="149"/>
      <c r="J14" s="149"/>
      <c r="K14" s="149"/>
      <c r="L14" s="149"/>
      <c r="M14" s="149"/>
      <c r="N14" s="149"/>
      <c r="O14" s="149"/>
      <c r="P14" s="149"/>
      <c r="Q14" s="149"/>
      <c r="R14" s="149"/>
    </row>
    <row r="15" spans="1:26" s="147" customFormat="1">
      <c r="B15" s="94" t="s">
        <v>240</v>
      </c>
      <c r="C15" s="74"/>
      <c r="D15" s="74" t="s">
        <v>12</v>
      </c>
      <c r="E15" s="79"/>
      <c r="F15" s="74"/>
      <c r="G15" s="154">
        <v>17560828.367286224</v>
      </c>
      <c r="H15" s="154">
        <v>65463243.135373056</v>
      </c>
      <c r="I15" s="154">
        <v>32436550.665939473</v>
      </c>
      <c r="J15" s="154">
        <v>857280972.79368734</v>
      </c>
      <c r="K15" s="154">
        <v>865690104.98947263</v>
      </c>
      <c r="L15" s="154">
        <v>10467153.757021869</v>
      </c>
      <c r="M15" s="154">
        <v>616690575.48719144</v>
      </c>
      <c r="N15" s="154">
        <v>42395903.930173196</v>
      </c>
      <c r="O15" s="150"/>
      <c r="P15" s="58" t="s">
        <v>243</v>
      </c>
      <c r="Q15" s="150"/>
      <c r="R15" s="150"/>
    </row>
    <row r="16" spans="1:26" s="147" customFormat="1">
      <c r="B16" s="94" t="s">
        <v>241</v>
      </c>
      <c r="C16" s="74"/>
      <c r="D16" s="74" t="s">
        <v>13</v>
      </c>
      <c r="E16" s="79"/>
      <c r="F16" s="74"/>
      <c r="G16" s="154">
        <v>18977987.216526221</v>
      </c>
      <c r="H16" s="154">
        <v>70602107.721499845</v>
      </c>
      <c r="I16" s="154">
        <v>35560190.495069444</v>
      </c>
      <c r="J16" s="154">
        <v>932035873.62129688</v>
      </c>
      <c r="K16" s="154">
        <v>942476817.30203891</v>
      </c>
      <c r="L16" s="154">
        <v>11514915.848099759</v>
      </c>
      <c r="M16" s="154">
        <v>680703057.22276187</v>
      </c>
      <c r="N16" s="154">
        <v>45605273.857687309</v>
      </c>
      <c r="O16" s="150"/>
      <c r="P16" s="58" t="s">
        <v>243</v>
      </c>
      <c r="Q16" s="150"/>
      <c r="R16" s="150"/>
    </row>
    <row r="17" spans="2:26" s="147" customFormat="1">
      <c r="B17" s="94" t="s">
        <v>242</v>
      </c>
      <c r="C17" s="74"/>
      <c r="D17" s="94" t="s">
        <v>40</v>
      </c>
      <c r="E17" s="79"/>
      <c r="F17" s="74"/>
      <c r="G17" s="154">
        <v>20452576.823250305</v>
      </c>
      <c r="H17" s="154">
        <v>75932566.854473069</v>
      </c>
      <c r="I17" s="154">
        <v>38877956.268259421</v>
      </c>
      <c r="J17" s="154">
        <v>1010513294.1802099</v>
      </c>
      <c r="K17" s="154">
        <v>1023247080.5448235</v>
      </c>
      <c r="L17" s="154">
        <v>12633014.176950244</v>
      </c>
      <c r="M17" s="154">
        <v>749317925.39081609</v>
      </c>
      <c r="N17" s="154">
        <v>48920777.267141178</v>
      </c>
      <c r="O17" s="150"/>
      <c r="P17" s="58" t="s">
        <v>243</v>
      </c>
      <c r="Q17" s="150"/>
      <c r="R17" s="150"/>
    </row>
    <row r="18" spans="2:26" s="147" customFormat="1">
      <c r="C18" s="79"/>
      <c r="D18" s="58"/>
      <c r="E18" s="79"/>
      <c r="F18" s="79"/>
      <c r="G18" s="88"/>
      <c r="H18" s="88"/>
      <c r="I18" s="88"/>
      <c r="J18" s="88"/>
      <c r="K18" s="88"/>
      <c r="L18" s="88"/>
      <c r="M18" s="88"/>
      <c r="N18" s="88"/>
      <c r="O18" s="150"/>
      <c r="P18" s="58"/>
      <c r="Q18" s="150"/>
      <c r="R18" s="150"/>
    </row>
    <row r="19" spans="2:26" s="147" customFormat="1">
      <c r="B19" s="159" t="s">
        <v>244</v>
      </c>
      <c r="C19" s="79"/>
      <c r="D19" s="58"/>
      <c r="E19" s="79"/>
      <c r="F19" s="79"/>
      <c r="G19" s="88"/>
      <c r="H19" s="88"/>
      <c r="I19" s="88"/>
      <c r="J19" s="88"/>
      <c r="K19" s="88"/>
      <c r="L19" s="88"/>
      <c r="M19" s="88"/>
      <c r="N19" s="88"/>
      <c r="O19" s="150"/>
      <c r="P19" s="58"/>
      <c r="Q19" s="150"/>
      <c r="R19" s="150"/>
    </row>
    <row r="20" spans="2:26">
      <c r="B20" s="94" t="s">
        <v>245</v>
      </c>
      <c r="C20" s="79"/>
      <c r="D20" s="74" t="s">
        <v>10</v>
      </c>
      <c r="F20" s="7"/>
      <c r="G20" s="125">
        <v>16416591.911083693</v>
      </c>
      <c r="H20" s="125">
        <v>61323881.157258138</v>
      </c>
      <c r="I20" s="125">
        <v>29887174.666856606</v>
      </c>
      <c r="J20" s="125">
        <v>796581465.14931011</v>
      </c>
      <c r="K20" s="125">
        <v>803275591.52776539</v>
      </c>
      <c r="L20" s="125">
        <v>9610828.9018656407</v>
      </c>
      <c r="M20" s="125">
        <v>561454698.46686971</v>
      </c>
      <c r="N20" s="125">
        <v>39819577.280147642</v>
      </c>
      <c r="O20" s="7"/>
      <c r="P20" s="174" t="s">
        <v>366</v>
      </c>
      <c r="Q20" s="7"/>
      <c r="R20" s="7"/>
    </row>
    <row r="21" spans="2:26">
      <c r="B21" s="74" t="s">
        <v>219</v>
      </c>
      <c r="F21" s="8"/>
      <c r="G21" s="259">
        <v>-3.5</v>
      </c>
      <c r="H21" s="259">
        <v>-4.5</v>
      </c>
      <c r="I21" s="259">
        <v>-5.3999999999999995</v>
      </c>
      <c r="J21" s="259">
        <v>-5.3</v>
      </c>
      <c r="K21" s="259">
        <v>-5.6999999999999993</v>
      </c>
      <c r="L21" s="259">
        <v>-5.8</v>
      </c>
      <c r="M21" s="259">
        <v>-6.8999999999999995</v>
      </c>
      <c r="N21" s="160">
        <v>-4.3</v>
      </c>
      <c r="O21" s="8"/>
      <c r="P21" s="174" t="s">
        <v>368</v>
      </c>
      <c r="Q21" s="8"/>
      <c r="R21" s="8"/>
    </row>
    <row r="22" spans="2:26">
      <c r="B22" s="74" t="s">
        <v>220</v>
      </c>
      <c r="F22" s="79"/>
      <c r="G22" s="260">
        <v>1.28</v>
      </c>
      <c r="H22" s="260">
        <v>0.05</v>
      </c>
      <c r="I22" s="260">
        <v>0.83</v>
      </c>
      <c r="J22" s="260">
        <v>0.02</v>
      </c>
      <c r="K22" s="260">
        <v>-0.13</v>
      </c>
      <c r="L22" s="260">
        <v>0.91</v>
      </c>
      <c r="M22" s="260">
        <v>0.08</v>
      </c>
      <c r="N22" s="260">
        <v>-0.03</v>
      </c>
      <c r="P22" s="174" t="s">
        <v>370</v>
      </c>
    </row>
    <row r="23" spans="2:26">
      <c r="B23" s="78"/>
    </row>
    <row r="24" spans="2:26">
      <c r="B24" s="74" t="s">
        <v>55</v>
      </c>
      <c r="E24" s="158">
        <f>CPI!C11</f>
        <v>1.4999999999999999E-2</v>
      </c>
    </row>
    <row r="25" spans="2:26">
      <c r="B25" s="74" t="s">
        <v>79</v>
      </c>
      <c r="E25" s="158">
        <f>CPI!C12</f>
        <v>2.5999999999999999E-2</v>
      </c>
    </row>
    <row r="26" spans="2:26">
      <c r="B26" s="74" t="s">
        <v>80</v>
      </c>
      <c r="C26" s="79"/>
      <c r="E26" s="158">
        <f>CPI!C13</f>
        <v>2.3E-2</v>
      </c>
    </row>
    <row r="27" spans="2:26">
      <c r="F27" s="79"/>
      <c r="O27" s="79"/>
      <c r="P27" s="79"/>
      <c r="Q27" s="79"/>
      <c r="R27" s="79"/>
    </row>
    <row r="28" spans="2:26">
      <c r="B28" s="203" t="s">
        <v>255</v>
      </c>
      <c r="D28" s="74" t="s">
        <v>12</v>
      </c>
      <c r="F28" s="10"/>
      <c r="G28" s="11">
        <f t="shared" ref="G28:N28" si="0">G20*(1-G21/100+G22/100+$E$24)</f>
        <v>17447553.883099746</v>
      </c>
      <c r="H28" s="11">
        <f t="shared" si="0"/>
        <v>65033975.967272244</v>
      </c>
      <c r="I28" s="11">
        <f t="shared" si="0"/>
        <v>32197453.268604618</v>
      </c>
      <c r="J28" s="11">
        <f t="shared" si="0"/>
        <v>850908321.07249296</v>
      </c>
      <c r="K28" s="11">
        <f t="shared" si="0"/>
        <v>860067175.84877825</v>
      </c>
      <c r="L28" s="11">
        <f t="shared" si="0"/>
        <v>10399877.954708811</v>
      </c>
      <c r="M28" s="11">
        <f t="shared" si="0"/>
        <v>609066056.89686012</v>
      </c>
      <c r="N28" s="11">
        <f t="shared" si="0"/>
        <v>42117166.889212154</v>
      </c>
      <c r="O28" s="7"/>
      <c r="P28" s="7"/>
      <c r="Q28" s="7"/>
      <c r="R28" s="7"/>
    </row>
    <row r="29" spans="2:26">
      <c r="B29" s="203" t="s">
        <v>256</v>
      </c>
      <c r="C29" s="79"/>
      <c r="D29" s="74" t="s">
        <v>13</v>
      </c>
      <c r="F29" s="10"/>
      <c r="G29" s="11">
        <f t="shared" ref="G29:N29" si="1">G28*(1-G21/100+G22/100+$E$25)</f>
        <v>18735183.359672505</v>
      </c>
      <c r="H29" s="11">
        <f t="shared" si="1"/>
        <v>69683905.248932198</v>
      </c>
      <c r="I29" s="11">
        <f t="shared" si="1"/>
        <v>35040488.392222404</v>
      </c>
      <c r="J29" s="11">
        <f t="shared" si="1"/>
        <v>918300260.10143435</v>
      </c>
      <c r="K29" s="11">
        <f t="shared" si="1"/>
        <v>930334664.11562335</v>
      </c>
      <c r="L29" s="11">
        <f t="shared" si="1"/>
        <v>11368106.592292203</v>
      </c>
      <c r="M29" s="11">
        <f t="shared" si="1"/>
        <v>667414585.14757919</v>
      </c>
      <c r="N29" s="11">
        <f t="shared" si="1"/>
        <v>45010616.25450103</v>
      </c>
      <c r="O29" s="7"/>
      <c r="P29" s="7"/>
      <c r="Q29" s="7"/>
      <c r="R29" s="7"/>
    </row>
    <row r="30" spans="2:26">
      <c r="B30" s="203" t="s">
        <v>257</v>
      </c>
      <c r="C30" s="79"/>
      <c r="D30" s="74" t="s">
        <v>40</v>
      </c>
      <c r="F30" s="10"/>
      <c r="G30" s="11">
        <f t="shared" ref="G30:N30" si="2">G29*(1-G21/100+G22/100+$E$26)</f>
        <v>20061634.341537315</v>
      </c>
      <c r="H30" s="11">
        <f t="shared" si="2"/>
        <v>74457252.758484036</v>
      </c>
      <c r="I30" s="11">
        <f t="shared" si="2"/>
        <v>38029442.05207897</v>
      </c>
      <c r="J30" s="11">
        <f t="shared" si="2"/>
        <v>988274739.92116344</v>
      </c>
      <c r="K30" s="11">
        <f t="shared" si="2"/>
        <v>1003552002.1815227</v>
      </c>
      <c r="L30" s="11">
        <f t="shared" si="2"/>
        <v>12392372.996257732</v>
      </c>
      <c r="M30" s="11">
        <f t="shared" si="2"/>
        <v>729350658.64927435</v>
      </c>
      <c r="N30" s="11">
        <f t="shared" si="2"/>
        <v>47967813.742421739</v>
      </c>
      <c r="O30" s="7"/>
      <c r="P30" s="7"/>
      <c r="Q30" s="7"/>
      <c r="R30" s="7"/>
    </row>
    <row r="31" spans="2:26" s="79" customFormat="1">
      <c r="F31" s="10"/>
      <c r="G31" s="157"/>
      <c r="H31" s="157"/>
      <c r="I31" s="157"/>
      <c r="J31" s="157"/>
      <c r="K31" s="157"/>
      <c r="L31" s="157"/>
      <c r="M31" s="157"/>
      <c r="N31" s="157"/>
      <c r="O31" s="7"/>
      <c r="P31" s="7"/>
      <c r="Q31" s="7"/>
      <c r="R31" s="7"/>
    </row>
    <row r="32" spans="2:26">
      <c r="B32" s="78" t="s">
        <v>212</v>
      </c>
      <c r="D32" s="74" t="s">
        <v>12</v>
      </c>
      <c r="E32" s="79"/>
      <c r="G32" s="27">
        <f t="shared" ref="G32:N34" si="3">G28-G15</f>
        <v>-113274.48418647796</v>
      </c>
      <c r="H32" s="27">
        <f t="shared" si="3"/>
        <v>-429267.16810081154</v>
      </c>
      <c r="I32" s="27">
        <f t="shared" si="3"/>
        <v>-239097.39733485505</v>
      </c>
      <c r="J32" s="27">
        <f t="shared" si="3"/>
        <v>-6372651.7211943865</v>
      </c>
      <c r="K32" s="27">
        <f t="shared" si="3"/>
        <v>-5622929.1406943798</v>
      </c>
      <c r="L32" s="27">
        <f t="shared" si="3"/>
        <v>-67275.802313057706</v>
      </c>
      <c r="M32" s="27">
        <f t="shared" si="3"/>
        <v>-7624518.590331316</v>
      </c>
      <c r="N32" s="27">
        <f t="shared" si="3"/>
        <v>-278737.04096104205</v>
      </c>
      <c r="O32" s="152"/>
      <c r="P32" s="152"/>
      <c r="Q32" s="152"/>
      <c r="R32" s="152"/>
      <c r="S32" s="145"/>
      <c r="T32" s="145"/>
      <c r="U32" s="145"/>
      <c r="V32" s="145"/>
      <c r="W32" s="145"/>
      <c r="X32" s="145"/>
      <c r="Y32" s="145"/>
      <c r="Z32" s="145"/>
    </row>
    <row r="33" spans="1:26">
      <c r="B33" s="78" t="s">
        <v>213</v>
      </c>
      <c r="D33" s="74" t="s">
        <v>13</v>
      </c>
      <c r="E33" s="79"/>
      <c r="G33" s="27">
        <f t="shared" si="3"/>
        <v>-242803.85685371608</v>
      </c>
      <c r="H33" s="27">
        <f t="shared" si="3"/>
        <v>-918202.4725676477</v>
      </c>
      <c r="I33" s="27">
        <f t="shared" si="3"/>
        <v>-519702.1028470397</v>
      </c>
      <c r="J33" s="27">
        <f t="shared" si="3"/>
        <v>-13735613.519862533</v>
      </c>
      <c r="K33" s="27">
        <f t="shared" si="3"/>
        <v>-12142153.186415553</v>
      </c>
      <c r="L33" s="27">
        <f t="shared" si="3"/>
        <v>-146809.25580755621</v>
      </c>
      <c r="M33" s="27">
        <f t="shared" si="3"/>
        <v>-13288472.075182676</v>
      </c>
      <c r="N33" s="27">
        <f t="shared" si="3"/>
        <v>-594657.60318627954</v>
      </c>
      <c r="O33" s="152"/>
      <c r="P33" s="152"/>
      <c r="Q33" s="152"/>
      <c r="R33" s="152"/>
      <c r="S33" s="145"/>
      <c r="T33" s="145"/>
      <c r="U33" s="145"/>
      <c r="V33" s="145"/>
      <c r="W33" s="145"/>
      <c r="X33" s="145"/>
      <c r="Y33" s="145"/>
      <c r="Z33" s="145"/>
    </row>
    <row r="34" spans="1:26">
      <c r="B34" s="78" t="s">
        <v>216</v>
      </c>
      <c r="D34" s="94" t="s">
        <v>40</v>
      </c>
      <c r="E34" s="79"/>
      <c r="G34" s="27">
        <f t="shared" si="3"/>
        <v>-390942.48171298951</v>
      </c>
      <c r="H34" s="27">
        <f t="shared" si="3"/>
        <v>-1475314.0959890336</v>
      </c>
      <c r="I34" s="27">
        <f t="shared" si="3"/>
        <v>-848514.21618045121</v>
      </c>
      <c r="J34" s="27">
        <f t="shared" si="3"/>
        <v>-22238554.259046435</v>
      </c>
      <c r="K34" s="27">
        <f t="shared" si="3"/>
        <v>-19695078.3633008</v>
      </c>
      <c r="L34" s="27">
        <f t="shared" si="3"/>
        <v>-240641.18069251254</v>
      </c>
      <c r="M34" s="27">
        <f t="shared" si="3"/>
        <v>-19967266.741541743</v>
      </c>
      <c r="N34" s="27">
        <f t="shared" si="3"/>
        <v>-952963.52471943945</v>
      </c>
      <c r="O34" s="152"/>
      <c r="P34" s="152"/>
      <c r="Q34" s="152"/>
      <c r="R34" s="152"/>
      <c r="S34" s="145"/>
      <c r="T34" s="145"/>
      <c r="U34" s="145"/>
      <c r="V34" s="145"/>
      <c r="W34" s="145"/>
      <c r="X34" s="145"/>
      <c r="Y34" s="145"/>
      <c r="Z34" s="145"/>
    </row>
    <row r="36" spans="1:26" s="73" customFormat="1">
      <c r="B36" s="4" t="s">
        <v>222</v>
      </c>
    </row>
    <row r="38" spans="1:26" s="107" customFormat="1" ht="12.75" customHeight="1">
      <c r="A38" s="104"/>
      <c r="B38" s="105"/>
      <c r="C38" s="106"/>
      <c r="D38" s="104"/>
      <c r="E38" s="104"/>
      <c r="F38" s="12"/>
      <c r="G38" s="173" t="s">
        <v>2</v>
      </c>
      <c r="H38" s="173" t="s">
        <v>3</v>
      </c>
      <c r="I38" s="173" t="s">
        <v>4</v>
      </c>
      <c r="J38" s="173" t="s">
        <v>5</v>
      </c>
      <c r="K38" s="173" t="s">
        <v>6</v>
      </c>
      <c r="L38" s="173" t="s">
        <v>7</v>
      </c>
      <c r="M38" s="173" t="s">
        <v>8</v>
      </c>
      <c r="N38" s="173" t="s">
        <v>9</v>
      </c>
      <c r="O38" s="12"/>
      <c r="P38" s="12"/>
      <c r="Q38" s="12"/>
      <c r="R38" s="12"/>
      <c r="S38" s="104"/>
      <c r="T38" s="104"/>
      <c r="U38" s="104"/>
      <c r="V38" s="104"/>
      <c r="W38" s="104"/>
      <c r="X38" s="104"/>
      <c r="Y38" s="104"/>
      <c r="Z38" s="104"/>
    </row>
    <row r="39" spans="1:26" s="147" customFormat="1">
      <c r="B39" s="201" t="s">
        <v>282</v>
      </c>
      <c r="C39" s="148"/>
      <c r="F39" s="149"/>
      <c r="G39" s="149"/>
      <c r="H39" s="149"/>
      <c r="I39" s="149"/>
      <c r="J39" s="149"/>
      <c r="K39" s="149"/>
      <c r="L39" s="149"/>
      <c r="M39" s="149"/>
      <c r="N39" s="149"/>
      <c r="O39" s="149"/>
      <c r="P39" s="149"/>
      <c r="Q39" s="149"/>
      <c r="R39" s="149"/>
    </row>
    <row r="40" spans="1:26" s="147" customFormat="1">
      <c r="B40" s="94" t="s">
        <v>283</v>
      </c>
      <c r="C40" s="74"/>
      <c r="D40" s="94" t="s">
        <v>75</v>
      </c>
      <c r="E40" s="79"/>
      <c r="F40" s="74"/>
      <c r="G40" s="154">
        <v>16265093.344504707</v>
      </c>
      <c r="H40" s="154">
        <v>69706625.958837762</v>
      </c>
      <c r="I40" s="154">
        <v>32665598.183084387</v>
      </c>
      <c r="J40" s="154">
        <v>888842156.31908607</v>
      </c>
      <c r="K40" s="154">
        <v>954606521.73546386</v>
      </c>
      <c r="L40" s="154">
        <v>11017078.026069919</v>
      </c>
      <c r="M40" s="154">
        <v>653533381.67442465</v>
      </c>
      <c r="N40" s="154">
        <v>46627845.093682736</v>
      </c>
      <c r="O40" s="150"/>
      <c r="P40" s="94" t="s">
        <v>217</v>
      </c>
      <c r="Q40" s="150"/>
      <c r="R40" s="150"/>
    </row>
    <row r="41" spans="1:26" s="147" customFormat="1">
      <c r="B41" s="148"/>
      <c r="C41" s="148"/>
      <c r="F41" s="149"/>
      <c r="G41" s="151"/>
      <c r="H41" s="151"/>
      <c r="I41" s="151"/>
      <c r="J41" s="151"/>
      <c r="K41" s="151"/>
      <c r="L41" s="151"/>
      <c r="M41" s="151"/>
      <c r="N41" s="151"/>
      <c r="O41" s="149"/>
      <c r="P41" s="149"/>
      <c r="Q41" s="149"/>
      <c r="R41" s="149"/>
    </row>
    <row r="42" spans="1:26" s="147" customFormat="1">
      <c r="A42" s="26"/>
      <c r="B42" s="153" t="s">
        <v>218</v>
      </c>
      <c r="C42" s="148"/>
      <c r="F42" s="149"/>
      <c r="G42" s="151"/>
      <c r="H42" s="151"/>
      <c r="I42" s="151"/>
      <c r="J42" s="151"/>
      <c r="K42" s="151"/>
      <c r="L42" s="151"/>
      <c r="M42" s="151"/>
      <c r="N42" s="151"/>
      <c r="O42" s="149"/>
      <c r="P42" s="149"/>
      <c r="Q42" s="149"/>
      <c r="R42" s="149"/>
    </row>
    <row r="43" spans="1:26">
      <c r="B43" s="94" t="s">
        <v>146</v>
      </c>
      <c r="C43" s="79"/>
      <c r="D43" s="74" t="s">
        <v>40</v>
      </c>
      <c r="G43" s="154">
        <v>16251532.03419756</v>
      </c>
      <c r="H43" s="154">
        <v>70834134.776799843</v>
      </c>
      <c r="I43" s="154">
        <v>32965084.544473227</v>
      </c>
      <c r="J43" s="154">
        <v>903546016.89316106</v>
      </c>
      <c r="K43" s="154">
        <v>971176421.11023355</v>
      </c>
      <c r="L43" s="154">
        <v>11090234.255739108</v>
      </c>
      <c r="M43" s="154">
        <v>667070702.78320694</v>
      </c>
      <c r="N43" s="154">
        <v>47410024.691383064</v>
      </c>
      <c r="O43" s="7"/>
      <c r="P43" s="94" t="s">
        <v>295</v>
      </c>
      <c r="Q43" s="7"/>
      <c r="R43" s="7"/>
    </row>
    <row r="44" spans="1:26">
      <c r="B44" s="74" t="s">
        <v>131</v>
      </c>
      <c r="D44" s="94" t="s">
        <v>40</v>
      </c>
      <c r="F44" s="89"/>
      <c r="G44" s="127">
        <v>3313999.1784239993</v>
      </c>
      <c r="H44" s="127">
        <v>9411091.1641945187</v>
      </c>
      <c r="I44" s="127">
        <v>7076465.3530574366</v>
      </c>
      <c r="J44" s="127">
        <v>146052066.31004247</v>
      </c>
      <c r="K44" s="127">
        <v>122472725.78122026</v>
      </c>
      <c r="L44" s="127">
        <v>2064671.53827561</v>
      </c>
      <c r="M44" s="127">
        <v>83752058.552296177</v>
      </c>
      <c r="N44" s="127">
        <v>7289906.8673159992</v>
      </c>
      <c r="P44" s="94" t="s">
        <v>296</v>
      </c>
    </row>
    <row r="45" spans="1:26">
      <c r="B45" s="94" t="s">
        <v>132</v>
      </c>
      <c r="C45" s="79"/>
      <c r="D45" s="74" t="s">
        <v>40</v>
      </c>
      <c r="G45" s="129">
        <f>G43-G44</f>
        <v>12937532.855773561</v>
      </c>
      <c r="H45" s="129">
        <f t="shared" ref="H45:N45" si="4">H43-H44</f>
        <v>61423043.612605326</v>
      </c>
      <c r="I45" s="129">
        <f t="shared" si="4"/>
        <v>25888619.19141579</v>
      </c>
      <c r="J45" s="129">
        <f t="shared" si="4"/>
        <v>757493950.58311856</v>
      </c>
      <c r="K45" s="129">
        <f t="shared" si="4"/>
        <v>848703695.32901335</v>
      </c>
      <c r="L45" s="129">
        <f>L43-L44</f>
        <v>9025562.7174634971</v>
      </c>
      <c r="M45" s="129">
        <f t="shared" si="4"/>
        <v>583318644.23091078</v>
      </c>
      <c r="N45" s="129">
        <f t="shared" si="4"/>
        <v>40120117.824067064</v>
      </c>
      <c r="O45" s="7"/>
      <c r="P45" s="94"/>
      <c r="Q45" s="7"/>
      <c r="R45" s="7"/>
    </row>
    <row r="46" spans="1:26">
      <c r="B46" s="74" t="s">
        <v>76</v>
      </c>
      <c r="E46" s="79"/>
      <c r="F46" s="8"/>
      <c r="G46" s="260">
        <f>'TI-berekening 2015'!F9</f>
        <v>4.75</v>
      </c>
      <c r="H46" s="260">
        <f>'TI-berekening 2015'!G9</f>
        <v>4.3899999999999997</v>
      </c>
      <c r="I46" s="260">
        <f>'TI-berekening 2015'!H9</f>
        <v>4.93</v>
      </c>
      <c r="J46" s="260">
        <f>'TI-berekening 2015'!I9</f>
        <v>4.59</v>
      </c>
      <c r="K46" s="260">
        <f>'TI-berekening 2015'!J9</f>
        <v>4.3</v>
      </c>
      <c r="L46" s="260">
        <f>'TI-berekening 2015'!K9</f>
        <v>4.82</v>
      </c>
      <c r="M46" s="260">
        <f>'TI-berekening 2015'!L9</f>
        <v>4.29</v>
      </c>
      <c r="N46" s="260">
        <f>'TI-berekening 2015'!M9</f>
        <v>4.5599999999999996</v>
      </c>
      <c r="O46" s="8"/>
      <c r="P46" s="94" t="s">
        <v>297</v>
      </c>
      <c r="Q46" s="8"/>
      <c r="R46" s="8"/>
    </row>
    <row r="47" spans="1:26">
      <c r="B47" s="74" t="s">
        <v>77</v>
      </c>
      <c r="E47" s="79"/>
      <c r="F47" s="79"/>
      <c r="G47" s="260">
        <v>2.09</v>
      </c>
      <c r="H47" s="260">
        <v>0.02</v>
      </c>
      <c r="I47" s="260">
        <v>0.98</v>
      </c>
      <c r="J47" s="260">
        <v>0.04</v>
      </c>
      <c r="K47" s="260">
        <v>-0.18</v>
      </c>
      <c r="L47" s="260">
        <v>1.25</v>
      </c>
      <c r="M47" s="260">
        <v>9.9999999999999992E-2</v>
      </c>
      <c r="N47" s="260">
        <v>0.02</v>
      </c>
      <c r="P47" s="94" t="s">
        <v>298</v>
      </c>
    </row>
    <row r="48" spans="1:26">
      <c r="B48" s="92" t="s">
        <v>73</v>
      </c>
      <c r="E48" s="156">
        <f>CPI!C14</f>
        <v>2.8000000000000001E-2</v>
      </c>
      <c r="F48" s="56"/>
      <c r="O48" s="79"/>
      <c r="P48" s="79"/>
      <c r="Q48" s="79"/>
      <c r="R48" s="79"/>
    </row>
    <row r="49" spans="2:26">
      <c r="B49" s="94" t="s">
        <v>134</v>
      </c>
      <c r="D49" s="74" t="s">
        <v>75</v>
      </c>
      <c r="F49" s="89"/>
      <c r="G49" s="128">
        <f>G44*(1+$E$48)</f>
        <v>3406791.1554198712</v>
      </c>
      <c r="H49" s="128">
        <f t="shared" ref="H49:N49" si="5">H44*(1+$E$48)</f>
        <v>9674601.7167919651</v>
      </c>
      <c r="I49" s="128">
        <f t="shared" si="5"/>
        <v>7274606.3829430453</v>
      </c>
      <c r="J49" s="128">
        <f t="shared" si="5"/>
        <v>150141524.16672367</v>
      </c>
      <c r="K49" s="128">
        <f t="shared" si="5"/>
        <v>125901962.10309443</v>
      </c>
      <c r="L49" s="128">
        <f t="shared" si="5"/>
        <v>2122482.341347327</v>
      </c>
      <c r="M49" s="128">
        <f t="shared" si="5"/>
        <v>86097116.191760466</v>
      </c>
      <c r="N49" s="128">
        <f t="shared" si="5"/>
        <v>7494024.259600847</v>
      </c>
      <c r="P49" s="94"/>
    </row>
    <row r="50" spans="2:26">
      <c r="B50" s="94"/>
      <c r="P50" s="94"/>
    </row>
    <row r="51" spans="2:26">
      <c r="B51" s="155" t="s">
        <v>258</v>
      </c>
      <c r="C51" s="79"/>
      <c r="D51" s="74" t="s">
        <v>75</v>
      </c>
      <c r="E51" s="10"/>
      <c r="F51" s="10"/>
      <c r="G51" s="11">
        <f>G45*(1-G46/100+G47/100+$E$48)+G49</f>
        <v>16362436.557191515</v>
      </c>
      <c r="H51" s="11">
        <f t="shared" ref="H51:N51" si="6">H45*(1-H46/100+H47/100+$E$48)+H49</f>
        <v>70133303.544679374</v>
      </c>
      <c r="I51" s="11">
        <f t="shared" si="6"/>
        <v>32865506.453657556</v>
      </c>
      <c r="J51" s="11">
        <f t="shared" si="6"/>
        <v>894379330.61463761</v>
      </c>
      <c r="K51" s="11">
        <f t="shared" si="6"/>
        <v>960347435.35058033</v>
      </c>
      <c r="L51" s="11">
        <f t="shared" si="6"/>
        <v>11078548.225886356</v>
      </c>
      <c r="M51" s="11">
        <f t="shared" si="6"/>
        <v>661307631.26786149</v>
      </c>
      <c r="N51" s="11">
        <f t="shared" si="6"/>
        <v>46916052.033529148</v>
      </c>
      <c r="O51" s="7"/>
      <c r="P51" s="7"/>
      <c r="Q51" s="7"/>
      <c r="R51" s="7"/>
    </row>
    <row r="52" spans="2:26">
      <c r="E52" s="79"/>
    </row>
    <row r="53" spans="2:26">
      <c r="B53" s="78" t="s">
        <v>215</v>
      </c>
      <c r="D53" s="94" t="s">
        <v>75</v>
      </c>
      <c r="E53" s="79"/>
      <c r="G53" s="27">
        <f t="shared" ref="G53:N53" si="7">G51-G40</f>
        <v>97343.21268680878</v>
      </c>
      <c r="H53" s="27">
        <f t="shared" si="7"/>
        <v>426677.58584161103</v>
      </c>
      <c r="I53" s="27">
        <f t="shared" si="7"/>
        <v>199908.27057316899</v>
      </c>
      <c r="J53" s="27">
        <f t="shared" si="7"/>
        <v>5537174.2955515385</v>
      </c>
      <c r="K53" s="27">
        <f t="shared" si="7"/>
        <v>5740913.615116477</v>
      </c>
      <c r="L53" s="27">
        <f t="shared" si="7"/>
        <v>61470.199816437438</v>
      </c>
      <c r="M53" s="27">
        <f t="shared" si="7"/>
        <v>7774249.5934368372</v>
      </c>
      <c r="N53" s="27">
        <f t="shared" si="7"/>
        <v>288206.93984641135</v>
      </c>
      <c r="O53" s="152"/>
      <c r="P53" s="152"/>
      <c r="Q53" s="152"/>
      <c r="R53" s="152"/>
      <c r="S53" s="145"/>
      <c r="T53" s="145"/>
      <c r="U53" s="145"/>
      <c r="V53" s="145"/>
      <c r="W53" s="145"/>
      <c r="X53" s="145"/>
      <c r="Y53" s="145"/>
      <c r="Z53" s="145"/>
    </row>
  </sheetData>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K17"/>
  <sheetViews>
    <sheetView showGridLines="0" zoomScale="85" zoomScaleNormal="85" workbookViewId="0"/>
  </sheetViews>
  <sheetFormatPr defaultRowHeight="12.75"/>
  <cols>
    <col min="1" max="1" width="3.42578125" style="141" customWidth="1"/>
    <col min="2" max="2" width="64.28515625" style="141" customWidth="1"/>
    <col min="3" max="3" width="7.140625" style="141" customWidth="1"/>
    <col min="4" max="4" width="18" style="232" customWidth="1"/>
    <col min="5" max="5" width="6.42578125" style="141" bestFit="1" customWidth="1"/>
    <col min="6" max="6" width="12.5703125" style="141" customWidth="1"/>
    <col min="7" max="7" width="4.42578125" style="141" customWidth="1"/>
    <col min="8" max="8" width="21.28515625" style="141" customWidth="1"/>
    <col min="9" max="9" width="11.42578125" style="141" bestFit="1" customWidth="1"/>
    <col min="10" max="15" width="9.140625" style="141"/>
    <col min="16" max="16" width="10.28515625" style="141" bestFit="1" customWidth="1"/>
    <col min="17" max="16384" width="9.140625" style="141"/>
  </cols>
  <sheetData>
    <row r="2" spans="1:11" s="59" customFormat="1" ht="15.75">
      <c r="B2" s="59" t="s">
        <v>272</v>
      </c>
    </row>
    <row r="3" spans="1:11">
      <c r="D3" s="141"/>
    </row>
    <row r="4" spans="1:11" s="101" customFormat="1">
      <c r="B4" s="100" t="s">
        <v>32</v>
      </c>
    </row>
    <row r="5" spans="1:11" s="98" customFormat="1">
      <c r="B5" s="99"/>
    </row>
    <row r="6" spans="1:11" s="98" customFormat="1">
      <c r="B6" s="99" t="s">
        <v>385</v>
      </c>
    </row>
    <row r="7" spans="1:11" s="98" customFormat="1">
      <c r="B7" s="99" t="s">
        <v>386</v>
      </c>
    </row>
    <row r="8" spans="1:11">
      <c r="D8" s="141"/>
    </row>
    <row r="9" spans="1:11" s="144" customFormat="1">
      <c r="B9" s="143" t="s">
        <v>259</v>
      </c>
      <c r="H9" s="143" t="s">
        <v>260</v>
      </c>
    </row>
    <row r="10" spans="1:11" s="163" customFormat="1">
      <c r="A10" s="161"/>
      <c r="B10" s="161"/>
      <c r="C10" s="161"/>
      <c r="D10" s="161"/>
      <c r="E10" s="161"/>
      <c r="F10" s="162"/>
      <c r="G10" s="162"/>
      <c r="H10" s="162"/>
      <c r="I10" s="162"/>
    </row>
    <row r="11" spans="1:11">
      <c r="A11" s="165"/>
      <c r="B11" s="166"/>
      <c r="D11" s="231"/>
      <c r="E11" s="167"/>
      <c r="F11" s="166"/>
      <c r="G11" s="162"/>
      <c r="H11" s="162"/>
      <c r="I11" s="162"/>
      <c r="J11" s="162"/>
      <c r="K11" s="162"/>
    </row>
    <row r="12" spans="1:11">
      <c r="B12" s="164"/>
      <c r="E12" s="163"/>
    </row>
    <row r="13" spans="1:11">
      <c r="E13" s="163"/>
    </row>
    <row r="14" spans="1:11">
      <c r="D14" s="87"/>
      <c r="E14" s="163"/>
      <c r="F14" s="166"/>
    </row>
    <row r="15" spans="1:11">
      <c r="D15" s="87"/>
      <c r="E15" s="163"/>
      <c r="F15" s="166"/>
    </row>
    <row r="16" spans="1:11">
      <c r="D16" s="87"/>
      <c r="E16" s="163"/>
      <c r="F16" s="166"/>
    </row>
    <row r="17" spans="4:6">
      <c r="D17" s="87"/>
      <c r="E17" s="163"/>
      <c r="F17" s="166"/>
    </row>
  </sheetData>
  <pageMargins left="0.75" right="0.75" top="1" bottom="1" header="0.5" footer="0.5"/>
  <pageSetup paperSize="8" scale="4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4137DB49FF634DBA44CA0D84877625" ma:contentTypeVersion="1" ma:contentTypeDescription="Een nieuw document maken." ma:contentTypeScope="" ma:versionID="efc0d66725b0f5a61f8cb6edaa9c837d">
  <xsd:schema xmlns:xsd="http://www.w3.org/2001/XMLSchema" xmlns:xs="http://www.w3.org/2001/XMLSchema" xmlns:p="http://schemas.microsoft.com/office/2006/metadata/properties" xmlns:ns2="5881a590-401a-462d-aa6d-3e513c8a81db" targetNamespace="http://schemas.microsoft.com/office/2006/metadata/properties" ma:root="true" ma:fieldsID="77d045e567cdbe4f2358ffb853b7a654" ns2:_="">
    <xsd:import namespace="5881a590-401a-462d-aa6d-3e513c8a81db"/>
    <xsd:element name="properties">
      <xsd:complexType>
        <xsd:sequence>
          <xsd:element name="documentManagement">
            <xsd:complexType>
              <xsd:all>
                <xsd:element ref="ns2:RNB"/>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1a590-401a-462d-aa6d-3e513c8a81db" elementFormDefault="qualified">
    <xsd:import namespace="http://schemas.microsoft.com/office/2006/documentManagement/types"/>
    <xsd:import namespace="http://schemas.microsoft.com/office/infopath/2007/PartnerControls"/>
    <xsd:element name="RNB" ma:index="8" ma:displayName="RNB" ma:format="Dropdown" ma:internalName="RNB">
      <xsd:simpleType>
        <xsd:restriction base="dms:Choice">
          <xsd:enumeration value="Cogas"/>
          <xsd:enumeration value="Delta"/>
          <xsd:enumeration value="Endinet"/>
          <xsd:enumeration value="Enexis"/>
          <xsd:enumeration value="Liander"/>
          <xsd:enumeration value="Rendo"/>
          <xsd:enumeration value="Stedin"/>
          <xsd:enumeration value="Westland"/>
          <xsd:enumeration value="Zebra"/>
          <xsd:enumeration value="Sector bre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NB xmlns="5881a590-401a-462d-aa6d-3e513c8a81db">Sector breed</RNB>
  </documentManagement>
</p:properties>
</file>

<file path=customXml/itemProps1.xml><?xml version="1.0" encoding="utf-8"?>
<ds:datastoreItem xmlns:ds="http://schemas.openxmlformats.org/officeDocument/2006/customXml" ds:itemID="{33D1F4E5-6286-44AE-939A-910B5F995E52}">
  <ds:schemaRefs>
    <ds:schemaRef ds:uri="http://schemas.microsoft.com/sharepoint/v3/contenttype/forms"/>
  </ds:schemaRefs>
</ds:datastoreItem>
</file>

<file path=customXml/itemProps2.xml><?xml version="1.0" encoding="utf-8"?>
<ds:datastoreItem xmlns:ds="http://schemas.openxmlformats.org/officeDocument/2006/customXml" ds:itemID="{93EA1BB3-1461-40D9-B43F-416A3BD9F5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1a590-401a-462d-aa6d-3e513c8a8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8153BE-F9D6-4787-8C84-4D165ADCFB10}">
  <ds:schemaRefs>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5881a590-401a-462d-aa6d-3e513c8a81db"/>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8</vt:i4>
      </vt:variant>
    </vt:vector>
  </HeadingPairs>
  <TitlesOfParts>
    <vt:vector size="23" baseType="lpstr">
      <vt:lpstr>Toelichting</vt:lpstr>
      <vt:lpstr>TI-berekening 2015</vt:lpstr>
      <vt:lpstr>Nacalculaties en correcties</vt:lpstr>
      <vt:lpstr>Nacalculaties --&gt;</vt:lpstr>
      <vt:lpstr>Overname private netten</vt:lpstr>
      <vt:lpstr>LH2013</vt:lpstr>
      <vt:lpstr>IT 2013</vt:lpstr>
      <vt:lpstr>TI2011-2014</vt:lpstr>
      <vt:lpstr>HS overdracht Stedin</vt:lpstr>
      <vt:lpstr>BOB Tar2012 (Rendo)</vt:lpstr>
      <vt:lpstr>Lagere tarieven Enexis</vt:lpstr>
      <vt:lpstr>Input --&gt;</vt:lpstr>
      <vt:lpstr>Heffingsrente</vt:lpstr>
      <vt:lpstr>CPI</vt:lpstr>
      <vt:lpstr>Berekening SO 2013</vt:lpstr>
      <vt:lpstr>CPI!Afdrukbereik</vt:lpstr>
      <vt:lpstr>Heffingsrente!Afdrukbereik</vt:lpstr>
      <vt:lpstr>'HS overdracht Stedin'!Afdrukbereik</vt:lpstr>
      <vt:lpstr>'LH2013'!Afdrukbereik</vt:lpstr>
      <vt:lpstr>'Nacalculaties en correcties'!Afdrukbereik</vt:lpstr>
      <vt:lpstr>'Overname private netten'!Afdrukbereik</vt:lpstr>
      <vt:lpstr>'TI-berekening 2015'!Afdrukbereik</vt:lpstr>
      <vt:lpstr>Toelichting!Afdrukbereik</vt:lpstr>
    </vt:vector>
  </TitlesOfParts>
  <Company>Nederlandse Mededingingsautoriteit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Berekening totale inkomsten netbeheerders elektriciteit 2015</dc:title>
  <dc:creator>Autoriteit Consument &amp; Markt</dc:creator>
  <cp:lastModifiedBy>Muires, Mike</cp:lastModifiedBy>
  <cp:lastPrinted>2013-10-03T11:56:30Z</cp:lastPrinted>
  <dcterms:created xsi:type="dcterms:W3CDTF">2011-08-25T19:08:23Z</dcterms:created>
  <dcterms:modified xsi:type="dcterms:W3CDTF">2014-10-02T12:34:51Z</dcterms:modified>
  <cp:category>energie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0x010100D44137DB49FF634DBA44CA0D84877625</vt:lpwstr>
  </property>
</Properties>
</file>