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75" yWindow="840" windowWidth="14055" windowHeight="13455" tabRatio="781"/>
  </bookViews>
  <sheets>
    <sheet name="Toelichting" sheetId="46" r:id="rId1"/>
    <sheet name="TI-berekening 2014" sheetId="50" r:id="rId2"/>
    <sheet name="Nacalculaties en correcties" sheetId="40" r:id="rId3"/>
    <sheet name="Nacalculaties --&gt;" sheetId="55" r:id="rId4"/>
    <sheet name="Overname private netten" sheetId="56" r:id="rId5"/>
    <sheet name="Faillis. Orro en Trianel" sheetId="57" r:id="rId6"/>
    <sheet name="corrDUBDEB2013" sheetId="58" r:id="rId7"/>
    <sheet name="corrNVG" sheetId="63" r:id="rId8"/>
    <sheet name="corrIMM" sheetId="67" r:id="rId9"/>
    <sheet name="LH 2012" sheetId="33" r:id="rId10"/>
    <sheet name="BOB Rendo_2013 - deel 1" sheetId="64" r:id="rId11"/>
    <sheet name="BOB Rendo_2013 - deel 2" sheetId="65" r:id="rId12"/>
    <sheet name="BOB Rendo_2013 - deel 3" sheetId="66" r:id="rId13"/>
    <sheet name="Input --&gt;" sheetId="61" r:id="rId14"/>
    <sheet name="Heffingsrente" sheetId="53" r:id="rId15"/>
    <sheet name="CPI" sheetId="54" r:id="rId16"/>
  </sheets>
  <definedNames>
    <definedName name="_xlnm.Print_Area" localSheetId="10">'BOB Rendo_2013 - deel 1'!$A$1:$AF$83</definedName>
    <definedName name="_xlnm.Print_Area" localSheetId="11">'BOB Rendo_2013 - deel 2'!$A$1:$V$41</definedName>
    <definedName name="_xlnm.Print_Area" localSheetId="12">'BOB Rendo_2013 - deel 3'!$A$1:$X$96</definedName>
    <definedName name="_xlnm.Print_Area" localSheetId="6">corrDUBDEB2013!$A$1:$Q$26</definedName>
    <definedName name="_xlnm.Print_Area" localSheetId="8">corrIMM!$A$1:$W$27</definedName>
    <definedName name="_xlnm.Print_Area" localSheetId="7">corrNVG!$A$1:$W$28</definedName>
    <definedName name="_xlnm.Print_Area" localSheetId="15">CPI!$A$1:$O$35</definedName>
    <definedName name="_xlnm.Print_Area" localSheetId="5">'Faillis. Orro en Trianel'!$A$1:$U$20</definedName>
    <definedName name="_xlnm.Print_Area" localSheetId="14">Heffingsrente!$A$1:$I$68</definedName>
    <definedName name="_xlnm.Print_Area" localSheetId="9">'LH 2012'!$A$1:$V$107</definedName>
    <definedName name="_xlnm.Print_Area" localSheetId="2">'Nacalculaties en correcties'!$A$1:$Q$59</definedName>
    <definedName name="_xlnm.Print_Area" localSheetId="0">Toelichting!$A$1:$I$24</definedName>
  </definedNames>
  <calcPr calcId="145621" iterateCount="1000" iterateDelta="1.0000000000000001E-5"/>
</workbook>
</file>

<file path=xl/calcChain.xml><?xml version="1.0" encoding="utf-8"?>
<calcChain xmlns="http://schemas.openxmlformats.org/spreadsheetml/2006/main">
  <c r="K55" i="40" l="1"/>
  <c r="K54" i="40"/>
  <c r="K53" i="40"/>
  <c r="K52" i="40"/>
  <c r="K51" i="40"/>
  <c r="K50" i="40"/>
  <c r="K49" i="40"/>
  <c r="K48" i="40"/>
  <c r="K47" i="40"/>
  <c r="K24" i="40"/>
  <c r="K23" i="40"/>
  <c r="K22" i="40"/>
  <c r="K21" i="40"/>
  <c r="K20" i="40"/>
  <c r="K19" i="40"/>
  <c r="K18" i="40"/>
  <c r="K17" i="40"/>
  <c r="K16" i="40"/>
  <c r="D28" i="53" l="1"/>
  <c r="D27" i="53"/>
  <c r="D15" i="53"/>
  <c r="G26" i="63" l="1"/>
  <c r="O24" i="63"/>
  <c r="N24" i="63"/>
  <c r="M24" i="63"/>
  <c r="L24" i="63"/>
  <c r="K24" i="63"/>
  <c r="J24" i="63"/>
  <c r="I24" i="63"/>
  <c r="H24" i="63"/>
  <c r="G24" i="63"/>
  <c r="H21" i="63" l="1"/>
  <c r="I21" i="63"/>
  <c r="J21" i="63"/>
  <c r="K21" i="63"/>
  <c r="L21" i="63"/>
  <c r="M21" i="63"/>
  <c r="N21" i="63"/>
  <c r="O21" i="63"/>
  <c r="G21" i="63"/>
  <c r="F76" i="33" l="1"/>
  <c r="H46" i="50" l="1"/>
  <c r="I46" i="50"/>
  <c r="J46" i="50"/>
  <c r="K46" i="50"/>
  <c r="L46" i="50"/>
  <c r="M46" i="50"/>
  <c r="N46" i="50"/>
  <c r="H47" i="50"/>
  <c r="I47" i="50"/>
  <c r="J47" i="50"/>
  <c r="K47" i="50"/>
  <c r="L47" i="50"/>
  <c r="M47" i="50"/>
  <c r="N47" i="50"/>
  <c r="O47" i="50"/>
  <c r="G47" i="50"/>
  <c r="G46" i="50"/>
  <c r="L95" i="66" l="1"/>
  <c r="L91" i="66"/>
  <c r="L87" i="66"/>
  <c r="L90" i="66"/>
  <c r="L94" i="66"/>
  <c r="L93" i="66"/>
  <c r="L89" i="66"/>
  <c r="L86" i="66"/>
  <c r="L85" i="66"/>
  <c r="L80" i="66"/>
  <c r="L79" i="66"/>
  <c r="L78" i="66"/>
  <c r="L74" i="66"/>
  <c r="L70" i="66"/>
  <c r="L69" i="66"/>
  <c r="L67" i="66"/>
  <c r="L56" i="66"/>
  <c r="L53" i="66"/>
  <c r="L52" i="66"/>
  <c r="L46" i="66"/>
  <c r="L34" i="66"/>
  <c r="L32" i="66"/>
  <c r="L31" i="66"/>
  <c r="L29" i="66"/>
  <c r="L68" i="66" l="1"/>
  <c r="L63" i="66"/>
  <c r="L30" i="65" l="1"/>
  <c r="L38" i="65" s="1"/>
  <c r="L29" i="65"/>
  <c r="L37" i="65" s="1"/>
  <c r="L28" i="65"/>
  <c r="L36" i="65" s="1"/>
  <c r="O51" i="56" l="1"/>
  <c r="O61" i="56" s="1"/>
  <c r="N51" i="56"/>
  <c r="N61" i="56" s="1"/>
  <c r="M51" i="56"/>
  <c r="M61" i="56" s="1"/>
  <c r="L51" i="56"/>
  <c r="L61" i="56" s="1"/>
  <c r="K51" i="56"/>
  <c r="K61" i="56" s="1"/>
  <c r="J51" i="56"/>
  <c r="J61" i="56" s="1"/>
  <c r="I51" i="56"/>
  <c r="I61" i="56" s="1"/>
  <c r="H51" i="56"/>
  <c r="H61" i="56" s="1"/>
  <c r="G51" i="56"/>
  <c r="G61" i="56" s="1"/>
  <c r="O54" i="56" l="1"/>
  <c r="O55" i="56" s="1"/>
  <c r="G54" i="56"/>
  <c r="I54" i="56"/>
  <c r="K54" i="56"/>
  <c r="M54" i="56"/>
  <c r="G55" i="56"/>
  <c r="I55" i="56"/>
  <c r="K55" i="56"/>
  <c r="M55" i="56"/>
  <c r="G58" i="56"/>
  <c r="I58" i="56"/>
  <c r="K58" i="56"/>
  <c r="M58" i="56"/>
  <c r="H54" i="56"/>
  <c r="J54" i="56"/>
  <c r="L54" i="56"/>
  <c r="N54" i="56"/>
  <c r="H55" i="56"/>
  <c r="J55" i="56"/>
  <c r="L55" i="56"/>
  <c r="N55" i="56"/>
  <c r="H58" i="56"/>
  <c r="J58" i="56"/>
  <c r="L58" i="56"/>
  <c r="N58" i="56"/>
  <c r="O58" i="56" l="1"/>
  <c r="K59" i="33"/>
  <c r="L55" i="33"/>
  <c r="M77" i="33"/>
  <c r="L93" i="33"/>
  <c r="L77" i="33"/>
  <c r="L76" i="33"/>
  <c r="E27" i="54"/>
  <c r="E28" i="54" s="1"/>
  <c r="E29" i="54" s="1"/>
  <c r="E30" i="54" s="1"/>
  <c r="E31" i="54" s="1"/>
  <c r="E32" i="54" s="1"/>
  <c r="E33" i="54" s="1"/>
  <c r="E34" i="54" s="1"/>
  <c r="E26" i="54"/>
  <c r="D26" i="54"/>
  <c r="D27" i="54" s="1"/>
  <c r="D28" i="54" s="1"/>
  <c r="D29" i="54" s="1"/>
  <c r="D30" i="54" s="1"/>
  <c r="D31" i="54" s="1"/>
  <c r="D32" i="54" s="1"/>
  <c r="D33" i="54" s="1"/>
  <c r="D34" i="54" s="1"/>
  <c r="D25" i="54"/>
  <c r="F34" i="54"/>
  <c r="F28" i="54"/>
  <c r="F29" i="54" s="1"/>
  <c r="F30" i="54" s="1"/>
  <c r="F31" i="54" s="1"/>
  <c r="F32" i="54" s="1"/>
  <c r="F33" i="54" s="1"/>
  <c r="F27" i="54"/>
  <c r="G28" i="54"/>
  <c r="F26" i="54"/>
  <c r="D24" i="54"/>
  <c r="E25" i="54"/>
  <c r="C18" i="66"/>
  <c r="L36" i="66" s="1"/>
  <c r="C19" i="66"/>
  <c r="C20" i="66"/>
  <c r="C17" i="66"/>
  <c r="L37" i="66" l="1"/>
  <c r="C27" i="64"/>
  <c r="C28" i="64"/>
  <c r="C29" i="64"/>
  <c r="C26" i="64"/>
  <c r="L38" i="66" l="1"/>
  <c r="L60" i="64"/>
  <c r="L61" i="64" s="1"/>
  <c r="L62" i="64" s="1"/>
  <c r="L78" i="64" s="1"/>
  <c r="L45" i="64"/>
  <c r="L75" i="66"/>
  <c r="L68" i="64"/>
  <c r="L73" i="64" l="1"/>
  <c r="L46" i="64"/>
  <c r="L67" i="64"/>
  <c r="L69" i="64" s="1"/>
  <c r="D23" i="53"/>
  <c r="D24" i="53"/>
  <c r="D25" i="53"/>
  <c r="D26" i="53"/>
  <c r="L47" i="64" l="1"/>
  <c r="L72" i="64"/>
  <c r="L74" i="64" s="1"/>
  <c r="L77" i="64" l="1"/>
  <c r="L79" i="64" s="1"/>
  <c r="L47" i="33"/>
  <c r="J49" i="33"/>
  <c r="J55" i="33" s="1"/>
  <c r="O49" i="33"/>
  <c r="O55" i="33" s="1"/>
  <c r="N49" i="33"/>
  <c r="M49" i="33"/>
  <c r="M55" i="33" s="1"/>
  <c r="L49" i="33"/>
  <c r="K49" i="33"/>
  <c r="K55" i="33" s="1"/>
  <c r="F49" i="33"/>
  <c r="F55" i="33" s="1"/>
  <c r="G49" i="33"/>
  <c r="G55" i="33" s="1"/>
  <c r="H49" i="33"/>
  <c r="H55" i="33" s="1"/>
  <c r="I49" i="33"/>
  <c r="N55" i="33"/>
  <c r="I55" i="33" l="1"/>
  <c r="C13" i="33" l="1"/>
  <c r="C14" i="33"/>
  <c r="C15" i="33"/>
  <c r="C12" i="33"/>
  <c r="O40" i="33" l="1"/>
  <c r="O41" i="33" s="1"/>
  <c r="O93" i="33" s="1"/>
  <c r="M40" i="33"/>
  <c r="M41" i="33" s="1"/>
  <c r="M93" i="33" s="1"/>
  <c r="K40" i="33"/>
  <c r="K41" i="33" s="1"/>
  <c r="K93" i="33" s="1"/>
  <c r="I40" i="33"/>
  <c r="I41" i="33" s="1"/>
  <c r="I93" i="33" s="1"/>
  <c r="G40" i="33"/>
  <c r="G41" i="33" s="1"/>
  <c r="G93" i="33" s="1"/>
  <c r="N40" i="33"/>
  <c r="N41" i="33" s="1"/>
  <c r="N93" i="33" s="1"/>
  <c r="L40" i="33"/>
  <c r="L41" i="33" s="1"/>
  <c r="J40" i="33"/>
  <c r="J41" i="33" s="1"/>
  <c r="J93" i="33" s="1"/>
  <c r="H40" i="33"/>
  <c r="H41" i="33" s="1"/>
  <c r="H93" i="33" s="1"/>
  <c r="F40" i="33"/>
  <c r="F41" i="33" s="1"/>
  <c r="F93" i="33" s="1"/>
  <c r="J56" i="33"/>
  <c r="J59" i="33" s="1"/>
  <c r="J76" i="33" s="1"/>
  <c r="H56" i="33"/>
  <c r="H59" i="33" s="1"/>
  <c r="H76" i="33" s="1"/>
  <c r="K56" i="33"/>
  <c r="K76" i="33" s="1"/>
  <c r="F56" i="33"/>
  <c r="F59" i="33" s="1"/>
  <c r="L56" i="33"/>
  <c r="L59" i="33" s="1"/>
  <c r="M56" i="33"/>
  <c r="M59" i="33" s="1"/>
  <c r="M76" i="33" s="1"/>
  <c r="O56" i="33"/>
  <c r="O59" i="33" s="1"/>
  <c r="O76" i="33" s="1"/>
  <c r="N56" i="33"/>
  <c r="N59" i="33" s="1"/>
  <c r="N76" i="33" s="1"/>
  <c r="G56" i="33"/>
  <c r="G59" i="33" s="1"/>
  <c r="G76" i="33" s="1"/>
  <c r="I56" i="33"/>
  <c r="I59" i="33" s="1"/>
  <c r="I76" i="33" s="1"/>
  <c r="E41" i="56" l="1"/>
  <c r="G12" i="40" l="1"/>
  <c r="H12" i="40"/>
  <c r="I12" i="40"/>
  <c r="J12" i="40"/>
  <c r="K12" i="40"/>
  <c r="L12" i="40"/>
  <c r="M12" i="40"/>
  <c r="N12" i="40"/>
  <c r="F12" i="40"/>
  <c r="O22" i="58"/>
  <c r="O24" i="58" s="1"/>
  <c r="G11" i="40"/>
  <c r="N11" i="40"/>
  <c r="F11" i="40"/>
  <c r="O20" i="57"/>
  <c r="O79" i="56"/>
  <c r="O83" i="56" s="1"/>
  <c r="O76" i="56"/>
  <c r="O86" i="56" s="1"/>
  <c r="O25" i="56"/>
  <c r="O47" i="56" s="1"/>
  <c r="E9" i="50"/>
  <c r="N34" i="54"/>
  <c r="D16" i="53"/>
  <c r="D14" i="53" s="1"/>
  <c r="D13" i="53" s="1"/>
  <c r="D12" i="53" s="1"/>
  <c r="D11" i="53" s="1"/>
  <c r="D10" i="53" s="1"/>
  <c r="F35" i="40" l="1"/>
  <c r="J43" i="40" s="1"/>
  <c r="K19" i="50" s="1"/>
  <c r="E23" i="67"/>
  <c r="E23" i="63"/>
  <c r="G10" i="50"/>
  <c r="H43" i="40"/>
  <c r="I19" i="50" s="1"/>
  <c r="G43" i="40"/>
  <c r="H19" i="50" s="1"/>
  <c r="F43" i="40"/>
  <c r="G19" i="50" s="1"/>
  <c r="F31" i="40"/>
  <c r="F30" i="40"/>
  <c r="F34" i="40"/>
  <c r="F32" i="40"/>
  <c r="F33" i="40"/>
  <c r="M10" i="50"/>
  <c r="I10" i="50"/>
  <c r="O10" i="50"/>
  <c r="K10" i="50"/>
  <c r="N10" i="50"/>
  <c r="L10" i="50"/>
  <c r="J10" i="50"/>
  <c r="H10" i="50"/>
  <c r="O90" i="56"/>
  <c r="N10" i="40" s="1"/>
  <c r="N41" i="40" s="1"/>
  <c r="O17" i="50" s="1"/>
  <c r="O35" i="56"/>
  <c r="O28" i="56"/>
  <c r="O29" i="56" s="1"/>
  <c r="O80" i="56"/>
  <c r="M24" i="67" l="1"/>
  <c r="G24" i="67"/>
  <c r="N24" i="67"/>
  <c r="L24" i="67"/>
  <c r="J24" i="67"/>
  <c r="J26" i="67" s="1"/>
  <c r="I14" i="40" s="1"/>
  <c r="I45" i="40" s="1"/>
  <c r="J21" i="50" s="1"/>
  <c r="H24" i="67"/>
  <c r="O24" i="67"/>
  <c r="K24" i="67"/>
  <c r="I24" i="67"/>
  <c r="K43" i="40"/>
  <c r="L19" i="50" s="1"/>
  <c r="L43" i="40"/>
  <c r="M19" i="50" s="1"/>
  <c r="M43" i="40"/>
  <c r="N19" i="50" s="1"/>
  <c r="I43" i="40"/>
  <c r="J19" i="50" s="1"/>
  <c r="N43" i="40"/>
  <c r="O19" i="50" s="1"/>
  <c r="N26" i="63"/>
  <c r="J19" i="63"/>
  <c r="J19" i="67"/>
  <c r="N19" i="63"/>
  <c r="N19" i="67"/>
  <c r="O19" i="63"/>
  <c r="O19" i="67"/>
  <c r="M19" i="63"/>
  <c r="M19" i="67"/>
  <c r="H19" i="63"/>
  <c r="H19" i="67"/>
  <c r="L19" i="63"/>
  <c r="L19" i="67"/>
  <c r="L26" i="67" s="1"/>
  <c r="K14" i="40" s="1"/>
  <c r="K45" i="40" s="1"/>
  <c r="L21" i="50" s="1"/>
  <c r="K19" i="63"/>
  <c r="K19" i="67"/>
  <c r="K26" i="67" s="1"/>
  <c r="J14" i="40" s="1"/>
  <c r="J45" i="40" s="1"/>
  <c r="K21" i="50" s="1"/>
  <c r="I19" i="63"/>
  <c r="I19" i="67"/>
  <c r="G19" i="63"/>
  <c r="G19" i="67"/>
  <c r="N26" i="67"/>
  <c r="M14" i="40" s="1"/>
  <c r="M45" i="40" s="1"/>
  <c r="N21" i="50" s="1"/>
  <c r="O26" i="67"/>
  <c r="N14" i="40" s="1"/>
  <c r="N45" i="40" s="1"/>
  <c r="O21" i="50" s="1"/>
  <c r="G26" i="67"/>
  <c r="F14" i="40" s="1"/>
  <c r="F45" i="40" s="1"/>
  <c r="G21" i="50" s="1"/>
  <c r="M26" i="67"/>
  <c r="L14" i="40" s="1"/>
  <c r="L45" i="40" s="1"/>
  <c r="M21" i="50" s="1"/>
  <c r="M26" i="63"/>
  <c r="O26" i="63"/>
  <c r="G42" i="40"/>
  <c r="H18" i="50" s="1"/>
  <c r="N42" i="40"/>
  <c r="O18" i="50" s="1"/>
  <c r="F42" i="40"/>
  <c r="G18" i="50" s="1"/>
  <c r="L28" i="50"/>
  <c r="L31" i="50"/>
  <c r="L25" i="50"/>
  <c r="L26" i="50"/>
  <c r="L29" i="50"/>
  <c r="L23" i="50"/>
  <c r="L24" i="50"/>
  <c r="L27" i="50"/>
  <c r="L30" i="50"/>
  <c r="O32" i="56"/>
  <c r="O39" i="56" s="1"/>
  <c r="N8" i="40" s="1"/>
  <c r="N39" i="40" s="1"/>
  <c r="O15" i="50" s="1"/>
  <c r="I26" i="67" l="1"/>
  <c r="H14" i="40" s="1"/>
  <c r="H45" i="40" s="1"/>
  <c r="I21" i="50" s="1"/>
  <c r="H26" i="67"/>
  <c r="G14" i="40" s="1"/>
  <c r="G45" i="40" s="1"/>
  <c r="H21" i="50" s="1"/>
  <c r="H26" i="63"/>
  <c r="H28" i="63" s="1"/>
  <c r="G13" i="40" s="1"/>
  <c r="G44" i="40" s="1"/>
  <c r="H20" i="50" s="1"/>
  <c r="J26" i="63"/>
  <c r="K26" i="63"/>
  <c r="K28" i="63" s="1"/>
  <c r="J13" i="40" s="1"/>
  <c r="J44" i="40" s="1"/>
  <c r="K20" i="50" s="1"/>
  <c r="L26" i="63"/>
  <c r="L28" i="63" s="1"/>
  <c r="K13" i="40" s="1"/>
  <c r="K44" i="40" s="1"/>
  <c r="L20" i="50" s="1"/>
  <c r="I26" i="63"/>
  <c r="I28" i="63" s="1"/>
  <c r="H13" i="40" s="1"/>
  <c r="H44" i="40" s="1"/>
  <c r="I20" i="50" s="1"/>
  <c r="J28" i="63"/>
  <c r="I13" i="40" s="1"/>
  <c r="I44" i="40" s="1"/>
  <c r="J20" i="50" s="1"/>
  <c r="G28" i="63"/>
  <c r="F13" i="40" s="1"/>
  <c r="F44" i="40" s="1"/>
  <c r="G20" i="50" s="1"/>
  <c r="N28" i="63"/>
  <c r="M13" i="40" s="1"/>
  <c r="M44" i="40" s="1"/>
  <c r="N20" i="50" s="1"/>
  <c r="O28" i="63"/>
  <c r="N13" i="40" s="1"/>
  <c r="N44" i="40" s="1"/>
  <c r="O20" i="50" s="1"/>
  <c r="M28" i="63"/>
  <c r="L13" i="40" s="1"/>
  <c r="L44" i="40" s="1"/>
  <c r="M20" i="50" s="1"/>
  <c r="N22" i="58"/>
  <c r="N24" i="58" s="1"/>
  <c r="M22" i="58"/>
  <c r="M24" i="58" s="1"/>
  <c r="L22" i="58"/>
  <c r="L24" i="58" s="1"/>
  <c r="K22" i="58"/>
  <c r="K24" i="58" s="1"/>
  <c r="J22" i="58"/>
  <c r="J24" i="58" s="1"/>
  <c r="I22" i="58"/>
  <c r="I24" i="58" s="1"/>
  <c r="H22" i="58"/>
  <c r="H24" i="58" s="1"/>
  <c r="G22" i="58"/>
  <c r="G24" i="58" s="1"/>
  <c r="N20" i="57"/>
  <c r="M11" i="40" s="1"/>
  <c r="M42" i="40" s="1"/>
  <c r="N18" i="50" s="1"/>
  <c r="M20" i="57"/>
  <c r="L11" i="40" s="1"/>
  <c r="L42" i="40" s="1"/>
  <c r="M18" i="50" s="1"/>
  <c r="L20" i="57"/>
  <c r="K11" i="40" s="1"/>
  <c r="K42" i="40" s="1"/>
  <c r="L18" i="50" s="1"/>
  <c r="K20" i="57"/>
  <c r="J11" i="40" s="1"/>
  <c r="J42" i="40" s="1"/>
  <c r="K18" i="50" s="1"/>
  <c r="J20" i="57"/>
  <c r="I11" i="40" s="1"/>
  <c r="I42" i="40" s="1"/>
  <c r="J18" i="50" s="1"/>
  <c r="I20" i="57"/>
  <c r="H11" i="40" s="1"/>
  <c r="H42" i="40" s="1"/>
  <c r="I18" i="50" s="1"/>
  <c r="H20" i="57"/>
  <c r="G20" i="57"/>
  <c r="N76" i="56"/>
  <c r="N86" i="56" s="1"/>
  <c r="M76" i="56"/>
  <c r="M86" i="56" s="1"/>
  <c r="L76" i="56"/>
  <c r="L86" i="56" s="1"/>
  <c r="K76" i="56"/>
  <c r="K86" i="56" s="1"/>
  <c r="J76" i="56"/>
  <c r="J86" i="56" s="1"/>
  <c r="I76" i="56"/>
  <c r="I86" i="56" s="1"/>
  <c r="H76" i="56"/>
  <c r="H86" i="56" s="1"/>
  <c r="G76" i="56"/>
  <c r="G86" i="56" s="1"/>
  <c r="N25" i="56"/>
  <c r="N47" i="56" s="1"/>
  <c r="M25" i="56"/>
  <c r="M47" i="56" s="1"/>
  <c r="L25" i="56"/>
  <c r="L47" i="56" s="1"/>
  <c r="K25" i="56"/>
  <c r="K47" i="56" s="1"/>
  <c r="J25" i="56"/>
  <c r="J47" i="56" s="1"/>
  <c r="I25" i="56"/>
  <c r="I47" i="56" s="1"/>
  <c r="H25" i="56"/>
  <c r="H47" i="56" s="1"/>
  <c r="G25" i="56"/>
  <c r="G47" i="56" s="1"/>
  <c r="O42" i="56" l="1"/>
  <c r="O43" i="56" s="1"/>
  <c r="O45" i="56" s="1"/>
  <c r="G28" i="56"/>
  <c r="I28" i="56"/>
  <c r="K28" i="56"/>
  <c r="M28" i="56"/>
  <c r="G29" i="56"/>
  <c r="I29" i="56"/>
  <c r="K29" i="56"/>
  <c r="M29" i="56"/>
  <c r="G32" i="56"/>
  <c r="I32" i="56"/>
  <c r="K32" i="56"/>
  <c r="M32" i="56"/>
  <c r="G35" i="56"/>
  <c r="I35" i="56"/>
  <c r="K35" i="56"/>
  <c r="M35" i="56"/>
  <c r="H28" i="56"/>
  <c r="J28" i="56"/>
  <c r="L28" i="56"/>
  <c r="N28" i="56"/>
  <c r="H29" i="56"/>
  <c r="J29" i="56"/>
  <c r="L29" i="56"/>
  <c r="N29" i="56"/>
  <c r="H32" i="56"/>
  <c r="J32" i="56"/>
  <c r="L32" i="56"/>
  <c r="N32" i="56"/>
  <c r="H35" i="56"/>
  <c r="J35" i="56"/>
  <c r="L35" i="56"/>
  <c r="N35" i="56"/>
  <c r="G42" i="56"/>
  <c r="I42" i="56"/>
  <c r="K42" i="56"/>
  <c r="M42" i="56"/>
  <c r="G79" i="56"/>
  <c r="I79" i="56"/>
  <c r="K79" i="56"/>
  <c r="M79" i="56"/>
  <c r="M80" i="56" s="1"/>
  <c r="G80" i="56"/>
  <c r="I80" i="56"/>
  <c r="K80" i="56"/>
  <c r="G83" i="56"/>
  <c r="G90" i="56" s="1"/>
  <c r="F10" i="40" s="1"/>
  <c r="F41" i="40" s="1"/>
  <c r="G17" i="50" s="1"/>
  <c r="I83" i="56"/>
  <c r="I90" i="56" s="1"/>
  <c r="H10" i="40" s="1"/>
  <c r="H41" i="40" s="1"/>
  <c r="I17" i="50" s="1"/>
  <c r="K83" i="56"/>
  <c r="K90" i="56" s="1"/>
  <c r="J10" i="40" s="1"/>
  <c r="J41" i="40" s="1"/>
  <c r="K17" i="50" s="1"/>
  <c r="M83" i="56"/>
  <c r="M90" i="56" s="1"/>
  <c r="L10" i="40" s="1"/>
  <c r="L41" i="40" s="1"/>
  <c r="M17" i="50" s="1"/>
  <c r="H42" i="56"/>
  <c r="J42" i="56"/>
  <c r="L42" i="56"/>
  <c r="N42" i="56"/>
  <c r="H79" i="56"/>
  <c r="J79" i="56"/>
  <c r="L79" i="56"/>
  <c r="N79" i="56"/>
  <c r="H80" i="56"/>
  <c r="J80" i="56"/>
  <c r="L80" i="56"/>
  <c r="N80" i="56"/>
  <c r="H83" i="56"/>
  <c r="H90" i="56" s="1"/>
  <c r="G10" i="40" s="1"/>
  <c r="G41" i="40" s="1"/>
  <c r="H17" i="50" s="1"/>
  <c r="J83" i="56"/>
  <c r="J90" i="56" s="1"/>
  <c r="I10" i="40" s="1"/>
  <c r="I41" i="40" s="1"/>
  <c r="J17" i="50" s="1"/>
  <c r="L83" i="56"/>
  <c r="L90" i="56" s="1"/>
  <c r="K10" i="40" s="1"/>
  <c r="K41" i="40" s="1"/>
  <c r="L17" i="50" s="1"/>
  <c r="N83" i="56"/>
  <c r="N90" i="56" s="1"/>
  <c r="M10" i="40" s="1"/>
  <c r="M41" i="40" s="1"/>
  <c r="N17" i="50" s="1"/>
  <c r="G27" i="54"/>
  <c r="G29" i="54"/>
  <c r="G30" i="54" s="1"/>
  <c r="G31" i="54" s="1"/>
  <c r="G32" i="54" s="1"/>
  <c r="G33" i="54" s="1"/>
  <c r="G34" i="54" s="1"/>
  <c r="H28" i="54"/>
  <c r="H29" i="54" s="1"/>
  <c r="H30" i="54" s="1"/>
  <c r="H31" i="54" s="1"/>
  <c r="H32" i="54" s="1"/>
  <c r="H33" i="54" s="1"/>
  <c r="H34" i="54" s="1"/>
  <c r="I29" i="54"/>
  <c r="I30" i="54" s="1"/>
  <c r="I31" i="54" s="1"/>
  <c r="I32" i="54" s="1"/>
  <c r="I33" i="54" s="1"/>
  <c r="I34" i="54" s="1"/>
  <c r="J30" i="54"/>
  <c r="J31" i="54"/>
  <c r="K31" i="54"/>
  <c r="J32" i="54"/>
  <c r="L32" i="54"/>
  <c r="J33" i="54"/>
  <c r="J34" i="54" s="1"/>
  <c r="L33" i="54"/>
  <c r="L34" i="54" s="1"/>
  <c r="M33" i="54"/>
  <c r="M34" i="54" s="1"/>
  <c r="D22" i="53"/>
  <c r="K32" i="54"/>
  <c r="K33" i="54" s="1"/>
  <c r="K34" i="54" s="1"/>
  <c r="O66" i="56" l="1"/>
  <c r="N9" i="40" s="1"/>
  <c r="N40" i="40" s="1"/>
  <c r="O16" i="50" s="1"/>
  <c r="I77" i="33"/>
  <c r="I81" i="33" s="1"/>
  <c r="J77" i="33"/>
  <c r="J81" i="33" s="1"/>
  <c r="H77" i="33"/>
  <c r="H81" i="33" s="1"/>
  <c r="M81" i="33"/>
  <c r="N77" i="33"/>
  <c r="N81" i="33" s="1"/>
  <c r="L81" i="33"/>
  <c r="K77" i="33"/>
  <c r="K81" i="33" s="1"/>
  <c r="G77" i="33"/>
  <c r="G81" i="33" s="1"/>
  <c r="F77" i="33"/>
  <c r="F81" i="33" s="1"/>
  <c r="O77" i="33"/>
  <c r="N39" i="56"/>
  <c r="M8" i="40" s="1"/>
  <c r="M39" i="40" s="1"/>
  <c r="N15" i="50" s="1"/>
  <c r="J39" i="56"/>
  <c r="I8" i="40" s="1"/>
  <c r="N43" i="56"/>
  <c r="N45" i="56" s="1"/>
  <c r="N66" i="56" s="1"/>
  <c r="J43" i="56"/>
  <c r="J45" i="56" s="1"/>
  <c r="J66" i="56" s="1"/>
  <c r="M39" i="56"/>
  <c r="L8" i="40" s="1"/>
  <c r="L39" i="40" s="1"/>
  <c r="M15" i="50" s="1"/>
  <c r="I39" i="56"/>
  <c r="H8" i="40" s="1"/>
  <c r="H39" i="40" s="1"/>
  <c r="I15" i="50" s="1"/>
  <c r="M43" i="56"/>
  <c r="M45" i="56" s="1"/>
  <c r="M66" i="56" s="1"/>
  <c r="I43" i="56"/>
  <c r="I45" i="56" s="1"/>
  <c r="I66" i="56" s="1"/>
  <c r="L39" i="56"/>
  <c r="K8" i="40" s="1"/>
  <c r="K39" i="40" s="1"/>
  <c r="L15" i="50" s="1"/>
  <c r="H39" i="56"/>
  <c r="G8" i="40" s="1"/>
  <c r="G39" i="40" s="1"/>
  <c r="H15" i="50" s="1"/>
  <c r="L43" i="56"/>
  <c r="L45" i="56" s="1"/>
  <c r="L66" i="56" s="1"/>
  <c r="H43" i="56"/>
  <c r="H45" i="56" s="1"/>
  <c r="H66" i="56" s="1"/>
  <c r="K39" i="56"/>
  <c r="J8" i="40" s="1"/>
  <c r="J39" i="40" s="1"/>
  <c r="K15" i="50" s="1"/>
  <c r="G39" i="56"/>
  <c r="K43" i="56"/>
  <c r="K45" i="56" s="1"/>
  <c r="K66" i="56" s="1"/>
  <c r="G43" i="56"/>
  <c r="G45" i="56" s="1"/>
  <c r="G66" i="56" s="1"/>
  <c r="F8" i="40" l="1"/>
  <c r="F39" i="40" s="1"/>
  <c r="G15" i="50" s="1"/>
  <c r="I39" i="40"/>
  <c r="J15" i="50" s="1"/>
  <c r="I25" i="40"/>
  <c r="I56" i="40" s="1"/>
  <c r="J32" i="50" s="1"/>
  <c r="K9" i="40"/>
  <c r="K40" i="40" s="1"/>
  <c r="L16" i="50" s="1"/>
  <c r="F9" i="40"/>
  <c r="F40" i="40" s="1"/>
  <c r="G16" i="50" s="1"/>
  <c r="G9" i="40"/>
  <c r="G40" i="40" s="1"/>
  <c r="H16" i="50" s="1"/>
  <c r="H9" i="40"/>
  <c r="H40" i="40" s="1"/>
  <c r="I16" i="50" s="1"/>
  <c r="I9" i="40"/>
  <c r="J9" i="40"/>
  <c r="J40" i="40" s="1"/>
  <c r="K16" i="50" s="1"/>
  <c r="L9" i="40"/>
  <c r="L40" i="40" s="1"/>
  <c r="M16" i="50" s="1"/>
  <c r="M9" i="40"/>
  <c r="M40" i="40" s="1"/>
  <c r="N16" i="50" s="1"/>
  <c r="O81" i="33"/>
  <c r="O82" i="33" s="1"/>
  <c r="O85" i="33" s="1"/>
  <c r="O86" i="33" s="1"/>
  <c r="O96" i="33" s="1"/>
  <c r="O99" i="33" s="1"/>
  <c r="N106" i="33" s="1"/>
  <c r="N15" i="40" s="1"/>
  <c r="N46" i="40" s="1"/>
  <c r="O22" i="50" s="1"/>
  <c r="O35" i="50" s="1"/>
  <c r="O39" i="50" s="1"/>
  <c r="K82" i="33"/>
  <c r="K85" i="33" s="1"/>
  <c r="K86" i="33" s="1"/>
  <c r="K96" i="33" s="1"/>
  <c r="K99" i="33" s="1"/>
  <c r="J106" i="33" s="1"/>
  <c r="J15" i="40" s="1"/>
  <c r="J46" i="40" s="1"/>
  <c r="K22" i="50" s="1"/>
  <c r="F82" i="33"/>
  <c r="F85" i="33" s="1"/>
  <c r="F86" i="33" s="1"/>
  <c r="F96" i="33" s="1"/>
  <c r="F99" i="33" s="1"/>
  <c r="F106" i="33" s="1"/>
  <c r="F15" i="40" s="1"/>
  <c r="F46" i="40" s="1"/>
  <c r="G22" i="50" s="1"/>
  <c r="N82" i="33"/>
  <c r="N85" i="33" s="1"/>
  <c r="N86" i="33" s="1"/>
  <c r="N96" i="33" s="1"/>
  <c r="N99" i="33" s="1"/>
  <c r="M106" i="33" s="1"/>
  <c r="M15" i="40" s="1"/>
  <c r="M46" i="40" s="1"/>
  <c r="N22" i="50" s="1"/>
  <c r="G82" i="33"/>
  <c r="G85" i="33" s="1"/>
  <c r="G86" i="33" s="1"/>
  <c r="G96" i="33" s="1"/>
  <c r="G99" i="33" s="1"/>
  <c r="G106" i="33" s="1"/>
  <c r="G15" i="40" s="1"/>
  <c r="G46" i="40" s="1"/>
  <c r="H22" i="50" s="1"/>
  <c r="L82" i="33"/>
  <c r="L85" i="33" s="1"/>
  <c r="L86" i="33" s="1"/>
  <c r="L96" i="33" s="1"/>
  <c r="L99" i="33" s="1"/>
  <c r="K106" i="33" s="1"/>
  <c r="K15" i="40" s="1"/>
  <c r="K46" i="40" s="1"/>
  <c r="L22" i="50" s="1"/>
  <c r="M82" i="33"/>
  <c r="M85" i="33" s="1"/>
  <c r="M86" i="33" s="1"/>
  <c r="M96" i="33" s="1"/>
  <c r="M99" i="33" s="1"/>
  <c r="L106" i="33" s="1"/>
  <c r="L15" i="40" s="1"/>
  <c r="L46" i="40" s="1"/>
  <c r="M22" i="50" s="1"/>
  <c r="J82" i="33"/>
  <c r="J85" i="33" s="1"/>
  <c r="J86" i="33" s="1"/>
  <c r="J96" i="33" s="1"/>
  <c r="J99" i="33" s="1"/>
  <c r="I82" i="33"/>
  <c r="I85" i="33" s="1"/>
  <c r="I86" i="33" s="1"/>
  <c r="I96" i="33" s="1"/>
  <c r="I99" i="33" s="1"/>
  <c r="H82" i="33"/>
  <c r="H85" i="33" s="1"/>
  <c r="H86" i="33" s="1"/>
  <c r="H96" i="33" s="1"/>
  <c r="H99" i="33" s="1"/>
  <c r="H106" i="33" s="1"/>
  <c r="H15" i="40" s="1"/>
  <c r="H46" i="40" s="1"/>
  <c r="I22" i="50" s="1"/>
  <c r="I40" i="40" l="1"/>
  <c r="J16" i="50" s="1"/>
  <c r="I26" i="40"/>
  <c r="I57" i="40" s="1"/>
  <c r="J33" i="50" s="1"/>
  <c r="G35" i="50"/>
  <c r="G39" i="50" s="1"/>
  <c r="G50" i="50" s="1"/>
  <c r="N35" i="50"/>
  <c r="N39" i="50" s="1"/>
  <c r="I35" i="50"/>
  <c r="I39" i="50" s="1"/>
  <c r="H35" i="50"/>
  <c r="H39" i="50" s="1"/>
  <c r="O49" i="50"/>
  <c r="O50" i="50"/>
  <c r="M35" i="50"/>
  <c r="M39" i="50" s="1"/>
  <c r="L35" i="50"/>
  <c r="L39" i="50" s="1"/>
  <c r="K35" i="50"/>
  <c r="K39" i="50" s="1"/>
  <c r="I106" i="33"/>
  <c r="I15" i="40" s="1"/>
  <c r="G49" i="50" l="1"/>
  <c r="M49" i="50"/>
  <c r="M50" i="50"/>
  <c r="L49" i="50"/>
  <c r="L50" i="50"/>
  <c r="N49" i="50"/>
  <c r="N50" i="50"/>
  <c r="I49" i="50"/>
  <c r="I50" i="50"/>
  <c r="H49" i="50"/>
  <c r="H50" i="50"/>
  <c r="K49" i="50"/>
  <c r="K50" i="50"/>
  <c r="I46" i="40"/>
  <c r="J22" i="50" s="1"/>
  <c r="J35" i="50" s="1"/>
  <c r="J39" i="50" s="1"/>
  <c r="J49" i="50" l="1"/>
  <c r="J50" i="50"/>
</calcChain>
</file>

<file path=xl/comments1.xml><?xml version="1.0" encoding="utf-8"?>
<comments xmlns="http://schemas.openxmlformats.org/spreadsheetml/2006/main">
  <authors>
    <author>Spee, Luuk</author>
  </authors>
  <commentList>
    <comment ref="I2" authorId="0">
      <text>
        <r>
          <rPr>
            <sz val="8"/>
            <color indexed="81"/>
            <rFont val="Tahoma"/>
            <family val="2"/>
          </rPr>
          <t>Incl. Intergas</t>
        </r>
      </text>
    </comment>
  </commentList>
</comments>
</file>

<file path=xl/comments2.xml><?xml version="1.0" encoding="utf-8"?>
<comments xmlns="http://schemas.openxmlformats.org/spreadsheetml/2006/main">
  <authors>
    <author>Spee, Luuk</author>
  </authors>
  <commentList>
    <comment ref="J17" authorId="0">
      <text>
        <r>
          <rPr>
            <sz val="8"/>
            <color indexed="81"/>
            <rFont val="Tahoma"/>
            <family val="2"/>
          </rPr>
          <t>Incl. Intergas</t>
        </r>
      </text>
    </comment>
  </commentList>
</comments>
</file>

<file path=xl/comments3.xml><?xml version="1.0" encoding="utf-8"?>
<comments xmlns="http://schemas.openxmlformats.org/spreadsheetml/2006/main">
  <authors>
    <author>Spee, Luuk</author>
  </authors>
  <commentList>
    <comment ref="I103" authorId="0">
      <text>
        <r>
          <rPr>
            <sz val="8"/>
            <color indexed="81"/>
            <rFont val="Tahoma"/>
            <family val="2"/>
          </rPr>
          <t>Incl. Intergas</t>
        </r>
      </text>
    </comment>
  </commentList>
</comments>
</file>

<file path=xl/comments4.xml><?xml version="1.0" encoding="utf-8"?>
<comments xmlns="http://schemas.openxmlformats.org/spreadsheetml/2006/main">
  <authors>
    <author>padriaansen</author>
  </authors>
  <commentList>
    <comment ref="D64" authorId="0">
      <text>
        <r>
          <rPr>
            <sz val="8"/>
            <color indexed="81"/>
            <rFont val="Tahoma"/>
            <family val="2"/>
          </rPr>
          <t xml:space="preserve">Schatting op basis van meest recente cijfer (Bron: MinFin)
</t>
        </r>
      </text>
    </comment>
  </commentList>
</comments>
</file>

<file path=xl/sharedStrings.xml><?xml version="1.0" encoding="utf-8"?>
<sst xmlns="http://schemas.openxmlformats.org/spreadsheetml/2006/main" count="809" uniqueCount="342">
  <si>
    <t>CPI</t>
  </si>
  <si>
    <t>Toelichting</t>
  </si>
  <si>
    <t>Legenda celkleuren</t>
  </si>
  <si>
    <t>Berekende waarde</t>
  </si>
  <si>
    <t>Waarde die zonder berekening wordt overgenomen uit een andere cel</t>
  </si>
  <si>
    <t>Berekende of overgenomen waarde en tevens resultaat</t>
  </si>
  <si>
    <t>Heffingsrente</t>
  </si>
  <si>
    <t>DNWB</t>
  </si>
  <si>
    <t>RENDO</t>
  </si>
  <si>
    <t>x-factor onafgerond</t>
  </si>
  <si>
    <t>Data</t>
  </si>
  <si>
    <t>Van jaar - naar jaar</t>
  </si>
  <si>
    <t>Van:</t>
  </si>
  <si>
    <t>Naar:</t>
  </si>
  <si>
    <t>Nacalculaties en correcties</t>
  </si>
  <si>
    <t>Nacalculaties</t>
  </si>
  <si>
    <t>€, pp 2010</t>
  </si>
  <si>
    <t>van 2011 naar 2012</t>
  </si>
  <si>
    <t>Correcties</t>
  </si>
  <si>
    <t>€, pp 2011</t>
  </si>
  <si>
    <t>Heffingsrente naar jaar van berekening TI</t>
  </si>
  <si>
    <t>naar jaar:</t>
  </si>
  <si>
    <t>van 2007</t>
  </si>
  <si>
    <t>van 2008</t>
  </si>
  <si>
    <t>van 2009</t>
  </si>
  <si>
    <t>van 2010</t>
  </si>
  <si>
    <t>van 2011</t>
  </si>
  <si>
    <t>van 2007 naar 2008</t>
  </si>
  <si>
    <t>van 2008 naar 2009</t>
  </si>
  <si>
    <t>van 2009 naar 2010</t>
  </si>
  <si>
    <t>van 2010 naar 2011</t>
  </si>
  <si>
    <t>Data heffingsrente per kwartaal</t>
  </si>
  <si>
    <t>Data en input</t>
  </si>
  <si>
    <t>Waarde of berekening die speciale aandacht vraagt (toelichting in opmerking)</t>
  </si>
  <si>
    <t>x-factor (virtuele x-factor als rekenstap naar nacalculatiebedrag)</t>
  </si>
  <si>
    <t>Toelichting bij TI-berekening</t>
  </si>
  <si>
    <t>COGAS</t>
  </si>
  <si>
    <t>STEDIN</t>
  </si>
  <si>
    <t>INTERGAS</t>
  </si>
  <si>
    <t>ENDINET</t>
  </si>
  <si>
    <t>LIANDER</t>
  </si>
  <si>
    <t>WESTLAND</t>
  </si>
  <si>
    <t>ENEXIS</t>
  </si>
  <si>
    <t>ZEBRA</t>
  </si>
  <si>
    <t>Eindinkomsten 2013</t>
  </si>
  <si>
    <t>€, pp 2013</t>
  </si>
  <si>
    <t>Heffingsrente per jaar</t>
  </si>
  <si>
    <t>van 2012</t>
  </si>
  <si>
    <t>van 2012 naar 2013</t>
  </si>
  <si>
    <t>Deze besluiten zijn te vinden op de websites van de rijksoverheid en de belastingdienst</t>
  </si>
  <si>
    <t>Begininkomsten 2010</t>
  </si>
  <si>
    <t>WACC NG4R</t>
  </si>
  <si>
    <t>OPEX</t>
  </si>
  <si>
    <t>CAPEX</t>
  </si>
  <si>
    <t>Eindinkomsten 2013 in oorspronkelijke x-factorberekening</t>
  </si>
  <si>
    <t>Eindinkomsten 2013 in nieuwe x-factorberekening (nieuwe ORV data)</t>
  </si>
  <si>
    <t>x-factor vierde reguleringsperiode (virtuele x-factor als rekenstap naar nacalculatiebedrag)</t>
  </si>
  <si>
    <t>%</t>
  </si>
  <si>
    <r>
      <t xml:space="preserve">De </t>
    </r>
    <r>
      <rPr>
        <sz val="10"/>
        <color indexed="10"/>
        <rFont val="Arial"/>
        <family val="2"/>
      </rPr>
      <t>rode</t>
    </r>
    <r>
      <rPr>
        <sz val="10"/>
        <rFont val="Arial"/>
        <family val="2"/>
      </rPr>
      <t xml:space="preserve"> getallen betreffen een schatting.</t>
    </r>
  </si>
  <si>
    <t>Bron: wijzigingsbesluiten x-factoren NG4R - 31 maart 2011 (103636)</t>
  </si>
  <si>
    <t>Schatting ORV kosten 2013 obv kosten 2009</t>
  </si>
  <si>
    <t>€, pp 2014</t>
  </si>
  <si>
    <t>TI-berekening 2014</t>
  </si>
  <si>
    <t>X-factor 2014-2016</t>
  </si>
  <si>
    <t>Q-factor 2014-2016</t>
  </si>
  <si>
    <t>cpi 2014</t>
  </si>
  <si>
    <t>Correcties in TI 2014</t>
  </si>
  <si>
    <t>Totaalbedrag Correcties in TI 2014</t>
  </si>
  <si>
    <t>Totale Inkomsten 2014 inclusief correcties</t>
  </si>
  <si>
    <t>Totale Inkomsten 2014 (incl. correcties)</t>
  </si>
  <si>
    <t>Dit Excel-bestand bevat de berekening van de TI-bedragen voor het jaar 2014 voor de regionale netbeheerders gas.</t>
  </si>
  <si>
    <t>Nacalculatie overname private netten 2012 en 2013</t>
  </si>
  <si>
    <t>De investeringen en de overname som in het jaar van overnemen van het private net worden gezien als investering op 1 juli van dat jaar. Dit is overeenkomstig de werkwijze van de RAR.</t>
  </si>
  <si>
    <t>Voor de operationele kosten wordt uitgegaan van 1% forfaitair over de nominale investeringswaarde van het net (geen indexatie), naar rato van het jaar. In het geval van de particuliere net hanteert ACM daarvoor de overnamesom en investeringen samen.</t>
  </si>
  <si>
    <t>De opbrengsten van de afnemers betreffen de ontvangen tarieven of overige inkomsten op het net welke dienen ter dekking van de kosten van de gereguleerde activiteiten op het private net.</t>
  </si>
  <si>
    <t>ACM benadrukt dat onderstaand een generieke berekeningswijze is. Mogelijk wordt deze nog anders opgezet wanneer het vanuit bijvoorbeeld kapitaalkostenmodellen handiger is in te delen.</t>
  </si>
  <si>
    <t>Opgave kosten, investeringen en opbrengsten overgenomen private netten 2012</t>
  </si>
  <si>
    <t>Bron / opmerking</t>
  </si>
  <si>
    <t>Overnamesom private net in 2012</t>
  </si>
  <si>
    <t>€, pp 2012</t>
  </si>
  <si>
    <t>Investeringen in private net in 2012</t>
  </si>
  <si>
    <t>Boekwaarde overgenomen private net per 1 juli 2012</t>
  </si>
  <si>
    <t>Afschrijftermijn private net</t>
  </si>
  <si>
    <t>Afschrijvingen private net in 2012</t>
  </si>
  <si>
    <t>Boekwaarde overgenomen private net ultimo 2012</t>
  </si>
  <si>
    <t>Kapitaalkosten private net in 2012</t>
  </si>
  <si>
    <t>Forfaitair percentage operationele kosten overgenomen particulier net</t>
  </si>
  <si>
    <t>Operationele kosten private net in 2012</t>
  </si>
  <si>
    <t>Opbrengsten van afnemers op het net in 2012</t>
  </si>
  <si>
    <t>Te verrekenen over 2012</t>
  </si>
  <si>
    <t>CPI 2013</t>
  </si>
  <si>
    <t>Afschrijvingen private net in 2013</t>
  </si>
  <si>
    <t>Boekwaarde overgenomen private net ultimo 2013</t>
  </si>
  <si>
    <t>Kapitaalkosten private net in 2013</t>
  </si>
  <si>
    <t>Operationele kosten private net in 2013</t>
  </si>
  <si>
    <t>Opbrengsten van afnemers op het net in 2013</t>
  </si>
  <si>
    <t>Te verrekenen over 2013</t>
  </si>
  <si>
    <t>Opgave kosten, investeringen en opbrengsten overgenomen private netten 2013</t>
  </si>
  <si>
    <t>Overnamesom private net in 2013</t>
  </si>
  <si>
    <t>Investeringen in private net in 2013</t>
  </si>
  <si>
    <t>Boekwaarde overgenomen private net per 1 juli 2013</t>
  </si>
  <si>
    <t>Nacalculatie als gevolg van faillissement Orro en Trianel</t>
  </si>
  <si>
    <t>Het correctiebedrag betreft ten hoogste de gederfde tariefinkomsten gedurende twee maanden voorafgaand aan het moment waarop de leverancier in staat van faillissement is verklaard.</t>
  </si>
  <si>
    <t>Als faillissementsdatum geldt voor Orro 21 december 2012 en voor Trianel 27 december 2012.</t>
  </si>
  <si>
    <t>Bij het tarievenvoorstel moet de netbeheerder een overzicht overleggen, voorzien van een goedkeurende accountantsverklaring, van de gederfde tariefinkomsten.</t>
  </si>
  <si>
    <t>Opgave correctiebedrag  gederfde tariefinkomsten faillissement Orro en Trianel</t>
  </si>
  <si>
    <t>Gederfde tariefinkomsten Orro</t>
  </si>
  <si>
    <t>Gederfde tariefinkomsten Trianel</t>
  </si>
  <si>
    <t>Correctiebedrag gederfde tariefinkomsten tarieven 2014</t>
  </si>
  <si>
    <t>Analyse correctie tarieven voor vervallen vergoeding voor dubieuze debiteuren vanwege invoering leveranciersmodel (corrDUBDEB2013)</t>
  </si>
  <si>
    <t>ACM deed dit omdat het risico voor dubieuze debiteuren onder kleinverbruikers vanaf de invoering van het leveranciersmodel in 2013 niet meer bij de netbeheerder ligt, maar bij de leverancier.</t>
  </si>
  <si>
    <t>ACM constateert dat bij het vaststellen van de tarieven 2013 de invoering van het leveranciersmodel was voorzien op 1 april 2013, maar dat de feitelijke datum 1 augustus 2013 is geworden.</t>
  </si>
  <si>
    <t>Nu de nacalculatie voor dubieuze debiteuren t.b.v. de tarieven 2013 uitging van 1 april, dient deze nacalculatie gecorrigeerd te worden.</t>
  </si>
  <si>
    <t>Nacalculatie dubieuze debiteuren 2013</t>
  </si>
  <si>
    <t>Nacalculatiebedrag tarieven 2013</t>
  </si>
  <si>
    <t>Tarievenbesluiten 2013</t>
  </si>
  <si>
    <t>Toepassing op periode van 1 april 2013 t/m 31 december 2013</t>
  </si>
  <si>
    <t>Toepassing op periode van 1 augustus 2013 t/m 31 december 2013</t>
  </si>
  <si>
    <t>Nacalculatiebedrag tarieven 2013 had moeten zijn</t>
  </si>
  <si>
    <t>Correctie tarieven 2013 invoeringsdatum leveranciersmodel</t>
  </si>
  <si>
    <t>Berekening nacalculatie ORV Lokale Heffingen 2012 (LH2012)</t>
  </si>
  <si>
    <t>Conform de toezeggingen hierover in het methodebesluit zal ACM de effecten van verschillen tussen de schattingen van kosten voor lokale heffingen in 2012 en de realisaties hiervan nacalculeren.</t>
  </si>
  <si>
    <t>De bron voor de aangepaste gegevens ten aanzien van de kosten voor Lokale Heffingen is de PRD 2012.</t>
  </si>
  <si>
    <t>Algemene gegevens</t>
  </si>
  <si>
    <t>CPI 2009</t>
  </si>
  <si>
    <t>CPI 2010</t>
  </si>
  <si>
    <t>CPI 2011</t>
  </si>
  <si>
    <t>CPI 2012</t>
  </si>
  <si>
    <t>x-factor</t>
  </si>
  <si>
    <t>Begininkomsten 2010 Totaal</t>
  </si>
  <si>
    <t xml:space="preserve">   waarvan inschatting ORV 2013:</t>
  </si>
  <si>
    <t>TI-bedrag 2011 op basis van oorspronkelijke x-factorberekening</t>
  </si>
  <si>
    <t>TI-bedrag 2012 op basis van oorspronkelijke x-factorberekening</t>
  </si>
  <si>
    <t>Aanpassing gegevens voor nacalculatie lokale heffingen</t>
  </si>
  <si>
    <t>Eindstand GAW (ultimo 2012)</t>
  </si>
  <si>
    <t>Bron: Kapitaalkostenberekening (en PRD 2012)</t>
  </si>
  <si>
    <t>Afschrijvingen in 2012</t>
  </si>
  <si>
    <t>Vermogenskostenvergoeding (WACC * GAW)</t>
  </si>
  <si>
    <t>Precario 2012</t>
  </si>
  <si>
    <t>Bron: PRD 2012</t>
  </si>
  <si>
    <t>Gedoogbelasting 2012</t>
  </si>
  <si>
    <t>Totale kosten Lokale heffingen in 2012</t>
  </si>
  <si>
    <t>Totale kosten Lokale heffingen in 2012 in pp 2010</t>
  </si>
  <si>
    <t>Inschatting ORV 2013 na aanpassing gegevens</t>
  </si>
  <si>
    <t>ORV 2013 (op te nemen in eindinkomsten)</t>
  </si>
  <si>
    <t>Oorspronkelijke TI-bedrag 2012</t>
  </si>
  <si>
    <t>(op basis van de geschatte kosten voor de ORV Lokale Heffingen)</t>
  </si>
  <si>
    <t>Nieuwe TI-bedrag 2012 na virtuele aanpassing van de x-factor</t>
  </si>
  <si>
    <t>(op basis van de daadwerkelijke kosten voor de ORV Lokale Heffingen)</t>
  </si>
  <si>
    <t>Nacalculatie LH2012</t>
  </si>
  <si>
    <t>Totale Inkomsten exclusief correcties</t>
  </si>
  <si>
    <t>TI 2014 (exclusief correcties)</t>
  </si>
  <si>
    <t>Heffingsrentepercentages zoals te gebruiken voor de "TI-berekening 2014"</t>
  </si>
  <si>
    <t>van 2013</t>
  </si>
  <si>
    <t>van 2013 naar 2014</t>
  </si>
  <si>
    <t>De heffingsrente of belastingrente wordt ieder kwartaal gepubliceerd door het Ministerie van Financiën.</t>
  </si>
  <si>
    <t>Correcties in tarieven 2014</t>
  </si>
  <si>
    <t>Nacalc. Overname private netten 2012 in 2012</t>
  </si>
  <si>
    <t>Nacalc. Overname private netten 2012 in 2013</t>
  </si>
  <si>
    <t>Nacalc. Overname private netten 2013 in 2013</t>
  </si>
  <si>
    <t>Als gevolg van een wetswijziging in 2012 mogen netbeheerders de extra (doelmatige) kosten die zij maken voor het overnemen van bestaande netten waarvoor nog niet eerder een netbeheerder was aangewezen door of met instemming van de minister van Economische Zaken, en voor de investeringen tot aanpassing van die verworven netten (waardoor aan de bij of krachtens de Gaswet daaraan gestelde eisen wordt voldaan), verrekenen in de tarieven. Dit volgt uit artikel 81b, eerste lid, aanhef en onder f, van de Gaswet.</t>
  </si>
  <si>
    <t>ACM verzoekt de netbeheerders gemotiveerd toe te lichten om welke netten het gaat, wat de resterende levensduur is van het net rekening houdend met de afschrijvingstermijnen die ACM voorschrijft, welke kosten zijn gemaakt in het kader van de verwerving van het net, welke aanpassingskosten zijn gemaakt, welke inkomsten worden verwacht uit het net, en dat de gemaakte kosten doelmatig zijn geweest. In dit kader verzoekt ACM de netbeheerders om een verklaring van de accountant over te leggen ter onderbouwing van het gestelde en – voor zover van toepassing – tevens de benodigde onderzoeksrapporten en/of rechterlijke beslissingen waaruit blijkt wat de waarde van het net is en de aanvullende kosten die moesten worden gemaakt om het net te laten voldoen aan de bij of krachtens de Gaswet gestelde eisen</t>
  </si>
  <si>
    <t>Als gevolg van het faillissement van de leveranciers Orro Energy en Trianel eind 2012 corrigeert ACM de tarieven 2014. ACM doet dit op grond van artikel 2.3.8 van de TarievenCode Gas.</t>
  </si>
  <si>
    <t>Nacalc. Faillissement Orro en Trianel</t>
  </si>
  <si>
    <t>van 2008 naar 2014</t>
  </si>
  <si>
    <t>van 2009 naar 2014</t>
  </si>
  <si>
    <t>van 2010 naar 2014</t>
  </si>
  <si>
    <t>van 2011 naar 2014</t>
  </si>
  <si>
    <t>van 2012 naar 2014</t>
  </si>
  <si>
    <t>Nacalc. Correctie vervallen vergoeding dubieuze debiteuren 2013</t>
  </si>
  <si>
    <t>Nacalc. Vervanging schatting door data Lokale Heffingen 2012</t>
  </si>
  <si>
    <t>€, pp 2008</t>
  </si>
  <si>
    <t>€, pp 2009</t>
  </si>
  <si>
    <t>Correctie tarieven 2014 invoeringsdatum netverliezen gas</t>
  </si>
  <si>
    <t>Bijzonderheid: nacalc.saldo verrekenen i.v.m. lagere tarieven Enexis over 2012</t>
  </si>
  <si>
    <t>Bron: Tarievenbesluit 2013</t>
  </si>
  <si>
    <t>Bijzonderheid: nacalc.saldo verrekenen i.v.m. lagere tarieven Enexis over 2013</t>
  </si>
  <si>
    <t>De wijze waarop ACM dit doet is conform de eerdere werkwijze voor deze nacalculatie (zie bijvoorbeeld Tarievenbesluit gas 2013): via een virtuele aanpassing van de x-factor</t>
  </si>
  <si>
    <t>De x-factorberekening die hiervoor gebruikt is betreft de versie van 31 maart 2011.</t>
  </si>
  <si>
    <t>Bron: Methodebesluit NG4R</t>
  </si>
  <si>
    <t>WACC NG4R (2011-2013)</t>
  </si>
  <si>
    <t>Oorspronkelijke x-factorberekening (31 maart 2011)</t>
  </si>
  <si>
    <t>x-factor vierde reguleringsperiode</t>
  </si>
  <si>
    <t>Nieuwe 'virtuele' x-factorberekening (versie 31 maart 2011) na vervanging schatting door gerealiseerde data (op basis van PRD 2012)</t>
  </si>
  <si>
    <t>TI-bedrag na toepassing werkelijke kosten lokale heffingen 2012</t>
  </si>
  <si>
    <t>Als gevolg van de invoering van het verplichte leveranciersmodel heeft ACM de tarieven voor 2013 aangepast (op basis van artikel 81c, lid 2 sub d)</t>
  </si>
  <si>
    <t>Schatting ORV kosten 2013 obv kosten 2012</t>
  </si>
  <si>
    <t>Oorspronkelijke x-factorberekening NG3R (per 4 november 2010)</t>
  </si>
  <si>
    <t>Begininkomsten 2007</t>
  </si>
  <si>
    <t>Eindinkomsten 2010</t>
  </si>
  <si>
    <t>€, pp 2007</t>
  </si>
  <si>
    <t>waarvan inschatting ORV 2010</t>
  </si>
  <si>
    <t>TI-bedrag 2008 op basis van oorspronkelijke x-factorberekening</t>
  </si>
  <si>
    <t>TI-bedrag 2009 op basis van oorspronkelijke x-factorberekening</t>
  </si>
  <si>
    <t>TI-bedrag 2010 op basis van oorspronkelijke x-factorberekening</t>
  </si>
  <si>
    <t>CPI 2007</t>
  </si>
  <si>
    <t>CPI 2008</t>
  </si>
  <si>
    <t>Nieuwe x-factorberekening NG3R (per 26 juni 2013)</t>
  </si>
  <si>
    <t>Deel 1:</t>
  </si>
  <si>
    <t>Deel 2:</t>
  </si>
  <si>
    <t>Deel 3:</t>
  </si>
  <si>
    <t>Tarievenbesluit 2010</t>
  </si>
  <si>
    <t>Tarievenbesluit 2011</t>
  </si>
  <si>
    <t>Tarievenbesluit 2012</t>
  </si>
  <si>
    <t>Nacalculatie Lokale heffingen 2008</t>
  </si>
  <si>
    <t>Nacalculatie lokale heffingen 2009</t>
  </si>
  <si>
    <t>Nacalculatie lokale heffingen 2010</t>
  </si>
  <si>
    <t>Nacalculatie wijziging nacalculatie Lokale heffingen 2009</t>
  </si>
  <si>
    <t>Berekening nacalculatie BOB Rendo_2013 - deel 2</t>
  </si>
  <si>
    <t>WACC NG3R (2008-2010)</t>
  </si>
  <si>
    <t>Nieuwe 'virtuele' x-factorberekening (versie 26 juni 2013) na vervanging schatting door gerealiseerde data (op basis van PRD 2010)</t>
  </si>
  <si>
    <t>Begininkomsten 2007 Totaal</t>
  </si>
  <si>
    <t>Eindinkomsten 2010 in nieuwe x-factorberekening (nieuwe ORV data)</t>
  </si>
  <si>
    <t>Eindinkomsten 2010 in oorspronkelijke x-factorberekening</t>
  </si>
  <si>
    <t>Schatting ORV kosten 2010 obv kosten 2006</t>
  </si>
  <si>
    <t>Schatting ORV kosten 2010 obv kosten 2010</t>
  </si>
  <si>
    <t>Precario 2010</t>
  </si>
  <si>
    <t>Afschrijvingen in 2010</t>
  </si>
  <si>
    <t>Eindstand GAW (ultimo 2010)</t>
  </si>
  <si>
    <t>Gedoogbelasting 2010</t>
  </si>
  <si>
    <t>Totale kosten Lokale heffingen in 2010</t>
  </si>
  <si>
    <t>Totale kosten Lokale heffingen in 2010 in pp 2007</t>
  </si>
  <si>
    <t>Inschatting ORV 2010 na aanpassing gegevens</t>
  </si>
  <si>
    <t>ORV 2010 (op te nemen in eindinkomsten)</t>
  </si>
  <si>
    <t>Bron: PRD 2010</t>
  </si>
  <si>
    <t>Bron: Kapitaalkostenberekening (2010)</t>
  </si>
  <si>
    <t>Hiervoor gebruikt ACM voor alle drie de nacalculaties de PRD data uit 2010 als schatting voor de werkelijke ORV in 2010.</t>
  </si>
  <si>
    <t>Nacalculatiebedragen Lokale heffingen 2008, 2009 en 2010</t>
  </si>
  <si>
    <t>Oorspronkelijke TI-bedrag 2008</t>
  </si>
  <si>
    <t>Nieuwe TI-bedrag 2008 na virtuele aanpassing van de x-factor</t>
  </si>
  <si>
    <t>Oorspronkelijke TI-bedrag 2010</t>
  </si>
  <si>
    <t>Nieuwe TI-bedrag 2010 na virtuele aanpassing van de x-factor</t>
  </si>
  <si>
    <t>Oorspronkelijke TI-bedrag 2009</t>
  </si>
  <si>
    <t>Nieuwe TI-bedrag 2009 na virtuele aanpassing van de x-factor</t>
  </si>
  <si>
    <t>Nacalculatie Lokale heffingen 2008/2009/2010_nieuw</t>
  </si>
  <si>
    <t>Nacalculatiebedrag lokale heffingen 2008 nieuw</t>
  </si>
  <si>
    <t>Nacalculatiebedrag lokale heffingen 2009 nieuw</t>
  </si>
  <si>
    <t>Nacalculatiebedrag lokale heffingen 2010 nieuw</t>
  </si>
  <si>
    <t>Nacalculaties lokale heffingen in oude tarievenbesluiten</t>
  </si>
  <si>
    <t>Inverse oude nacalculaties lokale heffingen</t>
  </si>
  <si>
    <t>Investeringen 2013</t>
  </si>
  <si>
    <t>Boekwaarde van investeringen 2013 overgenomen private net per 1 juli 2013</t>
  </si>
  <si>
    <t>Overname en investeringen 2012</t>
  </si>
  <si>
    <t>Overname en investeringen 2013</t>
  </si>
  <si>
    <t>Analyse correctie tarieven voor besparingen als gevolg van invoering van het marktmodel (corrIMM)</t>
  </si>
  <si>
    <t>Analyse correctie tarieven voor kosten voor netverliezen gas vanwege invoering Codewijziging (corrNVG)</t>
  </si>
  <si>
    <t>Correctie tarieven 2014 invoering marktmodel</t>
  </si>
  <si>
    <t>Correctie tarieven 2014 invoering netverliezen gas</t>
  </si>
  <si>
    <t>Terugdraaien nacalculaties Lokale Heffingen 2008</t>
  </si>
  <si>
    <t>Terugdraaien nacalculaties Lokale Heffingen 2009</t>
  </si>
  <si>
    <t>Terugdraaien nacalculaties Lokale Heffingen 2010</t>
  </si>
  <si>
    <t>Bron: tarievenbesluit 2010</t>
  </si>
  <si>
    <t>Bron: tarievenbesluit 2011</t>
  </si>
  <si>
    <t>Totalen</t>
  </si>
  <si>
    <t>Nacalculaties Lokale Heffingen 2008</t>
  </si>
  <si>
    <t>Nacalculaties Lokale Heffingen 2009</t>
  </si>
  <si>
    <t>Nacalculaties Lokale Heffingen 2010</t>
  </si>
  <si>
    <t>Bron: tarievenbesluit 2012</t>
  </si>
  <si>
    <r>
      <t xml:space="preserve">Deel 2 van de gevolgen van de BOB Rendo_2013 bestaat uit het 'terugdraaien' van alle eerdere nacalculaties </t>
    </r>
    <r>
      <rPr>
        <b/>
        <sz val="10"/>
        <rFont val="Arial"/>
        <family val="2"/>
      </rPr>
      <t>lokale heffingen</t>
    </r>
    <r>
      <rPr>
        <sz val="10"/>
        <rFont val="Arial"/>
        <family val="2"/>
      </rPr>
      <t xml:space="preserve"> voor 2008 t/m 2010 uit de tarievenbesluiten van 2010 tot en met 2013.</t>
    </r>
  </si>
  <si>
    <t>Dit betreffen de 'reguliere' jaarlijkse nacalculaties lokale heffingen, maar eveneens een wijziging van een 'reguliere' nacalculatie in een later jaar.</t>
  </si>
  <si>
    <t>Naar aanleiding van het bezwaar van N.V. Rendo tegen het x-factorbesluit gas voor RENDO (2008-2010) heeft ACM een Beslissing op bezwaar genomen op 26 juni 2013 (hierna: BOB Rendo_2013)</t>
  </si>
  <si>
    <t>De gevolgen van deze Beslissing op bezwaar verrekent ACM via deze nacalcutie in de tarieven van 2014.</t>
  </si>
  <si>
    <t>De gevolgen van deze Beslissing op bezwaar verrekend ACM via deze nacalcutie in de tarieven van 2014.</t>
  </si>
  <si>
    <t>Nacalc. RENDO nacalc. LH 2008 (deel 3)</t>
  </si>
  <si>
    <t>Nacalc. RENDO nacalc. LH 2009 (deel 3)</t>
  </si>
  <si>
    <t>Nacalc. RENDO nacalc. LH 2010 (deel 3)</t>
  </si>
  <si>
    <t>Berekening nacalculatie BOB RENDO_2013 - deel 1</t>
  </si>
  <si>
    <t>Naar aanleiding van het bezwaar van N.V. RENDO tegen het x-factorbesluit gas voor RENDO (2008-2010) heeft ACM een Beslissing op bezwaar genomen op 26 juni 2013 (hierna: BOB RENDO_2013)</t>
  </si>
  <si>
    <t>ACM berekent de gevolgen van de BOB RENDO_2013 in drie delen en doet dit als volgt:</t>
  </si>
  <si>
    <t>Eerst berekent ACM wat de totale inkomsten voor RENDO zijn geweest over de jaren 2008, 2009 en 2010 op basis van de oude x-factor NG3R. Dit betreft het bedrag zonder correcties (het kale TI-bedrag).</t>
  </si>
  <si>
    <t>Vervolgens berekent ACM wat de totale inmomsten voor RENDO zouden moeten zijn over de jaren 2008, 2009 en 2010 op basis van de nieuwe (met de BOB RENDO_2013 gewijzigde) x-factor.</t>
  </si>
  <si>
    <t>Bron: BOB x-factor NG3R RENDO - 4 november 2011 (102998_6)</t>
  </si>
  <si>
    <t>Bron: BOB RENDO_2013: BOB x-factor NG3R RENDO - 26 juni 2013 (13.0114.37.1.01)</t>
  </si>
  <si>
    <t>Bron: BOB x-factor NG3R RENDO - 26 juni 2013 (13.0114.37.1.01)</t>
  </si>
  <si>
    <t>Berekening nacalculatie als gevolg van BOB RENDO 26 juni 2013</t>
  </si>
  <si>
    <t>Nacalculatie TI2008 (BOB RENDO_2013)</t>
  </si>
  <si>
    <t>Kale TI-bedrag 2008 dat RENDO heeft gekregen</t>
  </si>
  <si>
    <t>Kale TI-bedrag 2008 waar RENDO recht op heeft op basis BOB2013</t>
  </si>
  <si>
    <t>Nog te ontvangen bedrag door RENDO</t>
  </si>
  <si>
    <t>Nacalculatie TI2009 (BOB RENDO_2013)</t>
  </si>
  <si>
    <t>Nacalculatie TI2010 (BOB RENDO_2013)</t>
  </si>
  <si>
    <t>Als laatste berekent ACM de nacalculaties voor lokale heffingen 2008-2010 opnieuw op basis van de met de BOB Rendo_2013 gewijzigde gegevens.</t>
  </si>
  <si>
    <t>Nacalc. RENDO wijziging x-factor NG3R 2008  (deel 1)</t>
  </si>
  <si>
    <t>Nacalc. RENDO wijziging x-factor NG3R 2009  (deel 1)</t>
  </si>
  <si>
    <t>Nacalc. RENDO wijziging x-factor NG3R 2010 (deel 1)</t>
  </si>
  <si>
    <t>Nacalc. RENDO Terugdraaien nacalc. LH 2008 (deel 2)</t>
  </si>
  <si>
    <t>Nacalc. RENDO Terugdraaien nacalc. LH 2009 (deel 2)</t>
  </si>
  <si>
    <t>Nacalc. RENDO Terugdraaien nacalc. LH 2010 (deel 2)</t>
  </si>
  <si>
    <t>In de tarievenbesluiten 2010 tot en met 2012 heeft ACM een aantal nacalculaties voor de ORV lokale heffingen over 2008-2010 opgenomen (zoals is beschreven in de methodebesluiten en tarievenbesluiten met betrekking tot die jaren) welke moeten worden aangepast naar aanleiding van de BOB RENDO_2013.</t>
  </si>
  <si>
    <t>Deel 2 van de gevolgen van de BOB RENDO_2013 bestaat uit het terugdraaien van alle eerdere nacalculatiebedragen uit de tarievenbesluiten van 2010 tot en met 2012.</t>
  </si>
  <si>
    <t>ACM doet dit door vast te stellen welke kosten voor de inkoop van netverliezen de netbeheerders maken en hier de al in de x-factor meegenomen vergoeding voor 2014 van af te trekken.</t>
  </si>
  <si>
    <t>In het methodebelsuit NG5R heeft ACM deze correctie op de tarieven aangekondigd. ACM corrigeert de tarieven omdat de inkomsten in 2014 via de wettelijke formule niet exact de verwachte besparingen in 2014 bevatten.</t>
  </si>
  <si>
    <t xml:space="preserve">ACM baseert der besparingen over 2014 op het rapport van Ecorys c.s. zoals ook beschreven in het methodebelsuit. </t>
  </si>
  <si>
    <t>Begininkomsten 2013 (exclusief correcties)</t>
  </si>
  <si>
    <t>Verdeling inkomsten over transport- en aansluitdienst</t>
  </si>
  <si>
    <t>Aandeel AD</t>
  </si>
  <si>
    <t xml:space="preserve">Aandeel TD </t>
  </si>
  <si>
    <t>Richtbedrag inkomsten AD</t>
  </si>
  <si>
    <t>Richtbedrag inkomsten TD</t>
  </si>
  <si>
    <t>Bron: opgave netbeheerder in het kader van Tarievenproces 2014</t>
  </si>
  <si>
    <t>X-factor 2014-2016 (exclusief netverliezen gas)</t>
  </si>
  <si>
    <t>TI 2014 (exclusief correcties, inclusief ingroei via x-factor voor netverliezen gas)</t>
  </si>
  <si>
    <t>TI 2014 (exclusief correcties en exclusief ingroei via x-factor voor netverliezen gas)</t>
  </si>
  <si>
    <t xml:space="preserve">De komende reguleringsperiode zullen de netbeheerders gas naar verwachting de verantwoordelijkheid krijgen voor de inkoop van netverliezen gas. </t>
  </si>
  <si>
    <t>ACM corrigeert daarom de tarieven 2014 voor de verwachte efficiënte kosten die netbeheerders maken voor de inkoop van netverliezen gas ten opzichte van de inkomsten die zij via de geleidelijke ingroei ontvangen.</t>
  </si>
  <si>
    <t>Begininkomsten 2013 na verwijderen van besparingen marktmodel</t>
  </si>
  <si>
    <t>EUR, pp 2013</t>
  </si>
  <si>
    <t>X-factoren 2014-2016 na verwijderen van besparingen marktmodel</t>
  </si>
  <si>
    <t>TI 2014 (exclusief correcties, inclusief ingroei via x-factor voor marktmodel)</t>
  </si>
  <si>
    <t>ACM corrigeert de tarieven in 2014 voor de verwachte besparingen als gevolg van de invoering van het marktmodel.</t>
  </si>
  <si>
    <t>Bron: Rekenmodel NG5R bij x-factorbesluit NG5R; tabblad Bijlage 1 - Resultaten; regel 42.</t>
  </si>
  <si>
    <t>Bron: Rekenmodel NG5R bij x-factorbesluit NG5R; tabblad Bijlage 1 - Resultaten; regel 43.</t>
  </si>
  <si>
    <t>TI 2014 (exclusief correcties en exclusief ingroei via x-factor voor marktmodel)</t>
  </si>
  <si>
    <t>Correctie tarieven 2014 voor invoering marktmodel</t>
  </si>
  <si>
    <t>De inputdata ten behoeve van onderstaande berekening is vastgelegd in de x-factorbesluiten NG5R zoals vastgesteld op 30 septmeber 2013 en het daarbij behorende x-factormodel (xfactormodel-rnbg-2014tm2016-20130930)</t>
  </si>
  <si>
    <t>Conform de methode NG5R is in de berekening van de begininkomsten met deze extra kosten voor de netbeheerders nog geen rekening gehouden. Wel zijn deze kosten volledig in het eindpunt van de reguleringsperiode verwerkt(2016).</t>
  </si>
  <si>
    <t>Bron: Rekenmodel NG5R bij x-factorbesluit van 30 september 2013 (xfactormodel-rnbg-2014tm2016-20130930)</t>
  </si>
  <si>
    <t>Bron: Rekenmodel NG5R (xfactormodel-rnbg-2014tm2016-20130930), tabblad genormaliseerde totale kosten, rijen 52, 97 &amp; 141</t>
  </si>
  <si>
    <t>Bron: Rekenmodel NG5R (xfactormodel-rnbg-2014tm2016-20130930), tabblad genormaliseerde totale kosten, rijen 51, 96 &amp; 142</t>
  </si>
  <si>
    <t>In TI 2014 verwerkte vergoeding voor netverliezen gas via wettelijke formule (o.b.v. methodebesluit NG5R)</t>
  </si>
  <si>
    <t>Te verrekenen in de tarieven 2014 voor netverliezen gas (inverse)</t>
  </si>
  <si>
    <t>Bron: Rekenmodel NG5R bij x-factorbesluit NG5R; tabblad Bijlage 1 - Resultaten; regel 31.</t>
  </si>
  <si>
    <t>Nacalc. RENDO wijziging x-factor NG3R 2008  (deel 1, 1e helft)</t>
  </si>
  <si>
    <t>Nacalc. RENDO wijziging x-factor NG3R 2009  (deel 1, 1e helft)</t>
  </si>
  <si>
    <t>Nacalc. RENDO wijziging x-factor NG3R 2010 (deel 1, 1e helft)</t>
  </si>
  <si>
    <t>Nacalc. RENDO Terugdraaien nacalc. LH 2008 (deel 2, 1e helft)</t>
  </si>
  <si>
    <t>Nacalc. RENDO Terugdraaien nacalc. LH 2009 (deel 2, 1e helft)</t>
  </si>
  <si>
    <t>Nacalc. RENDO Terugdraaien nacalc. LH 2010 (deel 2, 1e helft)</t>
  </si>
  <si>
    <t>Nacalc. RENDO nacalc. LH 2008 (deel 3, 1e helft)</t>
  </si>
  <si>
    <t>Nacalc. RENDO nacalc. LH 2009 (deel 3, 1e helft)</t>
  </si>
  <si>
    <t>Nacalc. RENDO nacalc. LH 2010 (deel 3, 1e helft)</t>
  </si>
  <si>
    <t>Als laatste berekent ACM de nacalculaties voor lokale heffingen over de jaren 2008-2010 opnieuw op basis van de met de BOB RENDO_2013 gewijzigde gegevens. Hiervan corrigeert ACM de helft (1e helft) in de tarieven voor het jaar 2014, zie tabblad Nacalculaties en correcties.</t>
  </si>
  <si>
    <t>Totale kosten AD t.b.v. balansfactor (gem. 2010-2012)</t>
  </si>
  <si>
    <t>Totale kosten TD t.b.v. balansfactor (gem. 2010-2012)</t>
  </si>
  <si>
    <t>In het kader van de tarievenbesluiten 2014 heeft geen van de netbeheerders over de jaren 2012 en 2013 een overgenomen net opgegeven bij het tarievenvoorstel voor verrekening in de tarieven.</t>
  </si>
  <si>
    <t>In dit bestand worden de berekeningen voor de totale inkomsten gepresenteerd zoals ACM hanteert bij de vaststelling van de tarieven voor 2014, inclusief de berekening van de nacalculatiebedragen.</t>
  </si>
  <si>
    <t>ACM houdt hierbij tevens rekening met de gevolgen van de invoeringsdatum dat netbeheerders verantwoordelijk worden voor de inkoop van netverliezen gas. De invioeringsdatum is 1 januari 2015.</t>
  </si>
  <si>
    <t>Door de invoering per 1 januari 2015 zijn de verwachte efficiente kosten voor de inkoop van netverliezen gas in het jaar 2014 nul.</t>
  </si>
  <si>
    <t>Omdat het leveranciersmodel ingaat op 1 augustus 2013 had de correctie plaats moeten vinden over 5 maanden (5/12e deel van totaalbedrag) i.p.v. over 9 maanden (75% van totaalbedrag).</t>
  </si>
  <si>
    <t xml:space="preserve">ACM bepaalt het correctiebedrag door te berekenen wat de totale inkomsten 2014 zijn met behulp van de wettelijke formule en wat de totale inkomsten 2014 zouden zijn wanneer vanaf het begin van de reguleringsperiode al rekening was gehouden met de besparingen als gevolg van het marktmodel. </t>
  </si>
  <si>
    <t xml:space="preserve">Het verschil tussen beide TI-bedragen is het correctiebedrag voor de tarieven 2014. de besparingen voor het jaar 2014, zoals vastgesteld door Ecorys c.s., de al verrekende besparingen via de wettelijke formule af te trekken. </t>
  </si>
  <si>
    <t>De tarievenbesluiten 2014 voor regionale netbeheerders gas hebben de volgende kenmerken: 13.1081.52, 13.1082.52, 13.1083.52, 13.1084.52, 13.1085.52, 13.1086.52, 13.1087.52, 13.1088.52, en 13.1089.52.</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</si>
</sst>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quot;€&quot;\ * #,##0.00_ ;_ &quot;€&quot;\ * \-#,##0.00_ ;_ &quot;€&quot;\ * &quot;-&quot;??_ ;_ @_ "/>
    <numFmt numFmtId="164" formatCode="_-* #,##0_-;_-* #,##0\-;_-* &quot;-&quot;_-;_-@_-"/>
    <numFmt numFmtId="165" formatCode="_-* #,##0.00_-;_-* #,##0.00\-;_-* &quot;-&quot;??_-;_-@_-"/>
    <numFmt numFmtId="166" formatCode="0.0"/>
    <numFmt numFmtId="167" formatCode="0.0%"/>
    <numFmt numFmtId="168" formatCode="_-* #,##0_-;_-* #,##0\-;_-* &quot;-&quot;??_-;_-@_-"/>
    <numFmt numFmtId="169" formatCode="0.00000"/>
    <numFmt numFmtId="170" formatCode="_-* #,##0.0_-;_-* #,##0.0\-;_-* &quot;-&quot;??_-;_-@_-"/>
    <numFmt numFmtId="171" formatCode="#,##0_ ;\-#,##0\ "/>
    <numFmt numFmtId="172" formatCode="_ &quot;€&quot;\ * #,##0_ ;_ &quot;€&quot;\ * \-#,##0_ ;_ &quot;€&quot;\ * &quot;-&quot;??_ ;_ @_ "/>
    <numFmt numFmtId="173" formatCode="0.000000"/>
    <numFmt numFmtId="174" formatCode="_-* #,##0.000_-;_-* #,##0.000\-;_-* &quot;-&quot;??_-;_-@_-"/>
    <numFmt numFmtId="175" formatCode="_-* #,##0.0_-;_-* #,##0.0\-;_-* &quot;-&quot;_-;_-@_-"/>
    <numFmt numFmtId="176" formatCode="#,##0.0_ ;\-#,##0.0\ "/>
    <numFmt numFmtId="177" formatCode="0.0000%"/>
    <numFmt numFmtId="178" formatCode="0.000%"/>
    <numFmt numFmtId="179" formatCode="_ * #,##0_ ;_ * \-#,##0_ ;_ * &quot;-&quot;??_ ;_ @_ "/>
  </numFmts>
  <fonts count="44">
    <font>
      <sz val="10"/>
      <name val="Arial"/>
    </font>
    <font>
      <sz val="10"/>
      <name val="Arial"/>
      <family val="2"/>
    </font>
    <font>
      <sz val="8"/>
      <name val="Arial"/>
      <family val="2"/>
    </font>
    <font>
      <b/>
      <sz val="10"/>
      <name val="Arial"/>
      <family val="2"/>
    </font>
    <font>
      <sz val="10"/>
      <name val="Arial"/>
      <family val="2"/>
    </font>
    <font>
      <i/>
      <sz val="10"/>
      <name val="Arial"/>
      <family val="2"/>
    </font>
    <font>
      <sz val="10"/>
      <color indexed="10"/>
      <name val="Arial"/>
      <family val="2"/>
    </font>
    <font>
      <sz val="10"/>
      <color indexed="8"/>
      <name val="MS Sans Serif"/>
      <family val="2"/>
    </font>
    <font>
      <sz val="10"/>
      <color indexed="8"/>
      <name val="Arial"/>
      <family val="2"/>
    </font>
    <font>
      <b/>
      <sz val="14"/>
      <name val="Arial"/>
      <family val="2"/>
    </font>
    <font>
      <sz val="10"/>
      <color indexed="12"/>
      <name val="Arial"/>
      <family val="2"/>
    </font>
    <font>
      <sz val="10"/>
      <color indexed="10"/>
      <name val="Arial"/>
      <family val="2"/>
    </font>
    <font>
      <b/>
      <sz val="12"/>
      <name val="Arial"/>
      <family val="2"/>
    </font>
    <font>
      <sz val="8"/>
      <color indexed="81"/>
      <name val="Tahoma"/>
      <family val="2"/>
    </font>
    <font>
      <i/>
      <sz val="10"/>
      <name val="Arial"/>
      <family val="2"/>
    </font>
    <font>
      <sz val="10"/>
      <name val="Arial"/>
      <family val="2"/>
    </font>
    <font>
      <b/>
      <sz val="10"/>
      <name val="Arial"/>
      <family val="2"/>
    </font>
    <font>
      <sz val="10"/>
      <name val="Arial"/>
      <family val="2"/>
    </font>
    <font>
      <sz val="10"/>
      <color indexed="8"/>
      <name val="MS Sans Serif"/>
      <family val="2"/>
    </font>
    <font>
      <sz val="10"/>
      <name val="DTLArgoT"/>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8"/>
      <name val="Arial"/>
      <family val="2"/>
    </font>
    <font>
      <b/>
      <sz val="8"/>
      <name val="Arial"/>
      <family val="2"/>
    </font>
    <font>
      <i/>
      <sz val="8"/>
      <name val="Arial"/>
      <family val="2"/>
    </font>
    <font>
      <i/>
      <sz val="9.5"/>
      <name val="Arial"/>
      <family val="2"/>
    </font>
    <font>
      <sz val="10"/>
      <name val="Arial"/>
      <family val="2"/>
    </font>
    <font>
      <b/>
      <sz val="16"/>
      <name val="Arial"/>
      <family val="2"/>
    </font>
    <font>
      <sz val="10"/>
      <color theme="1"/>
      <name val="Calibri"/>
      <family val="2"/>
      <scheme val="minor"/>
    </font>
  </fonts>
  <fills count="3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72">
    <xf numFmtId="0" fontId="0" fillId="0" borderId="0"/>
    <xf numFmtId="0" fontId="15" fillId="0" borderId="0"/>
    <xf numFmtId="0" fontId="1" fillId="0" borderId="0"/>
    <xf numFmtId="0" fontId="1" fillId="0" borderId="0"/>
    <xf numFmtId="0" fontId="1" fillId="0" borderId="0"/>
    <xf numFmtId="165" fontId="1" fillId="0" borderId="0" applyFont="0" applyFill="0" applyBorder="0" applyAlignment="0" applyProtection="0"/>
    <xf numFmtId="37" fontId="1" fillId="0" borderId="0" applyFill="0" applyBorder="0" applyProtection="0">
      <protection locked="0"/>
    </xf>
    <xf numFmtId="9" fontId="1"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4" fillId="0" borderId="0"/>
    <xf numFmtId="0" fontId="19" fillId="0" borderId="0"/>
    <xf numFmtId="0" fontId="4" fillId="0" borderId="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7" borderId="0" applyNumberFormat="0" applyBorder="0" applyAlignment="0" applyProtection="0"/>
    <xf numFmtId="0" fontId="22" fillId="28" borderId="3" applyNumberFormat="0" applyAlignment="0" applyProtection="0"/>
    <xf numFmtId="0" fontId="23" fillId="29" borderId="4" applyNumberFormat="0" applyAlignment="0" applyProtection="0"/>
    <xf numFmtId="0" fontId="24" fillId="0" borderId="5" applyNumberFormat="0" applyFill="0" applyAlignment="0" applyProtection="0"/>
    <xf numFmtId="0" fontId="25" fillId="12" borderId="0" applyNumberFormat="0" applyBorder="0" applyAlignment="0" applyProtection="0"/>
    <xf numFmtId="0" fontId="26" fillId="15" borderId="3" applyNumberFormat="0" applyAlignment="0" applyProtection="0"/>
    <xf numFmtId="165" fontId="4" fillId="0" borderId="0" applyFont="0" applyFill="0" applyBorder="0" applyAlignment="0" applyProtection="0"/>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30" borderId="0" applyNumberFormat="0" applyBorder="0" applyAlignment="0" applyProtection="0"/>
    <xf numFmtId="0" fontId="19" fillId="31" borderId="9" applyNumberFormat="0" applyFont="0" applyAlignment="0" applyProtection="0"/>
    <xf numFmtId="0" fontId="31" fillId="11" borderId="0" applyNumberFormat="0" applyBorder="0" applyAlignment="0" applyProtection="0"/>
    <xf numFmtId="9" fontId="4" fillId="0" borderId="0" applyFont="0" applyFill="0" applyBorder="0" applyAlignment="0" applyProtection="0"/>
    <xf numFmtId="0" fontId="4" fillId="0" borderId="0"/>
    <xf numFmtId="0" fontId="18" fillId="0" borderId="0"/>
    <xf numFmtId="0" fontId="18" fillId="0" borderId="0"/>
    <xf numFmtId="0" fontId="32" fillId="0" borderId="0" applyNumberFormat="0" applyFill="0" applyBorder="0" applyAlignment="0" applyProtection="0"/>
    <xf numFmtId="0" fontId="33" fillId="0" borderId="10" applyNumberFormat="0" applyFill="0" applyAlignment="0" applyProtection="0"/>
    <xf numFmtId="0" fontId="34" fillId="28"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44" fontId="4" fillId="0" borderId="0" applyFont="0" applyFill="0" applyBorder="0" applyAlignment="0" applyProtection="0"/>
    <xf numFmtId="165" fontId="41" fillId="0" borderId="0" applyFont="0" applyFill="0" applyBorder="0" applyAlignment="0" applyProtection="0"/>
    <xf numFmtId="9" fontId="41" fillId="0" borderId="0" applyFont="0" applyFill="0" applyBorder="0" applyAlignment="0" applyProtection="0"/>
    <xf numFmtId="0" fontId="41" fillId="0" borderId="0"/>
    <xf numFmtId="44" fontId="41" fillId="0" borderId="0" applyFont="0" applyFill="0" applyBorder="0" applyAlignment="0" applyProtection="0"/>
    <xf numFmtId="0" fontId="7" fillId="0" borderId="0"/>
    <xf numFmtId="0" fontId="1" fillId="0" borderId="0"/>
  </cellStyleXfs>
  <cellXfs count="319">
    <xf numFmtId="0" fontId="0" fillId="0" borderId="0" xfId="0"/>
    <xf numFmtId="0" fontId="4" fillId="3" borderId="1" xfId="8" applyFont="1" applyFill="1" applyBorder="1"/>
    <xf numFmtId="0" fontId="4" fillId="2" borderId="0" xfId="8" applyFont="1" applyFill="1" applyBorder="1"/>
    <xf numFmtId="0" fontId="4" fillId="4" borderId="1" xfId="8" applyFont="1" applyFill="1" applyBorder="1"/>
    <xf numFmtId="0" fontId="4" fillId="5" borderId="1" xfId="8" applyFont="1" applyFill="1" applyBorder="1"/>
    <xf numFmtId="0" fontId="4" fillId="6" borderId="1" xfId="8" applyFont="1" applyFill="1" applyBorder="1"/>
    <xf numFmtId="168" fontId="1" fillId="5" borderId="0" xfId="5" applyNumberFormat="1" applyFill="1"/>
    <xf numFmtId="0" fontId="3" fillId="7" borderId="2" xfId="1" applyFont="1" applyFill="1" applyBorder="1" applyAlignment="1">
      <alignment horizontal="center" textRotation="90"/>
    </xf>
    <xf numFmtId="168" fontId="2" fillId="0" borderId="0" xfId="5" applyNumberFormat="1" applyFont="1" applyFill="1"/>
    <xf numFmtId="0" fontId="9" fillId="7" borderId="2" xfId="9" applyFont="1" applyFill="1" applyBorder="1"/>
    <xf numFmtId="0" fontId="1" fillId="7" borderId="2" xfId="9" applyFill="1" applyBorder="1"/>
    <xf numFmtId="0" fontId="3" fillId="8" borderId="2" xfId="9" applyFont="1" applyFill="1" applyBorder="1"/>
    <xf numFmtId="0" fontId="1" fillId="8" borderId="2" xfId="9" applyFill="1" applyBorder="1"/>
    <xf numFmtId="0" fontId="1" fillId="0" borderId="0" xfId="9"/>
    <xf numFmtId="0" fontId="10" fillId="0" borderId="0" xfId="9" applyFont="1"/>
    <xf numFmtId="0" fontId="1" fillId="0" borderId="0" xfId="9" applyFill="1" applyBorder="1"/>
    <xf numFmtId="0" fontId="1" fillId="0" borderId="0" xfId="9" applyFill="1"/>
    <xf numFmtId="0" fontId="1" fillId="2" borderId="0" xfId="9" applyFill="1"/>
    <xf numFmtId="0" fontId="4" fillId="2" borderId="0" xfId="9" applyFont="1" applyFill="1" applyBorder="1"/>
    <xf numFmtId="0" fontId="5" fillId="2" borderId="0" xfId="9" applyFont="1" applyFill="1" applyBorder="1"/>
    <xf numFmtId="164" fontId="2" fillId="2" borderId="0" xfId="9" applyNumberFormat="1" applyFont="1" applyFill="1" applyBorder="1" applyAlignment="1" applyProtection="1">
      <alignment horizontal="center"/>
    </xf>
    <xf numFmtId="0" fontId="1" fillId="2" borderId="0" xfId="9" applyFont="1" applyFill="1"/>
    <xf numFmtId="164" fontId="2" fillId="0" borderId="0" xfId="9" applyNumberFormat="1" applyFont="1" applyFill="1" applyBorder="1" applyAlignment="1" applyProtection="1">
      <alignment horizontal="center"/>
    </xf>
    <xf numFmtId="10" fontId="1" fillId="3" borderId="0" xfId="7" applyNumberFormat="1" applyFill="1"/>
    <xf numFmtId="168" fontId="1" fillId="0" borderId="0" xfId="5" applyNumberFormat="1" applyFill="1"/>
    <xf numFmtId="0" fontId="3" fillId="0" borderId="2" xfId="9" applyFont="1" applyFill="1" applyBorder="1" applyAlignment="1">
      <alignment horizontal="left"/>
    </xf>
    <xf numFmtId="0" fontId="4" fillId="0" borderId="2" xfId="9" applyFont="1" applyFill="1" applyBorder="1"/>
    <xf numFmtId="0" fontId="4" fillId="0" borderId="0" xfId="9" applyFont="1" applyFill="1" applyBorder="1"/>
    <xf numFmtId="164" fontId="2" fillId="0" borderId="0" xfId="9" applyNumberFormat="1" applyFont="1" applyFill="1" applyBorder="1"/>
    <xf numFmtId="0" fontId="3" fillId="2" borderId="2" xfId="9" applyFont="1" applyFill="1" applyBorder="1"/>
    <xf numFmtId="0" fontId="4" fillId="2" borderId="2" xfId="9" applyFont="1" applyFill="1" applyBorder="1"/>
    <xf numFmtId="0" fontId="1" fillId="0" borderId="0" xfId="9" applyBorder="1"/>
    <xf numFmtId="0" fontId="9" fillId="7" borderId="2" xfId="10" applyFont="1" applyFill="1" applyBorder="1" applyAlignment="1">
      <alignment wrapText="1"/>
    </xf>
    <xf numFmtId="0" fontId="1" fillId="7" borderId="2" xfId="10" applyFill="1" applyBorder="1"/>
    <xf numFmtId="0" fontId="3" fillId="7" borderId="2" xfId="2" applyFont="1" applyFill="1" applyBorder="1" applyAlignment="1">
      <alignment horizontal="center" textRotation="90"/>
    </xf>
    <xf numFmtId="0" fontId="3" fillId="8" borderId="2" xfId="10" applyFont="1" applyFill="1" applyBorder="1"/>
    <xf numFmtId="0" fontId="1" fillId="8" borderId="2" xfId="10" applyFill="1" applyBorder="1"/>
    <xf numFmtId="0" fontId="1" fillId="0" borderId="0" xfId="10"/>
    <xf numFmtId="168" fontId="1" fillId="8" borderId="2" xfId="5" applyNumberFormat="1" applyFill="1" applyBorder="1"/>
    <xf numFmtId="0" fontId="1" fillId="0" borderId="0" xfId="10" applyFill="1"/>
    <xf numFmtId="10" fontId="6" fillId="0" borderId="0" xfId="7" applyNumberFormat="1" applyFont="1" applyFill="1"/>
    <xf numFmtId="0" fontId="1" fillId="0" borderId="0" xfId="10" applyFont="1"/>
    <xf numFmtId="0" fontId="1" fillId="0" borderId="0" xfId="9" applyFont="1" applyFill="1"/>
    <xf numFmtId="0" fontId="1" fillId="2" borderId="0" xfId="9" applyFill="1" applyBorder="1"/>
    <xf numFmtId="169" fontId="2" fillId="0" borderId="0" xfId="9" applyNumberFormat="1" applyFont="1" applyFill="1" applyBorder="1"/>
    <xf numFmtId="166" fontId="4" fillId="0" borderId="0" xfId="9" applyNumberFormat="1" applyFont="1" applyFill="1" applyBorder="1"/>
    <xf numFmtId="0" fontId="8" fillId="2" borderId="0" xfId="8" applyFont="1" applyFill="1" applyBorder="1"/>
    <xf numFmtId="0" fontId="4" fillId="9" borderId="1" xfId="8" applyFont="1" applyFill="1" applyBorder="1"/>
    <xf numFmtId="0" fontId="9" fillId="7" borderId="2" xfId="12" applyFont="1" applyFill="1" applyBorder="1" applyAlignment="1">
      <alignment wrapText="1"/>
    </xf>
    <xf numFmtId="0" fontId="1" fillId="7" borderId="2" xfId="12" applyFill="1" applyBorder="1"/>
    <xf numFmtId="0" fontId="3" fillId="7" borderId="2" xfId="3" applyFont="1" applyFill="1" applyBorder="1" applyAlignment="1">
      <alignment horizontal="center" textRotation="90"/>
    </xf>
    <xf numFmtId="0" fontId="3" fillId="8" borderId="2" xfId="12" applyFont="1" applyFill="1" applyBorder="1"/>
    <xf numFmtId="0" fontId="1" fillId="8" borderId="2" xfId="12" applyFill="1" applyBorder="1"/>
    <xf numFmtId="0" fontId="1" fillId="0" borderId="0" xfId="12"/>
    <xf numFmtId="1" fontId="1" fillId="0" borderId="0" xfId="12" applyNumberFormat="1"/>
    <xf numFmtId="168" fontId="1" fillId="0" borderId="0" xfId="5" applyNumberFormat="1" applyFont="1" applyFill="1"/>
    <xf numFmtId="0" fontId="3" fillId="8" borderId="2" xfId="3" applyFont="1" applyFill="1" applyBorder="1"/>
    <xf numFmtId="0" fontId="1" fillId="8" borderId="2" xfId="3" applyFill="1" applyBorder="1"/>
    <xf numFmtId="0" fontId="1" fillId="0" borderId="0" xfId="3"/>
    <xf numFmtId="0" fontId="1" fillId="0" borderId="0" xfId="12" applyFill="1"/>
    <xf numFmtId="0" fontId="9" fillId="7" borderId="2" xfId="13" applyFont="1" applyFill="1" applyBorder="1" applyAlignment="1">
      <alignment wrapText="1"/>
    </xf>
    <xf numFmtId="0" fontId="1" fillId="7" borderId="2" xfId="13" applyFill="1" applyBorder="1"/>
    <xf numFmtId="0" fontId="3" fillId="7" borderId="2" xfId="4" applyFont="1" applyFill="1" applyBorder="1" applyAlignment="1">
      <alignment horizontal="center" textRotation="90"/>
    </xf>
    <xf numFmtId="0" fontId="1" fillId="0" borderId="0" xfId="13"/>
    <xf numFmtId="0" fontId="3" fillId="8" borderId="2" xfId="13" applyFont="1" applyFill="1" applyBorder="1"/>
    <xf numFmtId="0" fontId="1" fillId="8" borderId="2" xfId="13" applyFill="1" applyBorder="1"/>
    <xf numFmtId="1" fontId="1" fillId="0" borderId="0" xfId="13" applyNumberFormat="1"/>
    <xf numFmtId="170" fontId="2" fillId="0" borderId="0" xfId="5" applyNumberFormat="1" applyFont="1" applyFill="1"/>
    <xf numFmtId="0" fontId="1" fillId="0" borderId="0" xfId="13" applyFill="1"/>
    <xf numFmtId="168" fontId="2" fillId="0" borderId="0" xfId="13" applyNumberFormat="1" applyFont="1" applyFill="1"/>
    <xf numFmtId="168" fontId="1" fillId="4" borderId="0" xfId="5" applyNumberFormat="1" applyFont="1" applyFill="1"/>
    <xf numFmtId="0" fontId="1" fillId="0" borderId="0" xfId="11" applyFont="1"/>
    <xf numFmtId="10" fontId="1" fillId="0" borderId="0" xfId="13" applyNumberFormat="1" applyFill="1"/>
    <xf numFmtId="0" fontId="3" fillId="0" borderId="0" xfId="13" applyFont="1"/>
    <xf numFmtId="0" fontId="4" fillId="2" borderId="0" xfId="13" applyNumberFormat="1" applyFont="1" applyFill="1" applyBorder="1" applyAlignment="1">
      <alignment vertical="top"/>
    </xf>
    <xf numFmtId="168" fontId="1" fillId="4" borderId="0" xfId="13" applyNumberFormat="1" applyFill="1"/>
    <xf numFmtId="168" fontId="1" fillId="6" borderId="0" xfId="13" applyNumberFormat="1" applyFill="1"/>
    <xf numFmtId="0" fontId="4" fillId="0" borderId="0" xfId="1" applyFont="1"/>
    <xf numFmtId="10" fontId="1" fillId="0" borderId="0" xfId="7" applyNumberFormat="1" applyFill="1"/>
    <xf numFmtId="0" fontId="9" fillId="7" borderId="2" xfId="14" applyFont="1" applyFill="1" applyBorder="1"/>
    <xf numFmtId="0" fontId="1" fillId="7" borderId="2" xfId="14" applyFill="1" applyBorder="1"/>
    <xf numFmtId="0" fontId="3" fillId="8" borderId="2" xfId="14" applyFont="1" applyFill="1" applyBorder="1"/>
    <xf numFmtId="0" fontId="1" fillId="8" borderId="2" xfId="14" applyFill="1" applyBorder="1"/>
    <xf numFmtId="0" fontId="3" fillId="0" borderId="0" xfId="14" applyFont="1"/>
    <xf numFmtId="0" fontId="1" fillId="0" borderId="0" xfId="14"/>
    <xf numFmtId="0" fontId="1" fillId="0" borderId="0" xfId="14" applyAlignment="1">
      <alignment horizontal="right"/>
    </xf>
    <xf numFmtId="0" fontId="1" fillId="0" borderId="0" xfId="14" applyFill="1"/>
    <xf numFmtId="10" fontId="1" fillId="0" borderId="0" xfId="7" applyNumberFormat="1"/>
    <xf numFmtId="16" fontId="1" fillId="0" borderId="0" xfId="14" applyNumberFormat="1"/>
    <xf numFmtId="14" fontId="1" fillId="0" borderId="0" xfId="14" applyNumberFormat="1"/>
    <xf numFmtId="10" fontId="1" fillId="3" borderId="0" xfId="14" applyNumberFormat="1" applyFill="1"/>
    <xf numFmtId="10" fontId="1" fillId="4" borderId="0" xfId="14" applyNumberFormat="1" applyFill="1"/>
    <xf numFmtId="0" fontId="1" fillId="7" borderId="0" xfId="14" applyFill="1"/>
    <xf numFmtId="10" fontId="1" fillId="7" borderId="0" xfId="14" applyNumberFormat="1" applyFill="1"/>
    <xf numFmtId="0" fontId="14" fillId="2" borderId="0" xfId="9" applyFont="1" applyFill="1" applyBorder="1"/>
    <xf numFmtId="164" fontId="15" fillId="2" borderId="0" xfId="9" applyNumberFormat="1" applyFont="1" applyFill="1" applyBorder="1" applyAlignment="1" applyProtection="1">
      <alignment horizontal="center"/>
    </xf>
    <xf numFmtId="0" fontId="15" fillId="2" borderId="0" xfId="9" applyFont="1" applyFill="1"/>
    <xf numFmtId="164" fontId="15" fillId="2" borderId="0" xfId="9" applyNumberFormat="1" applyFont="1" applyFill="1" applyBorder="1"/>
    <xf numFmtId="0" fontId="16" fillId="8" borderId="2" xfId="9" applyFont="1" applyFill="1" applyBorder="1"/>
    <xf numFmtId="0" fontId="17" fillId="0" borderId="0" xfId="9" applyFont="1"/>
    <xf numFmtId="0" fontId="17" fillId="0" borderId="2" xfId="9" applyFont="1" applyFill="1" applyBorder="1"/>
    <xf numFmtId="0" fontId="17" fillId="2" borderId="0" xfId="9" applyFont="1" applyFill="1"/>
    <xf numFmtId="0" fontId="17" fillId="2" borderId="2" xfId="9" applyFont="1" applyFill="1" applyBorder="1"/>
    <xf numFmtId="0" fontId="0" fillId="0" borderId="0" xfId="13" applyFont="1"/>
    <xf numFmtId="1" fontId="0" fillId="0" borderId="0" xfId="0" applyNumberFormat="1"/>
    <xf numFmtId="0" fontId="3" fillId="0" borderId="0" xfId="0" applyNumberFormat="1" applyFont="1"/>
    <xf numFmtId="0" fontId="4" fillId="0" borderId="0" xfId="15" applyFont="1" applyFill="1"/>
    <xf numFmtId="0" fontId="12" fillId="7" borderId="2" xfId="59" applyFont="1" applyFill="1" applyBorder="1"/>
    <xf numFmtId="0" fontId="4" fillId="7" borderId="2" xfId="59" applyFont="1" applyFill="1" applyBorder="1"/>
    <xf numFmtId="0" fontId="11" fillId="0" borderId="0" xfId="59" applyFont="1"/>
    <xf numFmtId="0" fontId="4" fillId="0" borderId="0" xfId="59" applyFont="1"/>
    <xf numFmtId="0" fontId="3" fillId="8" borderId="2" xfId="0" applyFont="1" applyFill="1" applyBorder="1"/>
    <xf numFmtId="0" fontId="0" fillId="8" borderId="2" xfId="0" applyFill="1" applyBorder="1"/>
    <xf numFmtId="0" fontId="0" fillId="0" borderId="0" xfId="0" applyFill="1"/>
    <xf numFmtId="0" fontId="4" fillId="0" borderId="0" xfId="59" applyFont="1" applyFill="1"/>
    <xf numFmtId="0" fontId="3" fillId="8" borderId="2" xfId="59" applyFont="1" applyFill="1" applyBorder="1"/>
    <xf numFmtId="0" fontId="4" fillId="8" borderId="2" xfId="59" applyFont="1" applyFill="1" applyBorder="1"/>
    <xf numFmtId="0" fontId="3" fillId="7" borderId="2" xfId="59" applyFont="1" applyFill="1" applyBorder="1" applyAlignment="1">
      <alignment horizontal="center" textRotation="90"/>
    </xf>
    <xf numFmtId="0" fontId="3" fillId="0" borderId="0" xfId="59" applyFont="1" applyFill="1" applyBorder="1" applyAlignment="1">
      <alignment horizontal="left"/>
    </xf>
    <xf numFmtId="0" fontId="4" fillId="0" borderId="0" xfId="0" applyFont="1"/>
    <xf numFmtId="0" fontId="5" fillId="0" borderId="0" xfId="0" applyFont="1"/>
    <xf numFmtId="171" fontId="4" fillId="3" borderId="0" xfId="65" applyNumberFormat="1" applyFont="1" applyFill="1"/>
    <xf numFmtId="0" fontId="5" fillId="0" borderId="0" xfId="59" applyFont="1"/>
    <xf numFmtId="168" fontId="4" fillId="4" borderId="0" xfId="48" applyNumberFormat="1" applyFill="1"/>
    <xf numFmtId="0" fontId="4" fillId="0" borderId="0" xfId="0" applyFont="1" applyFill="1"/>
    <xf numFmtId="172" fontId="4" fillId="0" borderId="0" xfId="65" applyNumberFormat="1" applyFont="1" applyFill="1"/>
    <xf numFmtId="168" fontId="4" fillId="0" borderId="0" xfId="48" applyNumberFormat="1" applyFill="1"/>
    <xf numFmtId="167" fontId="4" fillId="3" borderId="0" xfId="56" applyNumberFormat="1" applyFont="1" applyFill="1"/>
    <xf numFmtId="0" fontId="4" fillId="0" borderId="0" xfId="48" applyNumberFormat="1" applyFill="1"/>
    <xf numFmtId="9" fontId="4" fillId="32" borderId="0" xfId="59" applyNumberFormat="1" applyFont="1" applyFill="1"/>
    <xf numFmtId="168" fontId="4" fillId="6" borderId="0" xfId="57" applyNumberFormat="1" applyFill="1"/>
    <xf numFmtId="10" fontId="4" fillId="33" borderId="0" xfId="59" applyNumberFormat="1" applyFont="1" applyFill="1"/>
    <xf numFmtId="168" fontId="4" fillId="0" borderId="0" xfId="48" applyNumberFormat="1"/>
    <xf numFmtId="168" fontId="4" fillId="6" borderId="0" xfId="48" applyNumberFormat="1" applyFill="1"/>
    <xf numFmtId="168" fontId="4" fillId="3" borderId="0" xfId="48" applyNumberFormat="1" applyFill="1"/>
    <xf numFmtId="9" fontId="4" fillId="3" borderId="0" xfId="59" applyNumberFormat="1" applyFont="1" applyFill="1"/>
    <xf numFmtId="168" fontId="4" fillId="4" borderId="0" xfId="59" applyNumberFormat="1" applyFont="1" applyFill="1"/>
    <xf numFmtId="0" fontId="3" fillId="8" borderId="2" xfId="57" applyFont="1" applyFill="1" applyBorder="1"/>
    <xf numFmtId="0" fontId="4" fillId="0" borderId="0" xfId="57" applyFill="1"/>
    <xf numFmtId="0" fontId="4" fillId="0" borderId="0" xfId="57"/>
    <xf numFmtId="0" fontId="4" fillId="0" borderId="0" xfId="58" applyFont="1" applyFill="1"/>
    <xf numFmtId="0" fontId="4" fillId="0" borderId="0" xfId="16"/>
    <xf numFmtId="0" fontId="4" fillId="0" borderId="0" xfId="16" applyAlignment="1"/>
    <xf numFmtId="0" fontId="4" fillId="0" borderId="0" xfId="16" applyAlignment="1">
      <alignment wrapText="1"/>
    </xf>
    <xf numFmtId="0" fontId="3" fillId="0" borderId="0" xfId="16" applyFont="1" applyAlignment="1"/>
    <xf numFmtId="167" fontId="37" fillId="5" borderId="0" xfId="56" applyNumberFormat="1" applyFont="1" applyFill="1"/>
    <xf numFmtId="0" fontId="5" fillId="0" borderId="0" xfId="16" applyFont="1"/>
    <xf numFmtId="0" fontId="37" fillId="0" borderId="0" xfId="16" applyFont="1"/>
    <xf numFmtId="167" fontId="37" fillId="3" borderId="0" xfId="16" applyNumberFormat="1" applyFont="1" applyFill="1"/>
    <xf numFmtId="0" fontId="4" fillId="8" borderId="2" xfId="16" applyFill="1" applyBorder="1"/>
    <xf numFmtId="0" fontId="3" fillId="8" borderId="2" xfId="16" applyFont="1" applyFill="1" applyBorder="1"/>
    <xf numFmtId="164" fontId="4" fillId="0" borderId="0" xfId="16" applyNumberFormat="1"/>
    <xf numFmtId="0" fontId="37" fillId="0" borderId="2" xfId="16" applyFont="1" applyFill="1" applyBorder="1"/>
    <xf numFmtId="0" fontId="38" fillId="0" borderId="2" xfId="16" applyFont="1" applyFill="1" applyBorder="1"/>
    <xf numFmtId="0" fontId="37" fillId="0" borderId="0" xfId="16" applyFont="1" applyFill="1"/>
    <xf numFmtId="0" fontId="37" fillId="2" borderId="0" xfId="16" applyFont="1" applyFill="1"/>
    <xf numFmtId="0" fontId="38" fillId="0" borderId="2" xfId="16" applyFont="1" applyFill="1" applyBorder="1" applyAlignment="1">
      <alignment horizontal="left"/>
    </xf>
    <xf numFmtId="164" fontId="37" fillId="3" borderId="0" xfId="16" applyNumberFormat="1" applyFont="1" applyFill="1" applyBorder="1"/>
    <xf numFmtId="0" fontId="5" fillId="0" borderId="0" xfId="57" applyFont="1"/>
    <xf numFmtId="10" fontId="37" fillId="0" borderId="0" xfId="56" applyNumberFormat="1" applyFont="1"/>
    <xf numFmtId="10" fontId="37" fillId="0" borderId="0" xfId="56" applyNumberFormat="1" applyFont="1" applyFill="1"/>
    <xf numFmtId="164" fontId="37" fillId="0" borderId="0" xfId="16" applyNumberFormat="1" applyFont="1" applyFill="1" applyBorder="1"/>
    <xf numFmtId="0" fontId="39" fillId="0" borderId="0" xfId="16" applyFont="1"/>
    <xf numFmtId="164" fontId="37" fillId="2" borderId="0" xfId="16" applyNumberFormat="1" applyFont="1" applyFill="1"/>
    <xf numFmtId="0" fontId="38" fillId="2" borderId="2" xfId="16" applyFont="1" applyFill="1" applyBorder="1"/>
    <xf numFmtId="166" fontId="38" fillId="32" borderId="2" xfId="16" applyNumberFormat="1" applyFont="1" applyFill="1" applyBorder="1"/>
    <xf numFmtId="0" fontId="3" fillId="0" borderId="0" xfId="16" applyFont="1"/>
    <xf numFmtId="168" fontId="37" fillId="4" borderId="0" xfId="48" applyNumberFormat="1" applyFont="1" applyFill="1"/>
    <xf numFmtId="0" fontId="4" fillId="0" borderId="0" xfId="16" applyFill="1"/>
    <xf numFmtId="0" fontId="37" fillId="32" borderId="0" xfId="16" applyFont="1" applyFill="1"/>
    <xf numFmtId="168" fontId="37" fillId="32" borderId="0" xfId="48" applyNumberFormat="1" applyFont="1" applyFill="1"/>
    <xf numFmtId="173" fontId="37" fillId="0" borderId="0" xfId="16" applyNumberFormat="1" applyFont="1"/>
    <xf numFmtId="168" fontId="4" fillId="0" borderId="0" xfId="16" applyNumberFormat="1"/>
    <xf numFmtId="168" fontId="37" fillId="3" borderId="0" xfId="48" applyNumberFormat="1" applyFont="1" applyFill="1"/>
    <xf numFmtId="168" fontId="37" fillId="4" borderId="0" xfId="16" applyNumberFormat="1" applyFont="1" applyFill="1"/>
    <xf numFmtId="168" fontId="37" fillId="6" borderId="0" xfId="48" applyNumberFormat="1" applyFont="1" applyFill="1"/>
    <xf numFmtId="168" fontId="37" fillId="0" borderId="0" xfId="48" applyNumberFormat="1" applyFont="1" applyFill="1"/>
    <xf numFmtId="0" fontId="4" fillId="0" borderId="0" xfId="16" applyFont="1"/>
    <xf numFmtId="168" fontId="37" fillId="5" borderId="0" xfId="16" applyNumberFormat="1" applyFont="1" applyFill="1"/>
    <xf numFmtId="0" fontId="4" fillId="0" borderId="0" xfId="57" applyFill="1" applyBorder="1"/>
    <xf numFmtId="0" fontId="3" fillId="0" borderId="0" xfId="57" applyFont="1" applyFill="1" applyBorder="1" applyAlignment="1">
      <alignment wrapText="1"/>
    </xf>
    <xf numFmtId="0" fontId="3" fillId="0" borderId="0" xfId="16" applyFont="1" applyFill="1" applyBorder="1" applyAlignment="1">
      <alignment horizontal="center" textRotation="90"/>
    </xf>
    <xf numFmtId="0" fontId="3" fillId="7" borderId="2" xfId="16" applyFont="1" applyFill="1" applyBorder="1" applyAlignment="1">
      <alignment horizontal="center" textRotation="90"/>
    </xf>
    <xf numFmtId="0" fontId="4" fillId="0" borderId="0" xfId="57" applyFont="1" applyFill="1" applyBorder="1"/>
    <xf numFmtId="168" fontId="37" fillId="5" borderId="0" xfId="48" applyNumberFormat="1" applyFont="1" applyFill="1"/>
    <xf numFmtId="168" fontId="37" fillId="0" borderId="0" xfId="48" applyNumberFormat="1" applyFont="1" applyFill="1" applyBorder="1"/>
    <xf numFmtId="0" fontId="4" fillId="0" borderId="0" xfId="57" applyFont="1" applyFill="1" applyBorder="1" applyAlignment="1">
      <alignment wrapText="1"/>
    </xf>
    <xf numFmtId="168" fontId="38" fillId="0" borderId="0" xfId="48" applyNumberFormat="1" applyFont="1" applyFill="1" applyBorder="1" applyAlignment="1">
      <alignment horizontal="center" textRotation="90"/>
    </xf>
    <xf numFmtId="0" fontId="37" fillId="0" borderId="0" xfId="57" applyFont="1"/>
    <xf numFmtId="168" fontId="37" fillId="6" borderId="0" xfId="57" applyNumberFormat="1" applyFont="1" applyFill="1"/>
    <xf numFmtId="168" fontId="4" fillId="0" borderId="0" xfId="57" applyNumberFormat="1" applyFill="1" applyBorder="1"/>
    <xf numFmtId="168" fontId="4" fillId="32" borderId="0" xfId="48" applyNumberFormat="1" applyFont="1" applyFill="1"/>
    <xf numFmtId="10" fontId="0" fillId="33" borderId="0" xfId="0" applyNumberFormat="1" applyFill="1"/>
    <xf numFmtId="168" fontId="0" fillId="32" borderId="0" xfId="48" applyNumberFormat="1" applyFont="1" applyFill="1"/>
    <xf numFmtId="10" fontId="4" fillId="34" borderId="0" xfId="56" applyNumberFormat="1" applyFill="1"/>
    <xf numFmtId="10" fontId="0" fillId="0" borderId="0" xfId="56" applyNumberFormat="1" applyFont="1"/>
    <xf numFmtId="10" fontId="4" fillId="0" borderId="0" xfId="56" applyNumberFormat="1" applyFill="1"/>
    <xf numFmtId="10" fontId="4" fillId="35" borderId="0" xfId="56" applyNumberFormat="1" applyFont="1" applyFill="1"/>
    <xf numFmtId="10" fontId="4" fillId="4" borderId="0" xfId="7" applyNumberFormat="1" applyFont="1" applyFill="1"/>
    <xf numFmtId="14" fontId="0" fillId="0" borderId="0" xfId="0" applyNumberFormat="1"/>
    <xf numFmtId="10" fontId="0" fillId="3" borderId="0" xfId="0" applyNumberFormat="1" applyFill="1"/>
    <xf numFmtId="10" fontId="4" fillId="3" borderId="0" xfId="0" applyNumberFormat="1" applyFont="1" applyFill="1"/>
    <xf numFmtId="10" fontId="4" fillId="32" borderId="0" xfId="0" applyNumberFormat="1" applyFont="1" applyFill="1"/>
    <xf numFmtId="10" fontId="11" fillId="9" borderId="0" xfId="0" applyNumberFormat="1" applyFont="1" applyFill="1"/>
    <xf numFmtId="10" fontId="4" fillId="6" borderId="0" xfId="56" applyNumberFormat="1" applyFill="1"/>
    <xf numFmtId="0" fontId="0" fillId="7" borderId="0" xfId="0" applyFill="1"/>
    <xf numFmtId="10" fontId="0" fillId="7" borderId="0" xfId="0" applyNumberFormat="1" applyFill="1"/>
    <xf numFmtId="10" fontId="0" fillId="4" borderId="0" xfId="0" applyNumberFormat="1" applyFill="1"/>
    <xf numFmtId="2" fontId="0" fillId="3" borderId="0" xfId="1" applyNumberFormat="1" applyFont="1" applyFill="1" applyBorder="1"/>
    <xf numFmtId="0" fontId="4" fillId="0" borderId="0" xfId="0" applyNumberFormat="1" applyFont="1" applyFill="1" applyBorder="1" applyAlignment="1">
      <alignment vertical="top"/>
    </xf>
    <xf numFmtId="0" fontId="40" fillId="0" borderId="0" xfId="0" applyFont="1" applyBorder="1" applyAlignment="1">
      <alignment vertical="center"/>
    </xf>
    <xf numFmtId="0" fontId="0" fillId="0" borderId="0" xfId="0" applyAlignment="1">
      <alignment wrapText="1"/>
    </xf>
    <xf numFmtId="0" fontId="0" fillId="0" borderId="0" xfId="0" applyAlignment="1">
      <alignment readingOrder="1"/>
    </xf>
    <xf numFmtId="10" fontId="4" fillId="5" borderId="0" xfId="56" applyNumberFormat="1" applyFont="1" applyFill="1"/>
    <xf numFmtId="0" fontId="4" fillId="0" borderId="0" xfId="0" applyFont="1" applyFill="1" applyAlignment="1">
      <alignment horizontal="center"/>
    </xf>
    <xf numFmtId="10" fontId="11" fillId="0" borderId="0" xfId="56" applyNumberFormat="1" applyFont="1" applyFill="1"/>
    <xf numFmtId="10" fontId="4" fillId="0" borderId="0" xfId="56" applyNumberFormat="1" applyFont="1" applyFill="1"/>
    <xf numFmtId="168" fontId="4" fillId="5" borderId="0" xfId="5" applyNumberFormat="1" applyFont="1" applyFill="1"/>
    <xf numFmtId="0" fontId="4" fillId="36" borderId="0" xfId="0" applyFont="1" applyFill="1" applyBorder="1"/>
    <xf numFmtId="0" fontId="4" fillId="0" borderId="0" xfId="0" applyFont="1" applyAlignment="1">
      <alignment horizontal="center"/>
    </xf>
    <xf numFmtId="168" fontId="4" fillId="35" borderId="0" xfId="8" applyNumberFormat="1" applyFont="1" applyFill="1" applyBorder="1"/>
    <xf numFmtId="168" fontId="37" fillId="32" borderId="0" xfId="16" applyNumberFormat="1" applyFont="1" applyFill="1"/>
    <xf numFmtId="164" fontId="37" fillId="5" borderId="0" xfId="9" applyNumberFormat="1" applyFont="1" applyFill="1" applyBorder="1"/>
    <xf numFmtId="174" fontId="37" fillId="4" borderId="0" xfId="16" applyNumberFormat="1" applyFont="1" applyFill="1"/>
    <xf numFmtId="166" fontId="37" fillId="6" borderId="2" xfId="9" applyNumberFormat="1" applyFont="1" applyFill="1" applyBorder="1"/>
    <xf numFmtId="166" fontId="37" fillId="2" borderId="0" xfId="16" applyNumberFormat="1" applyFont="1" applyFill="1"/>
    <xf numFmtId="0" fontId="3" fillId="0" borderId="2" xfId="16" applyFont="1" applyFill="1" applyBorder="1"/>
    <xf numFmtId="0" fontId="4" fillId="2" borderId="0" xfId="16" applyFont="1" applyFill="1"/>
    <xf numFmtId="0" fontId="3" fillId="0" borderId="2" xfId="16" applyFont="1" applyFill="1" applyBorder="1" applyAlignment="1">
      <alignment horizontal="left"/>
    </xf>
    <xf numFmtId="0" fontId="1" fillId="0" borderId="0" xfId="0" applyFont="1" applyFill="1"/>
    <xf numFmtId="0" fontId="1" fillId="0" borderId="0" xfId="57" applyFont="1" applyFill="1"/>
    <xf numFmtId="0" fontId="37" fillId="0" borderId="0" xfId="16" applyFont="1" applyFill="1" applyBorder="1"/>
    <xf numFmtId="0" fontId="37" fillId="0" borderId="0" xfId="16" applyFont="1" applyBorder="1"/>
    <xf numFmtId="0" fontId="17" fillId="0" borderId="0" xfId="9" applyFont="1" applyFill="1" applyBorder="1"/>
    <xf numFmtId="0" fontId="4" fillId="0" borderId="0" xfId="16" applyFill="1" applyBorder="1"/>
    <xf numFmtId="0" fontId="5" fillId="0" borderId="0" xfId="16" applyFont="1" applyFill="1" applyBorder="1"/>
    <xf numFmtId="166" fontId="38" fillId="0" borderId="0" xfId="16" applyNumberFormat="1" applyFont="1" applyFill="1" applyBorder="1"/>
    <xf numFmtId="168" fontId="37" fillId="0" borderId="0" xfId="16" applyNumberFormat="1" applyFont="1" applyFill="1" applyBorder="1"/>
    <xf numFmtId="164" fontId="37" fillId="0" borderId="0" xfId="9" applyNumberFormat="1" applyFont="1" applyFill="1" applyBorder="1"/>
    <xf numFmtId="174" fontId="37" fillId="0" borderId="0" xfId="16" applyNumberFormat="1" applyFont="1" applyFill="1" applyBorder="1"/>
    <xf numFmtId="166" fontId="37" fillId="0" borderId="0" xfId="9" applyNumberFormat="1" applyFont="1" applyFill="1" applyBorder="1"/>
    <xf numFmtId="0" fontId="37" fillId="0" borderId="0" xfId="57" applyFont="1" applyFill="1" applyBorder="1"/>
    <xf numFmtId="168" fontId="37" fillId="0" borderId="0" xfId="57" applyNumberFormat="1" applyFont="1" applyFill="1" applyBorder="1"/>
    <xf numFmtId="0" fontId="38" fillId="0" borderId="0" xfId="16" applyFont="1" applyFill="1" applyBorder="1"/>
    <xf numFmtId="0" fontId="1" fillId="0" borderId="0" xfId="57" applyFont="1"/>
    <xf numFmtId="0" fontId="1" fillId="0" borderId="0" xfId="16" applyFont="1" applyAlignment="1"/>
    <xf numFmtId="0" fontId="5" fillId="0" borderId="0" xfId="57" applyFont="1" applyBorder="1"/>
    <xf numFmtId="0" fontId="38" fillId="2" borderId="0" xfId="16" applyFont="1" applyFill="1" applyBorder="1"/>
    <xf numFmtId="0" fontId="1" fillId="0" borderId="0" xfId="1" applyFont="1"/>
    <xf numFmtId="175" fontId="37" fillId="3" borderId="0" xfId="16" applyNumberFormat="1" applyFont="1" applyFill="1" applyBorder="1"/>
    <xf numFmtId="0" fontId="0" fillId="0" borderId="0" xfId="0"/>
    <xf numFmtId="176" fontId="37" fillId="3" borderId="0" xfId="16" applyNumberFormat="1" applyFont="1" applyFill="1" applyBorder="1"/>
    <xf numFmtId="0" fontId="1" fillId="0" borderId="0" xfId="16" applyFont="1"/>
    <xf numFmtId="168" fontId="37" fillId="6" borderId="0" xfId="5" applyNumberFormat="1" applyFont="1" applyFill="1" applyBorder="1"/>
    <xf numFmtId="0" fontId="1" fillId="0" borderId="0" xfId="58" applyFont="1" applyFill="1"/>
    <xf numFmtId="0" fontId="3" fillId="0" borderId="0" xfId="58" applyFont="1" applyFill="1"/>
    <xf numFmtId="0" fontId="1" fillId="0" borderId="0" xfId="57" applyFont="1" applyFill="1" applyBorder="1"/>
    <xf numFmtId="0" fontId="5" fillId="0" borderId="0" xfId="57" applyFont="1" applyFill="1" applyBorder="1"/>
    <xf numFmtId="0" fontId="1" fillId="0" borderId="0" xfId="1" applyFont="1" applyFill="1" applyBorder="1"/>
    <xf numFmtId="10" fontId="37" fillId="0" borderId="0" xfId="56" applyNumberFormat="1" applyFont="1" applyFill="1" applyBorder="1"/>
    <xf numFmtId="0" fontId="3" fillId="0" borderId="0" xfId="16" applyFont="1" applyFill="1" applyBorder="1"/>
    <xf numFmtId="0" fontId="1" fillId="0" borderId="0" xfId="16" applyFont="1" applyFill="1" applyBorder="1"/>
    <xf numFmtId="168" fontId="37" fillId="0" borderId="0" xfId="5" applyNumberFormat="1" applyFont="1" applyFill="1" applyBorder="1"/>
    <xf numFmtId="168" fontId="2" fillId="3" borderId="0" xfId="5" applyNumberFormat="1" applyFont="1" applyFill="1"/>
    <xf numFmtId="0" fontId="1" fillId="0" borderId="0" xfId="0" applyFont="1"/>
    <xf numFmtId="0" fontId="0" fillId="0" borderId="0" xfId="1" applyFont="1" applyFill="1"/>
    <xf numFmtId="0" fontId="41" fillId="2" borderId="0" xfId="68" applyFill="1"/>
    <xf numFmtId="0" fontId="42" fillId="7" borderId="2" xfId="68" applyFont="1" applyFill="1" applyBorder="1"/>
    <xf numFmtId="0" fontId="1" fillId="2" borderId="0" xfId="68" applyFont="1" applyFill="1"/>
    <xf numFmtId="164" fontId="2" fillId="2" borderId="0" xfId="0" applyNumberFormat="1" applyFont="1" applyFill="1" applyBorder="1" applyAlignment="1" applyProtection="1">
      <alignment horizontal="center"/>
    </xf>
    <xf numFmtId="0" fontId="0" fillId="2" borderId="0" xfId="0" applyFill="1"/>
    <xf numFmtId="164" fontId="2" fillId="0" borderId="0" xfId="0" applyNumberFormat="1" applyFont="1" applyFill="1" applyBorder="1" applyAlignment="1" applyProtection="1">
      <alignment horizontal="center"/>
    </xf>
    <xf numFmtId="3" fontId="2" fillId="0" borderId="0" xfId="0" applyNumberFormat="1" applyFont="1" applyFill="1" applyBorder="1"/>
    <xf numFmtId="0" fontId="0" fillId="0" borderId="0" xfId="0" applyFill="1" applyBorder="1"/>
    <xf numFmtId="167" fontId="2" fillId="3" borderId="0" xfId="7" applyNumberFormat="1" applyFont="1" applyFill="1" applyBorder="1"/>
    <xf numFmtId="168" fontId="37" fillId="0" borderId="0" xfId="57" applyNumberFormat="1" applyFont="1" applyFill="1"/>
    <xf numFmtId="0" fontId="1" fillId="2" borderId="0" xfId="16" applyFont="1" applyFill="1"/>
    <xf numFmtId="168" fontId="37" fillId="37" borderId="0" xfId="48" applyNumberFormat="1" applyFont="1" applyFill="1"/>
    <xf numFmtId="164" fontId="37" fillId="37" borderId="0" xfId="9" applyNumberFormat="1" applyFont="1" applyFill="1" applyBorder="1"/>
    <xf numFmtId="166" fontId="38" fillId="6" borderId="2" xfId="9" applyNumberFormat="1" applyFont="1" applyFill="1" applyBorder="1"/>
    <xf numFmtId="10" fontId="1" fillId="0" borderId="0" xfId="14" applyNumberFormat="1"/>
    <xf numFmtId="0" fontId="1" fillId="0" borderId="0" xfId="70" applyFont="1"/>
    <xf numFmtId="0" fontId="5" fillId="0" borderId="0" xfId="70" applyFont="1"/>
    <xf numFmtId="171" fontId="1" fillId="3" borderId="0" xfId="69" applyNumberFormat="1" applyFont="1" applyFill="1"/>
    <xf numFmtId="168" fontId="1" fillId="4" borderId="0" xfId="5" applyNumberFormat="1" applyFill="1"/>
    <xf numFmtId="0" fontId="1" fillId="0" borderId="0" xfId="70" applyFont="1" applyFill="1"/>
    <xf numFmtId="172" fontId="1" fillId="0" borderId="0" xfId="69" applyNumberFormat="1" applyFont="1" applyFill="1"/>
    <xf numFmtId="167" fontId="1" fillId="3" borderId="0" xfId="7" applyNumberFormat="1" applyFont="1" applyFill="1"/>
    <xf numFmtId="0" fontId="1" fillId="0" borderId="0" xfId="5" applyNumberFormat="1" applyFill="1"/>
    <xf numFmtId="9" fontId="1" fillId="32" borderId="0" xfId="70" applyNumberFormat="1" applyFont="1" applyFill="1"/>
    <xf numFmtId="0" fontId="1" fillId="0" borderId="0" xfId="59" applyFont="1"/>
    <xf numFmtId="0" fontId="1" fillId="0" borderId="0" xfId="13" applyFont="1"/>
    <xf numFmtId="167" fontId="2" fillId="32" borderId="0" xfId="16" applyNumberFormat="1" applyFont="1" applyFill="1"/>
    <xf numFmtId="0" fontId="3" fillId="0" borderId="0" xfId="0" applyFont="1"/>
    <xf numFmtId="0" fontId="1" fillId="0" borderId="0" xfId="0" applyNumberFormat="1" applyFont="1" applyFill="1" applyBorder="1" applyAlignment="1">
      <alignment vertical="top"/>
    </xf>
    <xf numFmtId="170" fontId="37" fillId="37" borderId="0" xfId="48" applyNumberFormat="1" applyFont="1" applyFill="1"/>
    <xf numFmtId="0" fontId="1" fillId="0" borderId="0" xfId="59" applyFont="1" applyFill="1"/>
    <xf numFmtId="0" fontId="1" fillId="0" borderId="0" xfId="13" applyFont="1" applyFill="1"/>
    <xf numFmtId="9" fontId="1" fillId="4" borderId="0" xfId="7" applyFill="1"/>
    <xf numFmtId="168" fontId="0" fillId="0" borderId="0" xfId="48" applyNumberFormat="1" applyFont="1" applyFill="1"/>
    <xf numFmtId="168" fontId="1" fillId="0" borderId="0" xfId="5" applyNumberFormat="1"/>
    <xf numFmtId="177" fontId="1" fillId="0" borderId="0" xfId="7" applyNumberFormat="1" applyFill="1"/>
    <xf numFmtId="165" fontId="4" fillId="0" borderId="0" xfId="5" applyFont="1"/>
    <xf numFmtId="165" fontId="0" fillId="32" borderId="0" xfId="48" applyNumberFormat="1" applyFont="1" applyFill="1"/>
    <xf numFmtId="3" fontId="0" fillId="33" borderId="0" xfId="0" applyNumberFormat="1" applyFill="1"/>
    <xf numFmtId="168" fontId="1" fillId="32" borderId="0" xfId="5" applyNumberFormat="1" applyFont="1" applyFill="1"/>
    <xf numFmtId="165" fontId="1" fillId="32" borderId="0" xfId="5" applyNumberFormat="1" applyFont="1" applyFill="1"/>
    <xf numFmtId="179" fontId="43" fillId="0" borderId="0" xfId="5" applyNumberFormat="1" applyFont="1"/>
    <xf numFmtId="178" fontId="1" fillId="0" borderId="0" xfId="7" applyNumberFormat="1" applyFill="1"/>
    <xf numFmtId="165" fontId="1" fillId="0" borderId="0" xfId="5" applyNumberFormat="1" applyFont="1" applyFill="1"/>
    <xf numFmtId="168" fontId="1" fillId="0" borderId="0" xfId="13" applyNumberFormat="1" applyFill="1"/>
    <xf numFmtId="0" fontId="0" fillId="0" borderId="0" xfId="13" applyFont="1" applyFill="1"/>
    <xf numFmtId="9" fontId="1" fillId="4" borderId="0" xfId="7" applyNumberFormat="1" applyFill="1"/>
    <xf numFmtId="171" fontId="1" fillId="3" borderId="0" xfId="65" applyNumberFormat="1" applyFont="1" applyFill="1"/>
    <xf numFmtId="0" fontId="4" fillId="0" borderId="0" xfId="0" applyFont="1" applyFill="1" applyAlignment="1">
      <alignment wrapText="1"/>
    </xf>
    <xf numFmtId="0" fontId="0" fillId="0" borderId="0" xfId="0" applyAlignment="1">
      <alignment wrapText="1"/>
    </xf>
    <xf numFmtId="0" fontId="4" fillId="0" borderId="0" xfId="0" applyFont="1" applyFill="1" applyAlignment="1">
      <alignment wrapText="1" readingOrder="1"/>
    </xf>
    <xf numFmtId="0" fontId="0" fillId="0" borderId="0" xfId="0" applyAlignment="1">
      <alignment readingOrder="1"/>
    </xf>
    <xf numFmtId="0" fontId="1" fillId="0" borderId="0" xfId="0" applyNumberFormat="1" applyFont="1"/>
  </cellXfs>
  <cellStyles count="72">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16"/>
    <cellStyle name="_x000d__x000a_JournalTemplate=C:\COMFO\CTALK\JOURSTD.TPL_x000d__x000a_LbStateAddress=3 3 0 251 1 89 2 311_x000d__x000a_LbStateJou 3" xfId="17"/>
    <cellStyle name="_x000d__x000a_JournalTemplate=C:\COMFO\CTALK\JOURSTD.TPL_x000d__x000a_LbStateAddress=3 3 0 251 1 89 2 311_x000d__x000a_LbStateJou_100720 berekening x-factoren NG4R v4.2" xfId="18"/>
    <cellStyle name="_x000d__x000a_JournalTemplate=C:\COMFO\CTALK\JOURSTD.TPL_x000d__x000a_LbStateAddress=3 3 0 251 1 89 2 311_x000d__x000a_LbStateJou_20110825 TI berekening 2012 E - PwA" xfId="2"/>
    <cellStyle name="_x000d__x000a_JournalTemplate=C:\COMFO\CTALK\JOURSTD.TPL_x000d__x000a_LbStateAddress=3 3 0 251 1 89 2 311_x000d__x000a_LbStateJou_20120516 - TI-berekening 2013 Elektriciteit (concept)" xfId="3"/>
    <cellStyle name="_x000d__x000a_JournalTemplate=C:\COMFO\CTALK\JOURSTD.TPL_x000d__x000a_LbStateAddress=3 3 0 251 1 89 2 311_x000d__x000a_LbStateJou_20120516 - TI-berekening 2013 Elektriciteit (concept) opm HK" xfId="4"/>
    <cellStyle name="20% - Accent1 2" xfId="19"/>
    <cellStyle name="20% - Accent2 2" xfId="20"/>
    <cellStyle name="20% - Accent3 2" xfId="21"/>
    <cellStyle name="20% - Accent4 2" xfId="22"/>
    <cellStyle name="20% - Accent5 2" xfId="23"/>
    <cellStyle name="20% - Accent6 2"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Berekening 2" xfId="43"/>
    <cellStyle name="Controlecel 2" xfId="44"/>
    <cellStyle name="Gekoppelde cel 2" xfId="45"/>
    <cellStyle name="Goed 2" xfId="46"/>
    <cellStyle name="Invoer 2" xfId="47"/>
    <cellStyle name="Komma" xfId="5" builtinId="3"/>
    <cellStyle name="Komma 2" xfId="48"/>
    <cellStyle name="Komma 3" xfId="66"/>
    <cellStyle name="Kop 1 2" xfId="49"/>
    <cellStyle name="Kop 2 2" xfId="50"/>
    <cellStyle name="Kop 3 2" xfId="51"/>
    <cellStyle name="Kop 4 2" xfId="52"/>
    <cellStyle name="Neutraal 2" xfId="53"/>
    <cellStyle name="Normal_Data_2_wrm1_30" xfId="6"/>
    <cellStyle name="Notitie 2" xfId="54"/>
    <cellStyle name="Ongeldig 2" xfId="55"/>
    <cellStyle name="Procent" xfId="7" builtinId="5"/>
    <cellStyle name="Procent 2" xfId="56"/>
    <cellStyle name="Procent 3" xfId="67"/>
    <cellStyle name="Standaard" xfId="0" builtinId="0"/>
    <cellStyle name="Standaard 2" xfId="57"/>
    <cellStyle name="Standaard 2 2" xfId="71"/>
    <cellStyle name="Standaard_103838 Berekeningen XQRV-besluit Herstel NE4R" xfId="58"/>
    <cellStyle name="Standaard_20090828 nacalculatie lokale heffingen nieuwe x-factoren NG3R" xfId="68"/>
    <cellStyle name="Standaard_20100727 Rekenmodel NE5R v1.9" xfId="8"/>
    <cellStyle name="Standaard_20110803 Nacalculatieregister gas (WhK)" xfId="9"/>
    <cellStyle name="Standaard_20110825 TI berekening 2012 E - PwA" xfId="10"/>
    <cellStyle name="Standaard_20110830 TI berekening 2012 E - v3 PwA" xfId="11"/>
    <cellStyle name="Standaard_20120514 - Analyse Inkoopkosten Transport v9" xfId="70"/>
    <cellStyle name="Standaard_20120514 - Analyse Inkoopkosten Transport v9 2" xfId="59"/>
    <cellStyle name="Standaard_20120516 - TI-berekening 2013 Elektriciteit (concept)" xfId="12"/>
    <cellStyle name="Standaard_20120516 - TI-berekening 2013 Elektriciteit (concept) opm HK" xfId="13"/>
    <cellStyle name="Standaard_20120522 - TI-berekening 2013 Gas" xfId="15"/>
    <cellStyle name="Standaard_20120727 - TI-berekening 2013 Elektriciteit (concept)" xfId="14"/>
    <cellStyle name="Titel 2" xfId="60"/>
    <cellStyle name="Totaal 2" xfId="61"/>
    <cellStyle name="Uitvoer 2" xfId="62"/>
    <cellStyle name="Valuta" xfId="69" builtinId="4"/>
    <cellStyle name="Valuta 2" xfId="65"/>
    <cellStyle name="Verklarende tekst 2" xfId="63"/>
    <cellStyle name="Waarschuwingstekst 2" xfId="64"/>
  </cellStyles>
  <dxfs count="0"/>
  <tableStyles count="0" defaultTableStyle="TableStyleMedium2" defaultPivotStyle="PivotStyleLight16"/>
  <colors>
    <mruColors>
      <color rgb="FFFFCC99"/>
      <color rgb="FFFF00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857250</xdr:colOff>
      <xdr:row>37</xdr:row>
      <xdr:rowOff>0</xdr:rowOff>
    </xdr:from>
    <xdr:to>
      <xdr:col>1</xdr:col>
      <xdr:colOff>933450</xdr:colOff>
      <xdr:row>37</xdr:row>
      <xdr:rowOff>0</xdr:rowOff>
    </xdr:to>
    <xdr:sp macro="" textlink="">
      <xdr:nvSpPr>
        <xdr:cNvPr id="16442" name="AutoShape 1"/>
        <xdr:cNvSpPr>
          <a:spLocks/>
        </xdr:cNvSpPr>
      </xdr:nvSpPr>
      <xdr:spPr bwMode="auto">
        <a:xfrm>
          <a:off x="1133475" y="62103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16443" name="AutoShape 2"/>
        <xdr:cNvSpPr>
          <a:spLocks/>
        </xdr:cNvSpPr>
      </xdr:nvSpPr>
      <xdr:spPr bwMode="auto">
        <a:xfrm>
          <a:off x="1133475" y="62103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16444" name="AutoShape 3"/>
        <xdr:cNvSpPr>
          <a:spLocks/>
        </xdr:cNvSpPr>
      </xdr:nvSpPr>
      <xdr:spPr bwMode="auto">
        <a:xfrm>
          <a:off x="1133475" y="62103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28575</xdr:rowOff>
    </xdr:from>
    <xdr:to>
      <xdr:col>1</xdr:col>
      <xdr:colOff>933450</xdr:colOff>
      <xdr:row>40</xdr:row>
      <xdr:rowOff>142875</xdr:rowOff>
    </xdr:to>
    <xdr:sp macro="" textlink="">
      <xdr:nvSpPr>
        <xdr:cNvPr id="16445" name="AutoShape 4"/>
        <xdr:cNvSpPr>
          <a:spLocks/>
        </xdr:cNvSpPr>
      </xdr:nvSpPr>
      <xdr:spPr bwMode="auto">
        <a:xfrm>
          <a:off x="1133475" y="62388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41</xdr:row>
      <xdr:rowOff>28575</xdr:rowOff>
    </xdr:from>
    <xdr:to>
      <xdr:col>1</xdr:col>
      <xdr:colOff>933450</xdr:colOff>
      <xdr:row>44</xdr:row>
      <xdr:rowOff>142875</xdr:rowOff>
    </xdr:to>
    <xdr:sp macro="" textlink="">
      <xdr:nvSpPr>
        <xdr:cNvPr id="16446" name="AutoShape 5"/>
        <xdr:cNvSpPr>
          <a:spLocks/>
        </xdr:cNvSpPr>
      </xdr:nvSpPr>
      <xdr:spPr bwMode="auto">
        <a:xfrm>
          <a:off x="1133475" y="68865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45</xdr:row>
      <xdr:rowOff>28575</xdr:rowOff>
    </xdr:from>
    <xdr:to>
      <xdr:col>1</xdr:col>
      <xdr:colOff>933450</xdr:colOff>
      <xdr:row>48</xdr:row>
      <xdr:rowOff>142875</xdr:rowOff>
    </xdr:to>
    <xdr:sp macro="" textlink="">
      <xdr:nvSpPr>
        <xdr:cNvPr id="16447" name="AutoShape 6"/>
        <xdr:cNvSpPr>
          <a:spLocks/>
        </xdr:cNvSpPr>
      </xdr:nvSpPr>
      <xdr:spPr bwMode="auto">
        <a:xfrm>
          <a:off x="1133475" y="75342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49</xdr:row>
      <xdr:rowOff>28575</xdr:rowOff>
    </xdr:from>
    <xdr:to>
      <xdr:col>1</xdr:col>
      <xdr:colOff>933450</xdr:colOff>
      <xdr:row>52</xdr:row>
      <xdr:rowOff>142875</xdr:rowOff>
    </xdr:to>
    <xdr:sp macro="" textlink="">
      <xdr:nvSpPr>
        <xdr:cNvPr id="16448" name="AutoShape 7"/>
        <xdr:cNvSpPr>
          <a:spLocks/>
        </xdr:cNvSpPr>
      </xdr:nvSpPr>
      <xdr:spPr bwMode="auto">
        <a:xfrm>
          <a:off x="1133475" y="81819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53</xdr:row>
      <xdr:rowOff>28575</xdr:rowOff>
    </xdr:from>
    <xdr:to>
      <xdr:col>1</xdr:col>
      <xdr:colOff>933450</xdr:colOff>
      <xdr:row>56</xdr:row>
      <xdr:rowOff>142875</xdr:rowOff>
    </xdr:to>
    <xdr:sp macro="" textlink="">
      <xdr:nvSpPr>
        <xdr:cNvPr id="16449" name="AutoShape 8"/>
        <xdr:cNvSpPr>
          <a:spLocks/>
        </xdr:cNvSpPr>
      </xdr:nvSpPr>
      <xdr:spPr bwMode="auto">
        <a:xfrm>
          <a:off x="1133475" y="88296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16450" name="AutoShape 9"/>
        <xdr:cNvSpPr>
          <a:spLocks/>
        </xdr:cNvSpPr>
      </xdr:nvSpPr>
      <xdr:spPr bwMode="auto">
        <a:xfrm>
          <a:off x="1133475" y="94773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6451" name="AutoShape 10"/>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6452" name="AutoShape 11"/>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13" name="AutoShape 9"/>
        <xdr:cNvSpPr>
          <a:spLocks/>
        </xdr:cNvSpPr>
      </xdr:nvSpPr>
      <xdr:spPr bwMode="auto">
        <a:xfrm>
          <a:off x="1133475" y="94773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4" name="AutoShape 10"/>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5" name="AutoShape 11"/>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28575</xdr:rowOff>
    </xdr:from>
    <xdr:to>
      <xdr:col>1</xdr:col>
      <xdr:colOff>933450</xdr:colOff>
      <xdr:row>64</xdr:row>
      <xdr:rowOff>142875</xdr:rowOff>
    </xdr:to>
    <xdr:sp macro="" textlink="">
      <xdr:nvSpPr>
        <xdr:cNvPr id="16" name="AutoShape 9"/>
        <xdr:cNvSpPr>
          <a:spLocks/>
        </xdr:cNvSpPr>
      </xdr:nvSpPr>
      <xdr:spPr bwMode="auto">
        <a:xfrm>
          <a:off x="1133475" y="101250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54"/>
  <sheetViews>
    <sheetView showGridLines="0" tabSelected="1" zoomScale="85" workbookViewId="0"/>
  </sheetViews>
  <sheetFormatPr defaultRowHeight="12.75"/>
  <cols>
    <col min="1" max="1" width="3" style="53" customWidth="1"/>
    <col min="2" max="2" width="110.7109375" style="53" customWidth="1"/>
    <col min="3" max="16384" width="9.140625" style="53"/>
  </cols>
  <sheetData>
    <row r="2" spans="2:18" s="49" customFormat="1" ht="18">
      <c r="B2" s="48" t="s">
        <v>1</v>
      </c>
      <c r="C2" s="48"/>
      <c r="F2" s="50"/>
      <c r="G2" s="50"/>
      <c r="H2" s="50"/>
      <c r="I2" s="50"/>
      <c r="J2" s="50"/>
      <c r="K2" s="50"/>
      <c r="L2" s="50"/>
      <c r="M2" s="50"/>
      <c r="N2" s="50"/>
      <c r="O2" s="50"/>
      <c r="P2" s="50"/>
      <c r="Q2" s="50"/>
      <c r="R2" s="50"/>
    </row>
    <row r="5" spans="2:18" s="52" customFormat="1">
      <c r="B5" s="51" t="s">
        <v>35</v>
      </c>
      <c r="C5" s="51"/>
      <c r="D5" s="51"/>
    </row>
    <row r="6" spans="2:18">
      <c r="G6" s="54"/>
      <c r="H6" s="54"/>
      <c r="I6" s="54"/>
      <c r="J6" s="54"/>
      <c r="K6" s="54"/>
      <c r="L6" s="54"/>
      <c r="M6" s="54"/>
      <c r="N6" s="54"/>
      <c r="O6" s="54"/>
      <c r="P6" s="54"/>
      <c r="Q6" s="54"/>
      <c r="R6" s="54"/>
    </row>
    <row r="7" spans="2:18" customFormat="1">
      <c r="B7" t="s">
        <v>70</v>
      </c>
      <c r="G7" s="104"/>
      <c r="H7" s="104"/>
      <c r="I7" s="104"/>
      <c r="J7" s="104"/>
      <c r="K7" s="104"/>
      <c r="L7" s="104"/>
      <c r="M7" s="104"/>
      <c r="N7" s="104"/>
      <c r="O7" s="104"/>
      <c r="P7" s="104"/>
      <c r="Q7" s="104"/>
      <c r="R7" s="104"/>
    </row>
    <row r="8" spans="2:18" customFormat="1">
      <c r="B8" s="250" t="s">
        <v>335</v>
      </c>
      <c r="G8" s="104"/>
      <c r="H8" s="104"/>
      <c r="I8" s="104"/>
      <c r="J8" s="104"/>
      <c r="K8" s="104"/>
      <c r="L8" s="104"/>
      <c r="M8" s="104"/>
      <c r="N8" s="104"/>
      <c r="O8" s="104"/>
      <c r="P8" s="104"/>
      <c r="Q8" s="104"/>
      <c r="R8" s="104"/>
    </row>
    <row r="9" spans="2:18" customFormat="1">
      <c r="B9" s="318" t="s">
        <v>341</v>
      </c>
      <c r="G9" s="104"/>
      <c r="H9" s="104"/>
      <c r="I9" s="104"/>
      <c r="J9" s="104"/>
      <c r="K9" s="104"/>
      <c r="L9" s="104"/>
      <c r="M9" s="104"/>
      <c r="N9" s="104"/>
      <c r="O9" s="104"/>
      <c r="P9" s="104"/>
      <c r="Q9" s="104"/>
      <c r="R9" s="104"/>
    </row>
    <row r="10" spans="2:18" customFormat="1">
      <c r="B10" s="105"/>
    </row>
    <row r="11" spans="2:18">
      <c r="C11"/>
      <c r="G11" s="54"/>
      <c r="H11" s="54"/>
      <c r="I11" s="54"/>
      <c r="J11" s="54"/>
      <c r="K11" s="54"/>
      <c r="L11" s="54"/>
      <c r="M11" s="54"/>
      <c r="N11" s="54"/>
      <c r="O11" s="54"/>
      <c r="P11" s="54"/>
      <c r="Q11" s="54"/>
      <c r="R11" s="54"/>
    </row>
    <row r="12" spans="2:18" s="57" customFormat="1">
      <c r="B12" s="56" t="s">
        <v>2</v>
      </c>
    </row>
    <row r="13" spans="2:18" s="58" customFormat="1"/>
    <row r="14" spans="2:18" s="58" customFormat="1">
      <c r="B14" s="1" t="s">
        <v>32</v>
      </c>
    </row>
    <row r="15" spans="2:18" s="58" customFormat="1">
      <c r="B15" s="2"/>
    </row>
    <row r="16" spans="2:18" s="58" customFormat="1">
      <c r="B16" s="3" t="s">
        <v>3</v>
      </c>
    </row>
    <row r="17" spans="2:2" s="58" customFormat="1">
      <c r="B17" s="2"/>
    </row>
    <row r="18" spans="2:2" s="58" customFormat="1">
      <c r="B18" s="4" t="s">
        <v>4</v>
      </c>
    </row>
    <row r="19" spans="2:2" s="58" customFormat="1">
      <c r="B19" s="46"/>
    </row>
    <row r="20" spans="2:2" s="58" customFormat="1">
      <c r="B20" s="5" t="s">
        <v>5</v>
      </c>
    </row>
    <row r="21" spans="2:2" s="58" customFormat="1"/>
    <row r="22" spans="2:2" s="58" customFormat="1">
      <c r="B22" s="47" t="s">
        <v>33</v>
      </c>
    </row>
    <row r="23" spans="2:2" s="58" customFormat="1"/>
    <row r="24" spans="2:2" s="58" customFormat="1"/>
    <row r="26" spans="2:2" s="59" customFormat="1"/>
    <row r="27" spans="2:2" s="59" customFormat="1"/>
    <row r="28" spans="2:2" s="59" customFormat="1"/>
    <row r="29" spans="2:2" s="59" customFormat="1"/>
    <row r="30" spans="2:2" s="59" customFormat="1"/>
    <row r="31" spans="2:2" s="59" customFormat="1"/>
    <row r="32" spans="2:2" s="59" customFormat="1"/>
    <row r="33" s="59" customFormat="1"/>
    <row r="34" s="59" customFormat="1"/>
    <row r="35" s="59" customFormat="1"/>
    <row r="36" s="59" customFormat="1"/>
    <row r="37" s="59" customFormat="1"/>
    <row r="38" s="59" customFormat="1"/>
    <row r="39" s="59" customFormat="1"/>
    <row r="40" s="59" customFormat="1"/>
    <row r="41" s="59" customFormat="1"/>
    <row r="42" s="59" customFormat="1"/>
    <row r="43" s="59" customFormat="1"/>
    <row r="44" s="59" customFormat="1"/>
    <row r="45" s="59" customFormat="1"/>
    <row r="46" s="59" customFormat="1"/>
    <row r="47" s="59" customFormat="1"/>
    <row r="48" s="59" customFormat="1"/>
    <row r="49" s="59" customFormat="1"/>
    <row r="50" s="59" customFormat="1"/>
    <row r="51" s="59" customFormat="1"/>
    <row r="52" s="59" customFormat="1"/>
    <row r="53" s="59" customFormat="1"/>
    <row r="54" s="59" customFormat="1"/>
  </sheetData>
  <phoneticPr fontId="2" type="noConversion"/>
  <pageMargins left="0.75" right="0.75" top="1" bottom="1" header="0.5" footer="0.5"/>
  <pageSetup paperSize="9" scale="74"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pageSetUpPr fitToPage="1"/>
  </sheetPr>
  <dimension ref="A2:BG106"/>
  <sheetViews>
    <sheetView showGridLines="0" zoomScale="85" workbookViewId="0"/>
  </sheetViews>
  <sheetFormatPr defaultRowHeight="12.75"/>
  <cols>
    <col min="1" max="1" width="4.28515625" style="13" customWidth="1"/>
    <col min="2" max="2" width="65" style="13" customWidth="1"/>
    <col min="3" max="3" width="13" style="13" customWidth="1"/>
    <col min="4" max="4" width="7.140625" style="13" customWidth="1"/>
    <col min="5" max="5" width="2.28515625" style="13" customWidth="1"/>
    <col min="6" max="8" width="11.28515625" style="13" customWidth="1"/>
    <col min="9" max="9" width="13.140625" style="13" bestFit="1" customWidth="1"/>
    <col min="10" max="10" width="11.28515625" style="13" customWidth="1"/>
    <col min="11" max="11" width="12.5703125" style="13" bestFit="1" customWidth="1"/>
    <col min="12" max="12" width="11.28515625" style="13" customWidth="1"/>
    <col min="13" max="13" width="12.5703125" style="13" bestFit="1" customWidth="1"/>
    <col min="14" max="14" width="11.28515625" style="13" customWidth="1"/>
    <col min="15" max="17" width="12.42578125" style="13" customWidth="1"/>
    <col min="18" max="18" width="9.28515625" style="13" bestFit="1" customWidth="1"/>
    <col min="19" max="16384" width="9.140625" style="13"/>
  </cols>
  <sheetData>
    <row r="2" spans="2:8" s="10" customFormat="1" ht="18">
      <c r="B2" s="9" t="s">
        <v>120</v>
      </c>
      <c r="C2" s="9"/>
    </row>
    <row r="4" spans="2:8" s="12" customFormat="1">
      <c r="B4" s="137" t="s">
        <v>1</v>
      </c>
      <c r="C4" s="11"/>
    </row>
    <row r="6" spans="2:8">
      <c r="B6" s="138" t="s">
        <v>121</v>
      </c>
      <c r="C6" s="42"/>
      <c r="D6" s="16"/>
      <c r="E6" s="16"/>
      <c r="F6" s="16"/>
      <c r="G6" s="16"/>
      <c r="H6" s="16"/>
    </row>
    <row r="7" spans="2:8">
      <c r="B7" s="138" t="s">
        <v>177</v>
      </c>
      <c r="C7" s="16"/>
      <c r="D7" s="16"/>
      <c r="E7" s="16"/>
      <c r="F7" s="16"/>
      <c r="G7" s="16"/>
      <c r="H7" s="16"/>
    </row>
    <row r="8" spans="2:8">
      <c r="B8" s="138" t="s">
        <v>178</v>
      </c>
      <c r="C8" s="42"/>
      <c r="D8" s="16"/>
      <c r="E8" s="16"/>
      <c r="F8" s="16"/>
      <c r="G8" s="16"/>
      <c r="H8" s="16"/>
    </row>
    <row r="9" spans="2:8">
      <c r="B9" s="140" t="s">
        <v>122</v>
      </c>
      <c r="C9" s="42"/>
      <c r="D9" s="16"/>
      <c r="E9" s="16"/>
      <c r="F9" s="16"/>
      <c r="G9" s="16"/>
      <c r="H9" s="16"/>
    </row>
    <row r="10" spans="2:8" s="141" customFormat="1">
      <c r="B10" s="142"/>
      <c r="C10" s="143"/>
    </row>
    <row r="11" spans="2:8" s="141" customFormat="1">
      <c r="B11" s="144" t="s">
        <v>123</v>
      </c>
      <c r="C11" s="143"/>
    </row>
    <row r="12" spans="2:8" s="141" customFormat="1">
      <c r="B12" s="142" t="s">
        <v>124</v>
      </c>
      <c r="C12" s="145">
        <f>CPI!C12</f>
        <v>3.2000000000000001E-2</v>
      </c>
      <c r="G12" s="146"/>
    </row>
    <row r="13" spans="2:8" s="141" customFormat="1">
      <c r="B13" s="142" t="s">
        <v>125</v>
      </c>
      <c r="C13" s="145">
        <f>CPI!C13</f>
        <v>3.0000000000000001E-3</v>
      </c>
      <c r="G13" s="146"/>
    </row>
    <row r="14" spans="2:8" s="141" customFormat="1">
      <c r="B14" s="142" t="s">
        <v>126</v>
      </c>
      <c r="C14" s="145">
        <f>CPI!C14</f>
        <v>1.4999999999999999E-2</v>
      </c>
      <c r="G14" s="146"/>
    </row>
    <row r="15" spans="2:8" s="141" customFormat="1">
      <c r="B15" s="142" t="s">
        <v>127</v>
      </c>
      <c r="C15" s="145">
        <f>CPI!C15</f>
        <v>2.5999999999999999E-2</v>
      </c>
      <c r="G15" s="146"/>
    </row>
    <row r="16" spans="2:8" s="141" customFormat="1">
      <c r="B16" s="142"/>
      <c r="C16" s="147"/>
      <c r="G16" s="146"/>
    </row>
    <row r="17" spans="1:17" s="141" customFormat="1">
      <c r="B17" s="142" t="s">
        <v>180</v>
      </c>
      <c r="C17" s="148">
        <v>6.2E-2</v>
      </c>
      <c r="F17" s="146" t="s">
        <v>179</v>
      </c>
    </row>
    <row r="18" spans="1:17" s="141" customFormat="1">
      <c r="B18" s="142"/>
      <c r="C18" s="143"/>
      <c r="G18" s="146"/>
    </row>
    <row r="19" spans="1:17">
      <c r="B19" s="14"/>
      <c r="C19" s="14"/>
    </row>
    <row r="20" spans="1:17" s="149" customFormat="1">
      <c r="B20" s="150" t="s">
        <v>181</v>
      </c>
    </row>
    <row r="21" spans="1:17" s="141" customFormat="1"/>
    <row r="22" spans="1:17" s="141" customFormat="1">
      <c r="G22" s="151"/>
      <c r="H22" s="151"/>
      <c r="I22" s="151"/>
      <c r="J22" s="151"/>
      <c r="K22" s="151"/>
      <c r="L22" s="151"/>
      <c r="M22" s="151"/>
      <c r="N22" s="151"/>
    </row>
    <row r="23" spans="1:17" s="154" customFormat="1" ht="73.5" customHeight="1">
      <c r="A23" s="152"/>
      <c r="B23" s="153" t="s">
        <v>128</v>
      </c>
      <c r="C23" s="153"/>
      <c r="D23" s="153"/>
      <c r="E23" s="153"/>
      <c r="F23" s="182" t="s">
        <v>36</v>
      </c>
      <c r="G23" s="182" t="s">
        <v>7</v>
      </c>
      <c r="H23" s="182" t="s">
        <v>39</v>
      </c>
      <c r="I23" s="182" t="s">
        <v>42</v>
      </c>
      <c r="J23" s="182" t="s">
        <v>38</v>
      </c>
      <c r="K23" s="182" t="s">
        <v>40</v>
      </c>
      <c r="L23" s="182" t="s">
        <v>8</v>
      </c>
      <c r="M23" s="182" t="s">
        <v>37</v>
      </c>
      <c r="N23" s="182" t="s">
        <v>41</v>
      </c>
      <c r="O23" s="182" t="s">
        <v>43</v>
      </c>
    </row>
    <row r="24" spans="1:17" s="147" customFormat="1" ht="11.25">
      <c r="A24" s="155"/>
      <c r="B24" s="155"/>
      <c r="C24" s="155"/>
      <c r="D24" s="155"/>
      <c r="E24" s="155"/>
      <c r="F24" s="155"/>
      <c r="G24" s="155"/>
      <c r="H24" s="155"/>
      <c r="I24" s="155"/>
      <c r="J24" s="155"/>
      <c r="K24" s="155"/>
      <c r="L24" s="155"/>
      <c r="M24" s="155"/>
      <c r="N24" s="155"/>
    </row>
    <row r="25" spans="1:17" s="154" customFormat="1" ht="11.25">
      <c r="A25" s="152"/>
      <c r="B25" s="156" t="s">
        <v>50</v>
      </c>
      <c r="C25" s="156"/>
      <c r="D25" s="156"/>
      <c r="E25" s="152"/>
      <c r="F25" s="152"/>
      <c r="G25" s="152"/>
      <c r="H25" s="152"/>
      <c r="I25" s="152"/>
      <c r="J25" s="152"/>
      <c r="K25" s="152"/>
      <c r="L25" s="152"/>
      <c r="M25" s="152"/>
      <c r="N25" s="152"/>
      <c r="O25" s="152"/>
    </row>
    <row r="26" spans="1:17" s="147" customFormat="1" ht="11.25">
      <c r="A26" s="155"/>
      <c r="B26" s="155"/>
      <c r="C26" s="155"/>
      <c r="D26" s="155"/>
      <c r="E26" s="155"/>
      <c r="F26" s="155"/>
      <c r="G26" s="155"/>
      <c r="H26" s="155"/>
      <c r="I26" s="155"/>
      <c r="J26" s="155"/>
      <c r="K26" s="155"/>
      <c r="L26" s="155"/>
      <c r="M26" s="155"/>
      <c r="N26" s="155"/>
      <c r="O26" s="155"/>
    </row>
    <row r="27" spans="1:17" s="147" customFormat="1">
      <c r="A27" s="155"/>
      <c r="B27" s="155" t="s">
        <v>129</v>
      </c>
      <c r="C27" s="139" t="s">
        <v>16</v>
      </c>
      <c r="D27" s="155"/>
      <c r="E27" s="155"/>
      <c r="F27" s="173">
        <v>20974689.139083423</v>
      </c>
      <c r="G27" s="173">
        <v>28191962.10643756</v>
      </c>
      <c r="H27" s="173">
        <v>56313253.417172283</v>
      </c>
      <c r="I27" s="173">
        <v>255402247.48385102</v>
      </c>
      <c r="J27" s="173">
        <v>24634122.018842854</v>
      </c>
      <c r="K27" s="173">
        <v>300101545.81190544</v>
      </c>
      <c r="L27" s="173">
        <v>16801466.255111758</v>
      </c>
      <c r="M27" s="173">
        <v>260487879.13734913</v>
      </c>
      <c r="N27" s="173">
        <v>15550254.477646317</v>
      </c>
      <c r="O27" s="173">
        <v>9673806.0199826322</v>
      </c>
      <c r="P27" s="158"/>
      <c r="Q27" s="77" t="s">
        <v>59</v>
      </c>
    </row>
    <row r="28" spans="1:17" s="147" customFormat="1" ht="11.25">
      <c r="A28" s="155"/>
      <c r="B28" s="155"/>
      <c r="C28" s="155"/>
      <c r="D28" s="155"/>
      <c r="E28" s="155"/>
      <c r="F28" s="155"/>
      <c r="G28" s="155"/>
      <c r="H28" s="155"/>
      <c r="I28" s="155"/>
      <c r="J28" s="155"/>
      <c r="K28" s="155"/>
      <c r="L28" s="155"/>
      <c r="M28" s="155"/>
      <c r="N28" s="155"/>
      <c r="O28" s="155"/>
      <c r="P28" s="159"/>
    </row>
    <row r="29" spans="1:17" s="154" customFormat="1" ht="11.25">
      <c r="A29" s="152"/>
      <c r="B29" s="156" t="s">
        <v>44</v>
      </c>
      <c r="C29" s="156"/>
      <c r="D29" s="152"/>
      <c r="E29" s="152"/>
      <c r="F29" s="152"/>
      <c r="G29" s="152"/>
      <c r="H29" s="152"/>
      <c r="I29" s="152"/>
      <c r="J29" s="152"/>
      <c r="K29" s="152"/>
      <c r="L29" s="152"/>
      <c r="M29" s="152"/>
      <c r="N29" s="152"/>
      <c r="O29" s="152"/>
      <c r="P29" s="160"/>
    </row>
    <row r="30" spans="1:17" s="147" customFormat="1" ht="11.25">
      <c r="A30" s="155"/>
      <c r="B30" s="155"/>
      <c r="C30" s="155"/>
      <c r="D30" s="155"/>
      <c r="E30" s="155"/>
      <c r="F30" s="155"/>
      <c r="G30" s="155"/>
      <c r="H30" s="155"/>
      <c r="I30" s="155"/>
      <c r="L30" s="155"/>
      <c r="O30" s="155"/>
      <c r="P30" s="159"/>
    </row>
    <row r="31" spans="1:17" s="147" customFormat="1">
      <c r="A31" s="155"/>
      <c r="B31" s="155" t="s">
        <v>44</v>
      </c>
      <c r="C31" s="139" t="s">
        <v>16</v>
      </c>
      <c r="D31" s="155"/>
      <c r="E31" s="155"/>
      <c r="F31" s="157">
        <v>21227978.335463699</v>
      </c>
      <c r="G31" s="157">
        <v>28570530.301024225</v>
      </c>
      <c r="H31" s="157">
        <v>58926553.546699367</v>
      </c>
      <c r="I31" s="157">
        <v>282121064.03368688</v>
      </c>
      <c r="J31" s="157">
        <v>23875229.21976427</v>
      </c>
      <c r="K31" s="157">
        <v>324933939.21040112</v>
      </c>
      <c r="L31" s="157">
        <v>17429211.630460016</v>
      </c>
      <c r="M31" s="157">
        <v>282359940.78092891</v>
      </c>
      <c r="N31" s="157">
        <v>18230129.953724548</v>
      </c>
      <c r="O31" s="157">
        <v>4826222.6407609871</v>
      </c>
      <c r="P31" s="158"/>
      <c r="Q31" s="77" t="s">
        <v>59</v>
      </c>
    </row>
    <row r="32" spans="1:17" s="147" customFormat="1" ht="11.25">
      <c r="A32" s="155"/>
      <c r="B32" s="155"/>
      <c r="C32" s="155"/>
      <c r="D32" s="155"/>
      <c r="E32" s="155"/>
      <c r="F32" s="161"/>
      <c r="G32" s="161"/>
      <c r="H32" s="161"/>
      <c r="I32" s="161"/>
      <c r="J32" s="161"/>
      <c r="K32" s="161"/>
      <c r="L32" s="161"/>
      <c r="M32" s="161"/>
      <c r="N32" s="161"/>
      <c r="O32" s="161"/>
      <c r="P32" s="162"/>
    </row>
    <row r="33" spans="1:17" s="147" customFormat="1">
      <c r="A33" s="155"/>
      <c r="B33" s="155" t="s">
        <v>130</v>
      </c>
      <c r="C33" s="139" t="s">
        <v>16</v>
      </c>
      <c r="D33" s="155"/>
      <c r="E33" s="155"/>
      <c r="F33" s="157">
        <v>825015.23625531595</v>
      </c>
      <c r="G33" s="157">
        <v>272917.09999999998</v>
      </c>
      <c r="H33" s="157">
        <v>0</v>
      </c>
      <c r="I33" s="157">
        <v>611000</v>
      </c>
      <c r="J33" s="157">
        <v>1438104.4747212431</v>
      </c>
      <c r="K33" s="157">
        <v>7004694.0313149588</v>
      </c>
      <c r="L33" s="157">
        <v>2550694.4114079247</v>
      </c>
      <c r="M33" s="157">
        <v>12940404</v>
      </c>
      <c r="N33" s="157">
        <v>2494</v>
      </c>
      <c r="O33" s="157">
        <v>0</v>
      </c>
      <c r="P33" s="158"/>
      <c r="Q33" s="77" t="s">
        <v>59</v>
      </c>
    </row>
    <row r="34" spans="1:17" s="147" customFormat="1" ht="11.25">
      <c r="A34" s="155"/>
      <c r="B34" s="155"/>
      <c r="C34" s="155"/>
      <c r="D34" s="155"/>
      <c r="E34" s="155"/>
      <c r="F34" s="163"/>
      <c r="G34" s="163"/>
      <c r="H34" s="163"/>
      <c r="I34" s="163"/>
      <c r="J34" s="163"/>
      <c r="K34" s="163"/>
      <c r="L34" s="163"/>
      <c r="M34" s="163"/>
      <c r="N34" s="163"/>
      <c r="O34" s="163"/>
    </row>
    <row r="35" spans="1:17" s="154" customFormat="1" ht="11.25">
      <c r="A35" s="152"/>
      <c r="B35" s="156" t="s">
        <v>182</v>
      </c>
      <c r="C35" s="156"/>
      <c r="D35" s="156"/>
      <c r="E35" s="152"/>
      <c r="F35" s="152"/>
      <c r="G35" s="152"/>
      <c r="H35" s="152"/>
      <c r="I35" s="152"/>
      <c r="J35" s="152"/>
      <c r="K35" s="152"/>
      <c r="L35" s="152"/>
      <c r="M35" s="152"/>
      <c r="N35" s="152"/>
      <c r="O35" s="152"/>
    </row>
    <row r="36" spans="1:17" s="147" customFormat="1" ht="11.25">
      <c r="A36" s="155"/>
      <c r="B36" s="155"/>
      <c r="C36" s="155"/>
      <c r="D36" s="155"/>
      <c r="E36" s="155"/>
      <c r="F36" s="225"/>
      <c r="G36" s="225"/>
      <c r="H36" s="225"/>
      <c r="I36" s="225"/>
      <c r="J36" s="225"/>
      <c r="K36" s="225"/>
      <c r="L36" s="225"/>
      <c r="M36" s="225"/>
      <c r="N36" s="225"/>
      <c r="O36" s="225"/>
    </row>
    <row r="37" spans="1:17" s="147" customFormat="1">
      <c r="A37" s="164"/>
      <c r="B37" s="164" t="s">
        <v>128</v>
      </c>
      <c r="C37" s="164"/>
      <c r="D37" s="164"/>
      <c r="E37" s="164"/>
      <c r="F37" s="165">
        <v>-0.5</v>
      </c>
      <c r="G37" s="165">
        <v>-0.5</v>
      </c>
      <c r="H37" s="165">
        <v>-1.6</v>
      </c>
      <c r="I37" s="165">
        <v>-3.4</v>
      </c>
      <c r="J37" s="165">
        <v>1</v>
      </c>
      <c r="K37" s="165">
        <v>-2.7</v>
      </c>
      <c r="L37" s="165">
        <v>-1.3</v>
      </c>
      <c r="M37" s="165">
        <v>-2.8000000000000003</v>
      </c>
      <c r="N37" s="165">
        <v>-5.5</v>
      </c>
      <c r="O37" s="165">
        <v>20.6</v>
      </c>
      <c r="P37" s="158"/>
      <c r="Q37" s="77" t="s">
        <v>59</v>
      </c>
    </row>
    <row r="38" spans="1:17" s="141" customFormat="1">
      <c r="F38" s="147"/>
      <c r="G38" s="147"/>
      <c r="H38" s="147"/>
      <c r="I38" s="147"/>
      <c r="J38" s="147"/>
      <c r="K38" s="147"/>
      <c r="L38" s="147"/>
      <c r="M38" s="147"/>
      <c r="N38" s="147"/>
      <c r="O38" s="147"/>
    </row>
    <row r="39" spans="1:17" s="141" customFormat="1">
      <c r="F39" s="147"/>
      <c r="G39" s="147"/>
      <c r="H39" s="147"/>
      <c r="I39" s="147"/>
      <c r="J39" s="147"/>
      <c r="K39" s="147"/>
      <c r="L39" s="147"/>
      <c r="M39" s="147"/>
      <c r="N39" s="147"/>
      <c r="O39" s="147"/>
    </row>
    <row r="40" spans="1:17" s="141" customFormat="1">
      <c r="B40" s="166" t="s">
        <v>131</v>
      </c>
      <c r="C40" s="139" t="s">
        <v>19</v>
      </c>
      <c r="F40" s="167">
        <f>F27*(1-F37/100+$C$14)</f>
        <v>21394182.921865087</v>
      </c>
      <c r="G40" s="167">
        <f t="shared" ref="G40:O40" si="0">G27*(1-G37/100+$C$14)</f>
        <v>28755801.348566305</v>
      </c>
      <c r="H40" s="167">
        <f t="shared" si="0"/>
        <v>58058964.273104616</v>
      </c>
      <c r="I40" s="167">
        <f t="shared" si="0"/>
        <v>267916957.6105597</v>
      </c>
      <c r="J40" s="167">
        <f t="shared" si="0"/>
        <v>24757292.628937066</v>
      </c>
      <c r="K40" s="167">
        <f t="shared" si="0"/>
        <v>312705810.73600543</v>
      </c>
      <c r="L40" s="167">
        <f t="shared" si="0"/>
        <v>17271907.310254883</v>
      </c>
      <c r="M40" s="167">
        <f t="shared" si="0"/>
        <v>271688857.94025511</v>
      </c>
      <c r="N40" s="167">
        <f t="shared" si="0"/>
        <v>16638772.291081557</v>
      </c>
      <c r="O40" s="167">
        <f t="shared" si="0"/>
        <v>7826109.0701659499</v>
      </c>
    </row>
    <row r="41" spans="1:17" s="141" customFormat="1">
      <c r="B41" s="166" t="s">
        <v>132</v>
      </c>
      <c r="C41" s="139" t="s">
        <v>79</v>
      </c>
      <c r="F41" s="167">
        <f>F40*(1-F37/100+$C$15)</f>
        <v>22057402.592442904</v>
      </c>
      <c r="G41" s="167">
        <f t="shared" ref="G41:O41" si="1">G40*(1-G37/100+$C$15)</f>
        <v>29647231.190371856</v>
      </c>
      <c r="H41" s="167">
        <f t="shared" si="1"/>
        <v>60497440.772575013</v>
      </c>
      <c r="I41" s="167">
        <f t="shared" si="1"/>
        <v>283991975.06719327</v>
      </c>
      <c r="J41" s="167">
        <f t="shared" si="1"/>
        <v>25153409.31100006</v>
      </c>
      <c r="K41" s="167">
        <f t="shared" si="1"/>
        <v>329279218.70501369</v>
      </c>
      <c r="L41" s="167">
        <f t="shared" si="1"/>
        <v>17945511.695354823</v>
      </c>
      <c r="M41" s="167">
        <f t="shared" si="1"/>
        <v>286360056.2690289</v>
      </c>
      <c r="N41" s="167">
        <f t="shared" si="1"/>
        <v>17986512.846659161</v>
      </c>
      <c r="O41" s="167">
        <f t="shared" si="1"/>
        <v>6417409.4375360794</v>
      </c>
    </row>
    <row r="42" spans="1:17" s="141" customFormat="1"/>
    <row r="43" spans="1:17" s="149" customFormat="1">
      <c r="B43" s="150" t="s">
        <v>133</v>
      </c>
      <c r="C43" s="150"/>
    </row>
    <row r="44" spans="1:17" s="141" customFormat="1" ht="60.75">
      <c r="E44" s="168"/>
      <c r="F44" s="182" t="s">
        <v>36</v>
      </c>
      <c r="G44" s="182" t="s">
        <v>7</v>
      </c>
      <c r="H44" s="182" t="s">
        <v>39</v>
      </c>
      <c r="I44" s="182" t="s">
        <v>42</v>
      </c>
      <c r="J44" s="182" t="s">
        <v>38</v>
      </c>
      <c r="K44" s="182" t="s">
        <v>40</v>
      </c>
      <c r="L44" s="182" t="s">
        <v>8</v>
      </c>
      <c r="M44" s="182" t="s">
        <v>37</v>
      </c>
      <c r="N44" s="182" t="s">
        <v>41</v>
      </c>
      <c r="O44" s="182" t="s">
        <v>43</v>
      </c>
    </row>
    <row r="45" spans="1:17" s="141" customFormat="1">
      <c r="B45" s="166" t="s">
        <v>53</v>
      </c>
      <c r="C45" s="166"/>
    </row>
    <row r="46" spans="1:17" s="141" customFormat="1">
      <c r="B46" s="177" t="s">
        <v>134</v>
      </c>
      <c r="C46" s="139" t="s">
        <v>79</v>
      </c>
      <c r="F46" s="169"/>
      <c r="G46" s="169"/>
      <c r="H46" s="169"/>
      <c r="I46" s="169"/>
      <c r="J46" s="170">
        <v>8317389.2679221723</v>
      </c>
      <c r="K46" s="169"/>
      <c r="L46" s="170">
        <v>12372090.754821099</v>
      </c>
      <c r="M46" s="169"/>
      <c r="N46" s="169"/>
      <c r="O46" s="169"/>
      <c r="Q46" s="146" t="s">
        <v>135</v>
      </c>
    </row>
    <row r="47" spans="1:17" s="141" customFormat="1">
      <c r="B47" s="177" t="s">
        <v>136</v>
      </c>
      <c r="C47" s="139" t="s">
        <v>79</v>
      </c>
      <c r="F47" s="169"/>
      <c r="G47" s="169"/>
      <c r="H47" s="169"/>
      <c r="I47" s="169"/>
      <c r="J47" s="221">
        <v>831738.92679221719</v>
      </c>
      <c r="K47" s="169"/>
      <c r="L47" s="170">
        <f>L46/6</f>
        <v>2062015.1258035165</v>
      </c>
      <c r="M47" s="169"/>
      <c r="N47" s="169"/>
      <c r="O47" s="169"/>
      <c r="Q47" s="146" t="s">
        <v>135</v>
      </c>
    </row>
    <row r="48" spans="1:17" s="141" customFormat="1">
      <c r="B48" s="177"/>
      <c r="F48" s="147"/>
      <c r="G48" s="147"/>
      <c r="H48" s="147"/>
      <c r="I48" s="147"/>
      <c r="J48" s="147"/>
      <c r="K48" s="147"/>
      <c r="L48" s="171"/>
      <c r="M48" s="147"/>
      <c r="N48" s="147"/>
      <c r="O48" s="147"/>
    </row>
    <row r="49" spans="2:17" s="141" customFormat="1">
      <c r="B49" s="177" t="s">
        <v>137</v>
      </c>
      <c r="C49" s="139" t="s">
        <v>79</v>
      </c>
      <c r="F49" s="167">
        <f t="shared" ref="F49:H49" si="2">F46*$C$17</f>
        <v>0</v>
      </c>
      <c r="G49" s="167">
        <f t="shared" si="2"/>
        <v>0</v>
      </c>
      <c r="H49" s="167">
        <f t="shared" si="2"/>
        <v>0</v>
      </c>
      <c r="I49" s="167">
        <f>I46*$C$17</f>
        <v>0</v>
      </c>
      <c r="J49" s="167">
        <f t="shared" ref="J49" si="3">J46*$C$17</f>
        <v>515678.1346111747</v>
      </c>
      <c r="K49" s="167">
        <f>K46*$C$17</f>
        <v>0</v>
      </c>
      <c r="L49" s="167">
        <f>L46*$C$17</f>
        <v>767069.62679890811</v>
      </c>
      <c r="M49" s="167">
        <f>M46*$C$17</f>
        <v>0</v>
      </c>
      <c r="N49" s="167">
        <f>N46*$C$17</f>
        <v>0</v>
      </c>
      <c r="O49" s="167">
        <f>O46*$C$17</f>
        <v>0</v>
      </c>
    </row>
    <row r="50" spans="2:17" s="141" customFormat="1">
      <c r="B50" s="177"/>
      <c r="F50" s="147"/>
      <c r="G50" s="147"/>
      <c r="H50" s="147"/>
      <c r="I50" s="147"/>
      <c r="J50" s="147"/>
      <c r="K50" s="147"/>
      <c r="L50" s="147"/>
      <c r="M50" s="147"/>
      <c r="N50" s="147"/>
      <c r="O50" s="147"/>
    </row>
    <row r="51" spans="2:17" s="141" customFormat="1">
      <c r="B51" s="166" t="s">
        <v>52</v>
      </c>
      <c r="F51" s="147"/>
      <c r="G51" s="147"/>
      <c r="H51" s="147"/>
      <c r="I51" s="147"/>
      <c r="J51" s="147"/>
      <c r="K51" s="147"/>
      <c r="L51" s="147"/>
      <c r="M51" s="147"/>
      <c r="N51" s="147"/>
      <c r="O51" s="147"/>
    </row>
    <row r="52" spans="2:17" s="141" customFormat="1">
      <c r="B52" s="177" t="s">
        <v>138</v>
      </c>
      <c r="C52" s="139" t="s">
        <v>79</v>
      </c>
      <c r="F52" s="173">
        <v>84</v>
      </c>
      <c r="G52" s="173">
        <v>391176.4</v>
      </c>
      <c r="H52" s="173">
        <v>0</v>
      </c>
      <c r="I52" s="173">
        <v>767902.47589475755</v>
      </c>
      <c r="J52" s="173">
        <v>0</v>
      </c>
      <c r="K52" s="173">
        <v>13691948</v>
      </c>
      <c r="L52" s="173">
        <v>96427.44</v>
      </c>
      <c r="M52" s="173">
        <v>12898160</v>
      </c>
      <c r="N52" s="173">
        <v>7663</v>
      </c>
      <c r="O52" s="173">
        <v>0</v>
      </c>
      <c r="Q52" s="146" t="s">
        <v>139</v>
      </c>
    </row>
    <row r="53" spans="2:17" s="141" customFormat="1">
      <c r="B53" s="177" t="s">
        <v>140</v>
      </c>
      <c r="C53" s="139" t="s">
        <v>79</v>
      </c>
      <c r="F53" s="173">
        <v>1124</v>
      </c>
      <c r="G53" s="173">
        <v>0</v>
      </c>
      <c r="H53" s="173">
        <v>0</v>
      </c>
      <c r="I53" s="173">
        <v>0</v>
      </c>
      <c r="J53" s="173">
        <v>0</v>
      </c>
      <c r="K53" s="173">
        <v>0</v>
      </c>
      <c r="L53" s="173">
        <v>0</v>
      </c>
      <c r="M53" s="173">
        <v>0</v>
      </c>
      <c r="N53" s="173">
        <v>0</v>
      </c>
      <c r="O53" s="173">
        <v>0</v>
      </c>
      <c r="Q53" s="146" t="s">
        <v>139</v>
      </c>
    </row>
    <row r="54" spans="2:17" s="141" customFormat="1">
      <c r="B54" s="177"/>
      <c r="F54" s="147"/>
      <c r="G54" s="147"/>
      <c r="H54" s="147"/>
      <c r="I54" s="147"/>
      <c r="J54" s="147"/>
      <c r="K54" s="147"/>
      <c r="L54" s="147"/>
      <c r="M54" s="147"/>
      <c r="N54" s="147"/>
      <c r="O54" s="147"/>
    </row>
    <row r="55" spans="2:17" s="141" customFormat="1">
      <c r="B55" s="177" t="s">
        <v>141</v>
      </c>
      <c r="C55" s="139" t="s">
        <v>79</v>
      </c>
      <c r="F55" s="174">
        <f>F47+F49+F52+F53</f>
        <v>1208</v>
      </c>
      <c r="G55" s="174">
        <f t="shared" ref="G55:I55" si="4">G47+G49+G52+G53</f>
        <v>391176.4</v>
      </c>
      <c r="H55" s="174">
        <f t="shared" si="4"/>
        <v>0</v>
      </c>
      <c r="I55" s="174">
        <f t="shared" si="4"/>
        <v>767902.47589475755</v>
      </c>
      <c r="J55" s="174">
        <f t="shared" ref="J55" si="5">J47+J49+J52+J53</f>
        <v>1347417.0614033919</v>
      </c>
      <c r="K55" s="174">
        <f>K47+K49+K52+K53</f>
        <v>13691948</v>
      </c>
      <c r="L55" s="174">
        <f>L47+L49+L52+L53</f>
        <v>2925512.1926024244</v>
      </c>
      <c r="M55" s="174">
        <f>M47+M49+M52+M53</f>
        <v>12898160</v>
      </c>
      <c r="N55" s="174">
        <f>N47+N49+N52+N53</f>
        <v>7663</v>
      </c>
      <c r="O55" s="174">
        <f t="shared" ref="O55" si="6">O47+O49+O52+O53</f>
        <v>0</v>
      </c>
    </row>
    <row r="56" spans="2:17" s="141" customFormat="1">
      <c r="B56" s="177" t="s">
        <v>142</v>
      </c>
      <c r="C56" s="139" t="s">
        <v>16</v>
      </c>
      <c r="F56" s="175">
        <f>F55/(1+$C$14)/(1+$C$15)</f>
        <v>1159.9880928374578</v>
      </c>
      <c r="G56" s="175">
        <f t="shared" ref="G56:J56" si="7">G55/(1+$C$14)/(1+$C$15)</f>
        <v>375629.11109190609</v>
      </c>
      <c r="H56" s="175">
        <f t="shared" si="7"/>
        <v>0</v>
      </c>
      <c r="I56" s="175">
        <f t="shared" si="7"/>
        <v>737382.22557808086</v>
      </c>
      <c r="J56" s="175">
        <f t="shared" si="7"/>
        <v>1293864.0292334207</v>
      </c>
      <c r="K56" s="175">
        <f>K55/(1+$C$14)/(1+$C$15)</f>
        <v>13147762.125620566</v>
      </c>
      <c r="L56" s="175">
        <f>L55/(1+$C$14)/(1+$C$15)</f>
        <v>2809237.8384682247</v>
      </c>
      <c r="M56" s="175">
        <f>M55/(1+$C$14)/(1+$C$15)</f>
        <v>12385523.194960583</v>
      </c>
      <c r="N56" s="175">
        <f>N55/(1+$C$14)/(1+$C$15)</f>
        <v>7358.4344001766876</v>
      </c>
      <c r="O56" s="175">
        <f>O55/(1+$C$14)/(1+$C$15)</f>
        <v>0</v>
      </c>
    </row>
    <row r="57" spans="2:17" s="141" customFormat="1">
      <c r="B57" s="177"/>
      <c r="F57" s="176"/>
      <c r="G57" s="147"/>
      <c r="H57" s="147"/>
      <c r="I57" s="147"/>
      <c r="J57" s="147"/>
      <c r="K57" s="147"/>
      <c r="L57" s="147"/>
      <c r="M57" s="147"/>
      <c r="N57" s="147"/>
      <c r="O57" s="147"/>
    </row>
    <row r="58" spans="2:17" s="141" customFormat="1">
      <c r="B58" s="166" t="s">
        <v>143</v>
      </c>
      <c r="F58" s="147"/>
      <c r="G58" s="147"/>
      <c r="H58" s="147"/>
      <c r="I58" s="147"/>
      <c r="J58" s="147"/>
      <c r="K58" s="147"/>
      <c r="L58" s="147"/>
      <c r="M58" s="147"/>
      <c r="N58" s="147"/>
      <c r="O58" s="147"/>
    </row>
    <row r="59" spans="2:17" s="141" customFormat="1">
      <c r="B59" s="177" t="s">
        <v>144</v>
      </c>
      <c r="C59" s="139" t="s">
        <v>16</v>
      </c>
      <c r="F59" s="178">
        <f>F56</f>
        <v>1159.9880928374578</v>
      </c>
      <c r="G59" s="178">
        <f t="shared" ref="G59:I59" si="8">G56</f>
        <v>375629.11109190609</v>
      </c>
      <c r="H59" s="178">
        <f t="shared" si="8"/>
        <v>0</v>
      </c>
      <c r="I59" s="178">
        <f t="shared" si="8"/>
        <v>737382.22557808086</v>
      </c>
      <c r="J59" s="178">
        <f t="shared" ref="J59" si="9">J56</f>
        <v>1293864.0292334207</v>
      </c>
      <c r="K59" s="178">
        <f>K56</f>
        <v>13147762.125620566</v>
      </c>
      <c r="L59" s="178">
        <f>L56</f>
        <v>2809237.8384682247</v>
      </c>
      <c r="M59" s="178">
        <f>M56</f>
        <v>12385523.194960583</v>
      </c>
      <c r="N59" s="178">
        <f>N56</f>
        <v>7358.4344001766876</v>
      </c>
      <c r="O59" s="178">
        <f t="shared" ref="O59" si="10">O56</f>
        <v>0</v>
      </c>
    </row>
    <row r="60" spans="2:17" s="141" customFormat="1">
      <c r="G60" s="172"/>
      <c r="H60" s="172"/>
      <c r="I60" s="172"/>
      <c r="J60" s="172"/>
      <c r="K60" s="172"/>
      <c r="L60" s="172"/>
      <c r="M60" s="172"/>
      <c r="N60" s="172"/>
    </row>
    <row r="61" spans="2:17" s="141" customFormat="1"/>
    <row r="62" spans="2:17" s="21" customFormat="1" ht="13.5" customHeight="1">
      <c r="B62" s="19"/>
      <c r="C62" s="19"/>
      <c r="D62" s="94"/>
      <c r="E62" s="94"/>
      <c r="F62" s="95"/>
      <c r="G62" s="95"/>
      <c r="H62" s="96"/>
      <c r="I62" s="95"/>
      <c r="J62" s="95"/>
      <c r="K62" s="95"/>
      <c r="L62" s="95"/>
      <c r="M62" s="95"/>
      <c r="N62" s="97"/>
      <c r="O62" s="95"/>
      <c r="P62" s="20"/>
      <c r="Q62" s="22"/>
    </row>
    <row r="63" spans="2:17" s="11" customFormat="1">
      <c r="B63" s="150" t="s">
        <v>183</v>
      </c>
      <c r="D63" s="98"/>
      <c r="E63" s="98"/>
      <c r="F63" s="98"/>
      <c r="G63" s="98"/>
      <c r="H63" s="98"/>
      <c r="I63" s="98"/>
      <c r="J63" s="98"/>
      <c r="K63" s="98"/>
      <c r="L63" s="98"/>
      <c r="M63" s="98"/>
      <c r="N63" s="98"/>
      <c r="O63" s="98"/>
    </row>
    <row r="64" spans="2:17" s="141" customFormat="1"/>
    <row r="65" spans="1:59" s="141" customFormat="1">
      <c r="G65" s="151"/>
      <c r="H65" s="151"/>
      <c r="I65" s="151"/>
      <c r="J65" s="151"/>
      <c r="K65" s="151"/>
      <c r="L65" s="151"/>
      <c r="M65" s="151"/>
      <c r="N65" s="151"/>
    </row>
    <row r="66" spans="1:59" s="154" customFormat="1" ht="73.5" customHeight="1">
      <c r="A66" s="152"/>
      <c r="B66" s="226" t="s">
        <v>128</v>
      </c>
      <c r="C66" s="153"/>
      <c r="D66" s="153"/>
      <c r="E66" s="153"/>
      <c r="F66" s="182" t="s">
        <v>36</v>
      </c>
      <c r="G66" s="182" t="s">
        <v>7</v>
      </c>
      <c r="H66" s="182" t="s">
        <v>39</v>
      </c>
      <c r="I66" s="182" t="s">
        <v>42</v>
      </c>
      <c r="J66" s="182" t="s">
        <v>38</v>
      </c>
      <c r="K66" s="182" t="s">
        <v>40</v>
      </c>
      <c r="L66" s="182" t="s">
        <v>8</v>
      </c>
      <c r="M66" s="182" t="s">
        <v>37</v>
      </c>
      <c r="N66" s="182" t="s">
        <v>41</v>
      </c>
      <c r="O66" s="182" t="s">
        <v>43</v>
      </c>
    </row>
    <row r="67" spans="1:59" s="147" customFormat="1">
      <c r="A67" s="155"/>
      <c r="B67" s="227"/>
      <c r="C67" s="155"/>
      <c r="D67" s="155"/>
      <c r="E67" s="155"/>
      <c r="F67" s="155"/>
      <c r="G67" s="155"/>
      <c r="H67" s="155"/>
      <c r="I67" s="155"/>
      <c r="J67" s="155"/>
      <c r="K67" s="155"/>
      <c r="L67" s="155"/>
      <c r="M67" s="155"/>
      <c r="N67" s="155"/>
    </row>
    <row r="68" spans="1:59" s="154" customFormat="1">
      <c r="A68" s="152"/>
      <c r="B68" s="228" t="s">
        <v>50</v>
      </c>
      <c r="C68" s="156"/>
      <c r="D68" s="156"/>
      <c r="E68" s="152"/>
      <c r="F68" s="152"/>
      <c r="G68" s="152"/>
      <c r="H68" s="152"/>
      <c r="I68" s="152"/>
      <c r="J68" s="152"/>
      <c r="K68" s="152"/>
      <c r="L68" s="152"/>
      <c r="M68" s="152"/>
      <c r="N68" s="152"/>
      <c r="O68" s="152"/>
    </row>
    <row r="69" spans="1:59" s="147" customFormat="1">
      <c r="A69" s="155"/>
      <c r="B69" s="227"/>
      <c r="C69" s="155"/>
      <c r="D69" s="155"/>
      <c r="E69" s="155"/>
      <c r="F69" s="155"/>
      <c r="G69" s="155"/>
      <c r="H69" s="155"/>
      <c r="I69" s="155"/>
      <c r="J69" s="155"/>
      <c r="K69" s="155"/>
      <c r="L69" s="155"/>
      <c r="M69" s="155"/>
      <c r="N69" s="155"/>
      <c r="O69" s="155"/>
    </row>
    <row r="70" spans="1:59" s="147" customFormat="1">
      <c r="A70" s="155"/>
      <c r="B70" s="227" t="s">
        <v>129</v>
      </c>
      <c r="C70" s="139" t="s">
        <v>16</v>
      </c>
      <c r="D70" s="155"/>
      <c r="E70" s="155"/>
      <c r="F70" s="173">
        <v>20974689.139083423</v>
      </c>
      <c r="G70" s="173">
        <v>28191962.10643756</v>
      </c>
      <c r="H70" s="173">
        <v>56313253.417172283</v>
      </c>
      <c r="I70" s="173">
        <v>255402247.48385102</v>
      </c>
      <c r="J70" s="173">
        <v>24634122.018842854</v>
      </c>
      <c r="K70" s="173">
        <v>300101545.81190544</v>
      </c>
      <c r="L70" s="173">
        <v>16801466.255111758</v>
      </c>
      <c r="M70" s="173">
        <v>260487879.13734913</v>
      </c>
      <c r="N70" s="173">
        <v>15550254.477646317</v>
      </c>
      <c r="O70" s="173">
        <v>9673806.0199826322</v>
      </c>
      <c r="P70" s="158"/>
      <c r="Q70" s="77" t="s">
        <v>59</v>
      </c>
    </row>
    <row r="71" spans="1:59" s="147" customFormat="1" ht="11.25">
      <c r="A71" s="155"/>
      <c r="B71" s="155"/>
      <c r="C71" s="155"/>
      <c r="D71" s="155"/>
      <c r="E71" s="155"/>
      <c r="F71" s="155"/>
      <c r="G71" s="155"/>
      <c r="H71" s="155"/>
      <c r="I71" s="155"/>
      <c r="J71" s="155"/>
      <c r="K71" s="155"/>
      <c r="L71" s="155"/>
      <c r="M71" s="155"/>
      <c r="N71" s="155"/>
      <c r="O71" s="155"/>
      <c r="P71" s="159"/>
    </row>
    <row r="72" spans="1:59" s="26" customFormat="1">
      <c r="B72" s="25" t="s">
        <v>44</v>
      </c>
      <c r="C72" s="25"/>
      <c r="D72" s="100"/>
      <c r="E72" s="100"/>
      <c r="F72" s="100"/>
      <c r="G72" s="100"/>
      <c r="H72" s="100"/>
      <c r="I72" s="100"/>
      <c r="J72" s="100"/>
      <c r="K72" s="100"/>
      <c r="L72" s="100"/>
      <c r="M72" s="100"/>
      <c r="N72" s="100"/>
      <c r="O72" s="100"/>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row>
    <row r="73" spans="1:59" s="17" customFormat="1">
      <c r="D73" s="101"/>
      <c r="E73" s="101"/>
      <c r="F73" s="101"/>
      <c r="G73" s="101"/>
      <c r="H73" s="101"/>
      <c r="I73" s="101"/>
      <c r="J73" s="101"/>
      <c r="K73" s="101"/>
      <c r="L73" s="101"/>
      <c r="M73" s="101"/>
      <c r="N73" s="101"/>
      <c r="O73" s="101"/>
      <c r="P73" s="43"/>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row>
    <row r="74" spans="1:59" s="17" customFormat="1">
      <c r="B74" s="21" t="s">
        <v>54</v>
      </c>
      <c r="C74" s="41" t="s">
        <v>16</v>
      </c>
      <c r="D74" s="101"/>
      <c r="E74" s="101"/>
      <c r="F74" s="173">
        <v>21227978.335463699</v>
      </c>
      <c r="G74" s="173">
        <v>28570530.301024225</v>
      </c>
      <c r="H74" s="173">
        <v>58926553.546699367</v>
      </c>
      <c r="I74" s="173">
        <v>282121064.03368688</v>
      </c>
      <c r="J74" s="173">
        <v>23875229.21976427</v>
      </c>
      <c r="K74" s="173">
        <v>324933939.21040112</v>
      </c>
      <c r="L74" s="173">
        <v>17429211.630460016</v>
      </c>
      <c r="M74" s="173">
        <v>282359940.78092891</v>
      </c>
      <c r="N74" s="173">
        <v>18230129.953724548</v>
      </c>
      <c r="O74" s="173">
        <v>4826222.6407609871</v>
      </c>
      <c r="P74" s="43"/>
      <c r="Q74" s="77" t="s">
        <v>59</v>
      </c>
      <c r="R74" s="77"/>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row>
    <row r="75" spans="1:59" s="17" customFormat="1">
      <c r="B75" s="21" t="s">
        <v>60</v>
      </c>
      <c r="C75" s="41" t="s">
        <v>16</v>
      </c>
      <c r="D75" s="101"/>
      <c r="E75" s="101"/>
      <c r="F75" s="173">
        <v>827490.28196408215</v>
      </c>
      <c r="G75" s="173">
        <v>273735.85129999998</v>
      </c>
      <c r="H75" s="173">
        <v>0</v>
      </c>
      <c r="I75" s="173">
        <v>612833</v>
      </c>
      <c r="J75" s="173">
        <v>1442418.7881454069</v>
      </c>
      <c r="K75" s="173">
        <v>7025708.1134089027</v>
      </c>
      <c r="L75" s="173">
        <v>2558346.4946421501</v>
      </c>
      <c r="M75" s="173">
        <v>12979225.211999999</v>
      </c>
      <c r="N75" s="173">
        <v>2501.482</v>
      </c>
      <c r="O75" s="173">
        <v>0</v>
      </c>
      <c r="P75" s="43"/>
      <c r="Q75" s="77" t="s">
        <v>59</v>
      </c>
      <c r="R75" s="77"/>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row>
    <row r="76" spans="1:59" s="17" customFormat="1">
      <c r="B76" s="21" t="s">
        <v>186</v>
      </c>
      <c r="C76" s="41" t="s">
        <v>16</v>
      </c>
      <c r="D76" s="101"/>
      <c r="E76" s="101"/>
      <c r="F76" s="222">
        <f>F59</f>
        <v>1159.9880928374578</v>
      </c>
      <c r="G76" s="222">
        <f t="shared" ref="G76:O76" si="11">G59</f>
        <v>375629.11109190609</v>
      </c>
      <c r="H76" s="222">
        <f t="shared" si="11"/>
        <v>0</v>
      </c>
      <c r="I76" s="222">
        <f t="shared" si="11"/>
        <v>737382.22557808086</v>
      </c>
      <c r="J76" s="222">
        <f t="shared" si="11"/>
        <v>1293864.0292334207</v>
      </c>
      <c r="K76" s="222">
        <f t="shared" si="11"/>
        <v>13147762.125620566</v>
      </c>
      <c r="L76" s="222">
        <f>L59</f>
        <v>2809237.8384682247</v>
      </c>
      <c r="M76" s="222">
        <f t="shared" si="11"/>
        <v>12385523.194960583</v>
      </c>
      <c r="N76" s="222">
        <f t="shared" si="11"/>
        <v>7358.4344001766876</v>
      </c>
      <c r="O76" s="222">
        <f t="shared" si="11"/>
        <v>0</v>
      </c>
      <c r="P76" s="43"/>
      <c r="Q76" s="28"/>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row>
    <row r="77" spans="1:59" s="17" customFormat="1">
      <c r="B77" s="21" t="s">
        <v>55</v>
      </c>
      <c r="C77" s="41" t="s">
        <v>16</v>
      </c>
      <c r="D77" s="101"/>
      <c r="E77" s="101"/>
      <c r="F77" s="174">
        <f>F74-F75+F76</f>
        <v>20401648.041592453</v>
      </c>
      <c r="G77" s="174">
        <f t="shared" ref="G77:O77" si="12">G74-G75+G76</f>
        <v>28672423.560816128</v>
      </c>
      <c r="H77" s="174">
        <f t="shared" si="12"/>
        <v>58926553.546699367</v>
      </c>
      <c r="I77" s="174">
        <f t="shared" si="12"/>
        <v>282245613.25926495</v>
      </c>
      <c r="J77" s="174">
        <f t="shared" si="12"/>
        <v>23726674.460852284</v>
      </c>
      <c r="K77" s="174">
        <f t="shared" si="12"/>
        <v>331055993.22261274</v>
      </c>
      <c r="L77" s="174">
        <f>L74-L75+L76</f>
        <v>17680102.974286091</v>
      </c>
      <c r="M77" s="174">
        <f>M74-M75+M76</f>
        <v>281766238.76388949</v>
      </c>
      <c r="N77" s="174">
        <f t="shared" si="12"/>
        <v>18234986.906124726</v>
      </c>
      <c r="O77" s="174">
        <f t="shared" si="12"/>
        <v>4826222.6407609871</v>
      </c>
      <c r="P77" s="43"/>
      <c r="Q77" s="28"/>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row>
    <row r="78" spans="1:59" s="17" customFormat="1">
      <c r="D78" s="101"/>
      <c r="E78" s="101"/>
      <c r="F78" s="101"/>
      <c r="G78" s="101"/>
      <c r="H78" s="101"/>
      <c r="I78" s="101"/>
      <c r="J78" s="101"/>
      <c r="K78" s="101"/>
      <c r="L78" s="101"/>
      <c r="M78" s="101"/>
      <c r="N78" s="101"/>
      <c r="O78" s="101"/>
      <c r="P78" s="43"/>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row>
    <row r="79" spans="1:59" s="26" customFormat="1">
      <c r="B79" s="25" t="s">
        <v>56</v>
      </c>
      <c r="C79" s="25"/>
      <c r="D79" s="100"/>
      <c r="E79" s="100"/>
      <c r="F79" s="100"/>
      <c r="G79" s="100"/>
      <c r="H79" s="100"/>
      <c r="I79" s="100"/>
      <c r="J79" s="100"/>
      <c r="K79" s="100"/>
      <c r="L79" s="100"/>
      <c r="M79" s="100"/>
      <c r="N79" s="100"/>
      <c r="O79" s="100"/>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row>
    <row r="80" spans="1:59" s="17" customFormat="1">
      <c r="D80" s="101"/>
      <c r="E80" s="101"/>
      <c r="F80" s="101"/>
      <c r="G80" s="101"/>
      <c r="H80" s="101"/>
      <c r="I80" s="101"/>
      <c r="J80" s="101"/>
      <c r="K80" s="101"/>
      <c r="L80" s="101"/>
      <c r="M80" s="101"/>
      <c r="N80" s="101"/>
      <c r="O80" s="101"/>
      <c r="P80" s="43"/>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row>
    <row r="81" spans="2:59" s="17" customFormat="1">
      <c r="B81" s="17" t="s">
        <v>9</v>
      </c>
      <c r="D81" s="101"/>
      <c r="E81" s="101"/>
      <c r="F81" s="223">
        <f>100*(1-(F77/F70)^(1/3))</f>
        <v>0.91910839682142198</v>
      </c>
      <c r="G81" s="223">
        <f t="shared" ref="G81:O81" si="13">100*(1-(G77/G70)^(1/3))</f>
        <v>-0.5648862889672257</v>
      </c>
      <c r="H81" s="223">
        <f t="shared" si="13"/>
        <v>-1.5235528066384063</v>
      </c>
      <c r="I81" s="223">
        <f t="shared" si="13"/>
        <v>-3.3873718120275065</v>
      </c>
      <c r="J81" s="223">
        <f t="shared" si="13"/>
        <v>1.2432942932528279</v>
      </c>
      <c r="K81" s="223">
        <f t="shared" si="13"/>
        <v>-3.3263466171002953</v>
      </c>
      <c r="L81" s="223">
        <f t="shared" si="13"/>
        <v>-1.7136412794819256</v>
      </c>
      <c r="M81" s="223">
        <f t="shared" si="13"/>
        <v>-2.6519361103478634</v>
      </c>
      <c r="N81" s="223">
        <f t="shared" si="13"/>
        <v>-5.4522826577695138</v>
      </c>
      <c r="O81" s="223">
        <f t="shared" si="13"/>
        <v>20.688409477365088</v>
      </c>
      <c r="P81" s="43"/>
      <c r="Q81" s="44"/>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row>
    <row r="82" spans="2:59" s="30" customFormat="1">
      <c r="B82" s="29" t="s">
        <v>34</v>
      </c>
      <c r="C82" s="29"/>
      <c r="D82" s="102"/>
      <c r="E82" s="102"/>
      <c r="F82" s="224">
        <f>IF(F81&gt;0,ROUNDDOWN(F81,1),ROUNDUP(F81,1))</f>
        <v>0.9</v>
      </c>
      <c r="G82" s="224">
        <f t="shared" ref="G82:O82" si="14">IF(G81&gt;0,ROUNDDOWN(G81,1),ROUNDUP(G81,1))</f>
        <v>-0.6</v>
      </c>
      <c r="H82" s="224">
        <f t="shared" si="14"/>
        <v>-1.6</v>
      </c>
      <c r="I82" s="224">
        <f t="shared" si="14"/>
        <v>-3.4</v>
      </c>
      <c r="J82" s="224">
        <f t="shared" si="14"/>
        <v>1.2</v>
      </c>
      <c r="K82" s="224">
        <f t="shared" si="14"/>
        <v>-3.4</v>
      </c>
      <c r="L82" s="224">
        <f t="shared" si="14"/>
        <v>-1.8</v>
      </c>
      <c r="M82" s="224">
        <f t="shared" si="14"/>
        <v>-2.7</v>
      </c>
      <c r="N82" s="224">
        <f t="shared" si="14"/>
        <v>-5.5</v>
      </c>
      <c r="O82" s="224">
        <f t="shared" si="14"/>
        <v>20.6</v>
      </c>
      <c r="P82" s="18"/>
      <c r="Q82" s="45"/>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row>
    <row r="83" spans="2:59" s="141" customFormat="1">
      <c r="F83" s="147"/>
      <c r="G83" s="147"/>
      <c r="H83" s="147"/>
      <c r="I83" s="147"/>
      <c r="J83" s="147"/>
      <c r="K83" s="147"/>
      <c r="L83" s="147"/>
      <c r="M83" s="147"/>
      <c r="N83" s="147"/>
      <c r="O83" s="147"/>
    </row>
    <row r="84" spans="2:59" s="141" customFormat="1">
      <c r="F84" s="147"/>
      <c r="G84" s="147"/>
      <c r="H84" s="147"/>
      <c r="I84" s="147"/>
      <c r="J84" s="147"/>
      <c r="K84" s="147"/>
      <c r="L84" s="147"/>
      <c r="M84" s="147"/>
      <c r="N84" s="147"/>
      <c r="O84" s="147"/>
    </row>
    <row r="85" spans="2:59" s="141" customFormat="1">
      <c r="B85" s="166" t="s">
        <v>131</v>
      </c>
      <c r="C85" s="139" t="s">
        <v>19</v>
      </c>
      <c r="F85" s="167">
        <f>F70*(1-F82/100+$C$14)</f>
        <v>21100537.273917925</v>
      </c>
      <c r="G85" s="167">
        <f t="shared" ref="G85:O85" si="15">G70*(1-G82/100+$C$14)</f>
        <v>28783993.310672745</v>
      </c>
      <c r="H85" s="167">
        <f t="shared" si="15"/>
        <v>58058964.273104616</v>
      </c>
      <c r="I85" s="167">
        <f t="shared" si="15"/>
        <v>267916957.6105597</v>
      </c>
      <c r="J85" s="167">
        <f t="shared" si="15"/>
        <v>24708024.384899378</v>
      </c>
      <c r="K85" s="167">
        <f t="shared" si="15"/>
        <v>314806521.55668879</v>
      </c>
      <c r="L85" s="167">
        <f t="shared" si="15"/>
        <v>17355914.641530443</v>
      </c>
      <c r="M85" s="167">
        <f t="shared" si="15"/>
        <v>271428370.06111777</v>
      </c>
      <c r="N85" s="167">
        <f t="shared" si="15"/>
        <v>16638772.291081557</v>
      </c>
      <c r="O85" s="167">
        <f t="shared" si="15"/>
        <v>7826109.0701659499</v>
      </c>
    </row>
    <row r="86" spans="2:59" s="141" customFormat="1">
      <c r="B86" s="166" t="s">
        <v>132</v>
      </c>
      <c r="C86" s="139" t="s">
        <v>79</v>
      </c>
      <c r="F86" s="167">
        <f>F85*(1-F82/100+$C$15)</f>
        <v>21459246.407574527</v>
      </c>
      <c r="G86" s="167">
        <f t="shared" ref="G86:O86" si="16">G85*(1-G82/100+$C$15)</f>
        <v>29705081.096614275</v>
      </c>
      <c r="H86" s="167">
        <f t="shared" si="16"/>
        <v>60497440.772575013</v>
      </c>
      <c r="I86" s="167">
        <f t="shared" si="16"/>
        <v>283991975.06719327</v>
      </c>
      <c r="J86" s="167">
        <f t="shared" si="16"/>
        <v>25053936.726287968</v>
      </c>
      <c r="K86" s="167">
        <f t="shared" si="16"/>
        <v>333694912.85009015</v>
      </c>
      <c r="L86" s="167">
        <f t="shared" si="16"/>
        <v>18119574.885757782</v>
      </c>
      <c r="M86" s="167">
        <f t="shared" si="16"/>
        <v>285814073.674357</v>
      </c>
      <c r="N86" s="167">
        <f t="shared" si="16"/>
        <v>17986512.846659161</v>
      </c>
      <c r="O86" s="167">
        <f t="shared" si="16"/>
        <v>6417409.4375360794</v>
      </c>
    </row>
    <row r="87" spans="2:59" s="141" customFormat="1"/>
    <row r="88" spans="2:59">
      <c r="D88" s="99"/>
      <c r="E88" s="99"/>
      <c r="F88" s="99"/>
      <c r="G88" s="99"/>
      <c r="H88" s="99"/>
      <c r="I88" s="99"/>
      <c r="J88" s="99"/>
      <c r="K88" s="99"/>
      <c r="L88" s="99"/>
      <c r="M88" s="99"/>
      <c r="N88" s="99"/>
      <c r="O88" s="99"/>
      <c r="P88" s="31"/>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row>
    <row r="89" spans="2:59" s="11" customFormat="1">
      <c r="B89" s="11" t="s">
        <v>184</v>
      </c>
      <c r="D89" s="98"/>
      <c r="E89" s="98"/>
      <c r="F89" s="98"/>
      <c r="G89" s="98"/>
      <c r="H89" s="98"/>
      <c r="I89" s="98"/>
      <c r="J89" s="98"/>
      <c r="K89" s="98"/>
      <c r="L89" s="98"/>
      <c r="M89" s="98"/>
      <c r="N89" s="98"/>
      <c r="O89" s="98"/>
    </row>
    <row r="90" spans="2:59">
      <c r="D90" s="99"/>
      <c r="E90" s="99"/>
      <c r="F90" s="99"/>
      <c r="G90" s="99"/>
      <c r="H90" s="99"/>
      <c r="I90" s="99"/>
      <c r="J90" s="99"/>
      <c r="K90" s="99"/>
      <c r="L90" s="99"/>
      <c r="M90" s="99"/>
      <c r="N90" s="99"/>
      <c r="O90" s="99"/>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row>
    <row r="91" spans="2:59" ht="60.75">
      <c r="F91" s="182" t="s">
        <v>36</v>
      </c>
      <c r="G91" s="182" t="s">
        <v>7</v>
      </c>
      <c r="H91" s="182" t="s">
        <v>39</v>
      </c>
      <c r="I91" s="182" t="s">
        <v>42</v>
      </c>
      <c r="J91" s="182" t="s">
        <v>38</v>
      </c>
      <c r="K91" s="182" t="s">
        <v>40</v>
      </c>
      <c r="L91" s="182" t="s">
        <v>8</v>
      </c>
      <c r="M91" s="182" t="s">
        <v>37</v>
      </c>
      <c r="N91" s="182" t="s">
        <v>41</v>
      </c>
      <c r="O91" s="182" t="s">
        <v>43</v>
      </c>
    </row>
    <row r="92" spans="2:59" s="183" customFormat="1">
      <c r="B92" s="180"/>
      <c r="C92" s="180"/>
      <c r="F92" s="181"/>
      <c r="G92" s="181"/>
      <c r="H92" s="181"/>
      <c r="I92" s="181"/>
      <c r="J92" s="181"/>
      <c r="K92" s="181"/>
      <c r="L92" s="181"/>
      <c r="M92" s="181"/>
      <c r="N92" s="181"/>
      <c r="O92" s="181"/>
      <c r="P92" s="181"/>
      <c r="Q92" s="181"/>
      <c r="R92" s="181"/>
    </row>
    <row r="93" spans="2:59" s="183" customFormat="1">
      <c r="B93" s="139" t="s">
        <v>145</v>
      </c>
      <c r="C93" s="139" t="s">
        <v>79</v>
      </c>
      <c r="E93" s="138"/>
      <c r="F93" s="184">
        <f>F41</f>
        <v>22057402.592442904</v>
      </c>
      <c r="G93" s="184">
        <f t="shared" ref="G93:O93" si="17">G41</f>
        <v>29647231.190371856</v>
      </c>
      <c r="H93" s="184">
        <f t="shared" si="17"/>
        <v>60497440.772575013</v>
      </c>
      <c r="I93" s="184">
        <f t="shared" si="17"/>
        <v>283991975.06719327</v>
      </c>
      <c r="J93" s="184">
        <f t="shared" si="17"/>
        <v>25153409.31100006</v>
      </c>
      <c r="K93" s="184">
        <f t="shared" si="17"/>
        <v>329279218.70501369</v>
      </c>
      <c r="L93" s="184">
        <f>L41</f>
        <v>17945511.695354823</v>
      </c>
      <c r="M93" s="184">
        <f t="shared" si="17"/>
        <v>286360056.2690289</v>
      </c>
      <c r="N93" s="184">
        <f t="shared" si="17"/>
        <v>17986512.846659161</v>
      </c>
      <c r="O93" s="184">
        <f t="shared" si="17"/>
        <v>6417409.4375360794</v>
      </c>
      <c r="P93" s="158"/>
      <c r="Q93" s="185"/>
      <c r="R93" s="185"/>
    </row>
    <row r="94" spans="2:59" s="183" customFormat="1">
      <c r="B94" s="186" t="s">
        <v>146</v>
      </c>
      <c r="F94" s="187"/>
      <c r="G94" s="187"/>
      <c r="H94" s="187"/>
      <c r="I94" s="187"/>
      <c r="J94" s="187"/>
      <c r="K94" s="187"/>
      <c r="L94" s="187"/>
      <c r="M94" s="187"/>
      <c r="N94" s="187"/>
      <c r="O94" s="187"/>
      <c r="P94" s="181"/>
      <c r="Q94" s="181"/>
      <c r="R94" s="181"/>
    </row>
    <row r="95" spans="2:59" s="183" customFormat="1">
      <c r="B95" s="180"/>
      <c r="F95" s="187"/>
      <c r="G95" s="187"/>
      <c r="H95" s="187"/>
      <c r="I95" s="187"/>
      <c r="J95" s="187"/>
      <c r="K95" s="187"/>
      <c r="L95" s="187"/>
      <c r="M95" s="187"/>
      <c r="N95" s="187"/>
      <c r="O95" s="187"/>
      <c r="P95" s="181"/>
      <c r="Q95" s="181"/>
      <c r="R95" s="181"/>
    </row>
    <row r="96" spans="2:59" s="139" customFormat="1">
      <c r="B96" s="139" t="s">
        <v>147</v>
      </c>
      <c r="C96" s="139" t="s">
        <v>79</v>
      </c>
      <c r="E96" s="138"/>
      <c r="F96" s="184">
        <f>F86</f>
        <v>21459246.407574527</v>
      </c>
      <c r="G96" s="184">
        <f t="shared" ref="G96:O96" si="18">G86</f>
        <v>29705081.096614275</v>
      </c>
      <c r="H96" s="184">
        <f t="shared" si="18"/>
        <v>60497440.772575013</v>
      </c>
      <c r="I96" s="184">
        <f t="shared" si="18"/>
        <v>283991975.06719327</v>
      </c>
      <c r="J96" s="184">
        <f t="shared" si="18"/>
        <v>25053936.726287968</v>
      </c>
      <c r="K96" s="184">
        <f t="shared" si="18"/>
        <v>333694912.85009015</v>
      </c>
      <c r="L96" s="184">
        <f t="shared" si="18"/>
        <v>18119574.885757782</v>
      </c>
      <c r="M96" s="184">
        <f t="shared" si="18"/>
        <v>285814073.674357</v>
      </c>
      <c r="N96" s="184">
        <f t="shared" si="18"/>
        <v>17986512.846659161</v>
      </c>
      <c r="O96" s="184">
        <f t="shared" si="18"/>
        <v>6417409.4375360794</v>
      </c>
      <c r="P96" s="158"/>
      <c r="Q96" s="185"/>
      <c r="R96" s="185"/>
      <c r="S96" s="179"/>
      <c r="T96" s="179"/>
      <c r="U96" s="179"/>
      <c r="V96" s="179"/>
      <c r="W96" s="179"/>
      <c r="X96" s="179"/>
      <c r="Y96" s="179"/>
      <c r="Z96" s="179"/>
    </row>
    <row r="97" spans="2:26" s="139" customFormat="1">
      <c r="B97" s="186" t="s">
        <v>148</v>
      </c>
      <c r="E97" s="138"/>
      <c r="F97" s="188"/>
      <c r="G97" s="188"/>
      <c r="H97" s="188"/>
      <c r="I97" s="188"/>
      <c r="J97" s="188"/>
      <c r="K97" s="188"/>
      <c r="L97" s="188"/>
      <c r="M97" s="188"/>
      <c r="N97" s="188"/>
      <c r="O97" s="188"/>
    </row>
    <row r="98" spans="2:26" s="139" customFormat="1">
      <c r="B98" s="180"/>
      <c r="E98" s="138"/>
      <c r="F98" s="188"/>
      <c r="G98" s="188"/>
      <c r="H98" s="188"/>
      <c r="I98" s="188"/>
      <c r="J98" s="188"/>
      <c r="K98" s="188"/>
      <c r="L98" s="188"/>
      <c r="M98" s="188"/>
      <c r="N98" s="188"/>
      <c r="O98" s="188"/>
    </row>
    <row r="99" spans="2:26" s="139" customFormat="1">
      <c r="B99" s="139" t="s">
        <v>149</v>
      </c>
      <c r="C99" s="139" t="s">
        <v>79</v>
      </c>
      <c r="E99" s="138"/>
      <c r="F99" s="184">
        <f>F96-F93</f>
        <v>-598156.1848683767</v>
      </c>
      <c r="G99" s="184">
        <f>G96-G93</f>
        <v>57849.906242419034</v>
      </c>
      <c r="H99" s="184">
        <f t="shared" ref="H99:N99" si="19">H96-H93</f>
        <v>0</v>
      </c>
      <c r="I99" s="184">
        <f t="shared" si="19"/>
        <v>0</v>
      </c>
      <c r="J99" s="184">
        <f t="shared" si="19"/>
        <v>-99472.584712091833</v>
      </c>
      <c r="K99" s="184">
        <f t="shared" si="19"/>
        <v>4415694.1450764537</v>
      </c>
      <c r="L99" s="184">
        <f t="shared" si="19"/>
        <v>174063.19040295854</v>
      </c>
      <c r="M99" s="184">
        <f t="shared" si="19"/>
        <v>-545982.59467190504</v>
      </c>
      <c r="N99" s="184">
        <f t="shared" si="19"/>
        <v>0</v>
      </c>
      <c r="O99" s="184">
        <f t="shared" ref="O99" si="20">O96-O93</f>
        <v>0</v>
      </c>
      <c r="P99" s="190"/>
      <c r="Q99" s="190"/>
      <c r="R99" s="190"/>
      <c r="S99" s="179"/>
      <c r="T99" s="179"/>
      <c r="U99" s="179"/>
      <c r="V99" s="179"/>
      <c r="W99" s="179"/>
      <c r="X99" s="179"/>
      <c r="Y99" s="179"/>
      <c r="Z99" s="179"/>
    </row>
    <row r="100" spans="2:26" s="139" customFormat="1">
      <c r="E100" s="138"/>
    </row>
    <row r="101" spans="2:26" s="139" customFormat="1">
      <c r="E101" s="138"/>
    </row>
    <row r="103" spans="2:26" ht="60.75">
      <c r="F103" s="7" t="s">
        <v>36</v>
      </c>
      <c r="G103" s="7" t="s">
        <v>7</v>
      </c>
      <c r="H103" s="7" t="s">
        <v>39</v>
      </c>
      <c r="I103" s="7" t="s">
        <v>42</v>
      </c>
      <c r="J103" s="7" t="s">
        <v>40</v>
      </c>
      <c r="K103" s="7" t="s">
        <v>8</v>
      </c>
      <c r="L103" s="7" t="s">
        <v>37</v>
      </c>
      <c r="M103" s="7" t="s">
        <v>41</v>
      </c>
      <c r="N103" s="7" t="s">
        <v>43</v>
      </c>
    </row>
    <row r="106" spans="2:26">
      <c r="B106" s="139" t="s">
        <v>149</v>
      </c>
      <c r="C106" s="139" t="s">
        <v>79</v>
      </c>
      <c r="D106" s="139"/>
      <c r="E106" s="138"/>
      <c r="F106" s="189">
        <f>F99</f>
        <v>-598156.1848683767</v>
      </c>
      <c r="G106" s="189">
        <f t="shared" ref="G106:H106" si="21">G99</f>
        <v>57849.906242419034</v>
      </c>
      <c r="H106" s="189">
        <f t="shared" si="21"/>
        <v>0</v>
      </c>
      <c r="I106" s="189">
        <f>I99+J99</f>
        <v>-99472.584712091833</v>
      </c>
      <c r="J106" s="189">
        <f>K99</f>
        <v>4415694.1450764537</v>
      </c>
      <c r="K106" s="189">
        <f t="shared" ref="K106:N106" si="22">L99</f>
        <v>174063.19040295854</v>
      </c>
      <c r="L106" s="189">
        <f t="shared" si="22"/>
        <v>-545982.59467190504</v>
      </c>
      <c r="M106" s="189">
        <f t="shared" si="22"/>
        <v>0</v>
      </c>
      <c r="N106" s="189">
        <f t="shared" si="22"/>
        <v>0</v>
      </c>
    </row>
  </sheetData>
  <phoneticPr fontId="2" type="noConversion"/>
  <pageMargins left="0.75" right="0.75" top="1" bottom="1" header="0.5" footer="0.5"/>
  <pageSetup paperSize="9" scale="31"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79"/>
  <sheetViews>
    <sheetView showGridLines="0" zoomScale="85" zoomScaleNormal="85" workbookViewId="0"/>
  </sheetViews>
  <sheetFormatPr defaultRowHeight="12.75"/>
  <cols>
    <col min="1" max="1" width="4.28515625" style="13" customWidth="1"/>
    <col min="2" max="2" width="65" style="13" customWidth="1"/>
    <col min="3" max="3" width="13" style="13" customWidth="1"/>
    <col min="4" max="4" width="7.140625" style="13" customWidth="1"/>
    <col min="5" max="5" width="2.28515625" style="13" customWidth="1"/>
    <col min="6" max="8" width="11.28515625" style="13" hidden="1" customWidth="1"/>
    <col min="9" max="9" width="13.140625" style="13" hidden="1" customWidth="1"/>
    <col min="10" max="10" width="11.28515625" style="13" hidden="1" customWidth="1"/>
    <col min="11" max="11" width="12.5703125" style="13" hidden="1" customWidth="1"/>
    <col min="12" max="12" width="11.28515625" style="13" customWidth="1"/>
    <col min="13" max="13" width="12.5703125" style="13" hidden="1" customWidth="1"/>
    <col min="14" max="14" width="11.28515625" style="13" hidden="1" customWidth="1"/>
    <col min="15" max="15" width="12.42578125" style="13" hidden="1" customWidth="1"/>
    <col min="16" max="17" width="12.42578125" style="13" customWidth="1"/>
    <col min="18" max="18" width="9.28515625" style="13" bestFit="1" customWidth="1"/>
    <col min="19" max="16384" width="9.140625" style="13"/>
  </cols>
  <sheetData>
    <row r="1" spans="2:15">
      <c r="F1" s="15"/>
      <c r="G1" s="15"/>
      <c r="H1" s="15"/>
      <c r="I1" s="15"/>
      <c r="J1" s="15"/>
      <c r="K1" s="15"/>
      <c r="M1" s="15"/>
      <c r="N1" s="15"/>
      <c r="O1" s="15"/>
    </row>
    <row r="2" spans="2:15" s="10" customFormat="1" ht="18">
      <c r="B2" s="9" t="s">
        <v>266</v>
      </c>
      <c r="C2" s="9"/>
      <c r="F2" s="15"/>
      <c r="G2" s="15"/>
      <c r="H2" s="15"/>
      <c r="I2" s="15"/>
      <c r="J2" s="15"/>
      <c r="K2" s="15"/>
    </row>
    <row r="3" spans="2:15">
      <c r="F3" s="15"/>
      <c r="G3" s="15"/>
      <c r="H3" s="15"/>
      <c r="I3" s="15"/>
      <c r="J3" s="15"/>
      <c r="K3" s="15"/>
      <c r="M3" s="15"/>
      <c r="N3" s="15"/>
      <c r="O3" s="15"/>
    </row>
    <row r="4" spans="2:15" s="12" customFormat="1">
      <c r="B4" s="137" t="s">
        <v>1</v>
      </c>
      <c r="C4" s="11"/>
      <c r="F4" s="15"/>
      <c r="G4" s="15"/>
      <c r="H4" s="15"/>
      <c r="I4" s="15"/>
      <c r="J4" s="15"/>
      <c r="K4" s="15"/>
      <c r="M4" s="15"/>
      <c r="N4" s="15"/>
      <c r="O4" s="15"/>
    </row>
    <row r="5" spans="2:15">
      <c r="F5" s="15"/>
      <c r="G5" s="15"/>
      <c r="H5" s="15"/>
      <c r="I5" s="15"/>
      <c r="J5" s="15"/>
      <c r="K5" s="15"/>
      <c r="M5" s="15"/>
      <c r="N5" s="15"/>
      <c r="O5" s="15"/>
    </row>
    <row r="6" spans="2:15">
      <c r="B6" s="230" t="s">
        <v>267</v>
      </c>
      <c r="C6" s="42"/>
      <c r="D6" s="16"/>
      <c r="E6" s="16"/>
      <c r="F6" s="15"/>
      <c r="G6" s="15"/>
      <c r="H6" s="15"/>
      <c r="I6" s="15"/>
      <c r="J6" s="15"/>
      <c r="K6" s="15"/>
      <c r="M6" s="15"/>
      <c r="N6" s="15"/>
      <c r="O6" s="15"/>
    </row>
    <row r="7" spans="2:15">
      <c r="B7" s="230" t="s">
        <v>261</v>
      </c>
      <c r="C7" s="16"/>
      <c r="D7" s="16"/>
      <c r="E7" s="16"/>
      <c r="F7" s="15"/>
      <c r="G7" s="15"/>
      <c r="H7" s="15"/>
      <c r="I7" s="15"/>
      <c r="J7" s="15"/>
      <c r="K7" s="15"/>
      <c r="M7" s="15"/>
      <c r="N7" s="15"/>
      <c r="O7" s="15"/>
    </row>
    <row r="8" spans="2:15">
      <c r="B8" s="138"/>
      <c r="C8" s="42"/>
      <c r="D8" s="16"/>
      <c r="E8" s="16"/>
      <c r="F8" s="15"/>
      <c r="G8" s="15"/>
      <c r="H8" s="15"/>
      <c r="I8" s="15"/>
      <c r="J8" s="15"/>
      <c r="K8" s="15"/>
      <c r="M8" s="15"/>
      <c r="N8" s="15"/>
      <c r="O8" s="15"/>
    </row>
    <row r="9" spans="2:15">
      <c r="B9" s="254" t="s">
        <v>268</v>
      </c>
      <c r="C9" s="42"/>
      <c r="D9" s="16"/>
      <c r="E9" s="16"/>
      <c r="F9" s="15"/>
      <c r="G9" s="15"/>
      <c r="H9" s="15"/>
      <c r="I9" s="15"/>
      <c r="J9" s="15"/>
      <c r="K9" s="15"/>
      <c r="M9" s="15"/>
      <c r="N9" s="15"/>
      <c r="O9" s="15"/>
    </row>
    <row r="10" spans="2:15">
      <c r="B10" s="254"/>
      <c r="C10" s="42"/>
      <c r="D10" s="16"/>
      <c r="E10" s="16"/>
      <c r="F10" s="15"/>
      <c r="G10" s="15"/>
      <c r="H10" s="15"/>
      <c r="I10" s="15"/>
      <c r="J10" s="15"/>
      <c r="K10" s="15"/>
      <c r="M10" s="15"/>
      <c r="N10" s="15"/>
      <c r="O10" s="15"/>
    </row>
    <row r="11" spans="2:15">
      <c r="B11" s="255" t="s">
        <v>198</v>
      </c>
      <c r="C11" s="42"/>
      <c r="D11" s="16"/>
      <c r="E11" s="16"/>
      <c r="F11" s="15"/>
      <c r="G11" s="15"/>
      <c r="H11" s="15"/>
      <c r="I11" s="15"/>
      <c r="J11" s="15"/>
      <c r="K11" s="15"/>
      <c r="M11" s="15"/>
      <c r="N11" s="15"/>
      <c r="O11" s="15"/>
    </row>
    <row r="12" spans="2:15">
      <c r="B12" s="254" t="s">
        <v>269</v>
      </c>
      <c r="C12" s="42"/>
      <c r="D12" s="16"/>
      <c r="E12" s="16"/>
      <c r="F12" s="15"/>
      <c r="G12" s="15"/>
      <c r="H12" s="15"/>
      <c r="I12" s="15"/>
      <c r="J12" s="15"/>
      <c r="K12" s="15"/>
      <c r="M12" s="15"/>
      <c r="N12" s="15"/>
      <c r="O12" s="15"/>
    </row>
    <row r="13" spans="2:15">
      <c r="B13" s="254" t="s">
        <v>270</v>
      </c>
      <c r="C13" s="42"/>
      <c r="D13" s="16"/>
      <c r="E13" s="16"/>
      <c r="F13" s="15"/>
      <c r="G13" s="15"/>
      <c r="H13" s="15"/>
      <c r="I13" s="15"/>
      <c r="J13" s="15"/>
      <c r="K13" s="15"/>
      <c r="M13" s="15"/>
      <c r="N13" s="15"/>
      <c r="O13" s="15"/>
    </row>
    <row r="14" spans="2:15">
      <c r="B14" s="254"/>
      <c r="C14" s="42"/>
      <c r="D14" s="16"/>
      <c r="E14" s="16"/>
      <c r="F14" s="15"/>
      <c r="G14" s="15"/>
      <c r="H14" s="15"/>
      <c r="I14" s="15"/>
      <c r="J14" s="15"/>
      <c r="K14" s="15"/>
      <c r="M14" s="15"/>
      <c r="N14" s="15"/>
      <c r="O14" s="15"/>
    </row>
    <row r="15" spans="2:15">
      <c r="B15" s="255" t="s">
        <v>199</v>
      </c>
      <c r="C15" s="42"/>
      <c r="D15" s="16"/>
      <c r="E15" s="16"/>
      <c r="F15" s="15"/>
      <c r="G15" s="15"/>
      <c r="H15" s="15"/>
      <c r="I15" s="15"/>
      <c r="J15" s="15"/>
      <c r="K15" s="15"/>
      <c r="M15" s="15"/>
      <c r="N15" s="15"/>
      <c r="O15" s="15"/>
    </row>
    <row r="16" spans="2:15">
      <c r="B16" s="254" t="s">
        <v>288</v>
      </c>
      <c r="C16" s="42"/>
      <c r="D16" s="16"/>
      <c r="E16" s="16"/>
      <c r="F16" s="15"/>
      <c r="G16" s="15"/>
      <c r="H16" s="15"/>
      <c r="I16" s="15"/>
      <c r="J16" s="15"/>
      <c r="K16" s="15"/>
      <c r="M16" s="15"/>
      <c r="N16" s="15"/>
      <c r="O16" s="15"/>
    </row>
    <row r="17" spans="2:15">
      <c r="B17" s="254" t="s">
        <v>289</v>
      </c>
      <c r="C17" s="42"/>
      <c r="D17" s="16"/>
      <c r="E17" s="16"/>
      <c r="F17" s="15"/>
      <c r="G17" s="15"/>
      <c r="H17" s="15"/>
      <c r="I17" s="15"/>
      <c r="J17" s="15"/>
      <c r="K17" s="15"/>
      <c r="M17" s="15"/>
      <c r="N17" s="15"/>
      <c r="O17" s="15"/>
    </row>
    <row r="18" spans="2:15">
      <c r="B18" s="254"/>
      <c r="C18" s="42"/>
      <c r="D18" s="16"/>
      <c r="E18" s="16"/>
      <c r="F18" s="15"/>
      <c r="G18" s="15"/>
      <c r="H18" s="15"/>
      <c r="I18" s="15"/>
      <c r="J18" s="15"/>
      <c r="K18" s="15"/>
      <c r="M18" s="15"/>
      <c r="N18" s="15"/>
      <c r="O18" s="15"/>
    </row>
    <row r="19" spans="2:15">
      <c r="B19" s="255" t="s">
        <v>200</v>
      </c>
      <c r="C19" s="42"/>
      <c r="D19" s="16"/>
      <c r="E19" s="16"/>
      <c r="F19" s="15"/>
      <c r="G19" s="15"/>
      <c r="H19" s="15"/>
      <c r="I19" s="15"/>
      <c r="J19" s="15"/>
      <c r="K19" s="15"/>
      <c r="M19" s="15"/>
      <c r="N19" s="15"/>
      <c r="O19" s="15"/>
    </row>
    <row r="20" spans="2:15">
      <c r="B20" s="254" t="s">
        <v>331</v>
      </c>
      <c r="C20" s="42"/>
      <c r="D20" s="16"/>
      <c r="E20" s="16"/>
      <c r="F20" s="15"/>
      <c r="G20" s="15"/>
      <c r="H20" s="15"/>
      <c r="I20" s="15"/>
      <c r="J20" s="15"/>
      <c r="K20" s="15"/>
      <c r="M20" s="15"/>
      <c r="N20" s="15"/>
      <c r="O20" s="15"/>
    </row>
    <row r="21" spans="2:15">
      <c r="B21" s="254"/>
      <c r="C21" s="42"/>
      <c r="D21" s="16"/>
      <c r="E21" s="16"/>
      <c r="F21" s="15"/>
      <c r="G21" s="15"/>
      <c r="H21" s="15"/>
      <c r="I21" s="15"/>
      <c r="J21" s="15"/>
      <c r="K21" s="15"/>
      <c r="M21" s="15"/>
      <c r="N21" s="15"/>
      <c r="O21" s="15"/>
    </row>
    <row r="22" spans="2:15">
      <c r="C22" s="42"/>
      <c r="D22" s="16"/>
      <c r="E22" s="16"/>
      <c r="F22" s="15"/>
      <c r="G22" s="15"/>
      <c r="H22" s="15"/>
      <c r="I22" s="15"/>
      <c r="J22" s="15"/>
      <c r="K22" s="15"/>
      <c r="M22" s="15"/>
      <c r="N22" s="15"/>
      <c r="O22" s="15"/>
    </row>
    <row r="23" spans="2:15" s="149" customFormat="1">
      <c r="B23" s="150" t="s">
        <v>123</v>
      </c>
      <c r="F23" s="234"/>
      <c r="G23" s="234"/>
      <c r="H23" s="234"/>
      <c r="I23" s="234"/>
      <c r="J23" s="234"/>
      <c r="K23" s="234"/>
      <c r="M23" s="234"/>
      <c r="N23" s="234"/>
      <c r="O23" s="234"/>
    </row>
    <row r="24" spans="2:15" s="141" customFormat="1">
      <c r="B24" s="142"/>
      <c r="C24" s="143"/>
      <c r="F24" s="234"/>
      <c r="G24" s="234"/>
      <c r="H24" s="234"/>
      <c r="I24" s="234"/>
      <c r="J24" s="234"/>
      <c r="K24" s="234"/>
      <c r="M24" s="234"/>
      <c r="N24" s="234"/>
      <c r="O24" s="234"/>
    </row>
    <row r="25" spans="2:15" s="141" customFormat="1">
      <c r="B25" s="144" t="s">
        <v>123</v>
      </c>
      <c r="C25" s="143"/>
      <c r="F25" s="234"/>
      <c r="G25" s="234"/>
      <c r="H25" s="234"/>
      <c r="I25" s="234"/>
      <c r="J25" s="234"/>
      <c r="K25" s="234"/>
      <c r="M25" s="234"/>
      <c r="N25" s="234"/>
      <c r="O25" s="234"/>
    </row>
    <row r="26" spans="2:15" s="141" customFormat="1">
      <c r="B26" s="245" t="s">
        <v>195</v>
      </c>
      <c r="C26" s="145">
        <f>CPI!C10</f>
        <v>1.4E-2</v>
      </c>
      <c r="F26" s="234"/>
      <c r="G26" s="235"/>
      <c r="H26" s="234"/>
      <c r="I26" s="234"/>
      <c r="J26" s="234"/>
      <c r="K26" s="234"/>
      <c r="M26" s="234"/>
      <c r="N26" s="234"/>
      <c r="O26" s="234"/>
    </row>
    <row r="27" spans="2:15" s="141" customFormat="1">
      <c r="B27" s="245" t="s">
        <v>196</v>
      </c>
      <c r="C27" s="145">
        <f>CPI!C11</f>
        <v>1.0999999999999999E-2</v>
      </c>
      <c r="F27" s="234"/>
      <c r="G27" s="235"/>
      <c r="H27" s="234"/>
      <c r="I27" s="234"/>
      <c r="J27" s="234"/>
      <c r="K27" s="234"/>
      <c r="M27" s="234"/>
      <c r="N27" s="234"/>
      <c r="O27" s="234"/>
    </row>
    <row r="28" spans="2:15" s="141" customFormat="1">
      <c r="B28" s="245" t="s">
        <v>124</v>
      </c>
      <c r="C28" s="145">
        <f>CPI!C12</f>
        <v>3.2000000000000001E-2</v>
      </c>
      <c r="F28" s="234"/>
      <c r="G28" s="235"/>
      <c r="H28" s="234"/>
      <c r="I28" s="234"/>
      <c r="J28" s="234"/>
      <c r="K28" s="234"/>
      <c r="M28" s="234"/>
      <c r="N28" s="234"/>
      <c r="O28" s="234"/>
    </row>
    <row r="29" spans="2:15" s="141" customFormat="1">
      <c r="B29" s="245" t="s">
        <v>125</v>
      </c>
      <c r="C29" s="145">
        <f>CPI!C13</f>
        <v>3.0000000000000001E-3</v>
      </c>
      <c r="F29" s="234"/>
      <c r="G29" s="235"/>
      <c r="H29" s="234"/>
      <c r="I29" s="234"/>
      <c r="J29" s="234"/>
      <c r="K29" s="234"/>
      <c r="M29" s="234"/>
      <c r="N29" s="234"/>
      <c r="O29" s="234"/>
    </row>
    <row r="30" spans="2:15" s="141" customFormat="1">
      <c r="B30" s="142"/>
      <c r="C30" s="147"/>
      <c r="F30" s="234"/>
      <c r="G30" s="235"/>
      <c r="H30" s="234"/>
      <c r="I30" s="234"/>
      <c r="J30" s="234"/>
      <c r="K30" s="234"/>
      <c r="M30" s="234"/>
      <c r="N30" s="234"/>
      <c r="O30" s="234"/>
    </row>
    <row r="31" spans="2:15" s="141" customFormat="1">
      <c r="B31" s="245" t="s">
        <v>209</v>
      </c>
      <c r="C31" s="292">
        <v>5.5E-2</v>
      </c>
      <c r="F31" s="235"/>
      <c r="G31" s="234"/>
      <c r="H31" s="234"/>
      <c r="I31" s="234"/>
      <c r="J31" s="234"/>
      <c r="K31" s="234"/>
      <c r="M31" s="234"/>
      <c r="N31" s="234"/>
      <c r="O31" s="234"/>
    </row>
    <row r="32" spans="2:15" s="141" customFormat="1">
      <c r="B32" s="142"/>
      <c r="C32" s="143"/>
      <c r="F32" s="234"/>
      <c r="G32" s="235"/>
      <c r="H32" s="234"/>
      <c r="I32" s="234"/>
      <c r="J32" s="234"/>
      <c r="K32" s="234"/>
      <c r="M32" s="234"/>
      <c r="N32" s="234"/>
      <c r="O32" s="234"/>
    </row>
    <row r="33" spans="1:17">
      <c r="B33" s="14"/>
      <c r="C33" s="14"/>
      <c r="F33" s="15"/>
      <c r="G33" s="15"/>
      <c r="H33" s="15"/>
      <c r="I33" s="15"/>
      <c r="J33" s="15"/>
      <c r="K33" s="15"/>
      <c r="M33" s="15"/>
      <c r="N33" s="15"/>
      <c r="O33" s="15"/>
    </row>
    <row r="34" spans="1:17" s="149" customFormat="1">
      <c r="B34" s="150" t="s">
        <v>187</v>
      </c>
      <c r="F34" s="234"/>
      <c r="G34" s="234"/>
      <c r="H34" s="234"/>
      <c r="I34" s="234"/>
      <c r="J34" s="234"/>
      <c r="K34" s="234"/>
      <c r="M34" s="234"/>
      <c r="N34" s="234"/>
      <c r="O34" s="234"/>
    </row>
    <row r="35" spans="1:17" s="141" customFormat="1">
      <c r="F35" s="234"/>
      <c r="G35" s="234"/>
      <c r="H35" s="234"/>
      <c r="I35" s="234"/>
      <c r="J35" s="234"/>
      <c r="K35" s="234"/>
      <c r="M35" s="234"/>
      <c r="N35" s="234"/>
      <c r="O35" s="234"/>
    </row>
    <row r="36" spans="1:17" s="154" customFormat="1" ht="73.5" customHeight="1">
      <c r="A36" s="231"/>
      <c r="B36" s="243"/>
      <c r="C36" s="243"/>
      <c r="D36" s="243"/>
      <c r="E36" s="243"/>
      <c r="F36" s="181"/>
      <c r="G36" s="181"/>
      <c r="H36" s="181"/>
      <c r="I36" s="181"/>
      <c r="J36" s="181"/>
      <c r="K36" s="181"/>
      <c r="L36" s="182" t="s">
        <v>8</v>
      </c>
      <c r="M36" s="181"/>
      <c r="N36" s="181"/>
      <c r="O36" s="181"/>
    </row>
    <row r="37" spans="1:17" s="147" customFormat="1" ht="11.25">
      <c r="A37" s="155"/>
      <c r="B37" s="155"/>
      <c r="C37" s="155"/>
      <c r="D37" s="155"/>
      <c r="E37" s="155"/>
      <c r="F37" s="231"/>
      <c r="G37" s="231"/>
      <c r="H37" s="231"/>
      <c r="I37" s="231"/>
      <c r="J37" s="231"/>
      <c r="K37" s="231"/>
      <c r="L37" s="155"/>
      <c r="M37" s="231"/>
      <c r="N37" s="231"/>
      <c r="O37" s="231"/>
    </row>
    <row r="38" spans="1:17" s="147" customFormat="1">
      <c r="A38" s="155"/>
      <c r="B38" s="177" t="s">
        <v>188</v>
      </c>
      <c r="C38" s="244" t="s">
        <v>190</v>
      </c>
      <c r="D38" s="155"/>
      <c r="E38" s="155"/>
      <c r="F38" s="185"/>
      <c r="G38" s="185"/>
      <c r="H38" s="185"/>
      <c r="I38" s="185"/>
      <c r="J38" s="185"/>
      <c r="K38" s="185"/>
      <c r="L38" s="157">
        <v>12587472.452895015</v>
      </c>
      <c r="M38" s="185"/>
      <c r="N38" s="185"/>
      <c r="O38" s="185"/>
      <c r="P38" s="158"/>
      <c r="Q38" s="248" t="s">
        <v>271</v>
      </c>
    </row>
    <row r="39" spans="1:17" s="147" customFormat="1">
      <c r="A39" s="155"/>
      <c r="B39" s="177"/>
      <c r="C39" s="155"/>
      <c r="D39" s="155"/>
      <c r="E39" s="155"/>
      <c r="F39" s="231"/>
      <c r="G39" s="231"/>
      <c r="H39" s="231"/>
      <c r="I39" s="231"/>
      <c r="J39" s="231"/>
      <c r="K39" s="231"/>
      <c r="L39" s="155"/>
      <c r="M39" s="231"/>
      <c r="N39" s="231"/>
      <c r="O39" s="231"/>
      <c r="P39" s="159"/>
    </row>
    <row r="40" spans="1:17" s="147" customFormat="1">
      <c r="A40" s="155"/>
      <c r="B40" s="177" t="s">
        <v>189</v>
      </c>
      <c r="C40" s="244" t="s">
        <v>190</v>
      </c>
      <c r="D40" s="155"/>
      <c r="E40" s="155"/>
      <c r="F40" s="161"/>
      <c r="G40" s="161"/>
      <c r="H40" s="161"/>
      <c r="I40" s="161"/>
      <c r="J40" s="161"/>
      <c r="K40" s="161"/>
      <c r="L40" s="157">
        <v>12426839.468181998</v>
      </c>
      <c r="M40" s="161"/>
      <c r="N40" s="161"/>
      <c r="O40" s="161"/>
      <c r="P40" s="158"/>
      <c r="Q40" s="248" t="s">
        <v>271</v>
      </c>
    </row>
    <row r="41" spans="1:17" s="147" customFormat="1">
      <c r="A41" s="155"/>
      <c r="B41" s="177" t="s">
        <v>191</v>
      </c>
      <c r="C41" s="244" t="s">
        <v>190</v>
      </c>
      <c r="D41" s="155"/>
      <c r="E41" s="155"/>
      <c r="F41" s="161"/>
      <c r="G41" s="161"/>
      <c r="H41" s="161"/>
      <c r="I41" s="161"/>
      <c r="J41" s="161"/>
      <c r="K41" s="161"/>
      <c r="L41" s="157">
        <v>2593990.6650977856</v>
      </c>
      <c r="M41" s="161"/>
      <c r="N41" s="161"/>
      <c r="O41" s="161"/>
      <c r="P41" s="158"/>
      <c r="Q41" s="248" t="s">
        <v>271</v>
      </c>
    </row>
    <row r="42" spans="1:17" s="147" customFormat="1">
      <c r="A42" s="155"/>
      <c r="B42" s="177"/>
      <c r="C42" s="155"/>
      <c r="D42" s="155"/>
      <c r="E42" s="155"/>
      <c r="F42" s="161"/>
      <c r="G42" s="161"/>
      <c r="H42" s="161"/>
      <c r="I42" s="161"/>
      <c r="J42" s="161"/>
      <c r="K42" s="161"/>
      <c r="L42" s="163"/>
      <c r="M42" s="161"/>
      <c r="N42" s="161"/>
      <c r="O42" s="161"/>
    </row>
    <row r="43" spans="1:17" s="232" customFormat="1">
      <c r="A43" s="247"/>
      <c r="B43" s="177" t="s">
        <v>128</v>
      </c>
      <c r="C43" s="247"/>
      <c r="D43" s="247"/>
      <c r="E43" s="247"/>
      <c r="F43" s="236"/>
      <c r="G43" s="236"/>
      <c r="H43" s="236"/>
      <c r="I43" s="236"/>
      <c r="J43" s="236"/>
      <c r="K43" s="236"/>
      <c r="L43" s="249">
        <v>0.4</v>
      </c>
      <c r="M43" s="236"/>
      <c r="N43" s="236"/>
      <c r="O43" s="236"/>
      <c r="P43" s="246"/>
      <c r="Q43" s="248" t="s">
        <v>271</v>
      </c>
    </row>
    <row r="44" spans="1:17" s="141" customFormat="1">
      <c r="F44" s="231"/>
      <c r="G44" s="231"/>
      <c r="H44" s="231"/>
      <c r="I44" s="231"/>
      <c r="J44" s="231"/>
      <c r="K44" s="231"/>
      <c r="L44" s="147"/>
      <c r="M44" s="231"/>
      <c r="N44" s="231"/>
      <c r="O44" s="231"/>
    </row>
    <row r="45" spans="1:17" s="141" customFormat="1">
      <c r="B45" s="166" t="s">
        <v>192</v>
      </c>
      <c r="C45" s="244" t="s">
        <v>171</v>
      </c>
      <c r="F45" s="185"/>
      <c r="G45" s="185"/>
      <c r="H45" s="185"/>
      <c r="I45" s="185"/>
      <c r="J45" s="185"/>
      <c r="K45" s="185"/>
      <c r="L45" s="167">
        <f>L38*(1-L43/100+$C$27)</f>
        <v>12675584.76006528</v>
      </c>
      <c r="M45" s="185"/>
      <c r="N45" s="185"/>
      <c r="O45" s="185"/>
    </row>
    <row r="46" spans="1:17" s="141" customFormat="1">
      <c r="B46" s="166" t="s">
        <v>193</v>
      </c>
      <c r="C46" s="244" t="s">
        <v>172</v>
      </c>
      <c r="F46" s="185"/>
      <c r="G46" s="185"/>
      <c r="H46" s="185"/>
      <c r="I46" s="185"/>
      <c r="J46" s="185"/>
      <c r="K46" s="185"/>
      <c r="L46" s="167">
        <f>L45*(1-$L$43/100+C28)</f>
        <v>13030501.133347109</v>
      </c>
      <c r="M46" s="185"/>
      <c r="N46" s="185"/>
      <c r="O46" s="185"/>
    </row>
    <row r="47" spans="1:17" s="141" customFormat="1">
      <c r="B47" s="166" t="s">
        <v>194</v>
      </c>
      <c r="C47" s="244" t="s">
        <v>16</v>
      </c>
      <c r="F47" s="185"/>
      <c r="G47" s="185"/>
      <c r="H47" s="185"/>
      <c r="I47" s="185"/>
      <c r="J47" s="185"/>
      <c r="K47" s="185"/>
      <c r="L47" s="167">
        <f>L46*(1-$L$43/100+C29)</f>
        <v>13017470.632213762</v>
      </c>
      <c r="M47" s="185"/>
      <c r="N47" s="185"/>
      <c r="O47" s="185"/>
    </row>
    <row r="48" spans="1:17" s="141" customFormat="1">
      <c r="F48" s="234"/>
      <c r="G48" s="234"/>
      <c r="H48" s="234"/>
      <c r="I48" s="234"/>
      <c r="J48" s="234"/>
      <c r="K48" s="234"/>
      <c r="M48" s="234"/>
      <c r="N48" s="234"/>
      <c r="O48" s="234"/>
    </row>
    <row r="49" spans="1:17" s="149" customFormat="1">
      <c r="B49" s="150" t="s">
        <v>197</v>
      </c>
      <c r="C49" s="150"/>
      <c r="F49" s="234"/>
      <c r="G49" s="234"/>
      <c r="H49" s="234"/>
      <c r="I49" s="234"/>
      <c r="J49" s="234"/>
      <c r="K49" s="234"/>
      <c r="M49" s="234"/>
      <c r="N49" s="234"/>
      <c r="O49" s="234"/>
    </row>
    <row r="50" spans="1:17" s="141" customFormat="1">
      <c r="F50" s="234"/>
      <c r="G50" s="234"/>
      <c r="H50" s="234"/>
      <c r="I50" s="234"/>
      <c r="J50" s="234"/>
      <c r="K50" s="234"/>
      <c r="M50" s="234"/>
      <c r="N50" s="234"/>
      <c r="O50" s="234"/>
    </row>
    <row r="51" spans="1:17" s="154" customFormat="1" ht="73.5" customHeight="1">
      <c r="A51" s="231"/>
      <c r="B51" s="243"/>
      <c r="C51" s="243"/>
      <c r="D51" s="243"/>
      <c r="E51" s="243"/>
      <c r="F51" s="181"/>
      <c r="G51" s="181"/>
      <c r="H51" s="181"/>
      <c r="I51" s="181"/>
      <c r="J51" s="181"/>
      <c r="K51" s="181"/>
      <c r="L51" s="182" t="s">
        <v>8</v>
      </c>
      <c r="M51" s="181"/>
      <c r="N51" s="181"/>
      <c r="O51" s="181"/>
    </row>
    <row r="52" spans="1:17" s="147" customFormat="1" ht="11.25">
      <c r="A52" s="155"/>
      <c r="B52" s="155"/>
      <c r="C52" s="155"/>
      <c r="D52" s="155"/>
      <c r="E52" s="155"/>
      <c r="F52" s="231"/>
      <c r="G52" s="231"/>
      <c r="H52" s="231"/>
      <c r="I52" s="231"/>
      <c r="J52" s="231"/>
      <c r="K52" s="231"/>
      <c r="L52" s="155"/>
      <c r="M52" s="231"/>
      <c r="N52" s="231"/>
      <c r="O52" s="231"/>
    </row>
    <row r="53" spans="1:17" s="147" customFormat="1">
      <c r="A53" s="155"/>
      <c r="B53" s="177" t="s">
        <v>188</v>
      </c>
      <c r="C53" s="244" t="s">
        <v>190</v>
      </c>
      <c r="D53" s="155"/>
      <c r="E53" s="155"/>
      <c r="F53" s="185"/>
      <c r="G53" s="185"/>
      <c r="H53" s="185"/>
      <c r="I53" s="185"/>
      <c r="J53" s="185"/>
      <c r="K53" s="185"/>
      <c r="L53" s="157">
        <v>12587472.452895015</v>
      </c>
      <c r="M53" s="185"/>
      <c r="N53" s="185"/>
      <c r="O53" s="185"/>
      <c r="P53" s="158"/>
      <c r="Q53" s="248" t="s">
        <v>272</v>
      </c>
    </row>
    <row r="54" spans="1:17" s="147" customFormat="1">
      <c r="A54" s="155"/>
      <c r="B54" s="177"/>
      <c r="C54" s="155"/>
      <c r="D54" s="155"/>
      <c r="E54" s="155"/>
      <c r="F54" s="231"/>
      <c r="G54" s="231"/>
      <c r="H54" s="231"/>
      <c r="I54" s="231"/>
      <c r="J54" s="231"/>
      <c r="K54" s="231"/>
      <c r="L54" s="155"/>
      <c r="M54" s="231"/>
      <c r="N54" s="231"/>
      <c r="O54" s="231"/>
      <c r="P54" s="159"/>
    </row>
    <row r="55" spans="1:17" s="147" customFormat="1">
      <c r="A55" s="155"/>
      <c r="B55" s="177" t="s">
        <v>189</v>
      </c>
      <c r="C55" s="244" t="s">
        <v>190</v>
      </c>
      <c r="D55" s="155"/>
      <c r="E55" s="155"/>
      <c r="F55" s="161"/>
      <c r="G55" s="161"/>
      <c r="H55" s="161"/>
      <c r="I55" s="161"/>
      <c r="J55" s="161"/>
      <c r="K55" s="161"/>
      <c r="L55" s="157">
        <v>13047244.347124906</v>
      </c>
      <c r="M55" s="161"/>
      <c r="N55" s="161"/>
      <c r="O55" s="161"/>
      <c r="P55" s="158"/>
      <c r="Q55" s="248" t="s">
        <v>273</v>
      </c>
    </row>
    <row r="56" spans="1:17" s="147" customFormat="1">
      <c r="A56" s="155"/>
      <c r="B56" s="177" t="s">
        <v>191</v>
      </c>
      <c r="C56" s="244" t="s">
        <v>190</v>
      </c>
      <c r="D56" s="155"/>
      <c r="E56" s="155"/>
      <c r="F56" s="161"/>
      <c r="G56" s="161"/>
      <c r="H56" s="161"/>
      <c r="I56" s="161"/>
      <c r="J56" s="161"/>
      <c r="K56" s="161"/>
      <c r="L56" s="157">
        <v>3222171.6316184732</v>
      </c>
      <c r="M56" s="161"/>
      <c r="N56" s="161"/>
      <c r="O56" s="161"/>
      <c r="P56" s="158"/>
      <c r="Q56" s="248" t="s">
        <v>273</v>
      </c>
    </row>
    <row r="57" spans="1:17" s="147" customFormat="1">
      <c r="A57" s="155"/>
      <c r="B57" s="177"/>
      <c r="C57" s="155"/>
      <c r="D57" s="155"/>
      <c r="E57" s="155"/>
      <c r="F57" s="161"/>
      <c r="G57" s="161"/>
      <c r="H57" s="161"/>
      <c r="I57" s="161"/>
      <c r="J57" s="161"/>
      <c r="K57" s="161"/>
      <c r="L57" s="163"/>
      <c r="M57" s="161"/>
      <c r="N57" s="161"/>
      <c r="O57" s="161"/>
    </row>
    <row r="58" spans="1:17" s="232" customFormat="1">
      <c r="A58" s="247"/>
      <c r="B58" s="177" t="s">
        <v>128</v>
      </c>
      <c r="C58" s="247"/>
      <c r="D58" s="247"/>
      <c r="E58" s="247"/>
      <c r="F58" s="236"/>
      <c r="G58" s="236"/>
      <c r="H58" s="236"/>
      <c r="I58" s="236"/>
      <c r="J58" s="236"/>
      <c r="K58" s="236"/>
      <c r="L58" s="251">
        <v>-1.3</v>
      </c>
      <c r="M58" s="236"/>
      <c r="N58" s="236"/>
      <c r="O58" s="236"/>
      <c r="P58" s="246"/>
      <c r="Q58" s="248" t="s">
        <v>273</v>
      </c>
    </row>
    <row r="59" spans="1:17" s="141" customFormat="1">
      <c r="F59" s="231"/>
      <c r="G59" s="231"/>
      <c r="H59" s="231"/>
      <c r="I59" s="231"/>
      <c r="J59" s="231"/>
      <c r="K59" s="231"/>
      <c r="L59" s="147"/>
      <c r="M59" s="231"/>
      <c r="N59" s="231"/>
      <c r="O59" s="231"/>
    </row>
    <row r="60" spans="1:17" s="141" customFormat="1">
      <c r="B60" s="166" t="s">
        <v>192</v>
      </c>
      <c r="C60" s="244" t="s">
        <v>171</v>
      </c>
      <c r="F60" s="185"/>
      <c r="G60" s="185"/>
      <c r="H60" s="185"/>
      <c r="I60" s="185"/>
      <c r="J60" s="185"/>
      <c r="K60" s="185"/>
      <c r="L60" s="167">
        <f>L53*(1-$L$58/100+C$27)</f>
        <v>12889571.791764494</v>
      </c>
      <c r="M60" s="185"/>
      <c r="N60" s="185"/>
      <c r="O60" s="185"/>
    </row>
    <row r="61" spans="1:17" s="141" customFormat="1">
      <c r="B61" s="166" t="s">
        <v>193</v>
      </c>
      <c r="C61" s="244" t="s">
        <v>172</v>
      </c>
      <c r="F61" s="185"/>
      <c r="G61" s="185"/>
      <c r="H61" s="185"/>
      <c r="I61" s="185"/>
      <c r="J61" s="185"/>
      <c r="K61" s="185"/>
      <c r="L61" s="167">
        <f>L60*(1-$L$58/100+C$28)</f>
        <v>13469602.522393895</v>
      </c>
      <c r="M61" s="185"/>
      <c r="N61" s="185"/>
      <c r="O61" s="185"/>
    </row>
    <row r="62" spans="1:17" s="141" customFormat="1">
      <c r="B62" s="166" t="s">
        <v>194</v>
      </c>
      <c r="C62" s="244" t="s">
        <v>16</v>
      </c>
      <c r="F62" s="185"/>
      <c r="G62" s="185"/>
      <c r="H62" s="185"/>
      <c r="I62" s="185"/>
      <c r="J62" s="185"/>
      <c r="K62" s="185"/>
      <c r="L62" s="167">
        <f>L61*(1-$L$58/100+C$29)</f>
        <v>13685116.162752194</v>
      </c>
      <c r="M62" s="185"/>
      <c r="N62" s="185"/>
      <c r="O62" s="185"/>
    </row>
    <row r="63" spans="1:17" s="141" customFormat="1">
      <c r="F63" s="234"/>
      <c r="G63" s="234"/>
      <c r="H63" s="234"/>
      <c r="I63" s="234"/>
      <c r="J63" s="234"/>
      <c r="K63" s="234"/>
      <c r="M63" s="234"/>
      <c r="N63" s="234"/>
      <c r="O63" s="234"/>
    </row>
    <row r="64" spans="1:17" s="149" customFormat="1">
      <c r="B64" s="150" t="s">
        <v>274</v>
      </c>
      <c r="C64" s="150"/>
      <c r="F64" s="234"/>
      <c r="G64" s="234"/>
      <c r="H64" s="234"/>
      <c r="I64" s="234"/>
      <c r="J64" s="234"/>
      <c r="K64" s="234"/>
      <c r="M64" s="234"/>
      <c r="N64" s="234"/>
      <c r="O64" s="234"/>
    </row>
    <row r="65" spans="2:15" s="141" customFormat="1">
      <c r="F65" s="234"/>
      <c r="G65" s="234"/>
      <c r="H65" s="234"/>
      <c r="I65" s="234"/>
      <c r="J65" s="234"/>
      <c r="K65" s="234"/>
      <c r="M65" s="234"/>
      <c r="N65" s="234"/>
      <c r="O65" s="234"/>
    </row>
    <row r="66" spans="2:15" s="141" customFormat="1">
      <c r="B66" s="166" t="s">
        <v>275</v>
      </c>
      <c r="F66" s="234"/>
      <c r="G66" s="234"/>
      <c r="H66" s="234"/>
      <c r="I66" s="234"/>
      <c r="J66" s="234"/>
      <c r="K66" s="234"/>
      <c r="M66" s="234"/>
      <c r="N66" s="234"/>
      <c r="O66" s="234"/>
    </row>
    <row r="67" spans="2:15" s="141" customFormat="1">
      <c r="B67" s="252" t="s">
        <v>276</v>
      </c>
      <c r="C67" s="244" t="s">
        <v>171</v>
      </c>
      <c r="F67" s="234"/>
      <c r="G67" s="234"/>
      <c r="H67" s="234"/>
      <c r="I67" s="234"/>
      <c r="J67" s="234"/>
      <c r="K67" s="234"/>
      <c r="L67" s="222">
        <f>L45</f>
        <v>12675584.76006528</v>
      </c>
      <c r="M67" s="234"/>
      <c r="N67" s="234"/>
      <c r="O67" s="234"/>
    </row>
    <row r="68" spans="2:15" s="141" customFormat="1">
      <c r="B68" s="252" t="s">
        <v>277</v>
      </c>
      <c r="C68" s="244" t="s">
        <v>171</v>
      </c>
      <c r="F68" s="234"/>
      <c r="G68" s="234"/>
      <c r="H68" s="234"/>
      <c r="I68" s="234"/>
      <c r="J68" s="234"/>
      <c r="K68" s="234"/>
      <c r="L68" s="222">
        <f>L60</f>
        <v>12889571.791764494</v>
      </c>
      <c r="M68" s="234"/>
      <c r="N68" s="234"/>
      <c r="O68" s="234"/>
    </row>
    <row r="69" spans="2:15" s="141" customFormat="1">
      <c r="B69" s="252" t="s">
        <v>278</v>
      </c>
      <c r="C69" s="244" t="s">
        <v>171</v>
      </c>
      <c r="F69" s="234"/>
      <c r="G69" s="234"/>
      <c r="H69" s="234"/>
      <c r="I69" s="234"/>
      <c r="J69" s="234"/>
      <c r="K69" s="234"/>
      <c r="L69" s="253">
        <f>L68-L67</f>
        <v>213987.03169921413</v>
      </c>
      <c r="M69" s="234"/>
      <c r="N69" s="234"/>
      <c r="O69" s="234"/>
    </row>
    <row r="70" spans="2:15" s="141" customFormat="1">
      <c r="F70" s="234"/>
      <c r="G70" s="234"/>
      <c r="H70" s="234"/>
      <c r="I70" s="234"/>
      <c r="J70" s="234"/>
      <c r="K70" s="234"/>
      <c r="M70" s="234"/>
      <c r="N70" s="234"/>
      <c r="O70" s="234"/>
    </row>
    <row r="71" spans="2:15" s="141" customFormat="1">
      <c r="B71" s="166" t="s">
        <v>279</v>
      </c>
      <c r="F71" s="234"/>
      <c r="G71" s="234"/>
      <c r="H71" s="234"/>
      <c r="I71" s="234"/>
      <c r="J71" s="234"/>
      <c r="K71" s="234"/>
      <c r="M71" s="234"/>
      <c r="N71" s="234"/>
      <c r="O71" s="234"/>
    </row>
    <row r="72" spans="2:15" s="141" customFormat="1">
      <c r="B72" s="252" t="s">
        <v>276</v>
      </c>
      <c r="C72" s="244" t="s">
        <v>172</v>
      </c>
      <c r="F72" s="234"/>
      <c r="G72" s="234"/>
      <c r="H72" s="234"/>
      <c r="I72" s="234"/>
      <c r="J72" s="234"/>
      <c r="K72" s="234"/>
      <c r="L72" s="222">
        <f>L46</f>
        <v>13030501.133347109</v>
      </c>
      <c r="M72" s="234"/>
      <c r="N72" s="234"/>
      <c r="O72" s="234"/>
    </row>
    <row r="73" spans="2:15" s="141" customFormat="1">
      <c r="B73" s="252" t="s">
        <v>277</v>
      </c>
      <c r="C73" s="244" t="s">
        <v>172</v>
      </c>
      <c r="F73" s="234"/>
      <c r="G73" s="234"/>
      <c r="H73" s="234"/>
      <c r="I73" s="234"/>
      <c r="J73" s="234"/>
      <c r="K73" s="234"/>
      <c r="L73" s="222">
        <f>L61</f>
        <v>13469602.522393895</v>
      </c>
      <c r="M73" s="234"/>
      <c r="N73" s="234"/>
      <c r="O73" s="234"/>
    </row>
    <row r="74" spans="2:15" s="141" customFormat="1">
      <c r="B74" s="252" t="s">
        <v>278</v>
      </c>
      <c r="C74" s="244" t="s">
        <v>172</v>
      </c>
      <c r="F74" s="234"/>
      <c r="G74" s="234"/>
      <c r="H74" s="234"/>
      <c r="I74" s="234"/>
      <c r="J74" s="234"/>
      <c r="K74" s="234"/>
      <c r="L74" s="253">
        <f>L73-L72</f>
        <v>439101.38904678635</v>
      </c>
      <c r="M74" s="234"/>
      <c r="N74" s="234"/>
      <c r="O74" s="234"/>
    </row>
    <row r="75" spans="2:15" s="141" customFormat="1">
      <c r="F75" s="234"/>
      <c r="G75" s="234"/>
      <c r="H75" s="234"/>
      <c r="I75" s="234"/>
      <c r="J75" s="234"/>
      <c r="K75" s="234"/>
      <c r="M75" s="234"/>
      <c r="N75" s="234"/>
      <c r="O75" s="234"/>
    </row>
    <row r="76" spans="2:15" s="141" customFormat="1">
      <c r="B76" s="166" t="s">
        <v>280</v>
      </c>
      <c r="F76" s="234"/>
      <c r="G76" s="234"/>
      <c r="H76" s="234"/>
      <c r="I76" s="234"/>
      <c r="J76" s="234"/>
      <c r="K76" s="234"/>
      <c r="M76" s="234"/>
      <c r="N76" s="234"/>
      <c r="O76" s="234"/>
    </row>
    <row r="77" spans="2:15" s="141" customFormat="1">
      <c r="B77" s="252" t="s">
        <v>276</v>
      </c>
      <c r="C77" s="244" t="s">
        <v>16</v>
      </c>
      <c r="F77" s="234"/>
      <c r="G77" s="234"/>
      <c r="H77" s="234"/>
      <c r="I77" s="234"/>
      <c r="J77" s="234"/>
      <c r="K77" s="234"/>
      <c r="L77" s="222">
        <f>L47</f>
        <v>13017470.632213762</v>
      </c>
      <c r="M77" s="234"/>
      <c r="N77" s="234"/>
      <c r="O77" s="234"/>
    </row>
    <row r="78" spans="2:15" s="141" customFormat="1">
      <c r="B78" s="252" t="s">
        <v>277</v>
      </c>
      <c r="C78" s="244" t="s">
        <v>16</v>
      </c>
      <c r="F78" s="234"/>
      <c r="G78" s="234"/>
      <c r="H78" s="234"/>
      <c r="I78" s="234"/>
      <c r="J78" s="234"/>
      <c r="K78" s="234"/>
      <c r="L78" s="222">
        <f>L62</f>
        <v>13685116.162752194</v>
      </c>
      <c r="M78" s="234"/>
      <c r="N78" s="234"/>
      <c r="O78" s="234"/>
    </row>
    <row r="79" spans="2:15" s="141" customFormat="1">
      <c r="B79" s="252" t="s">
        <v>278</v>
      </c>
      <c r="C79" s="244" t="s">
        <v>16</v>
      </c>
      <c r="F79" s="234"/>
      <c r="G79" s="234"/>
      <c r="H79" s="234"/>
      <c r="I79" s="234"/>
      <c r="J79" s="234"/>
      <c r="K79" s="234"/>
      <c r="L79" s="253">
        <f>L78-L77</f>
        <v>667645.5305384323</v>
      </c>
      <c r="M79" s="234"/>
      <c r="N79" s="234"/>
      <c r="O79" s="234"/>
    </row>
  </sheetData>
  <pageMargins left="0.75" right="0.75" top="1" bottom="1" header="0.5" footer="0.5"/>
  <pageSetup paperSize="9" scale="3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253"/>
  <sheetViews>
    <sheetView showGridLines="0" zoomScale="85" zoomScaleNormal="85" workbookViewId="0"/>
  </sheetViews>
  <sheetFormatPr defaultRowHeight="12.75"/>
  <cols>
    <col min="1" max="1" width="4.28515625" style="13" customWidth="1"/>
    <col min="2" max="2" width="65" style="13" customWidth="1"/>
    <col min="3" max="3" width="13" style="13" customWidth="1"/>
    <col min="4" max="4" width="7.140625" style="13" customWidth="1"/>
    <col min="5" max="5" width="2.28515625" style="13" customWidth="1"/>
    <col min="6" max="8" width="11.28515625" style="13" hidden="1" customWidth="1"/>
    <col min="9" max="9" width="13.140625" style="13" hidden="1" customWidth="1"/>
    <col min="10" max="10" width="11.28515625" style="13" hidden="1" customWidth="1"/>
    <col min="11" max="11" width="12.5703125" style="13" hidden="1" customWidth="1"/>
    <col min="12" max="12" width="11.28515625" style="13" customWidth="1"/>
    <col min="13" max="13" width="12.5703125" style="13" hidden="1" customWidth="1"/>
    <col min="14" max="14" width="11.28515625" style="13" hidden="1" customWidth="1"/>
    <col min="15" max="15" width="12.42578125" style="13" hidden="1" customWidth="1"/>
    <col min="16" max="17" width="12.42578125" style="13" customWidth="1"/>
    <col min="18" max="18" width="9.28515625" style="13" bestFit="1" customWidth="1"/>
    <col min="19" max="16384" width="9.140625" style="13"/>
  </cols>
  <sheetData>
    <row r="1" spans="1:15">
      <c r="F1" s="15"/>
      <c r="G1" s="15"/>
      <c r="H1" s="15"/>
      <c r="I1" s="15"/>
      <c r="J1" s="15"/>
      <c r="K1" s="15"/>
      <c r="M1" s="15"/>
      <c r="N1" s="15"/>
      <c r="O1" s="15"/>
    </row>
    <row r="2" spans="1:15" s="10" customFormat="1" ht="18">
      <c r="B2" s="9" t="s">
        <v>208</v>
      </c>
      <c r="C2" s="9"/>
      <c r="F2" s="15"/>
      <c r="G2" s="15"/>
      <c r="H2" s="15"/>
      <c r="I2" s="15"/>
      <c r="J2" s="15"/>
      <c r="K2" s="15"/>
    </row>
    <row r="3" spans="1:15">
      <c r="F3" s="15"/>
      <c r="G3" s="15"/>
      <c r="H3" s="15"/>
      <c r="I3" s="15"/>
      <c r="J3" s="15"/>
      <c r="K3" s="15"/>
      <c r="M3" s="15"/>
      <c r="N3" s="15"/>
      <c r="O3" s="15"/>
    </row>
    <row r="4" spans="1:15" s="12" customFormat="1">
      <c r="B4" s="137" t="s">
        <v>1</v>
      </c>
      <c r="C4" s="11"/>
      <c r="F4" s="15"/>
      <c r="G4" s="15"/>
      <c r="H4" s="15"/>
      <c r="I4" s="15"/>
      <c r="J4" s="15"/>
      <c r="K4" s="15"/>
      <c r="M4" s="15"/>
      <c r="N4" s="15"/>
      <c r="O4" s="15"/>
    </row>
    <row r="5" spans="1:15">
      <c r="F5" s="15"/>
      <c r="G5" s="15"/>
      <c r="H5" s="15"/>
      <c r="I5" s="15"/>
      <c r="J5" s="15"/>
      <c r="K5" s="15"/>
      <c r="M5" s="15"/>
      <c r="N5" s="15"/>
      <c r="O5" s="15"/>
    </row>
    <row r="6" spans="1:15">
      <c r="B6" s="230" t="s">
        <v>267</v>
      </c>
      <c r="C6" s="42"/>
      <c r="D6" s="16"/>
      <c r="E6" s="16"/>
      <c r="F6" s="15"/>
      <c r="G6" s="15"/>
      <c r="H6" s="15"/>
      <c r="I6" s="15"/>
      <c r="J6" s="15"/>
      <c r="K6" s="15"/>
      <c r="M6" s="15"/>
      <c r="N6" s="15"/>
      <c r="O6" s="15"/>
    </row>
    <row r="7" spans="1:15">
      <c r="B7" s="230" t="s">
        <v>262</v>
      </c>
      <c r="C7" s="16"/>
      <c r="D7" s="16"/>
      <c r="E7" s="16"/>
      <c r="F7" s="15"/>
      <c r="G7" s="15"/>
      <c r="H7" s="15"/>
      <c r="I7" s="15"/>
      <c r="J7" s="15"/>
      <c r="K7" s="15"/>
      <c r="M7" s="15"/>
      <c r="N7" s="15"/>
      <c r="O7" s="15"/>
    </row>
    <row r="8" spans="1:15">
      <c r="B8" s="254"/>
      <c r="C8" s="42"/>
      <c r="D8" s="16"/>
      <c r="E8" s="16"/>
      <c r="F8" s="15"/>
      <c r="G8" s="15"/>
      <c r="H8" s="15"/>
      <c r="I8" s="15"/>
      <c r="J8" s="15"/>
      <c r="K8" s="15"/>
      <c r="M8" s="15"/>
      <c r="N8" s="15"/>
      <c r="O8" s="15"/>
    </row>
    <row r="9" spans="1:15">
      <c r="B9" s="255" t="s">
        <v>199</v>
      </c>
      <c r="C9" s="42"/>
      <c r="D9" s="16"/>
      <c r="E9" s="16"/>
      <c r="F9" s="15"/>
      <c r="G9" s="15"/>
      <c r="H9" s="15"/>
      <c r="I9" s="15"/>
      <c r="J9" s="15"/>
      <c r="K9" s="15"/>
      <c r="M9" s="15"/>
      <c r="N9" s="15"/>
      <c r="O9" s="15"/>
    </row>
    <row r="10" spans="1:15">
      <c r="B10" s="254" t="s">
        <v>258</v>
      </c>
      <c r="C10" s="42"/>
      <c r="D10" s="16"/>
      <c r="E10" s="16"/>
      <c r="F10" s="15"/>
      <c r="G10" s="15"/>
      <c r="H10" s="15"/>
      <c r="I10" s="15"/>
      <c r="J10" s="15"/>
      <c r="K10" s="15"/>
      <c r="M10" s="15"/>
      <c r="N10" s="15"/>
      <c r="O10" s="15"/>
    </row>
    <row r="11" spans="1:15">
      <c r="B11" s="254" t="s">
        <v>259</v>
      </c>
      <c r="C11" s="42"/>
      <c r="D11" s="16"/>
      <c r="E11" s="16"/>
      <c r="F11" s="15"/>
      <c r="G11" s="15"/>
      <c r="H11" s="15"/>
      <c r="I11" s="15"/>
      <c r="J11" s="15"/>
      <c r="K11" s="15"/>
      <c r="M11" s="15"/>
      <c r="N11" s="15"/>
      <c r="O11" s="15"/>
    </row>
    <row r="12" spans="1:15">
      <c r="B12" s="254"/>
      <c r="C12" s="42"/>
      <c r="D12" s="16"/>
      <c r="E12" s="16"/>
      <c r="F12" s="15"/>
      <c r="G12" s="15"/>
      <c r="H12" s="15"/>
      <c r="I12" s="15"/>
      <c r="J12" s="15"/>
      <c r="K12" s="15"/>
      <c r="M12" s="15"/>
      <c r="N12" s="15"/>
      <c r="O12" s="15"/>
    </row>
    <row r="13" spans="1:15" s="149" customFormat="1" ht="12" customHeight="1">
      <c r="B13" s="150" t="s">
        <v>238</v>
      </c>
      <c r="F13" s="234"/>
      <c r="G13" s="234"/>
      <c r="H13" s="234"/>
      <c r="I13" s="234"/>
      <c r="J13" s="234"/>
      <c r="K13" s="234"/>
      <c r="M13" s="234"/>
      <c r="N13" s="234"/>
      <c r="O13" s="234"/>
    </row>
    <row r="14" spans="1:15" s="141" customFormat="1">
      <c r="F14" s="234"/>
      <c r="G14" s="234"/>
      <c r="H14" s="234"/>
      <c r="I14" s="234"/>
      <c r="J14" s="234"/>
      <c r="K14" s="234"/>
      <c r="M14" s="234"/>
      <c r="N14" s="234"/>
      <c r="O14" s="234"/>
    </row>
    <row r="15" spans="1:15" s="154" customFormat="1" ht="73.5" customHeight="1">
      <c r="A15" s="231"/>
      <c r="B15" s="243"/>
      <c r="C15" s="243"/>
      <c r="D15" s="243"/>
      <c r="E15" s="243"/>
      <c r="F15" s="181"/>
      <c r="G15" s="181"/>
      <c r="H15" s="181"/>
      <c r="I15" s="181"/>
      <c r="J15" s="181"/>
      <c r="K15" s="181"/>
      <c r="L15" s="182" t="s">
        <v>8</v>
      </c>
      <c r="M15" s="181"/>
      <c r="N15" s="181"/>
      <c r="O15" s="181"/>
    </row>
    <row r="16" spans="1:15" s="147" customFormat="1" ht="11.25">
      <c r="A16" s="155"/>
      <c r="B16" s="155"/>
      <c r="C16" s="155"/>
      <c r="D16" s="155"/>
      <c r="E16" s="155"/>
      <c r="F16" s="231"/>
      <c r="G16" s="231"/>
      <c r="H16" s="231"/>
      <c r="I16" s="231"/>
      <c r="J16" s="231"/>
      <c r="K16" s="231"/>
      <c r="L16" s="155"/>
      <c r="M16" s="231"/>
      <c r="N16" s="231"/>
      <c r="O16" s="231"/>
    </row>
    <row r="17" spans="2:20" s="231" customFormat="1">
      <c r="B17" s="260" t="s">
        <v>201</v>
      </c>
      <c r="C17" s="244"/>
      <c r="F17" s="185"/>
      <c r="G17" s="185"/>
      <c r="H17" s="185"/>
      <c r="I17" s="185"/>
      <c r="J17" s="185"/>
      <c r="K17" s="185"/>
      <c r="L17" s="161"/>
      <c r="M17" s="185"/>
      <c r="N17" s="185"/>
      <c r="O17" s="185"/>
      <c r="P17" s="257"/>
      <c r="Q17" s="258"/>
    </row>
    <row r="18" spans="2:20" s="231" customFormat="1">
      <c r="B18" s="250" t="s">
        <v>204</v>
      </c>
      <c r="C18" s="244" t="s">
        <v>171</v>
      </c>
      <c r="L18" s="263">
        <v>-37762.417358685285</v>
      </c>
      <c r="P18" s="259"/>
      <c r="Q18" s="248" t="s">
        <v>251</v>
      </c>
      <c r="R18" s="147"/>
      <c r="S18" s="147"/>
    </row>
    <row r="19" spans="2:20" s="231" customFormat="1">
      <c r="F19" s="161"/>
      <c r="G19" s="161"/>
      <c r="H19" s="161"/>
      <c r="I19" s="161"/>
      <c r="J19" s="161"/>
      <c r="K19" s="161"/>
      <c r="L19" s="161"/>
      <c r="M19" s="161"/>
      <c r="N19" s="161"/>
      <c r="O19" s="161"/>
      <c r="P19" s="257"/>
      <c r="Q19" s="258"/>
    </row>
    <row r="20" spans="2:20" s="234" customFormat="1">
      <c r="B20" s="260" t="s">
        <v>202</v>
      </c>
      <c r="C20" s="244"/>
      <c r="F20" s="231"/>
      <c r="G20" s="231"/>
      <c r="H20" s="231"/>
      <c r="I20" s="231"/>
      <c r="J20" s="231"/>
      <c r="K20" s="231"/>
      <c r="L20" s="231"/>
      <c r="M20" s="231"/>
      <c r="N20" s="231"/>
      <c r="O20" s="231"/>
      <c r="R20" s="231"/>
      <c r="S20" s="231"/>
      <c r="T20" s="231"/>
    </row>
    <row r="21" spans="2:20" s="234" customFormat="1">
      <c r="B21" s="250" t="s">
        <v>205</v>
      </c>
      <c r="C21" s="244" t="s">
        <v>172</v>
      </c>
      <c r="F21" s="185"/>
      <c r="G21" s="185"/>
      <c r="H21" s="185"/>
      <c r="I21" s="185"/>
      <c r="J21" s="185"/>
      <c r="K21" s="185"/>
      <c r="L21" s="263">
        <v>127385.22122330219</v>
      </c>
      <c r="M21" s="185"/>
      <c r="N21" s="185"/>
      <c r="O21" s="185"/>
      <c r="Q21" s="248" t="s">
        <v>252</v>
      </c>
      <c r="R21" s="231"/>
      <c r="S21" s="231"/>
      <c r="T21" s="231"/>
    </row>
    <row r="22" spans="2:20" s="234" customFormat="1">
      <c r="B22" s="260"/>
      <c r="C22" s="260"/>
      <c r="R22" s="231"/>
      <c r="S22" s="231"/>
      <c r="T22" s="231"/>
    </row>
    <row r="23" spans="2:20" s="234" customFormat="1">
      <c r="B23" s="260" t="s">
        <v>203</v>
      </c>
      <c r="R23" s="231"/>
      <c r="S23" s="231"/>
      <c r="T23" s="231"/>
    </row>
    <row r="24" spans="2:20" s="234" customFormat="1">
      <c r="B24" s="264" t="s">
        <v>206</v>
      </c>
      <c r="C24" s="244" t="s">
        <v>16</v>
      </c>
      <c r="L24" s="263">
        <v>-344499.28317915089</v>
      </c>
      <c r="Q24" s="248" t="s">
        <v>257</v>
      </c>
      <c r="R24" s="231"/>
      <c r="S24" s="231"/>
      <c r="T24" s="231"/>
    </row>
    <row r="25" spans="2:20" s="234" customFormat="1">
      <c r="B25" s="265" t="s">
        <v>207</v>
      </c>
      <c r="C25" s="244" t="s">
        <v>172</v>
      </c>
      <c r="L25" s="263">
        <v>-280624.88964154571</v>
      </c>
      <c r="Q25" s="248" t="s">
        <v>257</v>
      </c>
      <c r="R25" s="231"/>
      <c r="S25" s="231"/>
      <c r="T25" s="231"/>
    </row>
    <row r="26" spans="2:20" s="234" customFormat="1">
      <c r="B26" s="264"/>
      <c r="C26" s="244"/>
      <c r="D26" s="244"/>
      <c r="E26" s="244"/>
      <c r="F26" s="244"/>
      <c r="G26" s="244"/>
      <c r="H26" s="244"/>
      <c r="I26" s="244"/>
      <c r="J26" s="244"/>
      <c r="K26" s="244"/>
      <c r="L26" s="244"/>
      <c r="M26" s="244"/>
      <c r="N26" s="244"/>
      <c r="O26" s="244"/>
      <c r="P26" s="244"/>
      <c r="Q26" s="244"/>
      <c r="R26" s="244"/>
      <c r="S26" s="244"/>
      <c r="T26" s="244"/>
    </row>
    <row r="27" spans="2:20" s="234" customFormat="1">
      <c r="B27" s="293" t="s">
        <v>253</v>
      </c>
      <c r="C27" s="244"/>
      <c r="D27" s="244"/>
      <c r="E27" s="244"/>
      <c r="F27" s="244"/>
      <c r="G27" s="244"/>
      <c r="H27" s="244"/>
      <c r="I27" s="244"/>
      <c r="J27" s="244"/>
      <c r="K27" s="244"/>
      <c r="L27" s="244"/>
      <c r="M27" s="244"/>
      <c r="N27" s="244"/>
      <c r="O27" s="244"/>
      <c r="P27" s="244"/>
      <c r="Q27" s="244"/>
      <c r="R27" s="244"/>
      <c r="S27" s="244"/>
      <c r="T27" s="244"/>
    </row>
    <row r="28" spans="2:20" s="15" customFormat="1">
      <c r="B28" s="15" t="s">
        <v>254</v>
      </c>
      <c r="C28" s="244" t="s">
        <v>171</v>
      </c>
      <c r="L28" s="253">
        <f>L18</f>
        <v>-37762.417358685285</v>
      </c>
    </row>
    <row r="29" spans="2:20" s="15" customFormat="1">
      <c r="B29" s="15" t="s">
        <v>255</v>
      </c>
      <c r="C29" s="244" t="s">
        <v>172</v>
      </c>
      <c r="L29" s="253">
        <f>L21+L25</f>
        <v>-153239.66841824353</v>
      </c>
    </row>
    <row r="30" spans="2:20" s="15" customFormat="1">
      <c r="B30" s="15" t="s">
        <v>256</v>
      </c>
      <c r="C30" s="244" t="s">
        <v>16</v>
      </c>
      <c r="L30" s="253">
        <f>L24</f>
        <v>-344499.28317915089</v>
      </c>
    </row>
    <row r="31" spans="2:20" s="15" customFormat="1">
      <c r="C31" s="234"/>
    </row>
    <row r="32" spans="2:20" s="234" customFormat="1">
      <c r="B32" s="261"/>
      <c r="C32" s="256"/>
      <c r="L32" s="8"/>
      <c r="Q32" s="24"/>
    </row>
    <row r="33" spans="2:15" s="149" customFormat="1" ht="12" customHeight="1">
      <c r="B33" s="150" t="s">
        <v>239</v>
      </c>
      <c r="F33" s="234"/>
      <c r="G33" s="234"/>
      <c r="H33" s="234"/>
      <c r="I33" s="234"/>
      <c r="J33" s="234"/>
      <c r="K33" s="234"/>
      <c r="M33" s="234"/>
      <c r="N33" s="234"/>
      <c r="O33" s="234"/>
    </row>
    <row r="34" spans="2:15" s="234" customFormat="1">
      <c r="B34" s="261"/>
      <c r="C34" s="256"/>
      <c r="L34" s="262"/>
    </row>
    <row r="35" spans="2:15" s="234" customFormat="1"/>
    <row r="36" spans="2:15" s="15" customFormat="1">
      <c r="B36" s="15" t="s">
        <v>248</v>
      </c>
      <c r="C36" s="244" t="s">
        <v>171</v>
      </c>
      <c r="L36" s="253">
        <f>0-L28</f>
        <v>37762.417358685285</v>
      </c>
    </row>
    <row r="37" spans="2:15" s="15" customFormat="1">
      <c r="B37" s="15" t="s">
        <v>249</v>
      </c>
      <c r="C37" s="244" t="s">
        <v>172</v>
      </c>
      <c r="L37" s="253">
        <f t="shared" ref="L37:L38" si="0">0-L29</f>
        <v>153239.66841824353</v>
      </c>
    </row>
    <row r="38" spans="2:15" s="15" customFormat="1">
      <c r="B38" s="15" t="s">
        <v>250</v>
      </c>
      <c r="C38" s="244" t="s">
        <v>16</v>
      </c>
      <c r="L38" s="253">
        <f t="shared" si="0"/>
        <v>344499.28317915089</v>
      </c>
    </row>
    <row r="39" spans="2:15" s="15" customFormat="1">
      <c r="C39" s="234"/>
    </row>
    <row r="40" spans="2:15" s="15" customFormat="1"/>
    <row r="41" spans="2:15" s="15" customFormat="1"/>
    <row r="42" spans="2:15" s="15" customFormat="1"/>
    <row r="43" spans="2:15" s="15" customFormat="1"/>
    <row r="44" spans="2:15" s="15" customFormat="1"/>
    <row r="45" spans="2:15" s="15" customFormat="1"/>
    <row r="46" spans="2:15" s="15" customFormat="1"/>
    <row r="47" spans="2:15" s="15" customFormat="1"/>
    <row r="48" spans="2:15" s="15" customFormat="1"/>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row r="143" s="15" customFormat="1"/>
    <row r="144" s="15" customFormat="1"/>
    <row r="145" s="15" customFormat="1"/>
    <row r="146" s="15" customFormat="1"/>
    <row r="147" s="15" customFormat="1"/>
    <row r="148" s="15" customFormat="1"/>
    <row r="149" s="15" customFormat="1"/>
    <row r="150" s="15" customFormat="1"/>
    <row r="151" s="15" customFormat="1"/>
    <row r="152" s="15" customFormat="1"/>
    <row r="153" s="15" customFormat="1"/>
    <row r="154" s="15" customFormat="1"/>
    <row r="155" s="15" customFormat="1"/>
    <row r="156" s="15" customFormat="1"/>
    <row r="157" s="15" customFormat="1"/>
    <row r="158" s="15" customFormat="1"/>
    <row r="159" s="15" customFormat="1"/>
    <row r="160" s="15" customFormat="1"/>
    <row r="161" s="15" customFormat="1"/>
    <row r="162" s="15" customFormat="1"/>
    <row r="163" s="15" customFormat="1"/>
    <row r="164" s="15" customFormat="1"/>
    <row r="165" s="15" customFormat="1"/>
    <row r="166" s="15" customFormat="1"/>
    <row r="167" s="15" customFormat="1"/>
    <row r="168" s="15" customFormat="1"/>
    <row r="169" s="15" customFormat="1"/>
    <row r="170" s="15" customFormat="1"/>
    <row r="171" s="15" customFormat="1"/>
    <row r="172" s="15" customFormat="1"/>
    <row r="173" s="15" customFormat="1"/>
    <row r="174" s="15" customFormat="1"/>
    <row r="175" s="15" customFormat="1"/>
    <row r="176" s="15" customFormat="1"/>
    <row r="177" s="15" customFormat="1"/>
    <row r="178" s="15" customFormat="1"/>
    <row r="179" s="15" customFormat="1"/>
    <row r="180" s="15" customFormat="1"/>
    <row r="181" s="15" customFormat="1"/>
    <row r="182" s="15" customFormat="1"/>
    <row r="183" s="15" customFormat="1"/>
    <row r="184" s="15" customFormat="1"/>
    <row r="185" s="15" customFormat="1"/>
    <row r="186" s="15" customFormat="1"/>
    <row r="187" s="15" customFormat="1"/>
    <row r="188" s="15" customFormat="1"/>
    <row r="189" s="15" customFormat="1"/>
    <row r="190" s="15" customFormat="1"/>
    <row r="191" s="15" customFormat="1"/>
    <row r="192" s="15" customFormat="1"/>
    <row r="193" s="15" customFormat="1"/>
    <row r="194" s="15" customFormat="1"/>
    <row r="195" s="15" customFormat="1"/>
    <row r="196" s="15" customFormat="1"/>
    <row r="197" s="15" customFormat="1"/>
    <row r="198" s="15" customFormat="1"/>
    <row r="199" s="15" customFormat="1"/>
    <row r="200" s="15" customFormat="1"/>
    <row r="201" s="15" customFormat="1"/>
    <row r="202" s="15" customFormat="1"/>
    <row r="203" s="15" customFormat="1"/>
    <row r="204" s="15" customFormat="1"/>
    <row r="205" s="15" customFormat="1"/>
    <row r="206" s="15" customFormat="1"/>
    <row r="207" s="15" customFormat="1"/>
    <row r="208" s="15" customFormat="1"/>
    <row r="209" s="15" customFormat="1"/>
    <row r="210" s="15" customFormat="1"/>
    <row r="211" s="15" customFormat="1"/>
    <row r="212" s="15" customFormat="1"/>
    <row r="213" s="15" customFormat="1"/>
    <row r="214" s="15" customFormat="1"/>
    <row r="215" s="15" customFormat="1"/>
    <row r="216" s="15" customFormat="1"/>
    <row r="217" s="15" customFormat="1"/>
    <row r="218" s="15" customFormat="1"/>
    <row r="219" s="15" customFormat="1"/>
    <row r="220" s="15" customFormat="1"/>
    <row r="221" s="15" customFormat="1"/>
    <row r="222" s="15" customFormat="1"/>
    <row r="223" s="15" customFormat="1"/>
    <row r="224" s="15" customFormat="1"/>
    <row r="225" s="15" customFormat="1"/>
    <row r="226" s="15" customFormat="1"/>
    <row r="227" s="15" customFormat="1"/>
    <row r="228" s="15" customFormat="1"/>
    <row r="229" s="15" customFormat="1"/>
    <row r="230" s="15" customFormat="1"/>
    <row r="231" s="15" customFormat="1"/>
    <row r="232" s="15" customFormat="1"/>
    <row r="233" s="15" customFormat="1"/>
    <row r="234" s="15" customFormat="1"/>
    <row r="235" s="15" customFormat="1"/>
    <row r="236" s="15" customFormat="1"/>
    <row r="237" s="15" customFormat="1"/>
    <row r="238" s="15" customFormat="1"/>
    <row r="239" s="15" customFormat="1"/>
    <row r="240" s="15" customFormat="1"/>
    <row r="241" s="15" customFormat="1"/>
    <row r="242" s="15" customFormat="1"/>
    <row r="243" s="15" customFormat="1"/>
    <row r="244" s="15" customFormat="1"/>
    <row r="245" s="15" customFormat="1"/>
    <row r="246" s="15" customFormat="1"/>
    <row r="247" s="15" customFormat="1"/>
    <row r="248" s="15" customFormat="1"/>
    <row r="249" s="15" customFormat="1"/>
    <row r="250" s="15" customFormat="1"/>
    <row r="251" s="15" customFormat="1"/>
    <row r="252" s="15" customFormat="1"/>
    <row r="253" s="15" customFormat="1"/>
  </sheetData>
  <pageMargins left="0.75" right="0.75" top="1" bottom="1" header="0.5" footer="0.5"/>
  <pageSetup paperSize="9" scale="5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100"/>
  <sheetViews>
    <sheetView showGridLines="0" zoomScale="85" zoomScaleNormal="85" workbookViewId="0"/>
  </sheetViews>
  <sheetFormatPr defaultRowHeight="12.75"/>
  <cols>
    <col min="1" max="1" width="4.28515625" style="13" customWidth="1"/>
    <col min="2" max="2" width="63.28515625" style="266" customWidth="1"/>
    <col min="4" max="4" width="7.140625" style="13" customWidth="1"/>
    <col min="5" max="5" width="2.28515625" style="13" customWidth="1"/>
    <col min="6" max="6" width="2.140625" style="13" customWidth="1"/>
    <col min="7" max="7" width="1.85546875" style="13" customWidth="1"/>
    <col min="8" max="8" width="2.140625" style="13" customWidth="1"/>
    <col min="9" max="9" width="1.5703125" style="13" customWidth="1"/>
    <col min="10" max="10" width="2.42578125" style="13" customWidth="1"/>
    <col min="11" max="11" width="2.28515625" style="13" customWidth="1"/>
    <col min="12" max="12" width="9.7109375" style="266" customWidth="1"/>
    <col min="13" max="13" width="12.5703125" style="13" customWidth="1"/>
    <col min="14" max="14" width="11.28515625" style="13" customWidth="1"/>
    <col min="15" max="15" width="12.42578125" style="13" customWidth="1"/>
    <col min="17" max="17" width="12.42578125" style="13" customWidth="1"/>
    <col min="18" max="18" width="9.28515625" style="13" bestFit="1" customWidth="1"/>
    <col min="19" max="16384" width="9.140625" style="13"/>
  </cols>
  <sheetData>
    <row r="1" spans="2:17">
      <c r="F1" s="15"/>
      <c r="G1" s="15"/>
      <c r="H1" s="15"/>
      <c r="I1" s="15"/>
      <c r="J1" s="15"/>
      <c r="K1" s="15"/>
      <c r="M1" s="15"/>
      <c r="N1" s="15"/>
      <c r="O1" s="15"/>
    </row>
    <row r="2" spans="2:17" s="10" customFormat="1" ht="20.25">
      <c r="B2" s="267" t="s">
        <v>234</v>
      </c>
    </row>
    <row r="3" spans="2:17">
      <c r="F3" s="15"/>
      <c r="G3" s="15"/>
      <c r="H3" s="15"/>
      <c r="I3" s="15"/>
      <c r="J3" s="15"/>
      <c r="K3" s="15"/>
      <c r="M3" s="15"/>
      <c r="N3" s="15"/>
      <c r="O3" s="15"/>
    </row>
    <row r="4" spans="2:17" s="12" customFormat="1">
      <c r="B4" s="137" t="s">
        <v>1</v>
      </c>
      <c r="C4" s="11"/>
      <c r="D4" s="11"/>
      <c r="E4" s="11"/>
      <c r="F4" s="11"/>
      <c r="G4" s="11"/>
      <c r="H4" s="11"/>
      <c r="I4" s="11"/>
      <c r="J4" s="11"/>
      <c r="K4" s="11"/>
      <c r="L4" s="11"/>
      <c r="M4" s="11"/>
      <c r="N4" s="11"/>
      <c r="O4" s="11"/>
      <c r="P4" s="11"/>
      <c r="Q4" s="11"/>
    </row>
    <row r="5" spans="2:17">
      <c r="B5" s="13"/>
      <c r="C5" s="13"/>
      <c r="F5" s="15"/>
      <c r="G5" s="15"/>
      <c r="H5" s="15"/>
      <c r="I5" s="15"/>
      <c r="J5" s="15"/>
      <c r="K5" s="15"/>
      <c r="L5" s="13"/>
      <c r="M5" s="15"/>
      <c r="N5" s="15"/>
      <c r="O5" s="15"/>
      <c r="P5" s="13"/>
    </row>
    <row r="6" spans="2:17">
      <c r="B6" s="230" t="s">
        <v>260</v>
      </c>
      <c r="C6" s="42"/>
      <c r="D6" s="16"/>
      <c r="E6" s="16"/>
      <c r="F6" s="15"/>
      <c r="G6" s="15"/>
      <c r="H6" s="15"/>
      <c r="I6" s="15"/>
      <c r="J6" s="15"/>
      <c r="K6" s="15"/>
      <c r="L6" s="13"/>
      <c r="M6" s="15"/>
      <c r="N6" s="15"/>
      <c r="O6" s="15"/>
      <c r="P6" s="13"/>
    </row>
    <row r="7" spans="2:17">
      <c r="B7" s="230" t="s">
        <v>262</v>
      </c>
      <c r="C7" s="16"/>
      <c r="D7" s="16"/>
      <c r="E7" s="16"/>
      <c r="F7" s="15"/>
      <c r="G7" s="15"/>
      <c r="H7" s="15"/>
      <c r="I7" s="15"/>
      <c r="J7" s="15"/>
      <c r="K7" s="15"/>
      <c r="L7" s="13"/>
      <c r="M7" s="15"/>
      <c r="N7" s="15"/>
      <c r="O7" s="15"/>
      <c r="P7" s="13"/>
    </row>
    <row r="8" spans="2:17">
      <c r="B8" s="254"/>
      <c r="C8" s="42"/>
      <c r="D8" s="16"/>
      <c r="E8" s="16"/>
      <c r="F8" s="15"/>
      <c r="G8" s="15"/>
      <c r="H8" s="15"/>
      <c r="I8" s="15"/>
      <c r="J8" s="15"/>
      <c r="K8" s="15"/>
      <c r="L8" s="13"/>
      <c r="M8" s="15"/>
      <c r="N8" s="15"/>
      <c r="O8" s="15"/>
      <c r="P8" s="13"/>
    </row>
    <row r="9" spans="2:17">
      <c r="B9" s="255" t="s">
        <v>200</v>
      </c>
      <c r="C9" s="42"/>
      <c r="D9" s="16"/>
      <c r="E9" s="16"/>
      <c r="F9" s="15"/>
      <c r="G9" s="15"/>
      <c r="H9" s="15"/>
      <c r="I9" s="15"/>
      <c r="J9" s="15"/>
      <c r="K9" s="15"/>
      <c r="L9" s="13"/>
      <c r="M9" s="15"/>
      <c r="N9" s="15"/>
      <c r="O9" s="15"/>
      <c r="P9" s="13"/>
    </row>
    <row r="10" spans="2:17">
      <c r="B10" s="254" t="s">
        <v>281</v>
      </c>
      <c r="C10" s="42"/>
      <c r="D10" s="16"/>
      <c r="E10" s="16"/>
      <c r="F10" s="15"/>
      <c r="G10" s="15"/>
      <c r="H10" s="15"/>
      <c r="I10" s="15"/>
      <c r="J10" s="15"/>
      <c r="K10" s="15"/>
      <c r="L10" s="13"/>
      <c r="M10" s="15"/>
      <c r="N10" s="15"/>
      <c r="O10" s="15"/>
      <c r="P10" s="13"/>
    </row>
    <row r="11" spans="2:17">
      <c r="B11" s="254" t="s">
        <v>226</v>
      </c>
      <c r="C11" s="42"/>
      <c r="D11" s="16"/>
      <c r="E11" s="16"/>
      <c r="F11" s="15"/>
      <c r="G11" s="15"/>
      <c r="H11" s="15"/>
      <c r="I11" s="15"/>
      <c r="J11" s="15"/>
      <c r="K11" s="15"/>
      <c r="L11" s="13"/>
      <c r="M11" s="15"/>
      <c r="N11" s="15"/>
      <c r="O11" s="15"/>
      <c r="P11" s="13"/>
    </row>
    <row r="12" spans="2:17">
      <c r="B12" s="254"/>
      <c r="C12" s="42"/>
      <c r="D12" s="16"/>
      <c r="E12" s="16"/>
      <c r="F12" s="15"/>
      <c r="G12" s="15"/>
      <c r="H12" s="15"/>
      <c r="I12" s="15"/>
      <c r="J12" s="15"/>
      <c r="K12" s="15"/>
      <c r="L12" s="13"/>
      <c r="M12" s="15"/>
      <c r="N12" s="15"/>
      <c r="O12" s="15"/>
      <c r="P12" s="13"/>
    </row>
    <row r="13" spans="2:17">
      <c r="B13" s="254"/>
      <c r="C13" s="42"/>
      <c r="D13" s="16"/>
      <c r="E13" s="16"/>
      <c r="F13" s="15"/>
      <c r="G13" s="15"/>
      <c r="H13" s="15"/>
      <c r="I13" s="15"/>
      <c r="J13" s="15"/>
      <c r="K13" s="15"/>
      <c r="L13" s="13"/>
      <c r="M13" s="15"/>
      <c r="N13" s="15"/>
      <c r="O13" s="15"/>
      <c r="P13" s="13"/>
    </row>
    <row r="14" spans="2:17" s="149" customFormat="1">
      <c r="B14" s="150" t="s">
        <v>123</v>
      </c>
    </row>
    <row r="15" spans="2:17" s="141" customFormat="1">
      <c r="B15" s="142"/>
      <c r="C15" s="143"/>
      <c r="F15" s="234"/>
      <c r="G15" s="234"/>
      <c r="H15" s="234"/>
      <c r="I15" s="234"/>
      <c r="J15" s="234"/>
      <c r="K15" s="234"/>
      <c r="M15" s="234"/>
      <c r="N15" s="234"/>
      <c r="O15" s="234"/>
    </row>
    <row r="16" spans="2:17" s="141" customFormat="1">
      <c r="B16" s="144" t="s">
        <v>123</v>
      </c>
      <c r="C16" s="143"/>
      <c r="F16" s="234"/>
      <c r="G16" s="234"/>
      <c r="H16" s="234"/>
      <c r="I16" s="234"/>
      <c r="J16" s="234"/>
      <c r="K16" s="234"/>
      <c r="M16" s="234"/>
      <c r="N16" s="234"/>
      <c r="O16" s="234"/>
    </row>
    <row r="17" spans="1:17" s="141" customFormat="1">
      <c r="B17" s="245" t="s">
        <v>195</v>
      </c>
      <c r="C17" s="145">
        <f>CPI!C10</f>
        <v>1.4E-2</v>
      </c>
      <c r="F17" s="234"/>
      <c r="G17" s="235"/>
      <c r="H17" s="234"/>
      <c r="I17" s="234"/>
      <c r="J17" s="234"/>
      <c r="K17" s="234"/>
      <c r="M17" s="234"/>
      <c r="N17" s="234"/>
      <c r="O17" s="234"/>
    </row>
    <row r="18" spans="1:17" s="141" customFormat="1">
      <c r="B18" s="245" t="s">
        <v>196</v>
      </c>
      <c r="C18" s="145">
        <f>CPI!C11</f>
        <v>1.0999999999999999E-2</v>
      </c>
      <c r="F18" s="234"/>
      <c r="G18" s="235"/>
      <c r="H18" s="234"/>
      <c r="I18" s="234"/>
      <c r="J18" s="234"/>
      <c r="K18" s="234"/>
      <c r="M18" s="234"/>
      <c r="N18" s="234"/>
      <c r="O18" s="234"/>
    </row>
    <row r="19" spans="1:17" s="141" customFormat="1">
      <c r="B19" s="245" t="s">
        <v>124</v>
      </c>
      <c r="C19" s="145">
        <f>CPI!C12</f>
        <v>3.2000000000000001E-2</v>
      </c>
      <c r="F19" s="234"/>
      <c r="G19" s="235"/>
      <c r="H19" s="234"/>
      <c r="I19" s="234"/>
      <c r="J19" s="234"/>
      <c r="K19" s="234"/>
      <c r="M19" s="234"/>
      <c r="N19" s="234"/>
      <c r="O19" s="234"/>
    </row>
    <row r="20" spans="1:17" s="141" customFormat="1">
      <c r="B20" s="245" t="s">
        <v>125</v>
      </c>
      <c r="C20" s="145">
        <f>CPI!C13</f>
        <v>3.0000000000000001E-3</v>
      </c>
      <c r="F20" s="234"/>
      <c r="G20" s="235"/>
      <c r="H20" s="234"/>
      <c r="I20" s="234"/>
      <c r="J20" s="234"/>
      <c r="K20" s="234"/>
      <c r="M20" s="234"/>
      <c r="N20" s="234"/>
      <c r="O20" s="234"/>
    </row>
    <row r="21" spans="1:17" s="141" customFormat="1">
      <c r="B21" s="142"/>
      <c r="C21" s="147"/>
      <c r="F21" s="234"/>
      <c r="G21" s="235"/>
      <c r="H21" s="234"/>
      <c r="I21" s="234"/>
      <c r="J21" s="234"/>
      <c r="K21" s="234"/>
      <c r="M21" s="234"/>
      <c r="N21" s="234"/>
      <c r="O21" s="234"/>
    </row>
    <row r="22" spans="1:17" s="141" customFormat="1">
      <c r="B22" s="245" t="s">
        <v>209</v>
      </c>
      <c r="C22" s="274">
        <v>5.5E-2</v>
      </c>
      <c r="F22" s="235"/>
      <c r="G22" s="234"/>
      <c r="H22" s="234"/>
      <c r="I22" s="234"/>
      <c r="J22" s="234"/>
      <c r="K22" s="234"/>
      <c r="M22" s="234"/>
      <c r="N22" s="234"/>
      <c r="O22" s="234"/>
    </row>
    <row r="23" spans="1:17" s="141" customFormat="1">
      <c r="B23" s="142"/>
      <c r="C23" s="143"/>
      <c r="F23" s="234"/>
      <c r="G23" s="235"/>
      <c r="H23" s="234"/>
      <c r="I23" s="234"/>
      <c r="J23" s="234"/>
      <c r="K23" s="234"/>
      <c r="M23" s="234"/>
      <c r="N23" s="234"/>
      <c r="O23" s="234"/>
    </row>
    <row r="24" spans="1:17">
      <c r="B24" s="14"/>
      <c r="C24" s="14"/>
      <c r="F24" s="15"/>
      <c r="G24" s="15"/>
      <c r="H24" s="15"/>
      <c r="I24" s="15"/>
      <c r="J24" s="15"/>
      <c r="K24" s="15"/>
      <c r="L24" s="13"/>
      <c r="M24" s="15"/>
      <c r="N24" s="15"/>
      <c r="O24" s="15"/>
      <c r="P24" s="13"/>
    </row>
    <row r="25" spans="1:17" s="149" customFormat="1">
      <c r="B25" s="150" t="s">
        <v>197</v>
      </c>
      <c r="C25" s="150"/>
    </row>
    <row r="26" spans="1:17" s="141" customFormat="1">
      <c r="F26" s="234"/>
      <c r="G26" s="234"/>
      <c r="H26" s="234"/>
      <c r="I26" s="234"/>
      <c r="J26" s="234"/>
      <c r="K26" s="234"/>
      <c r="M26" s="234"/>
      <c r="N26" s="234"/>
      <c r="O26" s="234"/>
    </row>
    <row r="27" spans="1:17" s="154" customFormat="1" ht="73.5" customHeight="1">
      <c r="A27" s="231"/>
      <c r="B27" s="243"/>
      <c r="C27" s="243"/>
      <c r="D27" s="243"/>
      <c r="E27" s="243"/>
      <c r="F27" s="181"/>
      <c r="G27" s="181"/>
      <c r="H27" s="181"/>
      <c r="I27" s="181"/>
      <c r="J27" s="181"/>
      <c r="K27" s="181"/>
      <c r="L27" s="182" t="s">
        <v>8</v>
      </c>
      <c r="M27" s="181"/>
      <c r="N27" s="181"/>
      <c r="O27" s="181"/>
    </row>
    <row r="28" spans="1:17" s="147" customFormat="1" ht="11.25">
      <c r="A28" s="155"/>
      <c r="B28" s="155"/>
      <c r="C28" s="155"/>
      <c r="D28" s="155"/>
      <c r="E28" s="155"/>
      <c r="F28" s="231"/>
      <c r="G28" s="231"/>
      <c r="H28" s="231"/>
      <c r="I28" s="231"/>
      <c r="J28" s="231"/>
      <c r="K28" s="231"/>
      <c r="L28" s="155"/>
      <c r="M28" s="231"/>
      <c r="N28" s="231"/>
      <c r="O28" s="231"/>
    </row>
    <row r="29" spans="1:17" s="147" customFormat="1">
      <c r="A29" s="155"/>
      <c r="B29" s="177" t="s">
        <v>188</v>
      </c>
      <c r="C29" s="244" t="s">
        <v>190</v>
      </c>
      <c r="D29" s="155"/>
      <c r="E29" s="155"/>
      <c r="F29" s="185"/>
      <c r="G29" s="185"/>
      <c r="H29" s="185"/>
      <c r="I29" s="185"/>
      <c r="J29" s="185"/>
      <c r="K29" s="185"/>
      <c r="L29" s="277">
        <f>'BOB Rendo_2013 - deel 1'!L53</f>
        <v>12587472.452895015</v>
      </c>
      <c r="M29" s="185"/>
      <c r="N29" s="185"/>
      <c r="O29" s="185"/>
      <c r="P29" s="158"/>
      <c r="Q29" s="248" t="s">
        <v>272</v>
      </c>
    </row>
    <row r="30" spans="1:17" s="147" customFormat="1">
      <c r="A30" s="155"/>
      <c r="B30" s="177"/>
      <c r="C30" s="155"/>
      <c r="D30" s="155"/>
      <c r="E30" s="155"/>
      <c r="F30" s="231"/>
      <c r="G30" s="231"/>
      <c r="H30" s="231"/>
      <c r="I30" s="231"/>
      <c r="J30" s="231"/>
      <c r="K30" s="231"/>
      <c r="L30" s="231"/>
      <c r="M30" s="231"/>
      <c r="N30" s="231"/>
      <c r="O30" s="231"/>
      <c r="P30" s="159"/>
    </row>
    <row r="31" spans="1:17" s="147" customFormat="1">
      <c r="A31" s="155"/>
      <c r="B31" s="177" t="s">
        <v>189</v>
      </c>
      <c r="C31" s="244" t="s">
        <v>190</v>
      </c>
      <c r="D31" s="155"/>
      <c r="E31" s="155"/>
      <c r="F31" s="161"/>
      <c r="G31" s="161"/>
      <c r="H31" s="161"/>
      <c r="I31" s="161"/>
      <c r="J31" s="161"/>
      <c r="K31" s="161"/>
      <c r="L31" s="277">
        <f>'BOB Rendo_2013 - deel 1'!L55</f>
        <v>13047244.347124906</v>
      </c>
      <c r="M31" s="161"/>
      <c r="N31" s="161"/>
      <c r="O31" s="161"/>
      <c r="P31" s="158"/>
      <c r="Q31" s="248" t="s">
        <v>273</v>
      </c>
    </row>
    <row r="32" spans="1:17" s="147" customFormat="1">
      <c r="A32" s="155"/>
      <c r="B32" s="177" t="s">
        <v>191</v>
      </c>
      <c r="C32" s="244" t="s">
        <v>190</v>
      </c>
      <c r="D32" s="155"/>
      <c r="E32" s="155"/>
      <c r="F32" s="161"/>
      <c r="G32" s="161"/>
      <c r="H32" s="161"/>
      <c r="I32" s="161"/>
      <c r="J32" s="161"/>
      <c r="K32" s="161"/>
      <c r="L32" s="277">
        <f>'BOB Rendo_2013 - deel 1'!L56</f>
        <v>3222171.6316184732</v>
      </c>
      <c r="M32" s="161"/>
      <c r="N32" s="161"/>
      <c r="O32" s="161"/>
      <c r="P32" s="158"/>
      <c r="Q32" s="248" t="s">
        <v>273</v>
      </c>
    </row>
    <row r="33" spans="1:17" s="147" customFormat="1">
      <c r="A33" s="155"/>
      <c r="B33" s="177"/>
      <c r="C33" s="155"/>
      <c r="D33" s="155"/>
      <c r="E33" s="155"/>
      <c r="F33" s="161"/>
      <c r="G33" s="161"/>
      <c r="H33" s="161"/>
      <c r="I33" s="161"/>
      <c r="J33" s="161"/>
      <c r="K33" s="161"/>
      <c r="L33" s="161"/>
      <c r="M33" s="161"/>
      <c r="N33" s="161"/>
      <c r="O33" s="161"/>
    </row>
    <row r="34" spans="1:17" s="232" customFormat="1">
      <c r="A34" s="247"/>
      <c r="B34" s="177" t="s">
        <v>128</v>
      </c>
      <c r="C34" s="247"/>
      <c r="D34" s="247"/>
      <c r="E34" s="247"/>
      <c r="F34" s="236"/>
      <c r="G34" s="236"/>
      <c r="H34" s="236"/>
      <c r="I34" s="236"/>
      <c r="J34" s="236"/>
      <c r="K34" s="236"/>
      <c r="L34" s="295">
        <f>'BOB Rendo_2013 - deel 1'!L58</f>
        <v>-1.3</v>
      </c>
      <c r="M34" s="236"/>
      <c r="N34" s="236"/>
      <c r="O34" s="236"/>
      <c r="P34" s="246"/>
      <c r="Q34" s="248" t="s">
        <v>273</v>
      </c>
    </row>
    <row r="35" spans="1:17" s="141" customFormat="1">
      <c r="F35" s="231"/>
      <c r="G35" s="231"/>
      <c r="H35" s="231"/>
      <c r="I35" s="231"/>
      <c r="J35" s="231"/>
      <c r="K35" s="231"/>
      <c r="L35" s="147"/>
      <c r="M35" s="231"/>
      <c r="N35" s="231"/>
      <c r="O35" s="231"/>
    </row>
    <row r="36" spans="1:17" s="141" customFormat="1">
      <c r="B36" s="166" t="s">
        <v>192</v>
      </c>
      <c r="C36" s="244" t="s">
        <v>171</v>
      </c>
      <c r="F36" s="185"/>
      <c r="G36" s="185"/>
      <c r="H36" s="185"/>
      <c r="I36" s="185"/>
      <c r="J36" s="185"/>
      <c r="K36" s="185"/>
      <c r="L36" s="167">
        <f>L29*(1-$L$34/100+C$18)</f>
        <v>12889571.791764494</v>
      </c>
      <c r="M36" s="185"/>
      <c r="N36" s="185"/>
      <c r="O36" s="185"/>
    </row>
    <row r="37" spans="1:17" s="141" customFormat="1">
      <c r="B37" s="166" t="s">
        <v>193</v>
      </c>
      <c r="C37" s="244" t="s">
        <v>172</v>
      </c>
      <c r="F37" s="185"/>
      <c r="G37" s="185"/>
      <c r="H37" s="185"/>
      <c r="I37" s="185"/>
      <c r="J37" s="185"/>
      <c r="K37" s="185"/>
      <c r="L37" s="167">
        <f>L36*(1-$L$34/100+C$19)</f>
        <v>13469602.522393895</v>
      </c>
      <c r="M37" s="185"/>
      <c r="N37" s="185"/>
      <c r="O37" s="185"/>
    </row>
    <row r="38" spans="1:17" s="141" customFormat="1">
      <c r="B38" s="166" t="s">
        <v>194</v>
      </c>
      <c r="C38" s="244" t="s">
        <v>16</v>
      </c>
      <c r="F38" s="185"/>
      <c r="G38" s="185"/>
      <c r="H38" s="185"/>
      <c r="I38" s="185"/>
      <c r="J38" s="185"/>
      <c r="K38" s="185"/>
      <c r="L38" s="167">
        <f>L37*(1-$L$34/100+C$20)</f>
        <v>13685116.162752194</v>
      </c>
      <c r="M38" s="185"/>
      <c r="N38" s="185"/>
      <c r="O38" s="185"/>
    </row>
    <row r="39" spans="1:17" s="141" customFormat="1"/>
    <row r="40" spans="1:17" s="12" customFormat="1">
      <c r="B40" s="150" t="s">
        <v>133</v>
      </c>
    </row>
    <row r="41" spans="1:17">
      <c r="B41" s="268"/>
      <c r="F41" s="15"/>
      <c r="G41" s="15"/>
      <c r="H41" s="15"/>
      <c r="I41" s="15"/>
      <c r="J41" s="15"/>
      <c r="K41" s="15"/>
      <c r="M41" s="15"/>
      <c r="N41" s="15"/>
      <c r="O41" s="15"/>
    </row>
    <row r="42" spans="1:17">
      <c r="B42" s="166" t="s">
        <v>53</v>
      </c>
      <c r="C42" s="13"/>
      <c r="D42" s="16"/>
      <c r="E42" s="16"/>
      <c r="F42" s="15"/>
      <c r="G42" s="15"/>
      <c r="H42" s="15"/>
      <c r="I42" s="15"/>
      <c r="J42" s="15"/>
      <c r="K42" s="141"/>
      <c r="L42" s="270"/>
      <c r="M42" s="15"/>
      <c r="N42" s="15"/>
      <c r="O42" s="15"/>
    </row>
    <row r="43" spans="1:17">
      <c r="B43" s="252" t="s">
        <v>218</v>
      </c>
      <c r="C43" s="244" t="s">
        <v>16</v>
      </c>
      <c r="D43" s="16"/>
      <c r="E43" s="16"/>
      <c r="F43" s="15"/>
      <c r="G43" s="15"/>
      <c r="H43" s="15"/>
      <c r="I43" s="15"/>
      <c r="J43" s="15"/>
      <c r="L43" s="170">
        <v>15840483.398561718</v>
      </c>
      <c r="M43" s="271"/>
      <c r="N43" s="15"/>
      <c r="O43" s="15"/>
      <c r="Q43" s="17" t="s">
        <v>225</v>
      </c>
    </row>
    <row r="44" spans="1:17">
      <c r="B44" s="252" t="s">
        <v>217</v>
      </c>
      <c r="C44" s="244" t="s">
        <v>16</v>
      </c>
      <c r="D44" s="16"/>
      <c r="E44" s="16"/>
      <c r="F44" s="15"/>
      <c r="G44" s="15"/>
      <c r="H44" s="15"/>
      <c r="I44" s="15"/>
      <c r="J44" s="15"/>
      <c r="L44" s="170">
        <v>1980060.4248202166</v>
      </c>
      <c r="M44" s="271"/>
      <c r="N44" s="15"/>
      <c r="O44" s="15"/>
      <c r="Q44" s="17" t="s">
        <v>225</v>
      </c>
    </row>
    <row r="45" spans="1:17">
      <c r="B45" s="177"/>
      <c r="C45" s="13"/>
      <c r="D45" s="16"/>
      <c r="E45" s="16"/>
      <c r="F45" s="15"/>
      <c r="G45" s="15"/>
      <c r="H45" s="15"/>
      <c r="I45" s="15"/>
      <c r="J45" s="15"/>
      <c r="L45" s="171"/>
      <c r="M45" s="271"/>
      <c r="N45" s="15"/>
      <c r="O45" s="15"/>
      <c r="Q45" s="17"/>
    </row>
    <row r="46" spans="1:17">
      <c r="B46" s="177" t="s">
        <v>137</v>
      </c>
      <c r="C46" s="244" t="s">
        <v>16</v>
      </c>
      <c r="D46" s="16"/>
      <c r="E46" s="16"/>
      <c r="F46" s="15"/>
      <c r="G46" s="15"/>
      <c r="H46" s="15"/>
      <c r="I46" s="15"/>
      <c r="J46" s="15"/>
      <c r="L46" s="167">
        <f>L43*C22</f>
        <v>871226.58692089445</v>
      </c>
      <c r="M46" s="272"/>
      <c r="N46" s="15"/>
      <c r="O46" s="15"/>
      <c r="Q46" s="17"/>
    </row>
    <row r="47" spans="1:17">
      <c r="B47" s="177"/>
      <c r="C47" s="13"/>
      <c r="D47" s="16"/>
      <c r="E47" s="16"/>
      <c r="F47" s="15"/>
      <c r="G47" s="15"/>
      <c r="H47" s="15"/>
      <c r="I47" s="15"/>
      <c r="J47" s="15"/>
      <c r="L47" s="147"/>
      <c r="M47" s="271"/>
      <c r="N47" s="15"/>
      <c r="O47" s="15"/>
    </row>
    <row r="48" spans="1:17">
      <c r="B48" s="166" t="s">
        <v>52</v>
      </c>
      <c r="C48" s="13"/>
      <c r="D48" s="16"/>
      <c r="E48" s="16"/>
      <c r="F48" s="15"/>
      <c r="G48" s="15"/>
      <c r="H48" s="15"/>
      <c r="I48" s="15"/>
      <c r="J48" s="15"/>
      <c r="L48" s="147"/>
      <c r="M48" s="271"/>
      <c r="N48" s="15"/>
      <c r="O48" s="15"/>
    </row>
    <row r="49" spans="1:17">
      <c r="B49" s="252" t="s">
        <v>216</v>
      </c>
      <c r="C49" s="244" t="s">
        <v>16</v>
      </c>
      <c r="D49" s="16"/>
      <c r="E49" s="16"/>
      <c r="F49" s="15"/>
      <c r="G49" s="15"/>
      <c r="H49" s="15"/>
      <c r="I49" s="15"/>
      <c r="J49" s="15"/>
      <c r="L49" s="173">
        <v>88642</v>
      </c>
      <c r="M49" s="271"/>
      <c r="N49" s="15"/>
      <c r="O49" s="15"/>
      <c r="Q49" s="17" t="s">
        <v>224</v>
      </c>
    </row>
    <row r="50" spans="1:17">
      <c r="B50" s="252" t="s">
        <v>219</v>
      </c>
      <c r="C50" s="244" t="s">
        <v>16</v>
      </c>
      <c r="D50" s="16"/>
      <c r="E50" s="16"/>
      <c r="F50" s="15"/>
      <c r="G50" s="15"/>
      <c r="H50" s="15"/>
      <c r="I50" s="15"/>
      <c r="J50" s="15"/>
      <c r="L50" s="173">
        <v>0</v>
      </c>
      <c r="M50" s="271"/>
      <c r="N50" s="15"/>
      <c r="O50" s="15"/>
      <c r="Q50" s="17" t="s">
        <v>224</v>
      </c>
    </row>
    <row r="51" spans="1:17">
      <c r="B51" s="177"/>
      <c r="C51" s="13"/>
      <c r="D51" s="16"/>
      <c r="E51" s="16"/>
      <c r="F51" s="15"/>
      <c r="G51" s="15"/>
      <c r="H51" s="15"/>
      <c r="I51" s="15"/>
      <c r="J51" s="15"/>
      <c r="L51" s="147"/>
      <c r="M51" s="271"/>
      <c r="N51" s="15"/>
      <c r="O51" s="15"/>
    </row>
    <row r="52" spans="1:17">
      <c r="B52" s="252" t="s">
        <v>220</v>
      </c>
      <c r="C52" s="244" t="s">
        <v>16</v>
      </c>
      <c r="D52" s="16"/>
      <c r="E52" s="16"/>
      <c r="F52" s="244"/>
      <c r="G52" s="15"/>
      <c r="H52" s="15"/>
      <c r="I52" s="15"/>
      <c r="J52" s="15"/>
      <c r="L52" s="174">
        <f>L44+L46+L49+L50</f>
        <v>2939929.0117411111</v>
      </c>
      <c r="M52" s="271"/>
      <c r="N52" s="15"/>
      <c r="O52" s="15"/>
    </row>
    <row r="53" spans="1:17">
      <c r="B53" s="252" t="s">
        <v>221</v>
      </c>
      <c r="C53" s="244" t="s">
        <v>190</v>
      </c>
      <c r="D53" s="16"/>
      <c r="E53" s="16"/>
      <c r="F53" s="244"/>
      <c r="G53" s="15"/>
      <c r="H53" s="15"/>
      <c r="I53" s="15"/>
      <c r="J53" s="15"/>
      <c r="L53" s="175">
        <f>L52/(1+CPI!H30)</f>
        <v>2809344.885452209</v>
      </c>
      <c r="M53" s="271"/>
      <c r="O53" s="15"/>
    </row>
    <row r="54" spans="1:17">
      <c r="B54" s="177"/>
      <c r="C54" s="13"/>
      <c r="D54" s="16"/>
      <c r="E54" s="16"/>
      <c r="F54" s="15"/>
      <c r="G54" s="15"/>
      <c r="H54" s="15"/>
      <c r="I54" s="15"/>
      <c r="J54" s="15"/>
      <c r="K54" s="147"/>
      <c r="L54" s="271"/>
      <c r="M54" s="271"/>
      <c r="O54" s="15"/>
    </row>
    <row r="55" spans="1:17">
      <c r="B55" s="166" t="s">
        <v>222</v>
      </c>
      <c r="C55" s="13"/>
      <c r="D55" s="16"/>
      <c r="E55" s="16"/>
      <c r="F55" s="15"/>
      <c r="G55" s="15"/>
      <c r="H55" s="15"/>
      <c r="I55" s="15"/>
      <c r="J55" s="15"/>
      <c r="K55" s="147"/>
      <c r="L55" s="269"/>
      <c r="M55" s="271"/>
      <c r="N55" s="15"/>
      <c r="O55" s="15"/>
    </row>
    <row r="56" spans="1:17">
      <c r="B56" s="252" t="s">
        <v>223</v>
      </c>
      <c r="C56" s="244" t="s">
        <v>190</v>
      </c>
      <c r="D56" s="16"/>
      <c r="E56" s="16"/>
      <c r="F56" s="15"/>
      <c r="G56" s="15"/>
      <c r="H56" s="15"/>
      <c r="I56" s="15"/>
      <c r="J56" s="15"/>
      <c r="L56" s="277">
        <f>L53</f>
        <v>2809344.885452209</v>
      </c>
      <c r="M56" s="271"/>
      <c r="N56" s="15"/>
      <c r="O56" s="15"/>
    </row>
    <row r="57" spans="1:17">
      <c r="B57" s="270"/>
      <c r="C57" s="244"/>
      <c r="E57" s="16"/>
      <c r="F57" s="15"/>
      <c r="G57" s="15"/>
      <c r="H57" s="15"/>
      <c r="I57" s="15"/>
      <c r="J57" s="15"/>
      <c r="K57" s="15"/>
      <c r="L57" s="271"/>
      <c r="M57" s="271"/>
      <c r="N57" s="261"/>
      <c r="O57" s="15"/>
    </row>
    <row r="58" spans="1:17" s="11" customFormat="1">
      <c r="B58" s="150" t="s">
        <v>210</v>
      </c>
      <c r="D58" s="98"/>
      <c r="E58" s="98"/>
      <c r="F58" s="98"/>
      <c r="G58" s="98"/>
      <c r="H58" s="98"/>
      <c r="I58" s="98"/>
      <c r="J58" s="98"/>
      <c r="K58" s="98"/>
      <c r="L58" s="98"/>
      <c r="M58" s="98"/>
      <c r="N58" s="98"/>
      <c r="O58" s="98"/>
    </row>
    <row r="59" spans="1:17" s="141" customFormat="1"/>
    <row r="60" spans="1:17" s="141" customFormat="1">
      <c r="G60" s="151"/>
      <c r="H60" s="151"/>
      <c r="I60" s="151"/>
      <c r="J60" s="151"/>
      <c r="K60" s="151"/>
      <c r="L60" s="151"/>
      <c r="M60" s="151"/>
      <c r="N60" s="151"/>
    </row>
    <row r="61" spans="1:17" s="154" customFormat="1">
      <c r="A61" s="152"/>
      <c r="B61" s="228" t="s">
        <v>188</v>
      </c>
      <c r="C61" s="156"/>
      <c r="D61" s="156"/>
      <c r="E61" s="152"/>
      <c r="F61" s="156"/>
      <c r="G61" s="152"/>
      <c r="H61" s="156"/>
      <c r="I61" s="152"/>
      <c r="J61" s="156"/>
      <c r="K61" s="152"/>
      <c r="L61" s="152"/>
      <c r="M61" s="231"/>
      <c r="N61" s="231"/>
      <c r="O61" s="231"/>
      <c r="P61" s="231"/>
    </row>
    <row r="62" spans="1:17" s="147" customFormat="1">
      <c r="A62" s="155"/>
      <c r="B62" s="227"/>
      <c r="C62" s="155"/>
      <c r="D62" s="155"/>
      <c r="E62" s="155"/>
      <c r="F62" s="155"/>
      <c r="G62" s="155"/>
      <c r="H62" s="155"/>
      <c r="I62" s="155"/>
      <c r="J62" s="155"/>
      <c r="K62" s="155"/>
      <c r="L62" s="155"/>
      <c r="M62" s="231"/>
      <c r="N62" s="231"/>
      <c r="O62" s="231"/>
      <c r="P62" s="231"/>
    </row>
    <row r="63" spans="1:17" s="147" customFormat="1">
      <c r="A63" s="155"/>
      <c r="B63" s="276" t="s">
        <v>211</v>
      </c>
      <c r="C63" s="244" t="s">
        <v>190</v>
      </c>
      <c r="D63" s="155"/>
      <c r="E63" s="155"/>
      <c r="F63" s="155"/>
      <c r="G63" s="155"/>
      <c r="H63" s="155"/>
      <c r="I63" s="155"/>
      <c r="J63" s="155"/>
      <c r="K63" s="155"/>
      <c r="L63" s="222">
        <f>L29</f>
        <v>12587472.452895015</v>
      </c>
      <c r="M63" s="185"/>
      <c r="N63" s="185"/>
      <c r="O63" s="185"/>
      <c r="P63" s="257"/>
      <c r="Q63" s="77" t="s">
        <v>59</v>
      </c>
    </row>
    <row r="64" spans="1:17" s="147" customFormat="1" ht="11.25">
      <c r="A64" s="155"/>
      <c r="B64" s="155"/>
      <c r="C64" s="155"/>
      <c r="D64" s="155"/>
      <c r="E64" s="155"/>
      <c r="F64" s="155"/>
      <c r="G64" s="155"/>
      <c r="H64" s="155"/>
      <c r="I64" s="155"/>
      <c r="J64" s="155"/>
      <c r="K64" s="155"/>
      <c r="L64" s="155"/>
      <c r="M64" s="231"/>
      <c r="N64" s="231"/>
      <c r="O64" s="231"/>
      <c r="P64" s="259"/>
    </row>
    <row r="65" spans="2:59" s="26" customFormat="1">
      <c r="B65" s="25" t="s">
        <v>189</v>
      </c>
      <c r="C65" s="25"/>
      <c r="D65" s="100"/>
      <c r="E65" s="100"/>
      <c r="F65" s="100"/>
      <c r="G65" s="100"/>
      <c r="H65" s="100"/>
      <c r="I65" s="100"/>
      <c r="J65" s="100"/>
      <c r="K65" s="100"/>
      <c r="L65" s="100"/>
      <c r="M65" s="233"/>
      <c r="N65" s="233"/>
      <c r="O65" s="233"/>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row>
    <row r="66" spans="2:59" s="17" customFormat="1">
      <c r="D66" s="101"/>
      <c r="E66" s="101"/>
      <c r="F66" s="101"/>
      <c r="G66" s="101"/>
      <c r="H66" s="101"/>
      <c r="I66" s="101"/>
      <c r="J66" s="101"/>
      <c r="K66" s="101"/>
      <c r="L66" s="101"/>
      <c r="M66" s="233"/>
      <c r="N66" s="233"/>
      <c r="O66" s="233"/>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row>
    <row r="67" spans="2:59" s="17" customFormat="1">
      <c r="B67" s="21" t="s">
        <v>213</v>
      </c>
      <c r="C67" s="41" t="s">
        <v>190</v>
      </c>
      <c r="D67" s="101"/>
      <c r="E67" s="101"/>
      <c r="F67" s="101"/>
      <c r="G67" s="101"/>
      <c r="H67" s="101"/>
      <c r="I67" s="101"/>
      <c r="J67" s="101"/>
      <c r="K67" s="101"/>
      <c r="L67" s="277">
        <f>L31</f>
        <v>13047244.347124906</v>
      </c>
      <c r="M67" s="185"/>
      <c r="N67" s="185"/>
      <c r="O67" s="185"/>
      <c r="P67" s="15"/>
      <c r="Q67" s="77" t="s">
        <v>59</v>
      </c>
      <c r="R67" s="77"/>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row>
    <row r="68" spans="2:59" s="17" customFormat="1">
      <c r="B68" s="21" t="s">
        <v>214</v>
      </c>
      <c r="C68" s="41" t="s">
        <v>190</v>
      </c>
      <c r="D68" s="101"/>
      <c r="E68" s="101"/>
      <c r="F68" s="101"/>
      <c r="G68" s="101"/>
      <c r="H68" s="101"/>
      <c r="I68" s="101"/>
      <c r="J68" s="101"/>
      <c r="K68" s="101"/>
      <c r="L68" s="277">
        <f>L32</f>
        <v>3222171.6316184732</v>
      </c>
      <c r="M68" s="185"/>
      <c r="N68" s="185"/>
      <c r="O68" s="185"/>
      <c r="P68" s="15"/>
      <c r="Q68" s="77" t="s">
        <v>59</v>
      </c>
      <c r="R68" s="77"/>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row>
    <row r="69" spans="2:59" s="17" customFormat="1">
      <c r="B69" s="21" t="s">
        <v>215</v>
      </c>
      <c r="C69" s="41" t="s">
        <v>190</v>
      </c>
      <c r="D69" s="101"/>
      <c r="E69" s="101"/>
      <c r="F69" s="101"/>
      <c r="G69" s="101"/>
      <c r="H69" s="101"/>
      <c r="I69" s="101"/>
      <c r="J69" s="101"/>
      <c r="K69" s="101"/>
      <c r="L69" s="278">
        <f>L56</f>
        <v>2809344.885452209</v>
      </c>
      <c r="M69" s="238"/>
      <c r="N69" s="238"/>
      <c r="O69" s="238"/>
      <c r="P69" s="15"/>
      <c r="Q69" s="28"/>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row>
    <row r="70" spans="2:59" s="17" customFormat="1">
      <c r="B70" s="21" t="s">
        <v>212</v>
      </c>
      <c r="C70" s="41" t="s">
        <v>190</v>
      </c>
      <c r="D70" s="101"/>
      <c r="E70" s="101"/>
      <c r="F70" s="101"/>
      <c r="G70" s="101"/>
      <c r="H70" s="101"/>
      <c r="I70" s="101"/>
      <c r="J70" s="101"/>
      <c r="K70" s="101"/>
      <c r="L70" s="174">
        <f>L67-L68+L69</f>
        <v>12634417.600958642</v>
      </c>
      <c r="M70" s="237"/>
      <c r="N70" s="237"/>
      <c r="O70" s="237"/>
      <c r="P70" s="15"/>
      <c r="Q70" s="28"/>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row>
    <row r="71" spans="2:59" s="17" customFormat="1">
      <c r="D71" s="101"/>
      <c r="E71" s="101"/>
      <c r="F71" s="101"/>
      <c r="G71" s="101"/>
      <c r="H71" s="101"/>
      <c r="I71" s="101"/>
      <c r="J71" s="101"/>
      <c r="K71" s="101"/>
      <c r="L71" s="101"/>
      <c r="M71" s="233"/>
      <c r="N71" s="233"/>
      <c r="O71" s="233"/>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row>
    <row r="72" spans="2:59" s="26" customFormat="1">
      <c r="B72" s="25" t="s">
        <v>56</v>
      </c>
      <c r="C72" s="25"/>
      <c r="D72" s="100"/>
      <c r="E72" s="100"/>
      <c r="F72" s="100"/>
      <c r="G72" s="100"/>
      <c r="H72" s="100"/>
      <c r="I72" s="100"/>
      <c r="J72" s="100"/>
      <c r="K72" s="100"/>
      <c r="L72" s="100"/>
      <c r="M72" s="233"/>
      <c r="N72" s="233"/>
      <c r="O72" s="233"/>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row>
    <row r="73" spans="2:59" s="17" customFormat="1">
      <c r="D73" s="101"/>
      <c r="E73" s="101"/>
      <c r="F73" s="101"/>
      <c r="G73" s="101"/>
      <c r="H73" s="101"/>
      <c r="I73" s="101"/>
      <c r="J73" s="101"/>
      <c r="K73" s="101"/>
      <c r="L73" s="101"/>
      <c r="M73" s="233"/>
      <c r="N73" s="233"/>
      <c r="O73" s="233"/>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row>
    <row r="74" spans="2:59" s="17" customFormat="1">
      <c r="B74" s="17" t="s">
        <v>9</v>
      </c>
      <c r="D74" s="101"/>
      <c r="E74" s="101"/>
      <c r="F74" s="101"/>
      <c r="G74" s="101"/>
      <c r="H74" s="101"/>
      <c r="I74" s="101"/>
      <c r="J74" s="101"/>
      <c r="K74" s="101"/>
      <c r="L74" s="223">
        <f>100*(1-(L70/L63)^(1/3))</f>
        <v>-0.12416288762795435</v>
      </c>
      <c r="M74" s="239"/>
      <c r="N74" s="239"/>
      <c r="O74" s="239"/>
      <c r="P74" s="15"/>
      <c r="Q74" s="44"/>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row>
    <row r="75" spans="2:59" s="30" customFormat="1">
      <c r="B75" s="29" t="s">
        <v>34</v>
      </c>
      <c r="C75" s="29"/>
      <c r="D75" s="102"/>
      <c r="E75" s="102"/>
      <c r="F75" s="102"/>
      <c r="G75" s="102"/>
      <c r="H75" s="102"/>
      <c r="I75" s="102"/>
      <c r="J75" s="102"/>
      <c r="K75" s="102"/>
      <c r="L75" s="279">
        <f t="shared" ref="L75" si="0">IF(L74&gt;0,ROUNDDOWN(L74,1),ROUNDUP(L74,1))</f>
        <v>-0.2</v>
      </c>
      <c r="M75" s="240"/>
      <c r="N75" s="240"/>
      <c r="O75" s="240"/>
      <c r="P75" s="27"/>
      <c r="Q75" s="45"/>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row>
    <row r="76" spans="2:59" s="141" customFormat="1">
      <c r="F76" s="231"/>
      <c r="G76" s="231"/>
      <c r="H76" s="231"/>
      <c r="I76" s="231"/>
      <c r="J76" s="231"/>
      <c r="K76" s="231"/>
      <c r="L76" s="147"/>
      <c r="M76" s="231"/>
      <c r="N76" s="231"/>
      <c r="O76" s="231"/>
      <c r="P76" s="234"/>
    </row>
    <row r="77" spans="2:59" s="141" customFormat="1">
      <c r="F77" s="231"/>
      <c r="G77" s="231"/>
      <c r="H77" s="231"/>
      <c r="I77" s="231"/>
      <c r="J77" s="231"/>
      <c r="K77" s="231"/>
      <c r="L77" s="147"/>
      <c r="M77" s="231"/>
      <c r="N77" s="231"/>
      <c r="O77" s="231"/>
      <c r="P77" s="234"/>
    </row>
    <row r="78" spans="2:59" s="141" customFormat="1">
      <c r="B78" s="166" t="s">
        <v>192</v>
      </c>
      <c r="C78" s="244" t="s">
        <v>171</v>
      </c>
      <c r="F78" s="185"/>
      <c r="G78" s="185"/>
      <c r="H78" s="185"/>
      <c r="I78" s="185"/>
      <c r="J78" s="185"/>
      <c r="K78" s="185"/>
      <c r="L78" s="167">
        <f>L63*(1-$L$75/100+C18)</f>
        <v>12751109.594782649</v>
      </c>
      <c r="M78" s="185"/>
      <c r="N78" s="185"/>
      <c r="O78" s="185"/>
      <c r="P78" s="234"/>
    </row>
    <row r="79" spans="2:59" s="141" customFormat="1">
      <c r="B79" s="166" t="s">
        <v>193</v>
      </c>
      <c r="C79" s="244" t="s">
        <v>172</v>
      </c>
      <c r="F79" s="185"/>
      <c r="G79" s="185"/>
      <c r="H79" s="185"/>
      <c r="I79" s="185"/>
      <c r="J79" s="185"/>
      <c r="K79" s="185"/>
      <c r="L79" s="167">
        <f>L78*(1-$L$75/100+C19)</f>
        <v>13184647.321005259</v>
      </c>
      <c r="M79" s="185"/>
      <c r="N79" s="185"/>
      <c r="O79" s="185"/>
      <c r="P79" s="234"/>
    </row>
    <row r="80" spans="2:59" s="141" customFormat="1">
      <c r="B80" s="166" t="s">
        <v>194</v>
      </c>
      <c r="C80" s="244" t="s">
        <v>16</v>
      </c>
      <c r="F80" s="234"/>
      <c r="G80" s="234"/>
      <c r="H80" s="234"/>
      <c r="I80" s="234"/>
      <c r="J80" s="234"/>
      <c r="K80" s="234"/>
      <c r="L80" s="167">
        <f>L79*(1-$L$75/100+C20)</f>
        <v>13250570.557610283</v>
      </c>
      <c r="M80" s="234"/>
      <c r="N80" s="234"/>
      <c r="O80" s="234"/>
      <c r="P80" s="234"/>
    </row>
    <row r="81" spans="2:59">
      <c r="B81" s="13"/>
      <c r="C81" s="13"/>
      <c r="D81" s="99"/>
      <c r="E81" s="99"/>
      <c r="F81" s="233"/>
      <c r="G81" s="233"/>
      <c r="H81" s="233"/>
      <c r="I81" s="233"/>
      <c r="J81" s="233"/>
      <c r="K81" s="233"/>
      <c r="L81" s="99"/>
      <c r="M81" s="233"/>
      <c r="N81" s="233"/>
      <c r="O81" s="233"/>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row>
    <row r="82" spans="2:59" s="11" customFormat="1">
      <c r="B82" s="11" t="s">
        <v>227</v>
      </c>
      <c r="D82" s="98"/>
      <c r="E82" s="98"/>
      <c r="F82" s="98"/>
      <c r="G82" s="98"/>
      <c r="H82" s="98"/>
      <c r="I82" s="98"/>
      <c r="J82" s="98"/>
      <c r="K82" s="98"/>
      <c r="L82" s="98"/>
      <c r="M82" s="98"/>
      <c r="N82" s="98"/>
      <c r="O82" s="98"/>
      <c r="P82" s="98"/>
      <c r="Q82" s="98"/>
    </row>
    <row r="83" spans="2:59">
      <c r="B83" s="13"/>
      <c r="C83" s="13"/>
      <c r="D83" s="99"/>
      <c r="E83" s="99"/>
      <c r="F83" s="233"/>
      <c r="G83" s="233"/>
      <c r="H83" s="233"/>
      <c r="I83" s="233"/>
      <c r="J83" s="233"/>
      <c r="K83" s="233"/>
      <c r="L83" s="99"/>
      <c r="M83" s="233"/>
      <c r="N83" s="233"/>
      <c r="O83" s="233"/>
      <c r="P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row>
    <row r="84" spans="2:59" s="183" customFormat="1">
      <c r="B84" s="180"/>
      <c r="C84" s="180"/>
      <c r="F84" s="181"/>
      <c r="G84" s="181"/>
      <c r="H84" s="181"/>
      <c r="I84" s="181"/>
      <c r="J84" s="181"/>
      <c r="K84" s="181"/>
      <c r="L84" s="181"/>
      <c r="M84" s="181"/>
      <c r="N84" s="181"/>
      <c r="O84" s="181"/>
      <c r="P84" s="181"/>
      <c r="Q84" s="181"/>
      <c r="R84" s="181"/>
    </row>
    <row r="85" spans="2:59" s="183" customFormat="1">
      <c r="B85" s="244" t="s">
        <v>228</v>
      </c>
      <c r="C85" s="244" t="s">
        <v>171</v>
      </c>
      <c r="E85" s="138"/>
      <c r="F85" s="185"/>
      <c r="G85" s="185"/>
      <c r="H85" s="185"/>
      <c r="I85" s="185"/>
      <c r="J85" s="185"/>
      <c r="K85" s="185"/>
      <c r="L85" s="184">
        <f>L36</f>
        <v>12889571.791764494</v>
      </c>
      <c r="M85" s="185"/>
      <c r="N85" s="185"/>
      <c r="O85" s="185"/>
      <c r="P85" s="257"/>
      <c r="Q85" s="185"/>
      <c r="R85" s="185"/>
    </row>
    <row r="86" spans="2:59" s="183" customFormat="1">
      <c r="B86" s="244" t="s">
        <v>229</v>
      </c>
      <c r="C86" s="244" t="s">
        <v>171</v>
      </c>
      <c r="F86" s="187"/>
      <c r="G86" s="187"/>
      <c r="H86" s="187"/>
      <c r="I86" s="187"/>
      <c r="J86" s="187"/>
      <c r="K86" s="187"/>
      <c r="L86" s="184">
        <f>L78</f>
        <v>12751109.594782649</v>
      </c>
      <c r="M86" s="187"/>
      <c r="N86" s="187"/>
      <c r="O86" s="187"/>
      <c r="P86" s="181"/>
      <c r="Q86" s="181"/>
      <c r="R86" s="181"/>
    </row>
    <row r="87" spans="2:59" s="183" customFormat="1">
      <c r="B87" s="180" t="s">
        <v>235</v>
      </c>
      <c r="C87" s="244" t="s">
        <v>171</v>
      </c>
      <c r="F87" s="187"/>
      <c r="G87" s="187"/>
      <c r="H87" s="187"/>
      <c r="I87" s="187"/>
      <c r="J87" s="187"/>
      <c r="K87" s="187"/>
      <c r="L87" s="189">
        <f>L86-L85</f>
        <v>-138462.19698184542</v>
      </c>
      <c r="M87" s="187"/>
      <c r="N87" s="187"/>
      <c r="O87" s="187"/>
      <c r="P87" s="181"/>
      <c r="Q87" s="181"/>
      <c r="R87" s="181"/>
    </row>
    <row r="88" spans="2:59" s="183" customFormat="1">
      <c r="B88" s="180"/>
      <c r="C88" s="244"/>
      <c r="F88" s="187"/>
      <c r="G88" s="187"/>
      <c r="H88" s="187"/>
      <c r="I88" s="187"/>
      <c r="J88" s="187"/>
      <c r="K88" s="187"/>
      <c r="L88" s="187"/>
      <c r="M88" s="187"/>
      <c r="N88" s="187"/>
      <c r="O88" s="187"/>
      <c r="P88" s="181"/>
      <c r="Q88" s="181"/>
      <c r="R88" s="181"/>
    </row>
    <row r="89" spans="2:59" s="139" customFormat="1">
      <c r="B89" s="244" t="s">
        <v>232</v>
      </c>
      <c r="C89" s="244" t="s">
        <v>172</v>
      </c>
      <c r="E89" s="138"/>
      <c r="F89" s="185"/>
      <c r="G89" s="185"/>
      <c r="H89" s="185"/>
      <c r="I89" s="185"/>
      <c r="J89" s="185"/>
      <c r="K89" s="185"/>
      <c r="L89" s="184">
        <f>L37</f>
        <v>13469602.522393895</v>
      </c>
      <c r="M89" s="185"/>
      <c r="N89" s="185"/>
      <c r="O89" s="185"/>
      <c r="P89" s="257"/>
      <c r="Q89" s="185"/>
      <c r="R89" s="185"/>
      <c r="S89" s="179"/>
      <c r="T89" s="179"/>
      <c r="U89" s="179"/>
      <c r="V89" s="179"/>
      <c r="W89" s="179"/>
      <c r="X89" s="179"/>
      <c r="Y89" s="179"/>
      <c r="Z89" s="179"/>
    </row>
    <row r="90" spans="2:59" s="139" customFormat="1">
      <c r="B90" s="244" t="s">
        <v>233</v>
      </c>
      <c r="C90" s="244" t="s">
        <v>172</v>
      </c>
      <c r="E90" s="138"/>
      <c r="F90" s="241"/>
      <c r="G90" s="241"/>
      <c r="H90" s="241"/>
      <c r="I90" s="241"/>
      <c r="J90" s="241"/>
      <c r="K90" s="241"/>
      <c r="L90" s="184">
        <f>L79</f>
        <v>13184647.321005259</v>
      </c>
      <c r="M90" s="241"/>
      <c r="N90" s="241"/>
      <c r="O90" s="241"/>
      <c r="P90" s="179"/>
    </row>
    <row r="91" spans="2:59" s="139" customFormat="1">
      <c r="B91" s="180" t="s">
        <v>236</v>
      </c>
      <c r="C91" s="244" t="s">
        <v>172</v>
      </c>
      <c r="E91" s="138"/>
      <c r="F91" s="241"/>
      <c r="G91" s="241"/>
      <c r="H91" s="241"/>
      <c r="I91" s="241"/>
      <c r="J91" s="241"/>
      <c r="K91" s="241"/>
      <c r="L91" s="189">
        <f>L90-L89</f>
        <v>-284955.2013886366</v>
      </c>
      <c r="M91" s="241"/>
      <c r="N91" s="241"/>
      <c r="O91" s="241"/>
      <c r="P91" s="179"/>
    </row>
    <row r="92" spans="2:59" s="139" customFormat="1">
      <c r="B92" s="180"/>
      <c r="C92" s="244"/>
      <c r="E92" s="138"/>
      <c r="F92" s="241"/>
      <c r="G92" s="241"/>
      <c r="H92" s="241"/>
      <c r="I92" s="241"/>
      <c r="J92" s="241"/>
      <c r="K92" s="241"/>
      <c r="L92" s="188"/>
      <c r="M92" s="241"/>
      <c r="N92" s="241"/>
      <c r="O92" s="241"/>
      <c r="P92" s="179"/>
    </row>
    <row r="93" spans="2:59" s="139" customFormat="1">
      <c r="B93" s="244" t="s">
        <v>230</v>
      </c>
      <c r="C93" s="244" t="s">
        <v>16</v>
      </c>
      <c r="E93" s="138"/>
      <c r="F93" s="185"/>
      <c r="G93" s="185"/>
      <c r="H93" s="185"/>
      <c r="I93" s="185"/>
      <c r="J93" s="185"/>
      <c r="K93" s="185"/>
      <c r="L93" s="184">
        <f>L38</f>
        <v>13685116.162752194</v>
      </c>
      <c r="M93" s="185"/>
      <c r="N93" s="185"/>
      <c r="O93" s="185"/>
      <c r="P93" s="190"/>
      <c r="Q93" s="190"/>
      <c r="R93" s="190"/>
      <c r="S93" s="179"/>
      <c r="T93" s="179"/>
      <c r="U93" s="179"/>
      <c r="V93" s="179"/>
      <c r="W93" s="179"/>
      <c r="X93" s="179"/>
      <c r="Y93" s="179"/>
      <c r="Z93" s="179"/>
    </row>
    <row r="94" spans="2:59" s="139" customFormat="1">
      <c r="B94" s="244" t="s">
        <v>231</v>
      </c>
      <c r="C94" s="244" t="s">
        <v>16</v>
      </c>
      <c r="E94" s="138"/>
      <c r="L94" s="184">
        <f>L80</f>
        <v>13250570.557610283</v>
      </c>
      <c r="M94" s="179"/>
      <c r="N94" s="179"/>
      <c r="O94" s="179"/>
      <c r="P94" s="179"/>
    </row>
    <row r="95" spans="2:59" s="139" customFormat="1">
      <c r="B95" s="180" t="s">
        <v>237</v>
      </c>
      <c r="C95" s="244" t="s">
        <v>16</v>
      </c>
      <c r="E95" s="138"/>
      <c r="L95" s="189">
        <f>L94-L93</f>
        <v>-434545.60514191166</v>
      </c>
      <c r="M95" s="179"/>
      <c r="N95" s="179"/>
      <c r="O95" s="179"/>
      <c r="P95" s="179"/>
    </row>
    <row r="96" spans="2:59">
      <c r="B96" s="13"/>
      <c r="C96" s="13"/>
      <c r="L96" s="13"/>
      <c r="M96" s="15"/>
      <c r="N96" s="15"/>
      <c r="O96" s="15"/>
      <c r="P96" s="15"/>
    </row>
    <row r="97" spans="2:16">
      <c r="B97" s="13"/>
      <c r="C97" s="13"/>
      <c r="F97" s="15"/>
      <c r="G97" s="15"/>
      <c r="H97" s="15"/>
      <c r="I97" s="15"/>
      <c r="J97" s="15"/>
      <c r="K97" s="15"/>
      <c r="L97" s="13"/>
      <c r="M97" s="15"/>
      <c r="N97" s="15"/>
      <c r="O97" s="15"/>
      <c r="P97" s="15"/>
    </row>
    <row r="98" spans="2:16">
      <c r="B98" s="16"/>
      <c r="C98" s="16"/>
      <c r="D98" s="16"/>
      <c r="E98" s="16"/>
      <c r="F98" s="15"/>
      <c r="G98" s="15"/>
      <c r="H98" s="15"/>
      <c r="I98" s="15"/>
      <c r="J98" s="15"/>
      <c r="K98" s="15"/>
      <c r="L98" s="16"/>
      <c r="M98" s="15"/>
      <c r="N98" s="15"/>
      <c r="O98" s="15"/>
      <c r="P98" s="15"/>
    </row>
    <row r="99" spans="2:16">
      <c r="B99" s="138"/>
      <c r="C99" s="138"/>
      <c r="D99" s="138"/>
      <c r="E99" s="138"/>
      <c r="F99" s="242"/>
      <c r="G99" s="242"/>
      <c r="H99" s="242"/>
      <c r="I99" s="242"/>
      <c r="J99" s="242"/>
      <c r="K99" s="15"/>
      <c r="L99" s="275"/>
      <c r="M99" s="242"/>
      <c r="N99" s="242"/>
      <c r="O99" s="15"/>
      <c r="P99" s="15"/>
    </row>
    <row r="100" spans="2:16">
      <c r="M100" s="15"/>
      <c r="N100" s="15"/>
      <c r="O100" s="15"/>
      <c r="P100" s="273"/>
    </row>
  </sheetData>
  <pageMargins left="0.75" right="0.75" top="1" bottom="1" header="0.5" footer="0.5"/>
  <pageSetup paperSize="9" scale="3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
  <sheetViews>
    <sheetView showGridLines="0" workbookViewId="0"/>
  </sheetViews>
  <sheetFormatPr defaultRowHeight="12.75"/>
  <cols>
    <col min="1" max="16384" width="9.140625" style="106"/>
  </cols>
  <sheetData/>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pageSetUpPr fitToPage="1"/>
  </sheetPr>
  <dimension ref="B2:F65"/>
  <sheetViews>
    <sheetView showGridLines="0" zoomScale="85" workbookViewId="0"/>
  </sheetViews>
  <sheetFormatPr defaultRowHeight="12.75"/>
  <cols>
    <col min="1" max="1" width="4.140625" style="84" customWidth="1"/>
    <col min="2" max="2" width="24.85546875" style="84" customWidth="1"/>
    <col min="3" max="3" width="5.5703125" style="84" customWidth="1"/>
    <col min="4" max="4" width="17" style="84" customWidth="1"/>
    <col min="5" max="16384" width="9.140625" style="84"/>
  </cols>
  <sheetData>
    <row r="2" spans="2:6" s="80" customFormat="1" ht="30" customHeight="1">
      <c r="B2" s="79" t="s">
        <v>6</v>
      </c>
      <c r="C2" s="79"/>
    </row>
    <row r="4" spans="2:6" s="82" customFormat="1">
      <c r="B4" s="81" t="s">
        <v>20</v>
      </c>
      <c r="C4" s="81"/>
    </row>
    <row r="6" spans="2:6">
      <c r="B6" s="83" t="s">
        <v>152</v>
      </c>
    </row>
    <row r="7" spans="2:6">
      <c r="B7" s="83"/>
    </row>
    <row r="8" spans="2:6">
      <c r="B8" s="85" t="s">
        <v>21</v>
      </c>
      <c r="D8" s="84">
        <v>2014</v>
      </c>
    </row>
    <row r="9" spans="2:6">
      <c r="D9" s="86"/>
    </row>
    <row r="10" spans="2:6">
      <c r="B10" s="84" t="s">
        <v>22</v>
      </c>
      <c r="D10" s="204">
        <f t="shared" ref="D10:D14" si="0">(1+D11)*(1+D22)-1</f>
        <v>0.25832783976472284</v>
      </c>
      <c r="F10" s="87"/>
    </row>
    <row r="11" spans="2:6">
      <c r="B11" s="84" t="s">
        <v>23</v>
      </c>
      <c r="D11" s="204">
        <f t="shared" si="0"/>
        <v>0.19641686317933105</v>
      </c>
      <c r="F11" s="87"/>
    </row>
    <row r="12" spans="2:6">
      <c r="B12" s="84" t="s">
        <v>24</v>
      </c>
      <c r="D12" s="204">
        <f t="shared" si="0"/>
        <v>0.14219328051740776</v>
      </c>
      <c r="F12" s="87"/>
    </row>
    <row r="13" spans="2:6">
      <c r="B13" s="84" t="s">
        <v>25</v>
      </c>
      <c r="D13" s="204">
        <f t="shared" si="0"/>
        <v>0.11365646920737382</v>
      </c>
      <c r="F13" s="87"/>
    </row>
    <row r="14" spans="2:6">
      <c r="B14" s="84" t="s">
        <v>26</v>
      </c>
      <c r="D14" s="204">
        <f t="shared" si="0"/>
        <v>8.6494116299876689E-2</v>
      </c>
      <c r="F14" s="87"/>
    </row>
    <row r="15" spans="2:6">
      <c r="B15" s="84" t="s">
        <v>47</v>
      </c>
      <c r="D15" s="204">
        <f>(1+D16)*(1+D27)-1</f>
        <v>5.7675958108891923E-2</v>
      </c>
      <c r="F15" s="87"/>
    </row>
    <row r="16" spans="2:6" customFormat="1">
      <c r="B16" t="s">
        <v>153</v>
      </c>
      <c r="D16" s="194">
        <f>D28</f>
        <v>2.9999999999999583E-2</v>
      </c>
      <c r="F16" s="195"/>
    </row>
    <row r="17" spans="2:6" customFormat="1">
      <c r="F17" s="195"/>
    </row>
    <row r="19" spans="2:6" s="82" customFormat="1">
      <c r="B19" s="81" t="s">
        <v>46</v>
      </c>
      <c r="C19" s="81"/>
    </row>
    <row r="22" spans="2:6">
      <c r="B22" s="88" t="s">
        <v>27</v>
      </c>
      <c r="C22" s="88"/>
      <c r="D22" s="198">
        <f>(1+D41)^0.25*(1+D40)^0.25*(1+D39)^0.25*(1+D38)^0.25-1</f>
        <v>5.174699428832108E-2</v>
      </c>
      <c r="F22" s="87"/>
    </row>
    <row r="23" spans="2:6">
      <c r="B23" s="84" t="s">
        <v>28</v>
      </c>
      <c r="D23" s="198">
        <f>(1+D45)^0.25*(1+D44)^0.25*(1+D43)^0.25*(1+D42)^0.25-1</f>
        <v>4.7473211046523023E-2</v>
      </c>
      <c r="F23" s="87"/>
    </row>
    <row r="24" spans="2:6">
      <c r="B24" s="84" t="s">
        <v>29</v>
      </c>
      <c r="D24" s="198">
        <f>(1+D46)^0.25*(1+D47)^0.25*(1+D48)^0.25*(1+D49)^0.25-1</f>
        <v>2.5624429165615581E-2</v>
      </c>
      <c r="F24" s="87"/>
    </row>
    <row r="25" spans="2:6">
      <c r="B25" s="84" t="s">
        <v>30</v>
      </c>
      <c r="D25" s="198">
        <f>(1+D50)^0.25*(1+D51)^0.25*(1+D52)^0.25*(1+D53)^0.25-1</f>
        <v>2.5000000000000133E-2</v>
      </c>
      <c r="F25" s="87"/>
    </row>
    <row r="26" spans="2:6">
      <c r="B26" s="84" t="s">
        <v>17</v>
      </c>
      <c r="C26" s="78"/>
      <c r="D26" s="198">
        <f>(1+D54)^0.25*(1+D55)^0.25*(1+D56)^0.25*(1+D57)^0.25-1</f>
        <v>2.7246679826693931E-2</v>
      </c>
      <c r="F26" s="87"/>
    </row>
    <row r="27" spans="2:6">
      <c r="B27" s="84" t="s">
        <v>48</v>
      </c>
      <c r="C27" s="78"/>
      <c r="D27" s="198">
        <f>(1+D58)^0.25*(1+D59)^0.25*(1+D60)^0.25*(1+D61)^0.25-1</f>
        <v>2.6869862241643006E-2</v>
      </c>
      <c r="F27" s="87"/>
    </row>
    <row r="28" spans="2:6" customFormat="1">
      <c r="B28" t="s">
        <v>154</v>
      </c>
      <c r="C28" s="196"/>
      <c r="D28" s="197">
        <f>(1+D62)^0.25*(1+D63)^0.25*(1+D64)^0.25*(1+D65)^0.25-1</f>
        <v>2.9999999999999583E-2</v>
      </c>
      <c r="F28" s="195"/>
    </row>
    <row r="29" spans="2:6" customFormat="1">
      <c r="C29" s="196"/>
      <c r="F29" s="195"/>
    </row>
    <row r="31" spans="2:6" s="82" customFormat="1">
      <c r="B31" s="81" t="s">
        <v>31</v>
      </c>
      <c r="C31" s="81"/>
    </row>
    <row r="33" spans="2:4">
      <c r="B33" s="119" t="s">
        <v>155</v>
      </c>
    </row>
    <row r="34" spans="2:4">
      <c r="B34" s="71" t="s">
        <v>49</v>
      </c>
    </row>
    <row r="35" spans="2:4">
      <c r="B35" s="71" t="s">
        <v>58</v>
      </c>
    </row>
    <row r="36" spans="2:4">
      <c r="B36" s="71"/>
    </row>
    <row r="38" spans="2:4">
      <c r="B38" s="89">
        <v>39264</v>
      </c>
      <c r="C38" s="89"/>
      <c r="D38" s="90">
        <v>5.2499999999999998E-2</v>
      </c>
    </row>
    <row r="39" spans="2:4">
      <c r="B39" s="89">
        <v>39356</v>
      </c>
      <c r="C39" s="89"/>
      <c r="D39" s="90">
        <v>5.3999999999999999E-2</v>
      </c>
    </row>
    <row r="40" spans="2:4">
      <c r="B40" s="89">
        <v>39448</v>
      </c>
      <c r="C40" s="89"/>
      <c r="D40" s="90">
        <v>5.2999999999999999E-2</v>
      </c>
    </row>
    <row r="41" spans="2:4">
      <c r="B41" s="89">
        <v>39539</v>
      </c>
      <c r="C41" s="89"/>
      <c r="D41" s="90">
        <v>4.7500000000000001E-2</v>
      </c>
    </row>
    <row r="42" spans="2:4">
      <c r="B42" s="89">
        <v>39630</v>
      </c>
      <c r="C42" s="89"/>
      <c r="D42" s="90">
        <v>5.1499999999999997E-2</v>
      </c>
    </row>
    <row r="43" spans="2:4">
      <c r="B43" s="89">
        <v>39722</v>
      </c>
      <c r="C43" s="89"/>
      <c r="D43" s="90">
        <v>5.45E-2</v>
      </c>
    </row>
    <row r="44" spans="2:4">
      <c r="B44" s="89">
        <v>39814</v>
      </c>
      <c r="C44" s="89"/>
      <c r="D44" s="90">
        <v>4.9000000000000002E-2</v>
      </c>
    </row>
    <row r="45" spans="2:4">
      <c r="B45" s="89">
        <v>39904</v>
      </c>
      <c r="C45" s="89"/>
      <c r="D45" s="90">
        <v>3.5000000000000003E-2</v>
      </c>
    </row>
    <row r="46" spans="2:4">
      <c r="B46" s="89">
        <v>39995</v>
      </c>
      <c r="C46" s="89"/>
      <c r="D46" s="90">
        <v>2.75E-2</v>
      </c>
    </row>
    <row r="47" spans="2:4">
      <c r="B47" s="89">
        <v>40087</v>
      </c>
      <c r="C47" s="89"/>
      <c r="D47" s="90">
        <v>2.5000000000000001E-2</v>
      </c>
    </row>
    <row r="48" spans="2:4">
      <c r="B48" s="89">
        <v>40179</v>
      </c>
      <c r="C48" s="89"/>
      <c r="D48" s="90">
        <v>2.5000000000000001E-2</v>
      </c>
    </row>
    <row r="49" spans="2:4">
      <c r="B49" s="89">
        <v>40269</v>
      </c>
      <c r="C49" s="89"/>
      <c r="D49" s="90">
        <v>2.5000000000000001E-2</v>
      </c>
    </row>
    <row r="50" spans="2:4">
      <c r="B50" s="89">
        <v>40360</v>
      </c>
      <c r="C50" s="89"/>
      <c r="D50" s="90">
        <v>2.5000000000000001E-2</v>
      </c>
    </row>
    <row r="51" spans="2:4">
      <c r="B51" s="89">
        <v>40452</v>
      </c>
      <c r="C51" s="89"/>
      <c r="D51" s="90">
        <v>2.5000000000000001E-2</v>
      </c>
    </row>
    <row r="52" spans="2:4">
      <c r="B52" s="89">
        <v>40544</v>
      </c>
      <c r="C52" s="89"/>
      <c r="D52" s="90">
        <v>2.5000000000000001E-2</v>
      </c>
    </row>
    <row r="53" spans="2:4">
      <c r="B53" s="89">
        <v>40634</v>
      </c>
      <c r="C53" s="89"/>
      <c r="D53" s="90">
        <v>2.5000000000000001E-2</v>
      </c>
    </row>
    <row r="54" spans="2:4">
      <c r="B54" s="89">
        <v>40725</v>
      </c>
      <c r="C54" s="89"/>
      <c r="D54" s="90">
        <v>2.75E-2</v>
      </c>
    </row>
    <row r="55" spans="2:4">
      <c r="B55" s="89">
        <v>40817</v>
      </c>
      <c r="C55" s="89"/>
      <c r="D55" s="23">
        <v>0.03</v>
      </c>
    </row>
    <row r="56" spans="2:4">
      <c r="B56" s="89">
        <v>40909</v>
      </c>
      <c r="C56" s="78"/>
      <c r="D56" s="90">
        <v>2.8500000000000001E-2</v>
      </c>
    </row>
    <row r="57" spans="2:4">
      <c r="B57" s="89">
        <v>41000</v>
      </c>
      <c r="C57" s="78"/>
      <c r="D57" s="90">
        <v>2.3E-2</v>
      </c>
    </row>
    <row r="58" spans="2:4" customFormat="1">
      <c r="B58" s="199">
        <v>41091</v>
      </c>
      <c r="C58" s="196"/>
      <c r="D58" s="200">
        <v>2.5000000000000001E-2</v>
      </c>
    </row>
    <row r="59" spans="2:4" customFormat="1">
      <c r="B59" s="199">
        <v>41183</v>
      </c>
      <c r="C59" s="196"/>
      <c r="D59" s="201">
        <v>2.2499999999999999E-2</v>
      </c>
    </row>
    <row r="60" spans="2:4" customFormat="1">
      <c r="B60" s="199">
        <v>41275</v>
      </c>
      <c r="C60" s="196"/>
      <c r="D60" s="202">
        <v>0.03</v>
      </c>
    </row>
    <row r="61" spans="2:4" customFormat="1">
      <c r="B61" s="199">
        <v>41365</v>
      </c>
      <c r="C61" s="196"/>
      <c r="D61" s="202">
        <v>0.03</v>
      </c>
    </row>
    <row r="62" spans="2:4" customFormat="1">
      <c r="B62" s="199">
        <v>41456</v>
      </c>
      <c r="D62" s="202">
        <v>0.03</v>
      </c>
    </row>
    <row r="63" spans="2:4" customFormat="1">
      <c r="B63" s="199">
        <v>41548</v>
      </c>
      <c r="D63" s="202">
        <v>0.03</v>
      </c>
    </row>
    <row r="64" spans="2:4" customFormat="1">
      <c r="B64" s="199">
        <v>41640</v>
      </c>
      <c r="D64" s="203">
        <v>0.03</v>
      </c>
    </row>
    <row r="65" spans="2:4" customFormat="1">
      <c r="B65" s="199">
        <v>41730</v>
      </c>
      <c r="D65" s="203">
        <v>0.03</v>
      </c>
    </row>
  </sheetData>
  <phoneticPr fontId="2" type="noConversion"/>
  <pageMargins left="0.75" right="0.75" top="1" bottom="1" header="0.5" footer="0.5"/>
  <pageSetup paperSize="9" scale="81"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B2:X39"/>
  <sheetViews>
    <sheetView showGridLines="0" zoomScale="85" workbookViewId="0"/>
  </sheetViews>
  <sheetFormatPr defaultRowHeight="12.75"/>
  <cols>
    <col min="1" max="1" width="4.28515625" style="84" customWidth="1"/>
    <col min="2" max="2" width="13.85546875" style="84" customWidth="1"/>
    <col min="3" max="6" width="12.7109375" style="84" customWidth="1"/>
    <col min="7" max="16384" width="9.140625" style="84"/>
  </cols>
  <sheetData>
    <row r="2" spans="2:6" s="80" customFormat="1" ht="18">
      <c r="B2" s="79" t="s">
        <v>0</v>
      </c>
    </row>
    <row r="4" spans="2:6" s="82" customFormat="1">
      <c r="B4" s="81" t="s">
        <v>10</v>
      </c>
    </row>
    <row r="6" spans="2:6">
      <c r="C6" s="84" t="s">
        <v>0</v>
      </c>
    </row>
    <row r="7" spans="2:6">
      <c r="B7" s="84">
        <v>2004</v>
      </c>
      <c r="C7" s="23">
        <v>2.1000000000000001E-2</v>
      </c>
      <c r="D7" s="78"/>
      <c r="E7" s="78"/>
      <c r="F7" s="78"/>
    </row>
    <row r="8" spans="2:6">
      <c r="B8" s="84">
        <v>2005</v>
      </c>
      <c r="C8" s="23">
        <v>1.0999999999999999E-2</v>
      </c>
      <c r="D8" s="78"/>
      <c r="E8" s="78"/>
      <c r="F8" s="78"/>
    </row>
    <row r="9" spans="2:6">
      <c r="B9" s="84">
        <v>2006</v>
      </c>
      <c r="C9" s="23">
        <v>1.7999999999999999E-2</v>
      </c>
      <c r="D9" s="78"/>
      <c r="E9" s="78"/>
      <c r="F9" s="78"/>
    </row>
    <row r="10" spans="2:6">
      <c r="B10" s="84">
        <v>2007</v>
      </c>
      <c r="C10" s="23">
        <v>1.4E-2</v>
      </c>
      <c r="D10" s="78"/>
      <c r="E10" s="78"/>
      <c r="F10" s="78"/>
    </row>
    <row r="11" spans="2:6">
      <c r="B11" s="84">
        <v>2008</v>
      </c>
      <c r="C11" s="23">
        <v>1.0999999999999999E-2</v>
      </c>
      <c r="D11" s="78"/>
      <c r="E11" s="78"/>
      <c r="F11" s="78"/>
    </row>
    <row r="12" spans="2:6">
      <c r="B12" s="84">
        <v>2009</v>
      </c>
      <c r="C12" s="23">
        <v>3.2000000000000001E-2</v>
      </c>
      <c r="D12" s="78"/>
      <c r="E12" s="78"/>
      <c r="F12" s="78"/>
    </row>
    <row r="13" spans="2:6">
      <c r="B13" s="84">
        <v>2010</v>
      </c>
      <c r="C13" s="23">
        <v>3.0000000000000001E-3</v>
      </c>
      <c r="D13" s="78"/>
      <c r="E13" s="78"/>
      <c r="F13" s="78"/>
    </row>
    <row r="14" spans="2:6">
      <c r="B14" s="84">
        <v>2011</v>
      </c>
      <c r="C14" s="23">
        <v>1.4999999999999999E-2</v>
      </c>
      <c r="D14" s="78"/>
      <c r="E14" s="78"/>
      <c r="F14" s="78"/>
    </row>
    <row r="15" spans="2:6">
      <c r="B15" s="84">
        <v>2012</v>
      </c>
      <c r="C15" s="23">
        <v>2.5999999999999999E-2</v>
      </c>
      <c r="D15" s="78"/>
      <c r="E15" s="78"/>
      <c r="F15" s="78"/>
    </row>
    <row r="16" spans="2:6">
      <c r="B16" s="84">
        <v>2013</v>
      </c>
      <c r="C16" s="23">
        <v>2.3E-2</v>
      </c>
      <c r="D16" s="78"/>
      <c r="E16" s="78"/>
      <c r="F16" s="78"/>
    </row>
    <row r="17" spans="2:14" customFormat="1">
      <c r="B17">
        <v>2014</v>
      </c>
      <c r="C17" s="23">
        <v>2.8000000000000001E-2</v>
      </c>
      <c r="D17" s="78"/>
      <c r="E17" s="78"/>
      <c r="F17" s="78"/>
    </row>
    <row r="19" spans="2:14" s="82" customFormat="1">
      <c r="B19" s="81" t="s">
        <v>11</v>
      </c>
    </row>
    <row r="22" spans="2:14">
      <c r="C22" s="84" t="s">
        <v>12</v>
      </c>
      <c r="D22" s="84">
        <v>2003</v>
      </c>
      <c r="E22" s="84">
        <v>2004</v>
      </c>
      <c r="F22" s="84">
        <v>2005</v>
      </c>
      <c r="G22" s="84">
        <v>2006</v>
      </c>
      <c r="H22" s="84">
        <v>2007</v>
      </c>
      <c r="I22" s="84">
        <v>2008</v>
      </c>
      <c r="J22" s="84">
        <v>2009</v>
      </c>
      <c r="K22" s="84">
        <v>2010</v>
      </c>
      <c r="L22" s="84">
        <v>2011</v>
      </c>
      <c r="M22" s="84">
        <v>2012</v>
      </c>
      <c r="N22">
        <v>2013</v>
      </c>
    </row>
    <row r="23" spans="2:14">
      <c r="B23" s="84" t="s">
        <v>13</v>
      </c>
      <c r="E23" s="86"/>
      <c r="F23" s="86"/>
      <c r="G23" s="86"/>
      <c r="H23" s="86"/>
      <c r="I23" s="86"/>
      <c r="J23" s="86"/>
      <c r="K23" s="86"/>
      <c r="L23" s="86"/>
      <c r="M23" s="86"/>
      <c r="N23" s="113"/>
    </row>
    <row r="24" spans="2:14">
      <c r="B24" s="84">
        <v>2004</v>
      </c>
      <c r="D24" s="207">
        <f>C7</f>
        <v>2.1000000000000001E-2</v>
      </c>
      <c r="E24" s="92"/>
      <c r="F24" s="92"/>
      <c r="G24" s="92"/>
      <c r="H24" s="92"/>
      <c r="I24" s="92"/>
      <c r="J24" s="92"/>
      <c r="K24" s="92"/>
      <c r="L24" s="92"/>
      <c r="M24" s="92"/>
      <c r="N24" s="205"/>
    </row>
    <row r="25" spans="2:14">
      <c r="B25" s="84">
        <v>2005</v>
      </c>
      <c r="D25" s="91">
        <f>(1+D24)*(1+C8)-1</f>
        <v>3.2230999999999899E-2</v>
      </c>
      <c r="E25" s="207">
        <f>C8</f>
        <v>1.0999999999999999E-2</v>
      </c>
      <c r="F25" s="92"/>
      <c r="G25" s="92"/>
      <c r="H25" s="92"/>
      <c r="I25" s="92"/>
      <c r="J25" s="92"/>
      <c r="K25" s="92"/>
      <c r="L25" s="92"/>
      <c r="M25" s="92"/>
      <c r="N25" s="205"/>
    </row>
    <row r="26" spans="2:14">
      <c r="B26" s="84">
        <v>2006</v>
      </c>
      <c r="D26" s="91">
        <f t="shared" ref="D26:D34" si="0">(1+D25)*(1+C9)-1</f>
        <v>5.0811157999999912E-2</v>
      </c>
      <c r="E26" s="91">
        <f>(1+E25)*(1+C9)-1</f>
        <v>2.9197999999999835E-2</v>
      </c>
      <c r="F26" s="207">
        <f>C9</f>
        <v>1.7999999999999999E-2</v>
      </c>
      <c r="G26" s="92"/>
      <c r="H26" s="92"/>
      <c r="I26" s="92"/>
      <c r="J26" s="92"/>
      <c r="K26" s="92"/>
      <c r="L26" s="92"/>
      <c r="M26" s="92"/>
      <c r="N26" s="205"/>
    </row>
    <row r="27" spans="2:14">
      <c r="B27" s="84">
        <v>2007</v>
      </c>
      <c r="C27" s="86"/>
      <c r="D27" s="91">
        <f t="shared" si="0"/>
        <v>6.5522514211999949E-2</v>
      </c>
      <c r="E27" s="91">
        <f t="shared" ref="E27:E34" si="1">(1+E26)*(1+C10)-1</f>
        <v>4.3606771999999738E-2</v>
      </c>
      <c r="F27" s="91">
        <f>(1+F26)*(1+C10)-1</f>
        <v>3.2251999999999947E-2</v>
      </c>
      <c r="G27" s="91">
        <f>C10</f>
        <v>1.4E-2</v>
      </c>
      <c r="H27" s="92"/>
      <c r="I27" s="92"/>
      <c r="J27" s="92"/>
      <c r="K27" s="92"/>
      <c r="L27" s="92"/>
      <c r="M27" s="92"/>
      <c r="N27" s="205"/>
    </row>
    <row r="28" spans="2:14">
      <c r="B28" s="84">
        <v>2008</v>
      </c>
      <c r="C28" s="86"/>
      <c r="D28" s="91">
        <f t="shared" si="0"/>
        <v>7.7243261868331858E-2</v>
      </c>
      <c r="E28" s="91">
        <f t="shared" si="1"/>
        <v>5.5086446491999563E-2</v>
      </c>
      <c r="F28" s="91">
        <f t="shared" ref="F28:F33" si="2">(1+F27)*(1+C11)-1</f>
        <v>4.3606771999999738E-2</v>
      </c>
      <c r="G28" s="91">
        <f t="shared" ref="G28:G34" si="3">(1+G27)*(1+C11)-1</f>
        <v>2.5153999999999899E-2</v>
      </c>
      <c r="H28" s="91">
        <f>C11</f>
        <v>1.0999999999999999E-2</v>
      </c>
      <c r="I28" s="92"/>
      <c r="J28" s="92"/>
      <c r="K28" s="92"/>
      <c r="L28" s="92"/>
      <c r="M28" s="92"/>
      <c r="N28" s="205"/>
    </row>
    <row r="29" spans="2:14">
      <c r="B29" s="84">
        <v>2009</v>
      </c>
      <c r="C29" s="86"/>
      <c r="D29" s="91">
        <f t="shared" si="0"/>
        <v>0.11171504624811845</v>
      </c>
      <c r="E29" s="91">
        <f t="shared" si="1"/>
        <v>8.8849212779743558E-2</v>
      </c>
      <c r="F29" s="91">
        <f t="shared" si="2"/>
        <v>7.7002188703999774E-2</v>
      </c>
      <c r="G29" s="91">
        <f t="shared" si="3"/>
        <v>5.795892799999991E-2</v>
      </c>
      <c r="H29" s="91">
        <f t="shared" ref="H29:H34" si="4">(1+H28)*(1+C12)-1</f>
        <v>4.3351999999999835E-2</v>
      </c>
      <c r="I29" s="91">
        <f>C12</f>
        <v>3.2000000000000001E-2</v>
      </c>
      <c r="J29" s="92"/>
      <c r="K29" s="92"/>
      <c r="L29" s="92"/>
      <c r="M29" s="92"/>
      <c r="N29" s="205"/>
    </row>
    <row r="30" spans="2:14">
      <c r="B30" s="84">
        <v>2010</v>
      </c>
      <c r="C30" s="86"/>
      <c r="D30" s="91">
        <f t="shared" si="0"/>
        <v>0.11505019138686268</v>
      </c>
      <c r="E30" s="91">
        <f t="shared" si="1"/>
        <v>9.2115760418082671E-2</v>
      </c>
      <c r="F30" s="91">
        <f t="shared" si="2"/>
        <v>8.0233195270111635E-2</v>
      </c>
      <c r="G30" s="91">
        <f t="shared" si="3"/>
        <v>6.113280478399985E-2</v>
      </c>
      <c r="H30" s="91">
        <f t="shared" si="4"/>
        <v>4.6482055999999661E-2</v>
      </c>
      <c r="I30" s="91">
        <f>(1+I29)*(1+C13)-1</f>
        <v>3.5096000000000016E-2</v>
      </c>
      <c r="J30" s="91">
        <f>C13</f>
        <v>3.0000000000000001E-3</v>
      </c>
      <c r="K30" s="92"/>
      <c r="L30" s="92"/>
      <c r="M30" s="92"/>
      <c r="N30" s="205"/>
    </row>
    <row r="31" spans="2:14">
      <c r="B31" s="84">
        <v>2011</v>
      </c>
      <c r="C31" s="86"/>
      <c r="D31" s="91">
        <f t="shared" si="0"/>
        <v>0.13177594425766559</v>
      </c>
      <c r="E31" s="91">
        <f t="shared" si="1"/>
        <v>0.10849749682435372</v>
      </c>
      <c r="F31" s="91">
        <f t="shared" si="2"/>
        <v>9.6436693199163148E-2</v>
      </c>
      <c r="G31" s="91">
        <f t="shared" si="3"/>
        <v>7.7049796855759745E-2</v>
      </c>
      <c r="H31" s="91">
        <f t="shared" si="4"/>
        <v>6.2179286839999515E-2</v>
      </c>
      <c r="I31" s="91">
        <f>(1+I30)*(1+C14)-1</f>
        <v>5.0622439999999935E-2</v>
      </c>
      <c r="J31" s="91">
        <f>(1+J30)*(1+C14)-1</f>
        <v>1.8044999999999867E-2</v>
      </c>
      <c r="K31" s="91">
        <f>C14</f>
        <v>1.4999999999999999E-2</v>
      </c>
      <c r="L31" s="92"/>
      <c r="M31" s="92"/>
      <c r="N31" s="205"/>
    </row>
    <row r="32" spans="2:14">
      <c r="B32" s="84">
        <v>2012</v>
      </c>
      <c r="C32" s="86"/>
      <c r="D32" s="91">
        <f t="shared" si="0"/>
        <v>0.16120211880836499</v>
      </c>
      <c r="E32" s="91">
        <f t="shared" si="1"/>
        <v>0.13731843174178704</v>
      </c>
      <c r="F32" s="91">
        <f t="shared" si="2"/>
        <v>0.12494404722234131</v>
      </c>
      <c r="G32" s="91">
        <f t="shared" si="3"/>
        <v>0.10505309157400955</v>
      </c>
      <c r="H32" s="91">
        <f t="shared" si="4"/>
        <v>8.9795948297839434E-2</v>
      </c>
      <c r="I32" s="91">
        <f>(1+I31)*(1+C15)-1</f>
        <v>7.793862343999991E-2</v>
      </c>
      <c r="J32" s="91">
        <f>(1+J31)*(1+C15)-1</f>
        <v>4.4514169999999798E-2</v>
      </c>
      <c r="K32" s="91">
        <f>(1+K31)*(1+C15)-1</f>
        <v>4.1389999999999816E-2</v>
      </c>
      <c r="L32" s="91">
        <f>C15</f>
        <v>2.5999999999999999E-2</v>
      </c>
      <c r="M32" s="93"/>
      <c r="N32" s="206"/>
    </row>
    <row r="33" spans="2:24">
      <c r="B33" s="84">
        <v>2013</v>
      </c>
      <c r="C33" s="78"/>
      <c r="D33" s="91">
        <f t="shared" si="0"/>
        <v>0.18790976754095734</v>
      </c>
      <c r="E33" s="91">
        <f t="shared" si="1"/>
        <v>0.16347675567184794</v>
      </c>
      <c r="F33" s="91">
        <f t="shared" si="2"/>
        <v>0.15081776030845506</v>
      </c>
      <c r="G33" s="91">
        <f t="shared" si="3"/>
        <v>0.13046931268021167</v>
      </c>
      <c r="H33" s="91">
        <f t="shared" si="4"/>
        <v>0.11486125510868961</v>
      </c>
      <c r="I33" s="91">
        <f>(1+I32)*(1+C16)-1</f>
        <v>0.1027312117791197</v>
      </c>
      <c r="J33" s="91">
        <f>(1+J32)*(1+C16)-1</f>
        <v>6.8537995909999649E-2</v>
      </c>
      <c r="K33" s="91">
        <f>(1+K32)*(1+C16)-1</f>
        <v>6.5341969999999749E-2</v>
      </c>
      <c r="L33" s="91">
        <f>(1+L32)*(1+C16)-1</f>
        <v>4.9598000000000031E-2</v>
      </c>
      <c r="M33" s="91">
        <f>C16</f>
        <v>2.3E-2</v>
      </c>
      <c r="N33" s="206"/>
    </row>
    <row r="34" spans="2:24">
      <c r="B34">
        <v>2014</v>
      </c>
      <c r="C34"/>
      <c r="D34" s="91">
        <f t="shared" si="0"/>
        <v>0.22117124103210428</v>
      </c>
      <c r="E34" s="91">
        <f t="shared" si="1"/>
        <v>0.19605410483065966</v>
      </c>
      <c r="F34" s="91">
        <f>(1+F33)*(1+C17)-1</f>
        <v>0.18304065759709176</v>
      </c>
      <c r="G34" s="207">
        <f t="shared" si="3"/>
        <v>0.16212245343525766</v>
      </c>
      <c r="H34" s="207">
        <f t="shared" si="4"/>
        <v>0.14607737025173284</v>
      </c>
      <c r="I34" s="207">
        <f>(1+I33)*(1+C17)-1</f>
        <v>0.133607685708935</v>
      </c>
      <c r="J34" s="207">
        <f>(1+J33)*(1+C17)-1</f>
        <v>9.8457059795479696E-2</v>
      </c>
      <c r="K34" s="207">
        <f>(1+K33)*(1+C17)-1</f>
        <v>9.5171545159999704E-2</v>
      </c>
      <c r="L34" s="207">
        <f>(1+L33)*(1+C17)-1</f>
        <v>7.8986744000000053E-2</v>
      </c>
      <c r="M34" s="207">
        <f>(1+M33)*(1+C17)-1</f>
        <v>5.1644000000000023E-2</v>
      </c>
      <c r="N34" s="207">
        <f>C17</f>
        <v>2.8000000000000001E-2</v>
      </c>
      <c r="P34" s="280"/>
      <c r="Q34" s="280"/>
      <c r="R34" s="280"/>
      <c r="S34" s="280"/>
      <c r="T34" s="280"/>
      <c r="U34" s="280"/>
      <c r="V34" s="280"/>
      <c r="W34" s="280"/>
      <c r="X34" s="280"/>
    </row>
    <row r="35" spans="2:24">
      <c r="G35" s="86"/>
      <c r="H35" s="86"/>
      <c r="I35" s="86"/>
      <c r="J35" s="86"/>
      <c r="K35" s="86"/>
      <c r="L35" s="86"/>
    </row>
    <row r="36" spans="2:24">
      <c r="G36" s="86"/>
      <c r="H36" s="86"/>
      <c r="I36" s="86"/>
      <c r="J36" s="86"/>
      <c r="K36" s="86"/>
      <c r="L36" s="86"/>
    </row>
    <row r="37" spans="2:24">
      <c r="G37" s="86"/>
      <c r="H37" s="86"/>
      <c r="I37" s="86"/>
      <c r="J37" s="86"/>
      <c r="K37" s="86"/>
      <c r="L37" s="86"/>
    </row>
    <row r="38" spans="2:24">
      <c r="G38" s="86"/>
      <c r="H38" s="86"/>
      <c r="I38" s="86"/>
      <c r="J38" s="86"/>
      <c r="K38" s="86"/>
      <c r="L38" s="86"/>
    </row>
    <row r="39" spans="2:24">
      <c r="G39" s="86"/>
      <c r="H39" s="86"/>
      <c r="I39" s="86"/>
      <c r="J39" s="86"/>
      <c r="K39" s="86"/>
      <c r="L39" s="86"/>
    </row>
  </sheetData>
  <phoneticPr fontId="2" type="noConversion"/>
  <pageMargins left="0.75" right="0.75" top="1" bottom="1" header="0.5" footer="0.5"/>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B2:R67"/>
  <sheetViews>
    <sheetView showGridLines="0" zoomScale="85" workbookViewId="0">
      <pane ySplit="2" topLeftCell="A3" activePane="bottomLeft" state="frozenSplit"/>
      <selection pane="bottomLeft"/>
    </sheetView>
  </sheetViews>
  <sheetFormatPr defaultRowHeight="12.75"/>
  <cols>
    <col min="1" max="1" width="3.42578125" style="63" customWidth="1"/>
    <col min="2" max="2" width="54.5703125" style="63" customWidth="1"/>
    <col min="3" max="4" width="10.28515625" style="63" customWidth="1"/>
    <col min="5" max="5" width="13" style="63" customWidth="1"/>
    <col min="6" max="6" width="5.28515625" style="63" customWidth="1"/>
    <col min="7" max="9" width="14.42578125" style="63" customWidth="1"/>
    <col min="10" max="10" width="15.28515625" style="63" bestFit="1" customWidth="1"/>
    <col min="11" max="14" width="14.42578125" style="63" customWidth="1"/>
    <col min="15" max="15" width="11.85546875" style="63" customWidth="1"/>
    <col min="16" max="16" width="5.5703125" style="63" customWidth="1"/>
    <col min="17" max="17" width="11.85546875" style="63" customWidth="1"/>
    <col min="18" max="18" width="16.7109375" style="63" bestFit="1" customWidth="1"/>
    <col min="19" max="16384" width="9.140625" style="63"/>
  </cols>
  <sheetData>
    <row r="2" spans="2:18" s="61" customFormat="1" ht="60.75">
      <c r="B2" s="60" t="s">
        <v>62</v>
      </c>
      <c r="C2" s="60"/>
      <c r="E2" s="62"/>
      <c r="F2" s="62"/>
      <c r="G2" s="7" t="s">
        <v>36</v>
      </c>
      <c r="H2" s="7" t="s">
        <v>7</v>
      </c>
      <c r="I2" s="7" t="s">
        <v>39</v>
      </c>
      <c r="J2" s="7" t="s">
        <v>42</v>
      </c>
      <c r="K2" s="7" t="s">
        <v>40</v>
      </c>
      <c r="L2" s="7" t="s">
        <v>8</v>
      </c>
      <c r="M2" s="7" t="s">
        <v>37</v>
      </c>
      <c r="N2" s="7" t="s">
        <v>41</v>
      </c>
      <c r="O2" s="7" t="s">
        <v>43</v>
      </c>
      <c r="P2" s="62"/>
      <c r="Q2" s="62"/>
    </row>
    <row r="4" spans="2:18" s="112" customFormat="1">
      <c r="B4" s="64" t="s">
        <v>150</v>
      </c>
      <c r="C4" s="111"/>
      <c r="D4" s="111"/>
    </row>
    <row r="5" spans="2:18">
      <c r="G5" s="66"/>
      <c r="H5" s="66"/>
      <c r="I5" s="66"/>
      <c r="J5" s="66"/>
      <c r="K5" s="66"/>
      <c r="L5" s="66"/>
      <c r="M5" s="66"/>
      <c r="N5" s="66"/>
      <c r="O5" s="66"/>
      <c r="P5" s="66"/>
      <c r="Q5" s="66"/>
    </row>
    <row r="6" spans="2:18" customFormat="1">
      <c r="B6" s="264" t="s">
        <v>293</v>
      </c>
      <c r="C6" s="113"/>
      <c r="D6" t="s">
        <v>45</v>
      </c>
      <c r="G6" s="191">
        <v>22155782.462519988</v>
      </c>
      <c r="H6" s="191">
        <v>30603336.272270575</v>
      </c>
      <c r="I6" s="191">
        <v>62282919.272606239</v>
      </c>
      <c r="J6" s="191">
        <v>320334771.2753402</v>
      </c>
      <c r="K6" s="191">
        <v>342731735.95406991</v>
      </c>
      <c r="L6" s="191">
        <v>18354485.758633368</v>
      </c>
      <c r="M6" s="191">
        <v>297632151.81264526</v>
      </c>
      <c r="N6" s="191">
        <v>18389510.971848741</v>
      </c>
      <c r="O6" s="191">
        <v>6440014.167166301</v>
      </c>
      <c r="P6" s="176"/>
      <c r="Q6" s="264" t="s">
        <v>316</v>
      </c>
    </row>
    <row r="7" spans="2:18">
      <c r="B7" t="s">
        <v>63</v>
      </c>
      <c r="C7" s="68"/>
      <c r="E7" s="67"/>
      <c r="F7" s="67"/>
      <c r="G7" s="208">
        <v>7.75</v>
      </c>
      <c r="H7" s="208">
        <v>6.93</v>
      </c>
      <c r="I7" s="208">
        <v>6.99</v>
      </c>
      <c r="J7" s="208">
        <v>6.94</v>
      </c>
      <c r="K7" s="208">
        <v>6.35</v>
      </c>
      <c r="L7" s="208">
        <v>7.13</v>
      </c>
      <c r="M7" s="208">
        <v>6.62</v>
      </c>
      <c r="N7" s="208">
        <v>5.87</v>
      </c>
      <c r="O7" s="208">
        <v>10.77</v>
      </c>
      <c r="Q7" s="264" t="s">
        <v>316</v>
      </c>
      <c r="R7" s="67"/>
    </row>
    <row r="8" spans="2:18">
      <c r="B8" t="s">
        <v>64</v>
      </c>
      <c r="C8" s="68"/>
      <c r="E8" s="68"/>
      <c r="F8" s="68"/>
      <c r="G8" s="193">
        <v>0</v>
      </c>
      <c r="H8" s="193">
        <v>0</v>
      </c>
      <c r="I8" s="193">
        <v>0</v>
      </c>
      <c r="J8" s="193">
        <v>0</v>
      </c>
      <c r="K8" s="193">
        <v>0</v>
      </c>
      <c r="L8" s="193">
        <v>0</v>
      </c>
      <c r="M8" s="193">
        <v>0</v>
      </c>
      <c r="N8" s="193">
        <v>0</v>
      </c>
      <c r="O8" s="193">
        <v>0</v>
      </c>
      <c r="Q8" s="264" t="s">
        <v>316</v>
      </c>
    </row>
    <row r="9" spans="2:18">
      <c r="B9" s="103" t="s">
        <v>65</v>
      </c>
      <c r="C9" s="68"/>
      <c r="E9" s="192">
        <f>CPI!C17</f>
        <v>2.8000000000000001E-2</v>
      </c>
      <c r="F9" s="72"/>
      <c r="G9" s="55"/>
      <c r="H9" s="55"/>
      <c r="I9" s="55"/>
      <c r="J9" s="55"/>
      <c r="K9" s="55"/>
      <c r="L9" s="55"/>
      <c r="M9" s="55"/>
      <c r="N9" s="55"/>
      <c r="O9" s="55"/>
      <c r="P9" s="68"/>
    </row>
    <row r="10" spans="2:18">
      <c r="B10" s="103" t="s">
        <v>151</v>
      </c>
      <c r="C10" s="68"/>
      <c r="D10" s="103" t="s">
        <v>61</v>
      </c>
      <c r="E10" s="68"/>
      <c r="F10" s="69"/>
      <c r="G10" s="70">
        <f>G6*(1-G7/100+G8/100+$E$9)</f>
        <v>21059071.230625249</v>
      </c>
      <c r="H10" s="70">
        <f t="shared" ref="H10:O10" si="0">H6*(1-H7/100+H8/100+$E$9)</f>
        <v>29339418.484225802</v>
      </c>
      <c r="I10" s="70">
        <f t="shared" si="0"/>
        <v>59673264.955084041</v>
      </c>
      <c r="J10" s="70">
        <f t="shared" si="0"/>
        <v>307072911.74454111</v>
      </c>
      <c r="K10" s="70">
        <f t="shared" si="0"/>
        <v>330564759.32770044</v>
      </c>
      <c r="L10" s="70">
        <f t="shared" si="0"/>
        <v>17559736.525284544</v>
      </c>
      <c r="M10" s="70">
        <f t="shared" si="0"/>
        <v>286262603.61340219</v>
      </c>
      <c r="N10" s="70">
        <f t="shared" si="0"/>
        <v>17824952.985012986</v>
      </c>
      <c r="O10" s="70">
        <f t="shared" si="0"/>
        <v>5926745.038043147</v>
      </c>
      <c r="P10" s="8"/>
      <c r="Q10" s="8"/>
    </row>
    <row r="11" spans="2:18">
      <c r="F11" s="68"/>
    </row>
    <row r="12" spans="2:18" s="65" customFormat="1">
      <c r="B12" s="111" t="s">
        <v>156</v>
      </c>
      <c r="C12" s="64"/>
      <c r="D12" s="64"/>
    </row>
    <row r="14" spans="2:18">
      <c r="B14" s="73" t="s">
        <v>66</v>
      </c>
    </row>
    <row r="15" spans="2:18">
      <c r="B15" s="209" t="s">
        <v>157</v>
      </c>
      <c r="C15" s="210"/>
      <c r="D15" s="103" t="s">
        <v>61</v>
      </c>
      <c r="G15" s="6">
        <f>'Nacalculaties en correcties'!F39</f>
        <v>0</v>
      </c>
      <c r="H15" s="6">
        <f>'Nacalculaties en correcties'!G39</f>
        <v>0</v>
      </c>
      <c r="I15" s="6">
        <f>'Nacalculaties en correcties'!H39</f>
        <v>0</v>
      </c>
      <c r="J15" s="6">
        <f>'Nacalculaties en correcties'!I39</f>
        <v>0</v>
      </c>
      <c r="K15" s="6">
        <f>'Nacalculaties en correcties'!J39</f>
        <v>0</v>
      </c>
      <c r="L15" s="6">
        <f>'Nacalculaties en correcties'!K39</f>
        <v>0</v>
      </c>
      <c r="M15" s="6">
        <f>'Nacalculaties en correcties'!L39</f>
        <v>0</v>
      </c>
      <c r="N15" s="6">
        <f>'Nacalculaties en correcties'!M39</f>
        <v>0</v>
      </c>
      <c r="O15" s="6">
        <f>'Nacalculaties en correcties'!N39</f>
        <v>0</v>
      </c>
    </row>
    <row r="16" spans="2:18">
      <c r="B16" s="209" t="s">
        <v>158</v>
      </c>
      <c r="C16" s="210"/>
      <c r="D16" s="103" t="s">
        <v>61</v>
      </c>
      <c r="G16" s="6">
        <f>'Nacalculaties en correcties'!F40</f>
        <v>0</v>
      </c>
      <c r="H16" s="6">
        <f>'Nacalculaties en correcties'!G40</f>
        <v>0</v>
      </c>
      <c r="I16" s="6">
        <f>'Nacalculaties en correcties'!H40</f>
        <v>0</v>
      </c>
      <c r="J16" s="6">
        <f>'Nacalculaties en correcties'!I40</f>
        <v>0</v>
      </c>
      <c r="K16" s="6">
        <f>'Nacalculaties en correcties'!J40</f>
        <v>0</v>
      </c>
      <c r="L16" s="6">
        <f>'Nacalculaties en correcties'!K40</f>
        <v>0</v>
      </c>
      <c r="M16" s="6">
        <f>'Nacalculaties en correcties'!L40</f>
        <v>0</v>
      </c>
      <c r="N16" s="6">
        <f>'Nacalculaties en correcties'!M40</f>
        <v>0</v>
      </c>
      <c r="O16" s="6">
        <f>'Nacalculaties en correcties'!N40</f>
        <v>0</v>
      </c>
    </row>
    <row r="17" spans="2:15">
      <c r="B17" s="209" t="s">
        <v>159</v>
      </c>
      <c r="C17" s="210"/>
      <c r="D17" s="103" t="s">
        <v>61</v>
      </c>
      <c r="G17" s="6">
        <f>'Nacalculaties en correcties'!F41</f>
        <v>0</v>
      </c>
      <c r="H17" s="6">
        <f>'Nacalculaties en correcties'!G41</f>
        <v>0</v>
      </c>
      <c r="I17" s="6">
        <f>'Nacalculaties en correcties'!H41</f>
        <v>0</v>
      </c>
      <c r="J17" s="6">
        <f>'Nacalculaties en correcties'!I41</f>
        <v>0</v>
      </c>
      <c r="K17" s="6">
        <f>'Nacalculaties en correcties'!J41</f>
        <v>0</v>
      </c>
      <c r="L17" s="6">
        <f>'Nacalculaties en correcties'!K41</f>
        <v>0</v>
      </c>
      <c r="M17" s="6">
        <f>'Nacalculaties en correcties'!L41</f>
        <v>0</v>
      </c>
      <c r="N17" s="6">
        <f>'Nacalculaties en correcties'!M41</f>
        <v>0</v>
      </c>
      <c r="O17" s="6">
        <f>'Nacalculaties en correcties'!N41</f>
        <v>0</v>
      </c>
    </row>
    <row r="18" spans="2:15">
      <c r="B18" s="209" t="s">
        <v>163</v>
      </c>
      <c r="C18" s="210"/>
      <c r="D18" s="103" t="s">
        <v>61</v>
      </c>
      <c r="G18" s="6">
        <f>'Nacalculaties en correcties'!F42</f>
        <v>0</v>
      </c>
      <c r="H18" s="6">
        <f>'Nacalculaties en correcties'!G42</f>
        <v>0</v>
      </c>
      <c r="I18" s="6">
        <f>'Nacalculaties en correcties'!H42</f>
        <v>17128.755415545653</v>
      </c>
      <c r="J18" s="6">
        <f>'Nacalculaties en correcties'!I42</f>
        <v>73933.040794912478</v>
      </c>
      <c r="K18" s="6">
        <f>'Nacalculaties en correcties'!J42</f>
        <v>23269.928754353732</v>
      </c>
      <c r="L18" s="6">
        <f>'Nacalculaties en correcties'!K42</f>
        <v>6062.1860982565058</v>
      </c>
      <c r="M18" s="6">
        <f>'Nacalculaties en correcties'!L42</f>
        <v>66227.522407023032</v>
      </c>
      <c r="N18" s="6">
        <f>'Nacalculaties en correcties'!M42</f>
        <v>3254.3525787456683</v>
      </c>
      <c r="O18" s="6">
        <f>'Nacalculaties en correcties'!N42</f>
        <v>0</v>
      </c>
    </row>
    <row r="19" spans="2:15">
      <c r="B19" s="209" t="s">
        <v>169</v>
      </c>
      <c r="C19" s="37"/>
      <c r="D19" s="103" t="s">
        <v>61</v>
      </c>
      <c r="G19" s="6">
        <f>'Nacalculaties en correcties'!F43</f>
        <v>49603.84415923903</v>
      </c>
      <c r="H19" s="6">
        <f>'Nacalculaties en correcties'!G43</f>
        <v>63083.104657897413</v>
      </c>
      <c r="I19" s="6">
        <f>'Nacalculaties en correcties'!H43</f>
        <v>134351.2793978253</v>
      </c>
      <c r="J19" s="6">
        <f>'Nacalculaties en correcties'!I43</f>
        <v>692619.68854873907</v>
      </c>
      <c r="K19" s="6">
        <f>'Nacalculaties en correcties'!J43</f>
        <v>742925.10287677892</v>
      </c>
      <c r="L19" s="6">
        <f>'Nacalculaties en correcties'!K43</f>
        <v>40811.950931922132</v>
      </c>
      <c r="M19" s="6">
        <f>'Nacalculaties en correcties'!L43</f>
        <v>629804.18126159476</v>
      </c>
      <c r="N19" s="6">
        <f>'Nacalculaties en correcties'!M43</f>
        <v>16650.270780129129</v>
      </c>
      <c r="O19" s="6">
        <f>'Nacalculaties en correcties'!N43</f>
        <v>0</v>
      </c>
    </row>
    <row r="20" spans="2:15">
      <c r="B20" s="291" t="s">
        <v>247</v>
      </c>
      <c r="C20" s="39"/>
      <c r="D20" s="103" t="s">
        <v>61</v>
      </c>
      <c r="G20" s="6">
        <f>'Nacalculaties en correcties'!F44</f>
        <v>-179461.83794641122</v>
      </c>
      <c r="H20" s="6">
        <f>'Nacalculaties en correcties'!G44</f>
        <v>-348878.03350388631</v>
      </c>
      <c r="I20" s="6">
        <f>'Nacalculaties en correcties'!H44</f>
        <v>-579231.14923523366</v>
      </c>
      <c r="J20" s="6">
        <f>'Nacalculaties en correcties'!I44</f>
        <v>-2947079.8957331181</v>
      </c>
      <c r="K20" s="6">
        <f>'Nacalculaties en correcties'!J44</f>
        <v>-2913219.7556096315</v>
      </c>
      <c r="L20" s="6">
        <f>'Nacalculaties en correcties'!K44</f>
        <v>-137658.64318975061</v>
      </c>
      <c r="M20" s="6">
        <f>'Nacalculaties en correcties'!L44</f>
        <v>-2589399.7207700014</v>
      </c>
      <c r="N20" s="6">
        <f>'Nacalculaties en correcties'!M44</f>
        <v>-474449.38307369873</v>
      </c>
      <c r="O20" s="6">
        <f>'Nacalculaties en correcties'!N44</f>
        <v>-477205.04978702217</v>
      </c>
    </row>
    <row r="21" spans="2:15">
      <c r="B21" s="291" t="s">
        <v>246</v>
      </c>
      <c r="C21" s="39"/>
      <c r="D21" s="103" t="s">
        <v>61</v>
      </c>
      <c r="G21" s="6">
        <f>'Nacalculaties en correcties'!F45</f>
        <v>-199864.33429797739</v>
      </c>
      <c r="H21" s="6">
        <f>'Nacalculaties en correcties'!G45</f>
        <v>-263957.47169411555</v>
      </c>
      <c r="I21" s="6">
        <f>'Nacalculaties en correcties'!H45</f>
        <v>-574479.56622220576</v>
      </c>
      <c r="J21" s="6">
        <f>'Nacalculaties en correcties'!I45</f>
        <v>-2914210.193515718</v>
      </c>
      <c r="K21" s="6">
        <f>'Nacalculaties en correcties'!J45</f>
        <v>-3133759.3150655031</v>
      </c>
      <c r="L21" s="6">
        <f>'Nacalculaties en correcties'!K45</f>
        <v>-139856.36017333716</v>
      </c>
      <c r="M21" s="6">
        <f>'Nacalculaties en correcties'!L45</f>
        <v>-2600562.013676703</v>
      </c>
      <c r="N21" s="6">
        <f>'Nacalculaties en correcties'!M45</f>
        <v>-74113.349565014243</v>
      </c>
      <c r="O21" s="6">
        <f>'Nacalculaties en correcties'!N45</f>
        <v>0</v>
      </c>
    </row>
    <row r="22" spans="2:15">
      <c r="B22" s="209" t="s">
        <v>170</v>
      </c>
      <c r="C22" s="210"/>
      <c r="D22" s="103" t="s">
        <v>61</v>
      </c>
      <c r="G22" s="6">
        <f>'Nacalculaties en correcties'!F46</f>
        <v>-632655.4159294198</v>
      </c>
      <c r="H22" s="6">
        <f>'Nacalculaties en correcties'!G46</f>
        <v>61186.455011460122</v>
      </c>
      <c r="I22" s="6">
        <f>'Nacalculaties en correcties'!H46</f>
        <v>0</v>
      </c>
      <c r="J22" s="6">
        <f>'Nacalculaties en correcties'!I46</f>
        <v>-105209.76134092965</v>
      </c>
      <c r="K22" s="6">
        <f>'Nacalculaties en correcties'!J46</f>
        <v>4670373.5356095629</v>
      </c>
      <c r="L22" s="6">
        <f>'Nacalculaties en correcties'!K46</f>
        <v>184102.45168093964</v>
      </c>
      <c r="M22" s="6">
        <f>'Nacalculaties en correcties'!L46</f>
        <v>-577472.66393038596</v>
      </c>
      <c r="N22" s="6">
        <f>'Nacalculaties en correcties'!M46</f>
        <v>0</v>
      </c>
      <c r="O22" s="6">
        <f>'Nacalculaties en correcties'!N46</f>
        <v>0</v>
      </c>
    </row>
    <row r="23" spans="2:15">
      <c r="B23" s="294" t="s">
        <v>282</v>
      </c>
      <c r="C23" s="210"/>
      <c r="D23" s="103" t="s">
        <v>61</v>
      </c>
      <c r="G23" s="37"/>
      <c r="H23" s="37"/>
      <c r="I23" s="37"/>
      <c r="J23" s="37"/>
      <c r="K23" s="37"/>
      <c r="L23" s="6">
        <f>'Nacalculaties en correcties'!K47</f>
        <v>128008.84661331492</v>
      </c>
      <c r="M23" s="37"/>
      <c r="N23" s="37"/>
      <c r="O23" s="37"/>
    </row>
    <row r="24" spans="2:15">
      <c r="B24" s="294" t="s">
        <v>283</v>
      </c>
      <c r="C24" s="210"/>
      <c r="D24" s="103" t="s">
        <v>61</v>
      </c>
      <c r="G24" s="37"/>
      <c r="H24" s="37"/>
      <c r="I24" s="37"/>
      <c r="J24" s="37"/>
      <c r="K24" s="37"/>
      <c r="L24" s="6">
        <f>'Nacalculaties en correcties'!K48</f>
        <v>250769.32801754973</v>
      </c>
      <c r="M24" s="37"/>
      <c r="N24" s="37"/>
      <c r="O24" s="37"/>
    </row>
    <row r="25" spans="2:15">
      <c r="B25" s="294" t="s">
        <v>284</v>
      </c>
      <c r="C25" s="210"/>
      <c r="D25" s="103" t="s">
        <v>61</v>
      </c>
      <c r="G25" s="37"/>
      <c r="H25" s="37"/>
      <c r="I25" s="37"/>
      <c r="J25" s="37"/>
      <c r="K25" s="37"/>
      <c r="L25" s="6">
        <f>'Nacalculaties en correcties'!K49</f>
        <v>371763.88211075717</v>
      </c>
      <c r="M25" s="37"/>
      <c r="N25" s="37"/>
      <c r="O25" s="37"/>
    </row>
    <row r="26" spans="2:15">
      <c r="B26" s="294" t="s">
        <v>285</v>
      </c>
      <c r="C26" s="210"/>
      <c r="D26" s="103" t="s">
        <v>61</v>
      </c>
      <c r="G26" s="37"/>
      <c r="H26" s="37"/>
      <c r="I26" s="37"/>
      <c r="J26" s="37"/>
      <c r="K26" s="37"/>
      <c r="L26" s="6">
        <f>'Nacalculaties en correcties'!K50</f>
        <v>22589.796461173482</v>
      </c>
      <c r="M26" s="37"/>
      <c r="N26" s="37"/>
      <c r="O26" s="37"/>
    </row>
    <row r="27" spans="2:15">
      <c r="B27" s="294" t="s">
        <v>286</v>
      </c>
      <c r="C27" s="210"/>
      <c r="D27" s="103" t="s">
        <v>61</v>
      </c>
      <c r="G27" s="37"/>
      <c r="H27" s="37"/>
      <c r="I27" s="37"/>
      <c r="J27" s="37"/>
      <c r="K27" s="37"/>
      <c r="L27" s="6">
        <f>'Nacalculaties en correcties'!K51</f>
        <v>87514.659788016696</v>
      </c>
      <c r="M27" s="37"/>
      <c r="N27" s="37"/>
      <c r="O27" s="37"/>
    </row>
    <row r="28" spans="2:15">
      <c r="B28" s="294" t="s">
        <v>287</v>
      </c>
      <c r="C28" s="210"/>
      <c r="D28" s="103" t="s">
        <v>61</v>
      </c>
      <c r="G28" s="37"/>
      <c r="H28" s="37"/>
      <c r="I28" s="37"/>
      <c r="J28" s="37"/>
      <c r="K28" s="37"/>
      <c r="L28" s="6">
        <f>'Nacalculaties en correcties'!K52</f>
        <v>191826.9276748822</v>
      </c>
      <c r="M28" s="37"/>
      <c r="N28" s="37"/>
      <c r="O28" s="37"/>
    </row>
    <row r="29" spans="2:15">
      <c r="B29" s="294" t="s">
        <v>263</v>
      </c>
      <c r="C29" s="210"/>
      <c r="D29" s="103" t="s">
        <v>61</v>
      </c>
      <c r="G29" s="37"/>
      <c r="H29" s="37"/>
      <c r="I29" s="37"/>
      <c r="J29" s="37"/>
      <c r="K29" s="37"/>
      <c r="L29" s="6">
        <f>'Nacalculaties en correcties'!K53</f>
        <v>-82829.253690969068</v>
      </c>
      <c r="M29" s="37"/>
      <c r="N29" s="37"/>
      <c r="O29" s="37"/>
    </row>
    <row r="30" spans="2:15">
      <c r="B30" s="294" t="s">
        <v>264</v>
      </c>
      <c r="C30" s="210"/>
      <c r="D30" s="103" t="s">
        <v>61</v>
      </c>
      <c r="G30" s="37"/>
      <c r="H30" s="37"/>
      <c r="I30" s="37"/>
      <c r="J30" s="37"/>
      <c r="K30" s="37"/>
      <c r="L30" s="6">
        <f>'Nacalculaties en correcties'!K54</f>
        <v>-162736.95813729271</v>
      </c>
      <c r="M30" s="37"/>
      <c r="N30" s="37"/>
      <c r="O30" s="37"/>
    </row>
    <row r="31" spans="2:15">
      <c r="B31" s="294" t="s">
        <v>265</v>
      </c>
      <c r="C31" s="210"/>
      <c r="D31" s="103" t="s">
        <v>61</v>
      </c>
      <c r="G31" s="37"/>
      <c r="H31" s="37"/>
      <c r="I31" s="37"/>
      <c r="J31" s="37"/>
      <c r="K31" s="37"/>
      <c r="L31" s="6">
        <f>'Nacalculaties en correcties'!K55</f>
        <v>-241967.26216596147</v>
      </c>
      <c r="M31" s="37"/>
      <c r="N31" s="37"/>
      <c r="O31" s="37"/>
    </row>
    <row r="32" spans="2:15">
      <c r="B32" s="218" t="s">
        <v>174</v>
      </c>
      <c r="C32" s="219"/>
      <c r="D32" s="103" t="s">
        <v>61</v>
      </c>
      <c r="G32"/>
      <c r="H32" s="126"/>
      <c r="I32" s="126"/>
      <c r="J32" s="220">
        <f>'Nacalculaties en correcties'!I56</f>
        <v>31276.720546017161</v>
      </c>
      <c r="K32" s="37"/>
      <c r="L32" s="126"/>
      <c r="M32" s="126"/>
      <c r="N32" s="126"/>
      <c r="O32" s="126"/>
    </row>
    <row r="33" spans="2:17">
      <c r="B33" s="218" t="s">
        <v>176</v>
      </c>
      <c r="C33" s="219"/>
      <c r="D33" s="103" t="s">
        <v>61</v>
      </c>
      <c r="G33"/>
      <c r="H33" s="126"/>
      <c r="I33" s="126"/>
      <c r="J33" s="220">
        <f>'Nacalculaties en correcties'!I57</f>
        <v>0</v>
      </c>
      <c r="K33" s="37"/>
      <c r="L33" s="126"/>
      <c r="M33" s="126"/>
      <c r="N33" s="126"/>
      <c r="O33" s="126"/>
    </row>
    <row r="35" spans="2:17">
      <c r="B35" s="74" t="s">
        <v>67</v>
      </c>
      <c r="D35" s="103" t="s">
        <v>61</v>
      </c>
      <c r="G35" s="75">
        <f>SUM(G15:G33)</f>
        <v>-962377.74401456933</v>
      </c>
      <c r="H35" s="75">
        <f>SUM(H15:H33)</f>
        <v>-488565.94552864425</v>
      </c>
      <c r="I35" s="75">
        <f>SUM(I15:I33)</f>
        <v>-1002230.6806440684</v>
      </c>
      <c r="J35" s="75">
        <f t="shared" ref="J35:M35" si="1">SUM(J15:J33)</f>
        <v>-5168670.400700096</v>
      </c>
      <c r="K35" s="75">
        <f t="shared" si="1"/>
        <v>-610410.50343443919</v>
      </c>
      <c r="L35" s="75">
        <f t="shared" si="1"/>
        <v>518401.55201950145</v>
      </c>
      <c r="M35" s="75">
        <f t="shared" si="1"/>
        <v>-5071402.694708473</v>
      </c>
      <c r="N35" s="75">
        <f>SUM(N15:N33)</f>
        <v>-528658.10927983816</v>
      </c>
      <c r="O35" s="75">
        <f>SUM(O15:O33)</f>
        <v>-477205.04978702217</v>
      </c>
    </row>
    <row r="37" spans="2:17" s="65" customFormat="1">
      <c r="B37" s="64" t="s">
        <v>68</v>
      </c>
      <c r="C37" s="64"/>
      <c r="D37" s="64"/>
    </row>
    <row r="39" spans="2:17">
      <c r="B39" s="103" t="s">
        <v>69</v>
      </c>
      <c r="D39" s="103" t="s">
        <v>61</v>
      </c>
      <c r="G39" s="76">
        <f>G10+G35</f>
        <v>20096693.486610681</v>
      </c>
      <c r="H39" s="76">
        <f t="shared" ref="H39:N39" si="2">H10+H35</f>
        <v>28850852.538697157</v>
      </c>
      <c r="I39" s="76">
        <f t="shared" si="2"/>
        <v>58671034.274439976</v>
      </c>
      <c r="J39" s="76">
        <f t="shared" si="2"/>
        <v>301904241.34384102</v>
      </c>
      <c r="K39" s="76">
        <f>K10+K35</f>
        <v>329954348.82426602</v>
      </c>
      <c r="L39" s="76">
        <f t="shared" si="2"/>
        <v>18078138.077304047</v>
      </c>
      <c r="M39" s="76">
        <f>M10+M35</f>
        <v>281191200.91869372</v>
      </c>
      <c r="N39" s="76">
        <f t="shared" si="2"/>
        <v>17296294.875733148</v>
      </c>
      <c r="O39" s="76">
        <f>O10+O35</f>
        <v>5449539.9882561248</v>
      </c>
    </row>
    <row r="41" spans="2:17" s="65" customFormat="1">
      <c r="B41" s="64" t="s">
        <v>294</v>
      </c>
      <c r="C41" s="64"/>
      <c r="D41" s="64"/>
    </row>
    <row r="43" spans="2:17">
      <c r="B43" s="63" t="s">
        <v>332</v>
      </c>
      <c r="D43" s="291" t="s">
        <v>45</v>
      </c>
      <c r="F43" s="299"/>
      <c r="G43" s="193">
        <v>3467749.7420662218</v>
      </c>
      <c r="H43" s="193">
        <v>4321939.9066870231</v>
      </c>
      <c r="I43" s="193">
        <v>11435680.528196925</v>
      </c>
      <c r="J43" s="193">
        <v>37354460.553247526</v>
      </c>
      <c r="K43" s="193">
        <v>68946424.101342753</v>
      </c>
      <c r="L43" s="193">
        <v>2705519.6435421472</v>
      </c>
      <c r="M43" s="193">
        <v>59830747.821621023</v>
      </c>
      <c r="N43" s="193">
        <v>1037832.3857857356</v>
      </c>
      <c r="O43" s="193">
        <v>0</v>
      </c>
      <c r="Q43" s="264" t="s">
        <v>317</v>
      </c>
    </row>
    <row r="44" spans="2:17">
      <c r="B44" s="63" t="s">
        <v>333</v>
      </c>
      <c r="D44" s="291" t="s">
        <v>45</v>
      </c>
      <c r="F44" s="299"/>
      <c r="G44" s="193">
        <v>16020081.886041785</v>
      </c>
      <c r="H44" s="193">
        <v>20284234.017797168</v>
      </c>
      <c r="I44" s="193">
        <v>38655269.268704616</v>
      </c>
      <c r="J44" s="193">
        <v>195672197.78188416</v>
      </c>
      <c r="K44" s="193">
        <v>238298546.27547348</v>
      </c>
      <c r="L44" s="193">
        <v>18226325.950834468</v>
      </c>
      <c r="M44" s="193">
        <v>207182164.85223594</v>
      </c>
      <c r="N44" s="193">
        <v>17557229.201133613</v>
      </c>
      <c r="O44" s="193">
        <v>4397978.741419402</v>
      </c>
      <c r="Q44" s="264" t="s">
        <v>318</v>
      </c>
    </row>
    <row r="45" spans="2:17" s="291" customFormat="1">
      <c r="G45" s="300"/>
      <c r="H45" s="300"/>
      <c r="I45" s="300"/>
      <c r="J45" s="300"/>
      <c r="K45" s="300"/>
      <c r="L45" s="300"/>
      <c r="M45" s="300"/>
      <c r="N45" s="300"/>
      <c r="O45" s="300"/>
    </row>
    <row r="46" spans="2:17" s="291" customFormat="1">
      <c r="B46" s="291" t="s">
        <v>295</v>
      </c>
      <c r="G46" s="312">
        <f t="shared" ref="G46:N46" si="3">G43/(G44+G43)</f>
        <v>0.17794436078073256</v>
      </c>
      <c r="H46" s="298">
        <f t="shared" si="3"/>
        <v>0.1756445321385991</v>
      </c>
      <c r="I46" s="298">
        <f t="shared" si="3"/>
        <v>0.22829833681660991</v>
      </c>
      <c r="J46" s="298">
        <f t="shared" si="3"/>
        <v>0.16030123257196394</v>
      </c>
      <c r="K46" s="298">
        <f t="shared" si="3"/>
        <v>0.2244021245222807</v>
      </c>
      <c r="L46" s="298">
        <f t="shared" si="3"/>
        <v>0.12925375506634687</v>
      </c>
      <c r="M46" s="298">
        <f t="shared" si="3"/>
        <v>0.22407436113286894</v>
      </c>
      <c r="N46" s="298">
        <f t="shared" si="3"/>
        <v>5.5812258589979409E-2</v>
      </c>
      <c r="O46" s="298"/>
    </row>
    <row r="47" spans="2:17" s="291" customFormat="1">
      <c r="B47" s="291" t="s">
        <v>296</v>
      </c>
      <c r="G47" s="312">
        <f t="shared" ref="G47:O47" si="4">G44/(G43+G44)</f>
        <v>0.8220556392192675</v>
      </c>
      <c r="H47" s="298">
        <f t="shared" si="4"/>
        <v>0.82435546786140079</v>
      </c>
      <c r="I47" s="298">
        <f t="shared" si="4"/>
        <v>0.77170166318339017</v>
      </c>
      <c r="J47" s="298">
        <f t="shared" si="4"/>
        <v>0.83969876742803595</v>
      </c>
      <c r="K47" s="298">
        <f t="shared" si="4"/>
        <v>0.77559787547771941</v>
      </c>
      <c r="L47" s="298">
        <f t="shared" si="4"/>
        <v>0.87074624493365305</v>
      </c>
      <c r="M47" s="298">
        <f t="shared" si="4"/>
        <v>0.77592563886713106</v>
      </c>
      <c r="N47" s="298">
        <f t="shared" si="4"/>
        <v>0.9441877414100206</v>
      </c>
      <c r="O47" s="298">
        <f t="shared" si="4"/>
        <v>1</v>
      </c>
    </row>
    <row r="48" spans="2:17" s="291" customFormat="1">
      <c r="G48" s="301"/>
      <c r="H48" s="297"/>
      <c r="I48" s="297"/>
    </row>
    <row r="49" spans="2:15" s="291" customFormat="1">
      <c r="B49" s="291" t="s">
        <v>297</v>
      </c>
      <c r="D49" s="103" t="s">
        <v>61</v>
      </c>
      <c r="G49" s="76">
        <f>G39*G46</f>
        <v>3576093.2762812492</v>
      </c>
      <c r="H49" s="76">
        <f t="shared" ref="H49:O49" si="5">H39*H46</f>
        <v>5067494.4959591758</v>
      </c>
      <c r="I49" s="76">
        <f t="shared" si="5"/>
        <v>13394499.544164961</v>
      </c>
      <c r="J49" s="76">
        <f t="shared" si="5"/>
        <v>48395622.00612139</v>
      </c>
      <c r="K49" s="76">
        <f t="shared" si="5"/>
        <v>74042456.87153098</v>
      </c>
      <c r="L49" s="76">
        <f t="shared" si="5"/>
        <v>2336667.2310994561</v>
      </c>
      <c r="M49" s="76">
        <f>M39*M46</f>
        <v>63007738.702040486</v>
      </c>
      <c r="N49" s="76">
        <f t="shared" si="5"/>
        <v>965345.2822529542</v>
      </c>
      <c r="O49" s="76">
        <f t="shared" si="5"/>
        <v>0</v>
      </c>
    </row>
    <row r="50" spans="2:15" s="291" customFormat="1">
      <c r="B50" s="291" t="s">
        <v>298</v>
      </c>
      <c r="D50" s="103" t="s">
        <v>61</v>
      </c>
      <c r="G50" s="76">
        <f>G39*G47</f>
        <v>16520600.210329432</v>
      </c>
      <c r="H50" s="76">
        <f t="shared" ref="H50:O50" si="6">H39*H47</f>
        <v>23783358.042737979</v>
      </c>
      <c r="I50" s="76">
        <f t="shared" si="6"/>
        <v>45276534.73027502</v>
      </c>
      <c r="J50" s="76">
        <f t="shared" si="6"/>
        <v>253508619.33771959</v>
      </c>
      <c r="K50" s="76">
        <f t="shared" si="6"/>
        <v>255911891.95273507</v>
      </c>
      <c r="L50" s="76">
        <f t="shared" si="6"/>
        <v>15741470.846204588</v>
      </c>
      <c r="M50" s="76">
        <f>M39*M47</f>
        <v>218183462.21665323</v>
      </c>
      <c r="N50" s="76">
        <f t="shared" si="6"/>
        <v>16330949.593480194</v>
      </c>
      <c r="O50" s="76">
        <f t="shared" si="6"/>
        <v>5449539.9882561248</v>
      </c>
    </row>
    <row r="51" spans="2:15" s="291" customFormat="1">
      <c r="D51" s="103"/>
    </row>
    <row r="52" spans="2:15" s="297" customFormat="1">
      <c r="G52" s="310"/>
      <c r="H52" s="310"/>
      <c r="I52" s="310"/>
      <c r="J52" s="310"/>
      <c r="K52" s="310"/>
      <c r="L52" s="310"/>
      <c r="M52" s="310"/>
      <c r="N52" s="310"/>
      <c r="O52" s="310"/>
    </row>
    <row r="53" spans="2:15" s="297" customFormat="1">
      <c r="G53" s="310"/>
      <c r="H53" s="310"/>
      <c r="I53" s="310"/>
      <c r="J53" s="310"/>
      <c r="K53" s="310"/>
      <c r="L53" s="310"/>
      <c r="M53" s="310"/>
      <c r="N53" s="310"/>
      <c r="O53" s="310"/>
    </row>
    <row r="54" spans="2:15" s="297" customFormat="1"/>
    <row r="55" spans="2:15" s="68" customFormat="1">
      <c r="D55" s="311"/>
      <c r="G55" s="78"/>
      <c r="H55" s="78"/>
      <c r="I55" s="78"/>
      <c r="J55" s="78"/>
      <c r="K55" s="78"/>
      <c r="L55" s="78"/>
      <c r="M55" s="78"/>
      <c r="N55" s="78"/>
      <c r="O55" s="78"/>
    </row>
    <row r="56" spans="2:15" s="68" customFormat="1">
      <c r="D56" s="311"/>
      <c r="G56" s="78"/>
      <c r="H56" s="78"/>
      <c r="I56" s="78"/>
      <c r="J56" s="78"/>
      <c r="K56" s="78"/>
      <c r="L56" s="78"/>
      <c r="M56" s="78"/>
      <c r="N56" s="78"/>
      <c r="O56" s="78"/>
    </row>
    <row r="58" spans="2:15">
      <c r="G58" s="24"/>
      <c r="H58" s="24"/>
      <c r="I58" s="24"/>
      <c r="J58" s="24"/>
      <c r="K58" s="24"/>
      <c r="L58" s="24"/>
      <c r="M58" s="24"/>
      <c r="N58" s="24"/>
      <c r="O58" s="24"/>
    </row>
    <row r="59" spans="2:15">
      <c r="G59" s="24"/>
      <c r="H59" s="24"/>
      <c r="I59" s="24"/>
      <c r="J59" s="24"/>
      <c r="K59" s="24"/>
      <c r="L59" s="24"/>
      <c r="M59" s="24"/>
      <c r="N59" s="24"/>
      <c r="O59" s="24"/>
    </row>
    <row r="60" spans="2:15">
      <c r="G60" s="72"/>
      <c r="H60" s="68"/>
      <c r="I60" s="68"/>
      <c r="J60" s="68"/>
      <c r="K60" s="68"/>
      <c r="L60" s="68"/>
      <c r="M60" s="68"/>
      <c r="N60" s="68"/>
      <c r="O60" s="68"/>
    </row>
    <row r="61" spans="2:15">
      <c r="G61" s="308"/>
      <c r="H61" s="68"/>
      <c r="I61" s="68"/>
      <c r="J61" s="68"/>
      <c r="K61" s="68"/>
      <c r="L61" s="68"/>
      <c r="M61" s="68"/>
      <c r="N61" s="68"/>
      <c r="O61" s="68"/>
    </row>
    <row r="62" spans="2:15">
      <c r="G62" s="308"/>
      <c r="H62" s="68"/>
      <c r="I62" s="68"/>
      <c r="J62" s="68"/>
      <c r="K62" s="68"/>
      <c r="L62" s="68"/>
      <c r="M62" s="68"/>
      <c r="N62" s="68"/>
      <c r="O62" s="68"/>
    </row>
    <row r="63" spans="2:15">
      <c r="G63" s="68"/>
      <c r="H63" s="68"/>
      <c r="I63" s="68"/>
      <c r="J63" s="68"/>
      <c r="K63" s="68"/>
      <c r="L63" s="68"/>
      <c r="M63" s="68"/>
      <c r="N63" s="68"/>
      <c r="O63" s="68"/>
    </row>
    <row r="66" spans="7:17">
      <c r="G66" s="307"/>
      <c r="H66" s="307"/>
      <c r="I66" s="307"/>
      <c r="J66" s="307"/>
      <c r="K66" s="307"/>
      <c r="L66" s="307"/>
      <c r="M66" s="307"/>
      <c r="N66" s="307"/>
      <c r="O66" s="307"/>
      <c r="P66" s="307"/>
      <c r="Q66" s="307"/>
    </row>
    <row r="67" spans="7:17">
      <c r="G67" s="307"/>
      <c r="H67" s="307"/>
      <c r="I67" s="307"/>
      <c r="J67" s="307"/>
      <c r="K67" s="307"/>
      <c r="L67" s="307"/>
      <c r="M67" s="307"/>
      <c r="N67" s="307"/>
      <c r="O67" s="307"/>
      <c r="P67" s="307"/>
      <c r="Q67" s="307"/>
    </row>
  </sheetData>
  <phoneticPr fontId="2" type="noConversion"/>
  <pageMargins left="0.75" right="0.75" top="1" bottom="1" header="0.5" footer="0.5"/>
  <pageSetup paperSize="9" scale="3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3"/>
    <pageSetUpPr fitToPage="1"/>
  </sheetPr>
  <dimension ref="B2:Q68"/>
  <sheetViews>
    <sheetView showGridLines="0" zoomScale="70" zoomScaleNormal="70" workbookViewId="0">
      <pane xSplit="4" ySplit="3" topLeftCell="E4" activePane="bottomRight" state="frozen"/>
      <selection activeCell="E41" sqref="E41"/>
      <selection pane="topRight" activeCell="E41" sqref="E41"/>
      <selection pane="bottomLeft" activeCell="E41" sqref="E41"/>
      <selection pane="bottomRight"/>
    </sheetView>
  </sheetViews>
  <sheetFormatPr defaultRowHeight="12.75"/>
  <cols>
    <col min="1" max="1" width="3.5703125" style="37" customWidth="1"/>
    <col min="2" max="2" width="64.42578125" style="37" customWidth="1"/>
    <col min="3" max="3" width="8.5703125" style="37" customWidth="1"/>
    <col min="4" max="4" width="12" style="37" customWidth="1"/>
    <col min="5" max="5" width="11.85546875" style="37" customWidth="1"/>
    <col min="6" max="7" width="13.5703125" style="37" customWidth="1"/>
    <col min="8" max="8" width="14.85546875" style="37" customWidth="1"/>
    <col min="9" max="9" width="13.5703125" style="37" customWidth="1"/>
    <col min="10" max="11" width="14.85546875" style="37" customWidth="1"/>
    <col min="12" max="14" width="13.5703125" style="37" customWidth="1"/>
    <col min="15" max="15" width="5.28515625" style="37" customWidth="1"/>
    <col min="16" max="16" width="13.5703125" style="37" customWidth="1"/>
    <col min="17" max="16384" width="9.140625" style="37"/>
  </cols>
  <sheetData>
    <row r="2" spans="2:16" s="33" customFormat="1" ht="60.75">
      <c r="B2" s="32" t="s">
        <v>14</v>
      </c>
      <c r="C2" s="32"/>
      <c r="E2" s="34"/>
      <c r="F2" s="7" t="s">
        <v>36</v>
      </c>
      <c r="G2" s="7" t="s">
        <v>7</v>
      </c>
      <c r="H2" s="7" t="s">
        <v>39</v>
      </c>
      <c r="I2" s="7" t="s">
        <v>42</v>
      </c>
      <c r="J2" s="7" t="s">
        <v>40</v>
      </c>
      <c r="K2" s="7" t="s">
        <v>8</v>
      </c>
      <c r="L2" s="7" t="s">
        <v>37</v>
      </c>
      <c r="M2" s="7" t="s">
        <v>41</v>
      </c>
      <c r="N2" s="7" t="s">
        <v>43</v>
      </c>
      <c r="O2" s="34"/>
      <c r="P2" s="34"/>
    </row>
    <row r="6" spans="2:16" s="36" customFormat="1">
      <c r="B6" s="35" t="s">
        <v>15</v>
      </c>
      <c r="C6" s="35"/>
    </row>
    <row r="8" spans="2:16" customFormat="1">
      <c r="B8" s="209" t="s">
        <v>157</v>
      </c>
      <c r="C8" s="210"/>
      <c r="D8" s="119" t="s">
        <v>79</v>
      </c>
      <c r="F8" s="6">
        <f>'Overname private netten'!G39</f>
        <v>0</v>
      </c>
      <c r="G8" s="6">
        <f>'Overname private netten'!H39</f>
        <v>0</v>
      </c>
      <c r="H8" s="6">
        <f>'Overname private netten'!I39</f>
        <v>0</v>
      </c>
      <c r="I8" s="6">
        <f>'Overname private netten'!J39</f>
        <v>0</v>
      </c>
      <c r="J8" s="6">
        <f>'Overname private netten'!K39</f>
        <v>0</v>
      </c>
      <c r="K8" s="6">
        <f>'Overname private netten'!L39</f>
        <v>0</v>
      </c>
      <c r="L8" s="6">
        <f>'Overname private netten'!M39</f>
        <v>0</v>
      </c>
      <c r="M8" s="6">
        <f>'Overname private netten'!N39</f>
        <v>0</v>
      </c>
      <c r="N8" s="6">
        <f>'Overname private netten'!O39</f>
        <v>0</v>
      </c>
    </row>
    <row r="9" spans="2:16" customFormat="1">
      <c r="B9" s="209" t="s">
        <v>158</v>
      </c>
      <c r="C9" s="210"/>
      <c r="D9" s="119" t="s">
        <v>45</v>
      </c>
      <c r="F9" s="6">
        <f>'Overname private netten'!G66</f>
        <v>0</v>
      </c>
      <c r="G9" s="6">
        <f>'Overname private netten'!H66</f>
        <v>0</v>
      </c>
      <c r="H9" s="6">
        <f>'Overname private netten'!I66</f>
        <v>0</v>
      </c>
      <c r="I9" s="6">
        <f>'Overname private netten'!J66</f>
        <v>0</v>
      </c>
      <c r="J9" s="6">
        <f>'Overname private netten'!K66</f>
        <v>0</v>
      </c>
      <c r="K9" s="6">
        <f>'Overname private netten'!L66</f>
        <v>0</v>
      </c>
      <c r="L9" s="6">
        <f>'Overname private netten'!M66</f>
        <v>0</v>
      </c>
      <c r="M9" s="6">
        <f>'Overname private netten'!N66</f>
        <v>0</v>
      </c>
      <c r="N9" s="6">
        <f>'Overname private netten'!O66</f>
        <v>0</v>
      </c>
    </row>
    <row r="10" spans="2:16" customFormat="1">
      <c r="B10" s="209" t="s">
        <v>159</v>
      </c>
      <c r="C10" s="210"/>
      <c r="D10" s="119" t="s">
        <v>45</v>
      </c>
      <c r="F10" s="6">
        <f>'Overname private netten'!G90</f>
        <v>0</v>
      </c>
      <c r="G10" s="6">
        <f>'Overname private netten'!H90</f>
        <v>0</v>
      </c>
      <c r="H10" s="6">
        <f>'Overname private netten'!I90</f>
        <v>0</v>
      </c>
      <c r="I10" s="6">
        <f>'Overname private netten'!J90</f>
        <v>0</v>
      </c>
      <c r="J10" s="6">
        <f>'Overname private netten'!K90</f>
        <v>0</v>
      </c>
      <c r="K10" s="6">
        <f>'Overname private netten'!L90</f>
        <v>0</v>
      </c>
      <c r="L10" s="6">
        <f>'Overname private netten'!M90</f>
        <v>0</v>
      </c>
      <c r="M10" s="6">
        <f>'Overname private netten'!N90</f>
        <v>0</v>
      </c>
      <c r="N10" s="6">
        <f>'Overname private netten'!O90</f>
        <v>0</v>
      </c>
    </row>
    <row r="11" spans="2:16" customFormat="1">
      <c r="B11" s="209" t="s">
        <v>163</v>
      </c>
      <c r="C11" s="210"/>
      <c r="D11" s="119" t="s">
        <v>79</v>
      </c>
      <c r="F11" s="6">
        <f>'Faillis. Orro en Trianel'!G20</f>
        <v>0</v>
      </c>
      <c r="G11" s="6">
        <f>'Faillis. Orro en Trianel'!H20</f>
        <v>0</v>
      </c>
      <c r="H11" s="6">
        <f>'Faillis. Orro en Trianel'!I20</f>
        <v>16194.71</v>
      </c>
      <c r="I11" s="6">
        <f>'Faillis. Orro en Trianel'!J20</f>
        <v>69901.41</v>
      </c>
      <c r="J11" s="6">
        <f>'Faillis. Orro en Trianel'!K20</f>
        <v>22001</v>
      </c>
      <c r="K11" s="6">
        <f>'Faillis. Orro en Trianel'!L20</f>
        <v>5731.61</v>
      </c>
      <c r="L11" s="6">
        <f>'Faillis. Orro en Trianel'!M20</f>
        <v>62616.08</v>
      </c>
      <c r="M11" s="6">
        <f>'Faillis. Orro en Trianel'!N20</f>
        <v>3076.89</v>
      </c>
      <c r="N11" s="6">
        <f>'Faillis. Orro en Trianel'!O20</f>
        <v>0</v>
      </c>
      <c r="O11" s="120"/>
    </row>
    <row r="12" spans="2:16">
      <c r="B12" s="209" t="s">
        <v>169</v>
      </c>
      <c r="D12" s="119" t="s">
        <v>45</v>
      </c>
      <c r="F12" s="6">
        <f>corrDUBDEB2013!G24</f>
        <v>48159.071999261214</v>
      </c>
      <c r="G12" s="6">
        <f>corrDUBDEB2013!H24</f>
        <v>61245.732677570326</v>
      </c>
      <c r="H12" s="6">
        <f>corrDUBDEB2013!I24</f>
        <v>130438.13533769452</v>
      </c>
      <c r="I12" s="6">
        <f>corrDUBDEB2013!J24</f>
        <v>672446.29956188286</v>
      </c>
      <c r="J12" s="6">
        <f>corrDUBDEB2013!K24</f>
        <v>721286.50764735846</v>
      </c>
      <c r="K12" s="6">
        <f>corrDUBDEB2013!L24</f>
        <v>39623.253331963249</v>
      </c>
      <c r="L12" s="6">
        <f>corrDUBDEB2013!M24</f>
        <v>611460.37015688838</v>
      </c>
      <c r="M12" s="6">
        <f>corrDUBDEB2013!N24</f>
        <v>16165.311437018579</v>
      </c>
      <c r="N12" s="6">
        <f>corrDUBDEB2013!O24</f>
        <v>0</v>
      </c>
    </row>
    <row r="13" spans="2:16">
      <c r="B13" s="291" t="s">
        <v>247</v>
      </c>
      <c r="C13" s="39"/>
      <c r="D13" s="119" t="s">
        <v>61</v>
      </c>
      <c r="F13" s="217">
        <f>corrNVG!G28</f>
        <v>-179461.83794641122</v>
      </c>
      <c r="G13" s="217">
        <f>corrNVG!H28</f>
        <v>-348878.03350388631</v>
      </c>
      <c r="H13" s="217">
        <f>corrNVG!I28</f>
        <v>-579231.14923523366</v>
      </c>
      <c r="I13" s="217">
        <f>corrNVG!J28</f>
        <v>-2947079.8957331181</v>
      </c>
      <c r="J13" s="217">
        <f>corrNVG!K28</f>
        <v>-2913219.7556096315</v>
      </c>
      <c r="K13" s="217">
        <f>corrNVG!L28</f>
        <v>-137658.64318975061</v>
      </c>
      <c r="L13" s="217">
        <f>corrNVG!M28</f>
        <v>-2589399.7207700014</v>
      </c>
      <c r="M13" s="217">
        <f>corrNVG!N28</f>
        <v>-474449.38307369873</v>
      </c>
      <c r="N13" s="217">
        <f>corrNVG!O28</f>
        <v>-477205.04978702217</v>
      </c>
    </row>
    <row r="14" spans="2:16">
      <c r="B14" s="291" t="s">
        <v>246</v>
      </c>
      <c r="C14" s="39"/>
      <c r="D14" s="119" t="s">
        <v>61</v>
      </c>
      <c r="F14" s="217">
        <f>corrIMM!G26</f>
        <v>-199864.33429797739</v>
      </c>
      <c r="G14" s="217">
        <f>corrIMM!H26</f>
        <v>-263957.47169411555</v>
      </c>
      <c r="H14" s="217">
        <f>corrIMM!I26</f>
        <v>-574479.56622220576</v>
      </c>
      <c r="I14" s="217">
        <f>corrIMM!J26</f>
        <v>-2914210.193515718</v>
      </c>
      <c r="J14" s="217">
        <f>corrIMM!K26</f>
        <v>-3133759.3150655031</v>
      </c>
      <c r="K14" s="217">
        <f>corrIMM!L26</f>
        <v>-139856.36017333716</v>
      </c>
      <c r="L14" s="217">
        <f>corrIMM!M26</f>
        <v>-2600562.013676703</v>
      </c>
      <c r="M14" s="217">
        <f>corrIMM!N26</f>
        <v>-74113.349565014243</v>
      </c>
      <c r="N14" s="217">
        <f>corrIMM!O26</f>
        <v>0</v>
      </c>
    </row>
    <row r="15" spans="2:16">
      <c r="B15" s="209" t="s">
        <v>170</v>
      </c>
      <c r="C15" s="210"/>
      <c r="D15" s="119" t="s">
        <v>79</v>
      </c>
      <c r="F15" s="6">
        <f>'LH 2012'!F106</f>
        <v>-598156.1848683767</v>
      </c>
      <c r="G15" s="6">
        <f>'LH 2012'!G106</f>
        <v>57849.906242419034</v>
      </c>
      <c r="H15" s="6">
        <f>'LH 2012'!H106</f>
        <v>0</v>
      </c>
      <c r="I15" s="6">
        <f>'LH 2012'!I106</f>
        <v>-99472.584712091833</v>
      </c>
      <c r="J15" s="6">
        <f>'LH 2012'!J106</f>
        <v>4415694.1450764537</v>
      </c>
      <c r="K15" s="6">
        <f>'LH 2012'!K106</f>
        <v>174063.19040295854</v>
      </c>
      <c r="L15" s="6">
        <f>'LH 2012'!L106</f>
        <v>-545982.59467190504</v>
      </c>
      <c r="M15" s="6">
        <f>'LH 2012'!M106</f>
        <v>0</v>
      </c>
      <c r="N15" s="6">
        <f>'LH 2012'!N106</f>
        <v>0</v>
      </c>
    </row>
    <row r="16" spans="2:16">
      <c r="B16" s="294" t="s">
        <v>282</v>
      </c>
      <c r="C16" s="210"/>
      <c r="D16" s="119" t="s">
        <v>171</v>
      </c>
      <c r="K16" s="6">
        <f>'BOB Rendo_2013 - deel 1'!L69</f>
        <v>213987.03169921413</v>
      </c>
    </row>
    <row r="17" spans="2:17">
      <c r="B17" s="294" t="s">
        <v>283</v>
      </c>
      <c r="C17" s="210"/>
      <c r="D17" s="119" t="s">
        <v>172</v>
      </c>
      <c r="K17" s="6">
        <f>'BOB Rendo_2013 - deel 1'!L74</f>
        <v>439101.38904678635</v>
      </c>
    </row>
    <row r="18" spans="2:17">
      <c r="B18" s="294" t="s">
        <v>284</v>
      </c>
      <c r="C18" s="210"/>
      <c r="D18" s="119" t="s">
        <v>16</v>
      </c>
      <c r="K18" s="6">
        <f>'BOB Rendo_2013 - deel 1'!L79</f>
        <v>667645.5305384323</v>
      </c>
    </row>
    <row r="19" spans="2:17">
      <c r="B19" s="294" t="s">
        <v>285</v>
      </c>
      <c r="C19" s="210"/>
      <c r="D19" s="119" t="s">
        <v>171</v>
      </c>
      <c r="K19" s="6">
        <f>'BOB Rendo_2013 - deel 2'!L36</f>
        <v>37762.417358685285</v>
      </c>
    </row>
    <row r="20" spans="2:17">
      <c r="B20" s="294" t="s">
        <v>286</v>
      </c>
      <c r="C20" s="210"/>
      <c r="D20" s="119" t="s">
        <v>172</v>
      </c>
      <c r="K20" s="6">
        <f>'BOB Rendo_2013 - deel 2'!L37</f>
        <v>153239.66841824353</v>
      </c>
    </row>
    <row r="21" spans="2:17">
      <c r="B21" s="294" t="s">
        <v>287</v>
      </c>
      <c r="C21" s="210"/>
      <c r="D21" s="119" t="s">
        <v>16</v>
      </c>
      <c r="K21" s="6">
        <f>'BOB Rendo_2013 - deel 2'!L38</f>
        <v>344499.28317915089</v>
      </c>
    </row>
    <row r="22" spans="2:17">
      <c r="B22" s="294" t="s">
        <v>263</v>
      </c>
      <c r="C22" s="210"/>
      <c r="D22" s="119" t="s">
        <v>171</v>
      </c>
      <c r="K22" s="6">
        <f>'BOB Rendo_2013 - deel 3'!L87</f>
        <v>-138462.19698184542</v>
      </c>
    </row>
    <row r="23" spans="2:17">
      <c r="B23" s="294" t="s">
        <v>264</v>
      </c>
      <c r="C23" s="210"/>
      <c r="D23" s="119" t="s">
        <v>172</v>
      </c>
      <c r="K23" s="6">
        <f>'BOB Rendo_2013 - deel 3'!L91</f>
        <v>-284955.2013886366</v>
      </c>
    </row>
    <row r="24" spans="2:17">
      <c r="B24" s="294" t="s">
        <v>265</v>
      </c>
      <c r="C24" s="210"/>
      <c r="D24" s="119" t="s">
        <v>16</v>
      </c>
      <c r="K24" s="6">
        <f>'BOB Rendo_2013 - deel 3'!L95</f>
        <v>-434545.60514191166</v>
      </c>
    </row>
    <row r="25" spans="2:17" customFormat="1">
      <c r="B25" s="218" t="s">
        <v>174</v>
      </c>
      <c r="C25" s="219"/>
      <c r="D25" t="s">
        <v>79</v>
      </c>
      <c r="G25" s="126"/>
      <c r="H25" s="126"/>
      <c r="I25" s="220">
        <f>IF(I8+I11+I15&gt;0,0,-I8-I11-I15)-0</f>
        <v>29571.17471209183</v>
      </c>
      <c r="J25" s="37"/>
      <c r="K25" s="126"/>
      <c r="L25" s="126"/>
      <c r="M25" s="126"/>
      <c r="N25" s="126"/>
      <c r="P25" s="119" t="s">
        <v>175</v>
      </c>
      <c r="Q25" s="37"/>
    </row>
    <row r="26" spans="2:17" customFormat="1">
      <c r="B26" s="218" t="s">
        <v>176</v>
      </c>
      <c r="C26" s="219"/>
      <c r="D26" s="119" t="s">
        <v>45</v>
      </c>
      <c r="G26" s="126"/>
      <c r="H26" s="126"/>
      <c r="I26" s="220">
        <f>IF(I9+I10+I12&gt;0,0,-I9-I10-I12)</f>
        <v>0</v>
      </c>
      <c r="J26" s="37"/>
      <c r="K26" s="126"/>
      <c r="L26" s="126"/>
      <c r="M26" s="126"/>
      <c r="N26" s="126"/>
    </row>
    <row r="27" spans="2:17">
      <c r="F27" s="24"/>
      <c r="G27" s="24"/>
      <c r="H27" s="24"/>
      <c r="J27" s="24"/>
      <c r="K27" s="24"/>
      <c r="L27" s="24"/>
      <c r="M27" s="24"/>
    </row>
    <row r="28" spans="2:17" s="36" customFormat="1">
      <c r="B28" s="35" t="s">
        <v>6</v>
      </c>
      <c r="F28" s="38"/>
      <c r="G28" s="38"/>
      <c r="H28" s="38"/>
      <c r="J28" s="38"/>
      <c r="K28" s="38"/>
      <c r="L28" s="38"/>
      <c r="M28" s="38"/>
    </row>
    <row r="29" spans="2:17">
      <c r="F29" s="24"/>
      <c r="G29" s="24"/>
      <c r="H29" s="24"/>
      <c r="J29" s="24"/>
      <c r="K29" s="24"/>
      <c r="L29" s="24"/>
      <c r="M29" s="24"/>
    </row>
    <row r="30" spans="2:17" customFormat="1">
      <c r="B30" s="119" t="s">
        <v>164</v>
      </c>
      <c r="F30" s="213">
        <f>Heffingsrente!D11</f>
        <v>0.19641686317933105</v>
      </c>
      <c r="G30" s="126"/>
      <c r="H30" s="126"/>
      <c r="I30" s="126"/>
      <c r="J30" s="126"/>
      <c r="K30" s="126"/>
      <c r="L30" s="126"/>
      <c r="M30" s="126"/>
      <c r="N30" s="126"/>
    </row>
    <row r="31" spans="2:17" customFormat="1">
      <c r="B31" s="119" t="s">
        <v>165</v>
      </c>
      <c r="C31" s="214"/>
      <c r="E31" s="215"/>
      <c r="F31" s="213">
        <f>Heffingsrente!D12</f>
        <v>0.14219328051740776</v>
      </c>
      <c r="G31" s="216"/>
      <c r="H31" s="216"/>
      <c r="I31" s="126"/>
      <c r="J31" s="126"/>
      <c r="K31" s="126"/>
      <c r="L31" s="126"/>
      <c r="M31" s="126"/>
      <c r="N31" s="126"/>
    </row>
    <row r="32" spans="2:17" customFormat="1">
      <c r="B32" s="119" t="s">
        <v>166</v>
      </c>
      <c r="C32" s="214"/>
      <c r="E32" s="113"/>
      <c r="F32" s="213">
        <f>Heffingsrente!D13</f>
        <v>0.11365646920737382</v>
      </c>
      <c r="G32" s="216"/>
      <c r="H32" s="216"/>
      <c r="I32" s="126"/>
      <c r="J32" s="126"/>
      <c r="K32" s="126"/>
      <c r="L32" s="126"/>
      <c r="M32" s="126"/>
      <c r="N32" s="126"/>
    </row>
    <row r="33" spans="2:14" customFormat="1">
      <c r="B33" s="119" t="s">
        <v>167</v>
      </c>
      <c r="C33" s="214"/>
      <c r="E33" s="113"/>
      <c r="F33" s="213">
        <f>Heffingsrente!D14</f>
        <v>8.6494116299876689E-2</v>
      </c>
      <c r="G33" s="215"/>
      <c r="H33" s="216"/>
      <c r="I33" s="126"/>
      <c r="J33" s="126"/>
      <c r="K33" s="126"/>
      <c r="L33" s="126"/>
      <c r="M33" s="126"/>
      <c r="N33" s="126"/>
    </row>
    <row r="34" spans="2:14" customFormat="1">
      <c r="B34" s="119" t="s">
        <v>168</v>
      </c>
      <c r="C34" s="214"/>
      <c r="E34" s="113"/>
      <c r="F34" s="213">
        <f>Heffingsrente!D15</f>
        <v>5.7675958108891923E-2</v>
      </c>
      <c r="G34" s="113"/>
      <c r="H34" s="215"/>
      <c r="I34" s="113"/>
    </row>
    <row r="35" spans="2:14" customFormat="1">
      <c r="B35" s="119" t="s">
        <v>154</v>
      </c>
      <c r="C35" s="214"/>
      <c r="E35" s="113"/>
      <c r="F35" s="213">
        <f>Heffingsrente!D16</f>
        <v>2.9999999999999583E-2</v>
      </c>
      <c r="G35" s="113"/>
      <c r="H35" s="215"/>
      <c r="I35" s="113"/>
    </row>
    <row r="36" spans="2:14">
      <c r="G36" s="40"/>
    </row>
    <row r="37" spans="2:14" s="36" customFormat="1">
      <c r="B37" s="35" t="s">
        <v>18</v>
      </c>
      <c r="C37" s="35"/>
    </row>
    <row r="39" spans="2:14">
      <c r="B39" s="209" t="s">
        <v>157</v>
      </c>
      <c r="C39" s="210"/>
      <c r="D39" s="103" t="s">
        <v>61</v>
      </c>
      <c r="F39" s="220">
        <f>F8*(1+$F$34)</f>
        <v>0</v>
      </c>
      <c r="G39" s="220">
        <f t="shared" ref="G39:N39" si="0">G8*(1+$F$34)</f>
        <v>0</v>
      </c>
      <c r="H39" s="220">
        <f t="shared" si="0"/>
        <v>0</v>
      </c>
      <c r="I39" s="220">
        <f t="shared" si="0"/>
        <v>0</v>
      </c>
      <c r="J39" s="220">
        <f t="shared" si="0"/>
        <v>0</v>
      </c>
      <c r="K39" s="220">
        <f t="shared" si="0"/>
        <v>0</v>
      </c>
      <c r="L39" s="220">
        <f t="shared" si="0"/>
        <v>0</v>
      </c>
      <c r="M39" s="220">
        <f t="shared" si="0"/>
        <v>0</v>
      </c>
      <c r="N39" s="220">
        <f t="shared" si="0"/>
        <v>0</v>
      </c>
    </row>
    <row r="40" spans="2:14">
      <c r="B40" s="209" t="s">
        <v>158</v>
      </c>
      <c r="C40" s="210"/>
      <c r="D40" s="103" t="s">
        <v>61</v>
      </c>
      <c r="F40" s="220">
        <f t="shared" ref="F40:N40" si="1">F9*(1+$F$35)</f>
        <v>0</v>
      </c>
      <c r="G40" s="220">
        <f t="shared" si="1"/>
        <v>0</v>
      </c>
      <c r="H40" s="220">
        <f t="shared" si="1"/>
        <v>0</v>
      </c>
      <c r="I40" s="220">
        <f t="shared" si="1"/>
        <v>0</v>
      </c>
      <c r="J40" s="220">
        <f t="shared" si="1"/>
        <v>0</v>
      </c>
      <c r="K40" s="220">
        <f t="shared" si="1"/>
        <v>0</v>
      </c>
      <c r="L40" s="220">
        <f t="shared" si="1"/>
        <v>0</v>
      </c>
      <c r="M40" s="220">
        <f t="shared" si="1"/>
        <v>0</v>
      </c>
      <c r="N40" s="220">
        <f t="shared" si="1"/>
        <v>0</v>
      </c>
    </row>
    <row r="41" spans="2:14">
      <c r="B41" s="209" t="s">
        <v>159</v>
      </c>
      <c r="C41" s="210"/>
      <c r="D41" s="103" t="s">
        <v>61</v>
      </c>
      <c r="F41" s="220">
        <f t="shared" ref="F41:N41" si="2">F10*(1+$F$35)</f>
        <v>0</v>
      </c>
      <c r="G41" s="220">
        <f t="shared" si="2"/>
        <v>0</v>
      </c>
      <c r="H41" s="220">
        <f t="shared" si="2"/>
        <v>0</v>
      </c>
      <c r="I41" s="220">
        <f t="shared" si="2"/>
        <v>0</v>
      </c>
      <c r="J41" s="220">
        <f t="shared" si="2"/>
        <v>0</v>
      </c>
      <c r="K41" s="220">
        <f t="shared" si="2"/>
        <v>0</v>
      </c>
      <c r="L41" s="220">
        <f t="shared" si="2"/>
        <v>0</v>
      </c>
      <c r="M41" s="220">
        <f t="shared" si="2"/>
        <v>0</v>
      </c>
      <c r="N41" s="220">
        <f t="shared" si="2"/>
        <v>0</v>
      </c>
    </row>
    <row r="42" spans="2:14">
      <c r="B42" s="209" t="s">
        <v>163</v>
      </c>
      <c r="C42" s="210"/>
      <c r="D42" s="103" t="s">
        <v>61</v>
      </c>
      <c r="F42" s="220">
        <f t="shared" ref="F42:N42" si="3">F11*(1+$F$34)</f>
        <v>0</v>
      </c>
      <c r="G42" s="220">
        <f t="shared" si="3"/>
        <v>0</v>
      </c>
      <c r="H42" s="220">
        <f t="shared" si="3"/>
        <v>17128.755415545653</v>
      </c>
      <c r="I42" s="220">
        <f t="shared" si="3"/>
        <v>73933.040794912478</v>
      </c>
      <c r="J42" s="220">
        <f t="shared" si="3"/>
        <v>23269.928754353732</v>
      </c>
      <c r="K42" s="220">
        <f t="shared" si="3"/>
        <v>6062.1860982565058</v>
      </c>
      <c r="L42" s="220">
        <f t="shared" si="3"/>
        <v>66227.522407023032</v>
      </c>
      <c r="M42" s="220">
        <f t="shared" si="3"/>
        <v>3254.3525787456683</v>
      </c>
      <c r="N42" s="220">
        <f t="shared" si="3"/>
        <v>0</v>
      </c>
    </row>
    <row r="43" spans="2:14">
      <c r="B43" s="209" t="s">
        <v>169</v>
      </c>
      <c r="D43" s="103" t="s">
        <v>61</v>
      </c>
      <c r="F43" s="220">
        <f t="shared" ref="F43:N43" si="4">F12*(1+$F$35)</f>
        <v>49603.84415923903</v>
      </c>
      <c r="G43" s="220">
        <f t="shared" si="4"/>
        <v>63083.104657897413</v>
      </c>
      <c r="H43" s="220">
        <f t="shared" si="4"/>
        <v>134351.2793978253</v>
      </c>
      <c r="I43" s="220">
        <f t="shared" si="4"/>
        <v>692619.68854873907</v>
      </c>
      <c r="J43" s="220">
        <f t="shared" si="4"/>
        <v>742925.10287677892</v>
      </c>
      <c r="K43" s="220">
        <f t="shared" si="4"/>
        <v>40811.950931922132</v>
      </c>
      <c r="L43" s="220">
        <f t="shared" si="4"/>
        <v>629804.18126159476</v>
      </c>
      <c r="M43" s="220">
        <f t="shared" si="4"/>
        <v>16650.270780129129</v>
      </c>
      <c r="N43" s="220">
        <f t="shared" si="4"/>
        <v>0</v>
      </c>
    </row>
    <row r="44" spans="2:14">
      <c r="B44" s="291" t="s">
        <v>247</v>
      </c>
      <c r="C44" s="39"/>
      <c r="D44" s="103" t="s">
        <v>61</v>
      </c>
      <c r="F44" s="220">
        <f t="shared" ref="F44:N44" si="5">F13</f>
        <v>-179461.83794641122</v>
      </c>
      <c r="G44" s="220">
        <f t="shared" si="5"/>
        <v>-348878.03350388631</v>
      </c>
      <c r="H44" s="220">
        <f t="shared" si="5"/>
        <v>-579231.14923523366</v>
      </c>
      <c r="I44" s="220">
        <f t="shared" si="5"/>
        <v>-2947079.8957331181</v>
      </c>
      <c r="J44" s="220">
        <f t="shared" si="5"/>
        <v>-2913219.7556096315</v>
      </c>
      <c r="K44" s="220">
        <f t="shared" si="5"/>
        <v>-137658.64318975061</v>
      </c>
      <c r="L44" s="220">
        <f t="shared" si="5"/>
        <v>-2589399.7207700014</v>
      </c>
      <c r="M44" s="220">
        <f t="shared" si="5"/>
        <v>-474449.38307369873</v>
      </c>
      <c r="N44" s="220">
        <f t="shared" si="5"/>
        <v>-477205.04978702217</v>
      </c>
    </row>
    <row r="45" spans="2:14">
      <c r="B45" s="291" t="s">
        <v>246</v>
      </c>
      <c r="C45" s="39"/>
      <c r="D45" s="103" t="s">
        <v>61</v>
      </c>
      <c r="F45" s="220">
        <f>F14</f>
        <v>-199864.33429797739</v>
      </c>
      <c r="G45" s="220">
        <f t="shared" ref="G45:N45" si="6">G14</f>
        <v>-263957.47169411555</v>
      </c>
      <c r="H45" s="220">
        <f t="shared" si="6"/>
        <v>-574479.56622220576</v>
      </c>
      <c r="I45" s="220">
        <f t="shared" si="6"/>
        <v>-2914210.193515718</v>
      </c>
      <c r="J45" s="220">
        <f t="shared" si="6"/>
        <v>-3133759.3150655031</v>
      </c>
      <c r="K45" s="220">
        <f t="shared" si="6"/>
        <v>-139856.36017333716</v>
      </c>
      <c r="L45" s="220">
        <f t="shared" si="6"/>
        <v>-2600562.013676703</v>
      </c>
      <c r="M45" s="220">
        <f t="shared" si="6"/>
        <v>-74113.349565014243</v>
      </c>
      <c r="N45" s="220">
        <f t="shared" si="6"/>
        <v>0</v>
      </c>
    </row>
    <row r="46" spans="2:14">
      <c r="B46" s="209" t="s">
        <v>170</v>
      </c>
      <c r="C46" s="210"/>
      <c r="D46" s="103" t="s">
        <v>61</v>
      </c>
      <c r="F46" s="220">
        <f t="shared" ref="F46:N46" si="7">F15*(1+$F$34)</f>
        <v>-632655.4159294198</v>
      </c>
      <c r="G46" s="220">
        <f t="shared" si="7"/>
        <v>61186.455011460122</v>
      </c>
      <c r="H46" s="220">
        <f t="shared" si="7"/>
        <v>0</v>
      </c>
      <c r="I46" s="220">
        <f t="shared" si="7"/>
        <v>-105209.76134092965</v>
      </c>
      <c r="J46" s="220">
        <f t="shared" si="7"/>
        <v>4670373.5356095629</v>
      </c>
      <c r="K46" s="220">
        <f t="shared" si="7"/>
        <v>184102.45168093964</v>
      </c>
      <c r="L46" s="220">
        <f t="shared" si="7"/>
        <v>-577472.66393038596</v>
      </c>
      <c r="M46" s="220">
        <f t="shared" si="7"/>
        <v>0</v>
      </c>
      <c r="N46" s="220">
        <f t="shared" si="7"/>
        <v>0</v>
      </c>
    </row>
    <row r="47" spans="2:14">
      <c r="B47" s="294" t="s">
        <v>322</v>
      </c>
      <c r="C47" s="210"/>
      <c r="D47" s="103" t="s">
        <v>61</v>
      </c>
      <c r="K47" s="220">
        <f>K16/2*(1+$F$30)</f>
        <v>128008.84661331492</v>
      </c>
    </row>
    <row r="48" spans="2:14">
      <c r="B48" s="294" t="s">
        <v>323</v>
      </c>
      <c r="C48" s="210"/>
      <c r="D48" s="103" t="s">
        <v>61</v>
      </c>
      <c r="K48" s="220">
        <f>K17/2*(1+$F$31)</f>
        <v>250769.32801754973</v>
      </c>
    </row>
    <row r="49" spans="2:14">
      <c r="B49" s="294" t="s">
        <v>324</v>
      </c>
      <c r="C49" s="210"/>
      <c r="D49" s="103" t="s">
        <v>61</v>
      </c>
      <c r="K49" s="220">
        <f>K18/2*(1+$F$32)</f>
        <v>371763.88211075717</v>
      </c>
    </row>
    <row r="50" spans="2:14">
      <c r="B50" s="294" t="s">
        <v>325</v>
      </c>
      <c r="C50" s="210"/>
      <c r="D50" s="103" t="s">
        <v>61</v>
      </c>
      <c r="K50" s="220">
        <f>K19/2*(1+$F$30)</f>
        <v>22589.796461173482</v>
      </c>
    </row>
    <row r="51" spans="2:14">
      <c r="B51" s="294" t="s">
        <v>326</v>
      </c>
      <c r="C51" s="210"/>
      <c r="D51" s="103" t="s">
        <v>61</v>
      </c>
      <c r="K51" s="220">
        <f>K20/2*(1+$F$31)</f>
        <v>87514.659788016696</v>
      </c>
    </row>
    <row r="52" spans="2:14">
      <c r="B52" s="294" t="s">
        <v>327</v>
      </c>
      <c r="C52" s="210"/>
      <c r="D52" s="103" t="s">
        <v>61</v>
      </c>
      <c r="K52" s="220">
        <f>K21/2*(1+$F$32)</f>
        <v>191826.9276748822</v>
      </c>
    </row>
    <row r="53" spans="2:14">
      <c r="B53" s="294" t="s">
        <v>328</v>
      </c>
      <c r="C53" s="210"/>
      <c r="D53" s="103" t="s">
        <v>61</v>
      </c>
      <c r="K53" s="220">
        <f>K22/2*(1+$F$30)</f>
        <v>-82829.253690969068</v>
      </c>
    </row>
    <row r="54" spans="2:14">
      <c r="B54" s="294" t="s">
        <v>329</v>
      </c>
      <c r="C54" s="210"/>
      <c r="D54" s="103" t="s">
        <v>61</v>
      </c>
      <c r="K54" s="220">
        <f>K23/2*(1+$F$31)</f>
        <v>-162736.95813729271</v>
      </c>
    </row>
    <row r="55" spans="2:14">
      <c r="B55" s="294" t="s">
        <v>330</v>
      </c>
      <c r="C55" s="210"/>
      <c r="D55" s="103" t="s">
        <v>61</v>
      </c>
      <c r="K55" s="220">
        <f>K24/2*(1+$F$32)</f>
        <v>-241967.26216596147</v>
      </c>
    </row>
    <row r="56" spans="2:14">
      <c r="B56" s="218" t="s">
        <v>174</v>
      </c>
      <c r="C56" s="219"/>
      <c r="D56" s="103" t="s">
        <v>61</v>
      </c>
      <c r="F56"/>
      <c r="G56" s="126"/>
      <c r="H56" s="126"/>
      <c r="I56" s="220">
        <f>I25*(1+$F$34)</f>
        <v>31276.720546017161</v>
      </c>
      <c r="K56" s="126"/>
      <c r="L56" s="126"/>
      <c r="M56" s="126"/>
      <c r="N56" s="126"/>
    </row>
    <row r="57" spans="2:14">
      <c r="B57" s="218" t="s">
        <v>176</v>
      </c>
      <c r="C57" s="219"/>
      <c r="D57" s="103" t="s">
        <v>61</v>
      </c>
      <c r="F57"/>
      <c r="G57" s="126"/>
      <c r="H57" s="126"/>
      <c r="I57" s="220">
        <f>I26*(1+$F$35)</f>
        <v>0</v>
      </c>
      <c r="K57" s="126"/>
      <c r="L57" s="126"/>
      <c r="M57" s="126"/>
      <c r="N57" s="126"/>
    </row>
    <row r="60" spans="2:14">
      <c r="B60" s="294"/>
    </row>
    <row r="61" spans="2:14">
      <c r="B61" s="294"/>
    </row>
    <row r="62" spans="2:14">
      <c r="B62" s="294"/>
    </row>
    <row r="63" spans="2:14">
      <c r="B63" s="294"/>
    </row>
    <row r="64" spans="2:14">
      <c r="B64" s="294"/>
    </row>
    <row r="65" spans="2:2">
      <c r="B65" s="294"/>
    </row>
    <row r="66" spans="2:2">
      <c r="B66" s="294"/>
    </row>
    <row r="67" spans="2:2">
      <c r="B67" s="294"/>
    </row>
    <row r="68" spans="2:2">
      <c r="B68" s="294"/>
    </row>
  </sheetData>
  <phoneticPr fontId="2" type="noConversion"/>
  <pageMargins left="0.75" right="0.75" top="1" bottom="1" header="0.5" footer="0.5"/>
  <pageSetup paperSize="9" scale="52"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
  <sheetViews>
    <sheetView showGridLines="0" workbookViewId="0"/>
  </sheetViews>
  <sheetFormatPr defaultRowHeight="12.75"/>
  <cols>
    <col min="1" max="16384" width="9.140625" style="106"/>
  </cols>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Q90"/>
  <sheetViews>
    <sheetView showGridLines="0" zoomScale="85" workbookViewId="0"/>
  </sheetViews>
  <sheetFormatPr defaultRowHeight="12.75"/>
  <cols>
    <col min="1" max="1" width="3.42578125" style="110" customWidth="1"/>
    <col min="2" max="2" width="61.5703125" style="110" customWidth="1"/>
    <col min="3" max="3" width="5.5703125" style="110" customWidth="1"/>
    <col min="4" max="4" width="17.7109375" style="110" customWidth="1"/>
    <col min="5" max="5" width="12.85546875" style="110" customWidth="1"/>
    <col min="6" max="6" width="3.28515625" style="110" customWidth="1"/>
    <col min="7" max="8" width="12.5703125" style="110" customWidth="1"/>
    <col min="9" max="9" width="15.140625" style="110" customWidth="1"/>
    <col min="10" max="10" width="15.28515625" style="110" bestFit="1" customWidth="1"/>
    <col min="11" max="11" width="14.42578125" style="110" customWidth="1"/>
    <col min="12" max="15" width="12.5703125" style="110" customWidth="1"/>
    <col min="16" max="16" width="7.5703125" style="110" customWidth="1"/>
    <col min="17" max="17" width="21.28515625" style="110" customWidth="1"/>
    <col min="18" max="16384" width="9.140625" style="110"/>
  </cols>
  <sheetData>
    <row r="2" spans="2:15" s="108" customFormat="1" ht="15.75">
      <c r="B2" s="107" t="s">
        <v>71</v>
      </c>
    </row>
    <row r="4" spans="2:15">
      <c r="B4" s="109"/>
    </row>
    <row r="5" spans="2:15" s="112" customFormat="1">
      <c r="B5" s="111" t="s">
        <v>1</v>
      </c>
    </row>
    <row r="6" spans="2:15" customFormat="1">
      <c r="B6" s="113"/>
    </row>
    <row r="7" spans="2:15" customFormat="1" ht="37.5" customHeight="1">
      <c r="B7" s="314" t="s">
        <v>160</v>
      </c>
      <c r="C7" s="315"/>
      <c r="D7" s="315"/>
      <c r="E7" s="315"/>
      <c r="F7" s="315"/>
      <c r="G7" s="315"/>
      <c r="H7" s="315"/>
      <c r="I7" s="315"/>
      <c r="J7" s="315"/>
      <c r="K7" s="315"/>
      <c r="L7" s="315"/>
      <c r="M7" s="315"/>
      <c r="N7" s="315"/>
      <c r="O7" s="211"/>
    </row>
    <row r="8" spans="2:15" customFormat="1">
      <c r="B8" s="113"/>
    </row>
    <row r="9" spans="2:15" customFormat="1" ht="48.75" customHeight="1">
      <c r="B9" s="316" t="s">
        <v>161</v>
      </c>
      <c r="C9" s="317"/>
      <c r="D9" s="317"/>
      <c r="E9" s="317"/>
      <c r="F9" s="317"/>
      <c r="G9" s="317"/>
      <c r="H9" s="317"/>
      <c r="I9" s="317"/>
      <c r="J9" s="317"/>
      <c r="K9" s="317"/>
      <c r="L9" s="317"/>
      <c r="M9" s="317"/>
      <c r="N9" s="317"/>
      <c r="O9" s="212"/>
    </row>
    <row r="11" spans="2:15">
      <c r="B11" s="114" t="s">
        <v>72</v>
      </c>
    </row>
    <row r="12" spans="2:15">
      <c r="B12" s="114" t="s">
        <v>73</v>
      </c>
    </row>
    <row r="13" spans="2:15">
      <c r="B13" s="114" t="s">
        <v>74</v>
      </c>
    </row>
    <row r="14" spans="2:15">
      <c r="B14" s="114" t="s">
        <v>75</v>
      </c>
    </row>
    <row r="15" spans="2:15" s="281" customFormat="1">
      <c r="B15" s="285"/>
    </row>
    <row r="16" spans="2:15" s="281" customFormat="1">
      <c r="B16" s="285" t="s">
        <v>334</v>
      </c>
    </row>
    <row r="18" spans="2:17" s="116" customFormat="1">
      <c r="B18" s="115" t="s">
        <v>76</v>
      </c>
    </row>
    <row r="20" spans="2:17" ht="60.75">
      <c r="G20" s="117" t="s">
        <v>36</v>
      </c>
      <c r="H20" s="117" t="s">
        <v>7</v>
      </c>
      <c r="I20" s="117" t="s">
        <v>39</v>
      </c>
      <c r="J20" s="117" t="s">
        <v>42</v>
      </c>
      <c r="K20" s="117" t="s">
        <v>40</v>
      </c>
      <c r="L20" s="117" t="s">
        <v>8</v>
      </c>
      <c r="M20" s="117" t="s">
        <v>37</v>
      </c>
      <c r="N20" s="117" t="s">
        <v>41</v>
      </c>
      <c r="O20" s="117" t="s">
        <v>43</v>
      </c>
      <c r="Q20" s="118" t="s">
        <v>77</v>
      </c>
    </row>
    <row r="22" spans="2:17">
      <c r="B22" s="282" t="s">
        <v>242</v>
      </c>
      <c r="D22" s="119"/>
      <c r="Q22" s="120"/>
    </row>
    <row r="23" spans="2:17">
      <c r="B23" s="110" t="s">
        <v>78</v>
      </c>
      <c r="D23" s="119" t="s">
        <v>79</v>
      </c>
      <c r="G23" s="121"/>
      <c r="H23" s="121"/>
      <c r="I23" s="121"/>
      <c r="J23" s="121"/>
      <c r="K23" s="121"/>
      <c r="L23" s="121"/>
      <c r="M23" s="121"/>
      <c r="N23" s="121"/>
      <c r="O23" s="121"/>
      <c r="Q23" s="122" t="s">
        <v>299</v>
      </c>
    </row>
    <row r="24" spans="2:17">
      <c r="B24" s="110" t="s">
        <v>80</v>
      </c>
      <c r="D24" s="119" t="s">
        <v>79</v>
      </c>
      <c r="G24" s="121"/>
      <c r="H24" s="121"/>
      <c r="I24" s="121"/>
      <c r="J24" s="121"/>
      <c r="K24" s="121"/>
      <c r="L24" s="121"/>
      <c r="M24" s="121"/>
      <c r="N24" s="121"/>
      <c r="O24" s="121"/>
      <c r="Q24" s="122" t="s">
        <v>299</v>
      </c>
    </row>
    <row r="25" spans="2:17">
      <c r="B25" s="110" t="s">
        <v>81</v>
      </c>
      <c r="D25" s="119" t="s">
        <v>79</v>
      </c>
      <c r="G25" s="123">
        <f>G23+G24</f>
        <v>0</v>
      </c>
      <c r="H25" s="123">
        <f t="shared" ref="H25:N25" si="0">H23+H24</f>
        <v>0</v>
      </c>
      <c r="I25" s="123">
        <f t="shared" si="0"/>
        <v>0</v>
      </c>
      <c r="J25" s="123">
        <f t="shared" si="0"/>
        <v>0</v>
      </c>
      <c r="K25" s="123">
        <f t="shared" si="0"/>
        <v>0</v>
      </c>
      <c r="L25" s="123">
        <f t="shared" si="0"/>
        <v>0</v>
      </c>
      <c r="M25" s="123">
        <f t="shared" si="0"/>
        <v>0</v>
      </c>
      <c r="N25" s="123">
        <f t="shared" si="0"/>
        <v>0</v>
      </c>
      <c r="O25" s="123">
        <f t="shared" ref="O25" si="1">O23+O24</f>
        <v>0</v>
      </c>
    </row>
    <row r="26" spans="2:17" s="114" customFormat="1">
      <c r="D26" s="124"/>
      <c r="G26" s="125"/>
      <c r="H26" s="125"/>
      <c r="I26" s="125"/>
      <c r="J26" s="125"/>
      <c r="K26" s="125"/>
      <c r="L26" s="125"/>
      <c r="M26" s="125"/>
      <c r="N26" s="125"/>
      <c r="O26" s="125"/>
    </row>
    <row r="27" spans="2:17">
      <c r="B27" s="110" t="s">
        <v>82</v>
      </c>
      <c r="D27" s="119"/>
      <c r="E27" s="119"/>
      <c r="G27" s="121">
        <v>45</v>
      </c>
      <c r="H27" s="121">
        <v>45</v>
      </c>
      <c r="I27" s="121">
        <v>45</v>
      </c>
      <c r="J27" s="121">
        <v>45</v>
      </c>
      <c r="K27" s="121">
        <v>45</v>
      </c>
      <c r="L27" s="121">
        <v>45</v>
      </c>
      <c r="M27" s="121">
        <v>45</v>
      </c>
      <c r="N27" s="121">
        <v>45</v>
      </c>
      <c r="O27" s="121">
        <v>45</v>
      </c>
      <c r="Q27" s="122" t="s">
        <v>299</v>
      </c>
    </row>
    <row r="28" spans="2:17">
      <c r="B28" s="110" t="s">
        <v>83</v>
      </c>
      <c r="D28" s="119" t="s">
        <v>79</v>
      </c>
      <c r="G28" s="123">
        <f>G25/G27*0.5</f>
        <v>0</v>
      </c>
      <c r="H28" s="123">
        <f t="shared" ref="H28:N28" si="2">H25/H27*0.5</f>
        <v>0</v>
      </c>
      <c r="I28" s="123">
        <f t="shared" si="2"/>
        <v>0</v>
      </c>
      <c r="J28" s="123">
        <f t="shared" si="2"/>
        <v>0</v>
      </c>
      <c r="K28" s="123">
        <f t="shared" si="2"/>
        <v>0</v>
      </c>
      <c r="L28" s="123">
        <f t="shared" si="2"/>
        <v>0</v>
      </c>
      <c r="M28" s="123">
        <f t="shared" si="2"/>
        <v>0</v>
      </c>
      <c r="N28" s="123">
        <f t="shared" si="2"/>
        <v>0</v>
      </c>
      <c r="O28" s="123">
        <f t="shared" ref="O28" si="3">O25/O27*0.5</f>
        <v>0</v>
      </c>
    </row>
    <row r="29" spans="2:17">
      <c r="B29" s="110" t="s">
        <v>84</v>
      </c>
      <c r="D29" s="119" t="s">
        <v>79</v>
      </c>
      <c r="G29" s="123">
        <f>G25-G28</f>
        <v>0</v>
      </c>
      <c r="H29" s="123">
        <f t="shared" ref="H29:N29" si="4">H25-H28</f>
        <v>0</v>
      </c>
      <c r="I29" s="123">
        <f t="shared" si="4"/>
        <v>0</v>
      </c>
      <c r="J29" s="123">
        <f t="shared" si="4"/>
        <v>0</v>
      </c>
      <c r="K29" s="123">
        <f t="shared" si="4"/>
        <v>0</v>
      </c>
      <c r="L29" s="123">
        <f t="shared" si="4"/>
        <v>0</v>
      </c>
      <c r="M29" s="123">
        <f t="shared" si="4"/>
        <v>0</v>
      </c>
      <c r="N29" s="123">
        <f t="shared" si="4"/>
        <v>0</v>
      </c>
      <c r="O29" s="123">
        <f t="shared" ref="O29" si="5">O25-O28</f>
        <v>0</v>
      </c>
    </row>
    <row r="30" spans="2:17" s="114" customFormat="1">
      <c r="D30" s="124"/>
      <c r="G30" s="126"/>
      <c r="H30" s="126"/>
      <c r="I30" s="126"/>
      <c r="J30" s="126"/>
      <c r="K30" s="126"/>
      <c r="L30" s="126"/>
      <c r="M30" s="126"/>
      <c r="N30" s="126"/>
      <c r="O30" s="126"/>
    </row>
    <row r="31" spans="2:17">
      <c r="B31" s="110" t="s">
        <v>51</v>
      </c>
      <c r="D31" s="119"/>
      <c r="E31" s="127">
        <v>6.2E-2</v>
      </c>
      <c r="G31" s="125"/>
      <c r="H31" s="125"/>
      <c r="I31" s="125"/>
      <c r="J31" s="125"/>
      <c r="K31" s="125"/>
      <c r="L31" s="125"/>
      <c r="M31" s="125"/>
      <c r="N31" s="125"/>
      <c r="O31" s="125"/>
    </row>
    <row r="32" spans="2:17">
      <c r="B32" s="110" t="s">
        <v>85</v>
      </c>
      <c r="D32" s="119" t="s">
        <v>79</v>
      </c>
      <c r="G32" s="123">
        <f>G25*$E$31+G28</f>
        <v>0</v>
      </c>
      <c r="H32" s="123">
        <f t="shared" ref="H32:N32" si="6">H25*$E$31+H28</f>
        <v>0</v>
      </c>
      <c r="I32" s="123">
        <f t="shared" si="6"/>
        <v>0</v>
      </c>
      <c r="J32" s="123">
        <f t="shared" si="6"/>
        <v>0</v>
      </c>
      <c r="K32" s="123">
        <f t="shared" si="6"/>
        <v>0</v>
      </c>
      <c r="L32" s="123">
        <f t="shared" si="6"/>
        <v>0</v>
      </c>
      <c r="M32" s="123">
        <f t="shared" si="6"/>
        <v>0</v>
      </c>
      <c r="N32" s="123">
        <f t="shared" si="6"/>
        <v>0</v>
      </c>
      <c r="O32" s="123">
        <f t="shared" ref="O32" si="7">O25*$E$31+O28</f>
        <v>0</v>
      </c>
    </row>
    <row r="33" spans="1:17" s="114" customFormat="1">
      <c r="A33" s="110"/>
      <c r="D33" s="124"/>
      <c r="G33" s="128"/>
      <c r="H33" s="126"/>
      <c r="I33" s="126"/>
      <c r="J33" s="126"/>
      <c r="K33" s="126"/>
      <c r="L33" s="126"/>
      <c r="M33" s="126"/>
      <c r="N33" s="126"/>
      <c r="O33" s="126"/>
    </row>
    <row r="34" spans="1:17" s="114" customFormat="1">
      <c r="B34" s="114" t="s">
        <v>86</v>
      </c>
      <c r="D34" s="124"/>
      <c r="E34" s="129">
        <v>0.01</v>
      </c>
      <c r="G34" s="128"/>
      <c r="H34" s="126"/>
      <c r="I34" s="126"/>
      <c r="J34" s="126"/>
      <c r="K34" s="126"/>
      <c r="L34" s="126"/>
      <c r="M34" s="126"/>
      <c r="N34" s="126"/>
      <c r="O34" s="126"/>
    </row>
    <row r="35" spans="1:17">
      <c r="A35" s="114"/>
      <c r="B35" s="110" t="s">
        <v>87</v>
      </c>
      <c r="D35" s="119" t="s">
        <v>79</v>
      </c>
      <c r="G35" s="123">
        <f>G25*$E$34*0.5</f>
        <v>0</v>
      </c>
      <c r="H35" s="123">
        <f t="shared" ref="H35:N35" si="8">H25*$E$34*0.5</f>
        <v>0</v>
      </c>
      <c r="I35" s="123">
        <f t="shared" si="8"/>
        <v>0</v>
      </c>
      <c r="J35" s="123">
        <f t="shared" si="8"/>
        <v>0</v>
      </c>
      <c r="K35" s="123">
        <f t="shared" si="8"/>
        <v>0</v>
      </c>
      <c r="L35" s="123">
        <f t="shared" si="8"/>
        <v>0</v>
      </c>
      <c r="M35" s="123">
        <f t="shared" si="8"/>
        <v>0</v>
      </c>
      <c r="N35" s="123">
        <f t="shared" si="8"/>
        <v>0</v>
      </c>
      <c r="O35" s="123">
        <f t="shared" ref="O35" si="9">O25*$E$34*0.5</f>
        <v>0</v>
      </c>
    </row>
    <row r="36" spans="1:17">
      <c r="A36" s="114"/>
      <c r="G36" s="125"/>
      <c r="H36" s="125"/>
      <c r="I36" s="125"/>
      <c r="J36" s="125"/>
      <c r="K36" s="125"/>
      <c r="L36" s="125"/>
      <c r="M36" s="125"/>
      <c r="N36" s="125"/>
      <c r="O36" s="125"/>
    </row>
    <row r="37" spans="1:17">
      <c r="A37" s="114"/>
      <c r="B37" s="110" t="s">
        <v>88</v>
      </c>
      <c r="D37" s="119" t="s">
        <v>79</v>
      </c>
      <c r="G37" s="121"/>
      <c r="H37" s="121"/>
      <c r="I37" s="121"/>
      <c r="J37" s="121"/>
      <c r="K37" s="121"/>
      <c r="L37" s="121"/>
      <c r="M37" s="121"/>
      <c r="N37" s="121"/>
      <c r="O37" s="121"/>
      <c r="Q37" s="122" t="s">
        <v>299</v>
      </c>
    </row>
    <row r="38" spans="1:17">
      <c r="A38" s="114"/>
    </row>
    <row r="39" spans="1:17">
      <c r="A39" s="114"/>
      <c r="B39" s="110" t="s">
        <v>89</v>
      </c>
      <c r="D39" s="119" t="s">
        <v>79</v>
      </c>
      <c r="G39" s="130">
        <f>G32+G35-G37</f>
        <v>0</v>
      </c>
      <c r="H39" s="130">
        <f t="shared" ref="H39:M39" si="10">H32+H35-H37</f>
        <v>0</v>
      </c>
      <c r="I39" s="130">
        <f t="shared" si="10"/>
        <v>0</v>
      </c>
      <c r="J39" s="130">
        <f t="shared" si="10"/>
        <v>0</v>
      </c>
      <c r="K39" s="130">
        <f t="shared" si="10"/>
        <v>0</v>
      </c>
      <c r="L39" s="130">
        <f t="shared" si="10"/>
        <v>0</v>
      </c>
      <c r="M39" s="130">
        <f t="shared" si="10"/>
        <v>0</v>
      </c>
      <c r="N39" s="130">
        <f>N32+N35-N37</f>
        <v>0</v>
      </c>
      <c r="O39" s="130">
        <f>O32+O35-O37</f>
        <v>0</v>
      </c>
    </row>
    <row r="40" spans="1:17">
      <c r="A40" s="114"/>
    </row>
    <row r="41" spans="1:17">
      <c r="A41" s="114"/>
      <c r="B41" t="s">
        <v>90</v>
      </c>
      <c r="E41" s="131">
        <f>CPI!C16</f>
        <v>2.3E-2</v>
      </c>
    </row>
    <row r="42" spans="1:17">
      <c r="B42" s="110" t="s">
        <v>91</v>
      </c>
      <c r="D42" s="119" t="s">
        <v>45</v>
      </c>
      <c r="G42" s="123">
        <f>G25/G27*(1+$E$41)</f>
        <v>0</v>
      </c>
      <c r="H42" s="123">
        <f t="shared" ref="H42:N42" si="11">H25/H27*(1+$E$41)</f>
        <v>0</v>
      </c>
      <c r="I42" s="123">
        <f t="shared" si="11"/>
        <v>0</v>
      </c>
      <c r="J42" s="123">
        <f t="shared" si="11"/>
        <v>0</v>
      </c>
      <c r="K42" s="123">
        <f t="shared" si="11"/>
        <v>0</v>
      </c>
      <c r="L42" s="123">
        <f t="shared" si="11"/>
        <v>0</v>
      </c>
      <c r="M42" s="123">
        <f t="shared" si="11"/>
        <v>0</v>
      </c>
      <c r="N42" s="123">
        <f t="shared" si="11"/>
        <v>0</v>
      </c>
      <c r="O42" s="123">
        <f t="shared" ref="O42" si="12">O25/O27*(1+$E$41)</f>
        <v>0</v>
      </c>
    </row>
    <row r="43" spans="1:17">
      <c r="A43" s="114"/>
      <c r="B43" s="110" t="s">
        <v>92</v>
      </c>
      <c r="D43" s="119" t="s">
        <v>45</v>
      </c>
      <c r="G43" s="123">
        <f>G29*(1+$E$41)-G42</f>
        <v>0</v>
      </c>
      <c r="H43" s="123">
        <f t="shared" ref="H43:N43" si="13">H29*(1+$E$41)-H42</f>
        <v>0</v>
      </c>
      <c r="I43" s="123">
        <f t="shared" si="13"/>
        <v>0</v>
      </c>
      <c r="J43" s="123">
        <f t="shared" si="13"/>
        <v>0</v>
      </c>
      <c r="K43" s="123">
        <f t="shared" si="13"/>
        <v>0</v>
      </c>
      <c r="L43" s="123">
        <f t="shared" si="13"/>
        <v>0</v>
      </c>
      <c r="M43" s="123">
        <f t="shared" si="13"/>
        <v>0</v>
      </c>
      <c r="N43" s="123">
        <f t="shared" si="13"/>
        <v>0</v>
      </c>
      <c r="O43" s="123">
        <f t="shared" ref="O43" si="14">O29*(1+$E$41)-O42</f>
        <v>0</v>
      </c>
    </row>
    <row r="44" spans="1:17" s="114" customFormat="1">
      <c r="D44" s="124"/>
      <c r="G44" s="126"/>
      <c r="H44" s="126"/>
      <c r="I44" s="126"/>
      <c r="J44" s="126"/>
      <c r="K44" s="126"/>
      <c r="L44" s="126"/>
      <c r="M44" s="126"/>
      <c r="N44" s="126"/>
      <c r="O44" s="126"/>
    </row>
    <row r="45" spans="1:17">
      <c r="A45" s="114"/>
      <c r="B45" s="110" t="s">
        <v>93</v>
      </c>
      <c r="D45" s="119" t="s">
        <v>45</v>
      </c>
      <c r="G45" s="123">
        <f>G43*$E$31+G42</f>
        <v>0</v>
      </c>
      <c r="H45" s="123">
        <f t="shared" ref="H45:N45" si="15">H43*$E$31+H42</f>
        <v>0</v>
      </c>
      <c r="I45" s="123">
        <f t="shared" si="15"/>
        <v>0</v>
      </c>
      <c r="J45" s="123">
        <f t="shared" si="15"/>
        <v>0</v>
      </c>
      <c r="K45" s="123">
        <f t="shared" si="15"/>
        <v>0</v>
      </c>
      <c r="L45" s="123">
        <f t="shared" si="15"/>
        <v>0</v>
      </c>
      <c r="M45" s="123">
        <f t="shared" si="15"/>
        <v>0</v>
      </c>
      <c r="N45" s="123">
        <f t="shared" si="15"/>
        <v>0</v>
      </c>
      <c r="O45" s="123">
        <f t="shared" ref="O45" si="16">O43*$E$31+O42</f>
        <v>0</v>
      </c>
    </row>
    <row r="46" spans="1:17" s="114" customFormat="1">
      <c r="D46" s="124"/>
      <c r="G46" s="126"/>
      <c r="H46" s="126"/>
      <c r="I46" s="126"/>
      <c r="J46" s="126"/>
      <c r="K46" s="126"/>
      <c r="L46" s="126"/>
      <c r="M46" s="126"/>
      <c r="N46" s="128"/>
      <c r="O46" s="128"/>
    </row>
    <row r="47" spans="1:17">
      <c r="A47" s="114"/>
      <c r="B47" s="110" t="s">
        <v>94</v>
      </c>
      <c r="D47" s="119" t="s">
        <v>45</v>
      </c>
      <c r="G47" s="123">
        <f>G25*$E$34</f>
        <v>0</v>
      </c>
      <c r="H47" s="123">
        <f t="shared" ref="H47:N47" si="17">H25*$E$34</f>
        <v>0</v>
      </c>
      <c r="I47" s="123">
        <f t="shared" si="17"/>
        <v>0</v>
      </c>
      <c r="J47" s="123">
        <f t="shared" si="17"/>
        <v>0</v>
      </c>
      <c r="K47" s="123">
        <f t="shared" si="17"/>
        <v>0</v>
      </c>
      <c r="L47" s="123">
        <f t="shared" si="17"/>
        <v>0</v>
      </c>
      <c r="M47" s="123">
        <f t="shared" si="17"/>
        <v>0</v>
      </c>
      <c r="N47" s="123">
        <f t="shared" si="17"/>
        <v>0</v>
      </c>
      <c r="O47" s="123">
        <f t="shared" ref="O47" si="18">O25*$E$34</f>
        <v>0</v>
      </c>
      <c r="P47" s="132"/>
      <c r="Q47" s="122"/>
    </row>
    <row r="48" spans="1:17" s="281" customFormat="1">
      <c r="D48" s="264"/>
      <c r="P48" s="120"/>
    </row>
    <row r="49" spans="1:17" s="281" customFormat="1">
      <c r="B49" s="282" t="s">
        <v>240</v>
      </c>
      <c r="D49" s="264"/>
      <c r="P49" s="120"/>
    </row>
    <row r="50" spans="1:17" s="281" customFormat="1">
      <c r="B50" s="281" t="s">
        <v>99</v>
      </c>
      <c r="D50" s="264" t="s">
        <v>45</v>
      </c>
      <c r="G50" s="121"/>
      <c r="H50" s="121"/>
      <c r="I50" s="121"/>
      <c r="J50" s="121"/>
      <c r="K50" s="121"/>
      <c r="L50" s="121"/>
      <c r="M50" s="121"/>
      <c r="N50" s="121"/>
      <c r="O50" s="121"/>
      <c r="Q50" s="122" t="s">
        <v>299</v>
      </c>
    </row>
    <row r="51" spans="1:17" s="281" customFormat="1">
      <c r="B51" s="281" t="s">
        <v>241</v>
      </c>
      <c r="D51" s="264" t="s">
        <v>45</v>
      </c>
      <c r="G51" s="284">
        <f>G50</f>
        <v>0</v>
      </c>
      <c r="H51" s="284">
        <f t="shared" ref="H51:O51" si="19">H50</f>
        <v>0</v>
      </c>
      <c r="I51" s="284">
        <f t="shared" si="19"/>
        <v>0</v>
      </c>
      <c r="J51" s="284">
        <f t="shared" si="19"/>
        <v>0</v>
      </c>
      <c r="K51" s="284">
        <f t="shared" si="19"/>
        <v>0</v>
      </c>
      <c r="L51" s="284">
        <f t="shared" si="19"/>
        <v>0</v>
      </c>
      <c r="M51" s="284">
        <f t="shared" si="19"/>
        <v>0</v>
      </c>
      <c r="N51" s="284">
        <f t="shared" si="19"/>
        <v>0</v>
      </c>
      <c r="O51" s="284">
        <f t="shared" si="19"/>
        <v>0</v>
      </c>
    </row>
    <row r="52" spans="1:17" s="285" customFormat="1">
      <c r="D52" s="229"/>
      <c r="G52" s="286"/>
      <c r="H52" s="286"/>
      <c r="I52" s="286"/>
      <c r="J52" s="286"/>
      <c r="K52" s="286"/>
      <c r="L52" s="286"/>
      <c r="M52" s="286"/>
      <c r="N52" s="286"/>
      <c r="O52" s="286"/>
    </row>
    <row r="53" spans="1:17" s="281" customFormat="1">
      <c r="B53" s="281" t="s">
        <v>82</v>
      </c>
      <c r="D53" s="264"/>
      <c r="E53" s="264"/>
      <c r="G53" s="283">
        <v>45</v>
      </c>
      <c r="H53" s="283">
        <v>45</v>
      </c>
      <c r="I53" s="283">
        <v>45</v>
      </c>
      <c r="J53" s="283">
        <v>45</v>
      </c>
      <c r="K53" s="283">
        <v>45</v>
      </c>
      <c r="L53" s="283">
        <v>45</v>
      </c>
      <c r="M53" s="283">
        <v>45</v>
      </c>
      <c r="N53" s="283">
        <v>45</v>
      </c>
      <c r="O53" s="283">
        <v>45</v>
      </c>
      <c r="Q53" s="122" t="s">
        <v>299</v>
      </c>
    </row>
    <row r="54" spans="1:17" s="281" customFormat="1">
      <c r="B54" s="281" t="s">
        <v>91</v>
      </c>
      <c r="D54" s="264" t="s">
        <v>45</v>
      </c>
      <c r="G54" s="284">
        <f>G51/G53*0.5</f>
        <v>0</v>
      </c>
      <c r="H54" s="284">
        <f t="shared" ref="H54:N54" si="20">H51/H53*0.5</f>
        <v>0</v>
      </c>
      <c r="I54" s="284">
        <f t="shared" si="20"/>
        <v>0</v>
      </c>
      <c r="J54" s="284">
        <f t="shared" si="20"/>
        <v>0</v>
      </c>
      <c r="K54" s="284">
        <f t="shared" si="20"/>
        <v>0</v>
      </c>
      <c r="L54" s="284">
        <f t="shared" si="20"/>
        <v>0</v>
      </c>
      <c r="M54" s="284">
        <f t="shared" si="20"/>
        <v>0</v>
      </c>
      <c r="N54" s="284">
        <f t="shared" si="20"/>
        <v>0</v>
      </c>
      <c r="O54" s="284">
        <f t="shared" ref="O54" si="21">O51/O53*0.5</f>
        <v>0</v>
      </c>
    </row>
    <row r="55" spans="1:17" s="281" customFormat="1">
      <c r="B55" s="281" t="s">
        <v>92</v>
      </c>
      <c r="D55" s="264" t="s">
        <v>45</v>
      </c>
      <c r="G55" s="284">
        <f>G51-G54</f>
        <v>0</v>
      </c>
      <c r="H55" s="284">
        <f t="shared" ref="H55:N55" si="22">H51-H54</f>
        <v>0</v>
      </c>
      <c r="I55" s="284">
        <f t="shared" si="22"/>
        <v>0</v>
      </c>
      <c r="J55" s="284">
        <f t="shared" si="22"/>
        <v>0</v>
      </c>
      <c r="K55" s="284">
        <f t="shared" si="22"/>
        <v>0</v>
      </c>
      <c r="L55" s="284">
        <f t="shared" si="22"/>
        <v>0</v>
      </c>
      <c r="M55" s="284">
        <f t="shared" si="22"/>
        <v>0</v>
      </c>
      <c r="N55" s="284">
        <f t="shared" si="22"/>
        <v>0</v>
      </c>
      <c r="O55" s="284">
        <f t="shared" ref="O55" si="23">O51-O54</f>
        <v>0</v>
      </c>
    </row>
    <row r="56" spans="1:17" s="285" customFormat="1">
      <c r="D56" s="229"/>
      <c r="G56" s="24"/>
      <c r="H56" s="24"/>
      <c r="I56" s="24"/>
      <c r="J56" s="24"/>
      <c r="K56" s="24"/>
      <c r="L56" s="24"/>
      <c r="M56" s="24"/>
      <c r="N56" s="24"/>
      <c r="O56" s="24"/>
    </row>
    <row r="57" spans="1:17" s="281" customFormat="1">
      <c r="B57" s="110" t="s">
        <v>51</v>
      </c>
      <c r="D57" s="264"/>
      <c r="E57" s="287">
        <v>6.2E-2</v>
      </c>
      <c r="G57" s="286"/>
      <c r="H57" s="286"/>
      <c r="I57" s="286"/>
      <c r="J57" s="286"/>
      <c r="K57" s="286"/>
      <c r="L57" s="286"/>
      <c r="M57" s="286"/>
      <c r="N57" s="286"/>
      <c r="O57" s="286"/>
    </row>
    <row r="58" spans="1:17" s="281" customFormat="1">
      <c r="B58" s="281" t="s">
        <v>93</v>
      </c>
      <c r="D58" s="264" t="s">
        <v>45</v>
      </c>
      <c r="G58" s="284">
        <f>G51*$E$31+G54</f>
        <v>0</v>
      </c>
      <c r="H58" s="284">
        <f t="shared" ref="H58:N58" si="24">H51*$E$31+H54</f>
        <v>0</v>
      </c>
      <c r="I58" s="284">
        <f t="shared" si="24"/>
        <v>0</v>
      </c>
      <c r="J58" s="284">
        <f t="shared" si="24"/>
        <v>0</v>
      </c>
      <c r="K58" s="284">
        <f t="shared" si="24"/>
        <v>0</v>
      </c>
      <c r="L58" s="284">
        <f t="shared" si="24"/>
        <v>0</v>
      </c>
      <c r="M58" s="284">
        <f t="shared" si="24"/>
        <v>0</v>
      </c>
      <c r="N58" s="284">
        <f t="shared" si="24"/>
        <v>0</v>
      </c>
      <c r="O58" s="284">
        <f t="shared" ref="O58" si="25">O51*$E$31+O54</f>
        <v>0</v>
      </c>
    </row>
    <row r="59" spans="1:17" s="285" customFormat="1">
      <c r="D59" s="229"/>
      <c r="G59" s="288"/>
      <c r="H59" s="24"/>
      <c r="I59" s="24"/>
      <c r="J59" s="24"/>
      <c r="K59" s="24"/>
      <c r="L59" s="24"/>
      <c r="M59" s="24"/>
      <c r="N59" s="24"/>
      <c r="O59" s="24"/>
    </row>
    <row r="60" spans="1:17" s="285" customFormat="1">
      <c r="B60" s="285" t="s">
        <v>86</v>
      </c>
      <c r="D60" s="229"/>
      <c r="E60" s="289">
        <v>0.01</v>
      </c>
      <c r="G60" s="288"/>
      <c r="H60" s="24"/>
      <c r="I60" s="24"/>
      <c r="J60" s="24"/>
      <c r="K60" s="24"/>
      <c r="L60" s="24"/>
      <c r="M60" s="24"/>
      <c r="N60" s="24"/>
      <c r="O60" s="24"/>
    </row>
    <row r="61" spans="1:17" s="281" customFormat="1">
      <c r="A61" s="285"/>
      <c r="B61" s="281" t="s">
        <v>94</v>
      </c>
      <c r="D61" s="264" t="s">
        <v>45</v>
      </c>
      <c r="G61" s="284">
        <f>G51*$E$60*0.5</f>
        <v>0</v>
      </c>
      <c r="H61" s="284">
        <f t="shared" ref="H61:O61" si="26">H51*$E$60*0.5</f>
        <v>0</v>
      </c>
      <c r="I61" s="284">
        <f t="shared" si="26"/>
        <v>0</v>
      </c>
      <c r="J61" s="284">
        <f t="shared" si="26"/>
        <v>0</v>
      </c>
      <c r="K61" s="284">
        <f t="shared" si="26"/>
        <v>0</v>
      </c>
      <c r="L61" s="284">
        <f t="shared" si="26"/>
        <v>0</v>
      </c>
      <c r="M61" s="284">
        <f t="shared" si="26"/>
        <v>0</v>
      </c>
      <c r="N61" s="284">
        <f t="shared" si="26"/>
        <v>0</v>
      </c>
      <c r="O61" s="284">
        <f t="shared" si="26"/>
        <v>0</v>
      </c>
    </row>
    <row r="62" spans="1:17" s="281" customFormat="1"/>
    <row r="63" spans="1:17" s="114" customFormat="1">
      <c r="D63" s="124"/>
      <c r="G63" s="126"/>
      <c r="H63" s="126"/>
      <c r="I63" s="126"/>
      <c r="J63" s="126"/>
      <c r="K63" s="126"/>
      <c r="L63" s="126"/>
      <c r="M63" s="126"/>
      <c r="N63" s="126"/>
      <c r="O63" s="126"/>
      <c r="P63" s="126"/>
    </row>
    <row r="64" spans="1:17">
      <c r="A64" s="114"/>
      <c r="B64" s="110" t="s">
        <v>95</v>
      </c>
      <c r="D64" s="119" t="s">
        <v>45</v>
      </c>
      <c r="G64" s="121"/>
      <c r="H64" s="121"/>
      <c r="I64" s="121"/>
      <c r="J64" s="121"/>
      <c r="K64" s="121"/>
      <c r="L64" s="121"/>
      <c r="M64" s="121"/>
      <c r="N64" s="121"/>
      <c r="O64" s="121"/>
      <c r="Q64" s="122" t="s">
        <v>299</v>
      </c>
    </row>
    <row r="65" spans="1:17">
      <c r="A65" s="114"/>
      <c r="G65" s="132"/>
      <c r="H65" s="132"/>
      <c r="I65" s="132"/>
      <c r="J65" s="132"/>
      <c r="K65" s="132"/>
      <c r="L65" s="132"/>
      <c r="M65" s="132"/>
      <c r="N65" s="132"/>
      <c r="O65" s="132"/>
      <c r="P65" s="132"/>
    </row>
    <row r="66" spans="1:17">
      <c r="B66" s="110" t="s">
        <v>96</v>
      </c>
      <c r="D66" s="119" t="s">
        <v>45</v>
      </c>
      <c r="G66" s="130">
        <f>G45+G47+G58+G61-G64</f>
        <v>0</v>
      </c>
      <c r="H66" s="130">
        <f t="shared" ref="H66:O66" si="27">H45+H47+H58+H61-H64</f>
        <v>0</v>
      </c>
      <c r="I66" s="130">
        <f t="shared" si="27"/>
        <v>0</v>
      </c>
      <c r="J66" s="130">
        <f t="shared" si="27"/>
        <v>0</v>
      </c>
      <c r="K66" s="130">
        <f t="shared" si="27"/>
        <v>0</v>
      </c>
      <c r="L66" s="130">
        <f t="shared" si="27"/>
        <v>0</v>
      </c>
      <c r="M66" s="130">
        <f t="shared" si="27"/>
        <v>0</v>
      </c>
      <c r="N66" s="130">
        <f t="shared" si="27"/>
        <v>0</v>
      </c>
      <c r="O66" s="130">
        <f t="shared" si="27"/>
        <v>0</v>
      </c>
    </row>
    <row r="69" spans="1:17" s="116" customFormat="1">
      <c r="B69" s="115" t="s">
        <v>97</v>
      </c>
    </row>
    <row r="71" spans="1:17" ht="60.75">
      <c r="G71" s="117" t="s">
        <v>36</v>
      </c>
      <c r="H71" s="117" t="s">
        <v>7</v>
      </c>
      <c r="I71" s="117" t="s">
        <v>39</v>
      </c>
      <c r="J71" s="117" t="s">
        <v>42</v>
      </c>
      <c r="K71" s="117" t="s">
        <v>40</v>
      </c>
      <c r="L71" s="117" t="s">
        <v>8</v>
      </c>
      <c r="M71" s="117" t="s">
        <v>37</v>
      </c>
      <c r="N71" s="117" t="s">
        <v>41</v>
      </c>
      <c r="O71" s="117" t="s">
        <v>43</v>
      </c>
      <c r="Q71" s="118" t="s">
        <v>77</v>
      </c>
    </row>
    <row r="73" spans="1:17">
      <c r="B73" s="282" t="s">
        <v>243</v>
      </c>
      <c r="D73" s="119"/>
      <c r="Q73" s="120"/>
    </row>
    <row r="74" spans="1:17">
      <c r="B74" s="110" t="s">
        <v>98</v>
      </c>
      <c r="D74" s="119" t="s">
        <v>45</v>
      </c>
      <c r="G74" s="121"/>
      <c r="H74" s="121"/>
      <c r="I74" s="121"/>
      <c r="J74" s="121"/>
      <c r="K74" s="121"/>
      <c r="L74" s="121"/>
      <c r="M74" s="121"/>
      <c r="N74" s="121"/>
      <c r="O74" s="121"/>
      <c r="Q74" s="122" t="s">
        <v>299</v>
      </c>
    </row>
    <row r="75" spans="1:17">
      <c r="B75" s="110" t="s">
        <v>99</v>
      </c>
      <c r="D75" s="119" t="s">
        <v>45</v>
      </c>
      <c r="G75" s="121"/>
      <c r="H75" s="121"/>
      <c r="I75" s="121"/>
      <c r="J75" s="121"/>
      <c r="K75" s="121"/>
      <c r="L75" s="121"/>
      <c r="M75" s="121"/>
      <c r="N75" s="121"/>
      <c r="O75" s="121"/>
      <c r="Q75" s="122" t="s">
        <v>299</v>
      </c>
    </row>
    <row r="76" spans="1:17">
      <c r="B76" s="110" t="s">
        <v>100</v>
      </c>
      <c r="D76" s="119" t="s">
        <v>45</v>
      </c>
      <c r="G76" s="123">
        <f>G74+G75</f>
        <v>0</v>
      </c>
      <c r="H76" s="123">
        <f t="shared" ref="H76:N76" si="28">H74+H75</f>
        <v>0</v>
      </c>
      <c r="I76" s="123">
        <f t="shared" si="28"/>
        <v>0</v>
      </c>
      <c r="J76" s="123">
        <f t="shared" si="28"/>
        <v>0</v>
      </c>
      <c r="K76" s="123">
        <f t="shared" si="28"/>
        <v>0</v>
      </c>
      <c r="L76" s="123">
        <f t="shared" si="28"/>
        <v>0</v>
      </c>
      <c r="M76" s="123">
        <f t="shared" si="28"/>
        <v>0</v>
      </c>
      <c r="N76" s="123">
        <f t="shared" si="28"/>
        <v>0</v>
      </c>
      <c r="O76" s="123">
        <f t="shared" ref="O76" si="29">O74+O75</f>
        <v>0</v>
      </c>
    </row>
    <row r="77" spans="1:17" s="114" customFormat="1">
      <c r="D77" s="124"/>
      <c r="G77" s="125"/>
      <c r="H77" s="125"/>
      <c r="I77" s="125"/>
      <c r="J77" s="125"/>
      <c r="K77" s="125"/>
      <c r="L77" s="125"/>
      <c r="M77" s="125"/>
      <c r="N77" s="125"/>
      <c r="O77" s="125"/>
    </row>
    <row r="78" spans="1:17">
      <c r="B78" s="110" t="s">
        <v>82</v>
      </c>
      <c r="D78" s="119"/>
      <c r="E78" s="119"/>
      <c r="G78" s="121">
        <v>45</v>
      </c>
      <c r="H78" s="121">
        <v>45</v>
      </c>
      <c r="I78" s="121">
        <v>45</v>
      </c>
      <c r="J78" s="121">
        <v>45</v>
      </c>
      <c r="K78" s="121">
        <v>45</v>
      </c>
      <c r="L78" s="121">
        <v>45</v>
      </c>
      <c r="M78" s="121">
        <v>45</v>
      </c>
      <c r="N78" s="121">
        <v>45</v>
      </c>
      <c r="O78" s="121">
        <v>45</v>
      </c>
      <c r="Q78" s="122" t="s">
        <v>299</v>
      </c>
    </row>
    <row r="79" spans="1:17">
      <c r="B79" s="110" t="s">
        <v>91</v>
      </c>
      <c r="D79" s="119" t="s">
        <v>45</v>
      </c>
      <c r="G79" s="123">
        <f>G76/G78*0.5</f>
        <v>0</v>
      </c>
      <c r="H79" s="123">
        <f t="shared" ref="H79:N79" si="30">H76/H78*0.5</f>
        <v>0</v>
      </c>
      <c r="I79" s="123">
        <f t="shared" si="30"/>
        <v>0</v>
      </c>
      <c r="J79" s="123">
        <f t="shared" si="30"/>
        <v>0</v>
      </c>
      <c r="K79" s="123">
        <f t="shared" si="30"/>
        <v>0</v>
      </c>
      <c r="L79" s="123">
        <f t="shared" si="30"/>
        <v>0</v>
      </c>
      <c r="M79" s="123">
        <f t="shared" si="30"/>
        <v>0</v>
      </c>
      <c r="N79" s="123">
        <f t="shared" si="30"/>
        <v>0</v>
      </c>
      <c r="O79" s="123">
        <f t="shared" ref="O79" si="31">O76/O78*0.5</f>
        <v>0</v>
      </c>
    </row>
    <row r="80" spans="1:17">
      <c r="B80" s="110" t="s">
        <v>92</v>
      </c>
      <c r="D80" s="119" t="s">
        <v>45</v>
      </c>
      <c r="G80" s="123">
        <f>G76-G79</f>
        <v>0</v>
      </c>
      <c r="H80" s="123">
        <f t="shared" ref="H80:N80" si="32">H76-H79</f>
        <v>0</v>
      </c>
      <c r="I80" s="123">
        <f t="shared" si="32"/>
        <v>0</v>
      </c>
      <c r="J80" s="123">
        <f t="shared" si="32"/>
        <v>0</v>
      </c>
      <c r="K80" s="123">
        <f t="shared" si="32"/>
        <v>0</v>
      </c>
      <c r="L80" s="123">
        <f t="shared" si="32"/>
        <v>0</v>
      </c>
      <c r="M80" s="123">
        <f t="shared" si="32"/>
        <v>0</v>
      </c>
      <c r="N80" s="123">
        <f t="shared" si="32"/>
        <v>0</v>
      </c>
      <c r="O80" s="123">
        <f t="shared" ref="O80" si="33">O76-O79</f>
        <v>0</v>
      </c>
    </row>
    <row r="81" spans="1:17" s="114" customFormat="1">
      <c r="D81" s="124"/>
      <c r="G81" s="126"/>
      <c r="H81" s="126"/>
      <c r="I81" s="126"/>
      <c r="J81" s="126"/>
      <c r="K81" s="126"/>
      <c r="L81" s="126"/>
      <c r="M81" s="126"/>
      <c r="N81" s="126"/>
      <c r="O81" s="126"/>
    </row>
    <row r="82" spans="1:17">
      <c r="B82" s="110" t="s">
        <v>51</v>
      </c>
      <c r="D82" s="119"/>
      <c r="E82" s="127">
        <v>6.2E-2</v>
      </c>
      <c r="G82" s="125"/>
      <c r="H82" s="125"/>
      <c r="I82" s="125"/>
      <c r="J82" s="125"/>
      <c r="K82" s="125"/>
      <c r="L82" s="125"/>
      <c r="M82" s="125"/>
      <c r="N82" s="125"/>
      <c r="O82" s="125"/>
    </row>
    <row r="83" spans="1:17">
      <c r="B83" s="110" t="s">
        <v>93</v>
      </c>
      <c r="D83" s="119" t="s">
        <v>45</v>
      </c>
      <c r="G83" s="123">
        <f>G76*$E$31+G79</f>
        <v>0</v>
      </c>
      <c r="H83" s="123">
        <f t="shared" ref="H83:N83" si="34">H76*$E$31+H79</f>
        <v>0</v>
      </c>
      <c r="I83" s="123">
        <f t="shared" si="34"/>
        <v>0</v>
      </c>
      <c r="J83" s="123">
        <f t="shared" si="34"/>
        <v>0</v>
      </c>
      <c r="K83" s="123">
        <f t="shared" si="34"/>
        <v>0</v>
      </c>
      <c r="L83" s="123">
        <f t="shared" si="34"/>
        <v>0</v>
      </c>
      <c r="M83" s="123">
        <f t="shared" si="34"/>
        <v>0</v>
      </c>
      <c r="N83" s="123">
        <f t="shared" si="34"/>
        <v>0</v>
      </c>
      <c r="O83" s="123">
        <f t="shared" ref="O83" si="35">O76*$E$31+O79</f>
        <v>0</v>
      </c>
    </row>
    <row r="84" spans="1:17" s="114" customFormat="1">
      <c r="D84" s="124"/>
      <c r="G84" s="128"/>
      <c r="H84" s="126"/>
      <c r="I84" s="126"/>
      <c r="J84" s="126"/>
      <c r="K84" s="126"/>
      <c r="L84" s="126"/>
      <c r="M84" s="126"/>
      <c r="N84" s="126"/>
      <c r="O84" s="126"/>
    </row>
    <row r="85" spans="1:17" s="114" customFormat="1">
      <c r="B85" s="114" t="s">
        <v>86</v>
      </c>
      <c r="D85" s="124"/>
      <c r="E85" s="129">
        <v>0.01</v>
      </c>
      <c r="G85" s="128"/>
      <c r="H85" s="126"/>
      <c r="I85" s="126"/>
      <c r="J85" s="126"/>
      <c r="K85" s="126"/>
      <c r="L85" s="126"/>
      <c r="M85" s="126"/>
      <c r="N85" s="126"/>
      <c r="O85" s="126"/>
    </row>
    <row r="86" spans="1:17">
      <c r="A86" s="114"/>
      <c r="B86" s="110" t="s">
        <v>94</v>
      </c>
      <c r="D86" s="119" t="s">
        <v>45</v>
      </c>
      <c r="G86" s="123">
        <f>G76*$E$85*0.5</f>
        <v>0</v>
      </c>
      <c r="H86" s="123">
        <f>H76*$E$85*0.5</f>
        <v>0</v>
      </c>
      <c r="I86" s="123">
        <f t="shared" ref="I86:N86" si="36">I76*$E$85*0.5</f>
        <v>0</v>
      </c>
      <c r="J86" s="123">
        <f t="shared" si="36"/>
        <v>0</v>
      </c>
      <c r="K86" s="123">
        <f t="shared" si="36"/>
        <v>0</v>
      </c>
      <c r="L86" s="123">
        <f t="shared" si="36"/>
        <v>0</v>
      </c>
      <c r="M86" s="123">
        <f t="shared" si="36"/>
        <v>0</v>
      </c>
      <c r="N86" s="123">
        <f t="shared" si="36"/>
        <v>0</v>
      </c>
      <c r="O86" s="123">
        <f t="shared" ref="O86" si="37">O76*$E$85*0.5</f>
        <v>0</v>
      </c>
    </row>
    <row r="87" spans="1:17">
      <c r="A87" s="114"/>
      <c r="G87" s="125"/>
      <c r="H87" s="125"/>
      <c r="I87" s="125"/>
      <c r="J87" s="125"/>
      <c r="K87" s="125"/>
      <c r="L87" s="125"/>
      <c r="M87" s="125"/>
      <c r="N87" s="125"/>
      <c r="O87" s="125"/>
    </row>
    <row r="88" spans="1:17">
      <c r="A88" s="114"/>
      <c r="B88" s="110" t="s">
        <v>95</v>
      </c>
      <c r="D88" s="119" t="s">
        <v>45</v>
      </c>
      <c r="G88" s="121"/>
      <c r="H88" s="121"/>
      <c r="I88" s="121"/>
      <c r="J88" s="121"/>
      <c r="K88" s="121"/>
      <c r="L88" s="121"/>
      <c r="M88" s="121"/>
      <c r="N88" s="121"/>
      <c r="O88" s="121"/>
      <c r="Q88" s="122" t="s">
        <v>299</v>
      </c>
    </row>
    <row r="90" spans="1:17">
      <c r="B90" s="110" t="s">
        <v>96</v>
      </c>
      <c r="D90" s="119" t="s">
        <v>45</v>
      </c>
      <c r="G90" s="130">
        <f t="shared" ref="G90:O90" si="38">G83+G86-G88</f>
        <v>0</v>
      </c>
      <c r="H90" s="130">
        <f t="shared" si="38"/>
        <v>0</v>
      </c>
      <c r="I90" s="130">
        <f t="shared" si="38"/>
        <v>0</v>
      </c>
      <c r="J90" s="130">
        <f t="shared" si="38"/>
        <v>0</v>
      </c>
      <c r="K90" s="130">
        <f t="shared" si="38"/>
        <v>0</v>
      </c>
      <c r="L90" s="130">
        <f t="shared" si="38"/>
        <v>0</v>
      </c>
      <c r="M90" s="130">
        <f t="shared" si="38"/>
        <v>0</v>
      </c>
      <c r="N90" s="130">
        <f t="shared" si="38"/>
        <v>0</v>
      </c>
      <c r="O90" s="130">
        <f t="shared" si="38"/>
        <v>0</v>
      </c>
    </row>
  </sheetData>
  <mergeCells count="2">
    <mergeCell ref="B7:N7"/>
    <mergeCell ref="B9:N9"/>
  </mergeCells>
  <pageMargins left="0.75" right="0.75" top="1" bottom="1" header="0.5" footer="0.5"/>
  <pageSetup paperSize="9" scale="3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Q27"/>
  <sheetViews>
    <sheetView showGridLines="0" zoomScale="85" workbookViewId="0"/>
  </sheetViews>
  <sheetFormatPr defaultRowHeight="12.75"/>
  <cols>
    <col min="1" max="1" width="3.42578125" style="110" customWidth="1"/>
    <col min="2" max="2" width="61.5703125" style="110" customWidth="1"/>
    <col min="3" max="3" width="5.5703125" style="110" customWidth="1"/>
    <col min="4" max="4" width="17.7109375" style="110" customWidth="1"/>
    <col min="5" max="5" width="12.85546875" style="110" customWidth="1"/>
    <col min="6" max="6" width="3.28515625" style="110" customWidth="1"/>
    <col min="7" max="8" width="12.5703125" style="110" customWidth="1"/>
    <col min="9" max="9" width="15.140625" style="110" customWidth="1"/>
    <col min="10" max="10" width="15.28515625" style="110" bestFit="1" customWidth="1"/>
    <col min="11" max="11" width="14.42578125" style="110" customWidth="1"/>
    <col min="12" max="15" width="12.5703125" style="110" customWidth="1"/>
    <col min="16" max="16" width="7.5703125" style="110" customWidth="1"/>
    <col min="17" max="17" width="21.28515625" style="110" customWidth="1"/>
    <col min="18" max="16384" width="9.140625" style="110"/>
  </cols>
  <sheetData>
    <row r="2" spans="2:17" s="108" customFormat="1" ht="15.75">
      <c r="B2" s="107" t="s">
        <v>101</v>
      </c>
    </row>
    <row r="4" spans="2:17">
      <c r="B4" s="109"/>
    </row>
    <row r="5" spans="2:17" s="112" customFormat="1">
      <c r="B5" s="111" t="s">
        <v>1</v>
      </c>
    </row>
    <row r="6" spans="2:17" customFormat="1">
      <c r="B6" s="113"/>
    </row>
    <row r="7" spans="2:17" customFormat="1">
      <c r="B7" s="124" t="s">
        <v>162</v>
      </c>
    </row>
    <row r="8" spans="2:17" customFormat="1">
      <c r="B8" s="110" t="s">
        <v>102</v>
      </c>
    </row>
    <row r="9" spans="2:17" customFormat="1">
      <c r="B9" s="110" t="s">
        <v>103</v>
      </c>
    </row>
    <row r="10" spans="2:17">
      <c r="B10" s="114" t="s">
        <v>104</v>
      </c>
    </row>
    <row r="11" spans="2:17">
      <c r="B11" s="114"/>
    </row>
    <row r="13" spans="2:17" s="116" customFormat="1">
      <c r="B13" s="115" t="s">
        <v>105</v>
      </c>
    </row>
    <row r="15" spans="2:17" ht="60.75">
      <c r="G15" s="117" t="s">
        <v>36</v>
      </c>
      <c r="H15" s="117" t="s">
        <v>7</v>
      </c>
      <c r="I15" s="117" t="s">
        <v>39</v>
      </c>
      <c r="J15" s="117" t="s">
        <v>42</v>
      </c>
      <c r="K15" s="117" t="s">
        <v>40</v>
      </c>
      <c r="L15" s="117" t="s">
        <v>8</v>
      </c>
      <c r="M15" s="117" t="s">
        <v>37</v>
      </c>
      <c r="N15" s="117" t="s">
        <v>41</v>
      </c>
      <c r="O15" s="117" t="s">
        <v>43</v>
      </c>
      <c r="Q15" s="118" t="s">
        <v>77</v>
      </c>
    </row>
    <row r="17" spans="2:17">
      <c r="B17" s="110" t="s">
        <v>106</v>
      </c>
      <c r="D17" s="119" t="s">
        <v>79</v>
      </c>
      <c r="G17" s="121"/>
      <c r="H17" s="121"/>
      <c r="I17" s="121">
        <v>4368.21</v>
      </c>
      <c r="J17" s="121">
        <v>15493.6</v>
      </c>
      <c r="K17" s="121">
        <v>13391</v>
      </c>
      <c r="L17" s="121">
        <v>1093.1199999999999</v>
      </c>
      <c r="M17" s="121">
        <v>29940</v>
      </c>
      <c r="N17" s="121">
        <v>689.48</v>
      </c>
      <c r="O17" s="121"/>
      <c r="Q17" s="122" t="s">
        <v>299</v>
      </c>
    </row>
    <row r="18" spans="2:17">
      <c r="B18" s="110" t="s">
        <v>107</v>
      </c>
      <c r="D18" s="119" t="s">
        <v>79</v>
      </c>
      <c r="G18" s="121"/>
      <c r="H18" s="121"/>
      <c r="I18" s="121">
        <v>11826.5</v>
      </c>
      <c r="J18" s="121">
        <v>54407.81</v>
      </c>
      <c r="K18" s="313">
        <v>8610</v>
      </c>
      <c r="L18" s="121">
        <v>4638.49</v>
      </c>
      <c r="M18" s="121">
        <v>32676.080000000002</v>
      </c>
      <c r="N18" s="121">
        <v>2387.41</v>
      </c>
      <c r="O18" s="121"/>
      <c r="Q18" s="122" t="s">
        <v>299</v>
      </c>
    </row>
    <row r="20" spans="2:17">
      <c r="B20" s="110" t="s">
        <v>108</v>
      </c>
      <c r="D20" s="119" t="s">
        <v>79</v>
      </c>
      <c r="G20" s="133">
        <f>G17+G18</f>
        <v>0</v>
      </c>
      <c r="H20" s="133">
        <f t="shared" ref="H20:N20" si="0">H17+H18</f>
        <v>0</v>
      </c>
      <c r="I20" s="133">
        <f t="shared" si="0"/>
        <v>16194.71</v>
      </c>
      <c r="J20" s="133">
        <f t="shared" si="0"/>
        <v>69901.41</v>
      </c>
      <c r="K20" s="133">
        <f t="shared" si="0"/>
        <v>22001</v>
      </c>
      <c r="L20" s="133">
        <f t="shared" si="0"/>
        <v>5731.61</v>
      </c>
      <c r="M20" s="133">
        <f t="shared" si="0"/>
        <v>62616.08</v>
      </c>
      <c r="N20" s="133">
        <f t="shared" si="0"/>
        <v>3076.89</v>
      </c>
      <c r="O20" s="133">
        <f t="shared" ref="O20" si="1">O17+O18</f>
        <v>0</v>
      </c>
    </row>
    <row r="26" spans="2:17">
      <c r="G26" s="132"/>
      <c r="H26" s="132"/>
      <c r="I26" s="132"/>
      <c r="J26" s="132"/>
      <c r="K26" s="132"/>
      <c r="L26" s="132"/>
      <c r="M26" s="132"/>
      <c r="N26" s="132"/>
      <c r="O26" s="132"/>
      <c r="P26" s="132"/>
    </row>
    <row r="27" spans="2:17">
      <c r="G27" s="132"/>
      <c r="H27" s="132"/>
      <c r="I27" s="302"/>
      <c r="J27" s="132"/>
      <c r="K27" s="132"/>
      <c r="L27" s="132"/>
      <c r="M27" s="132"/>
      <c r="N27" s="132"/>
      <c r="O27" s="132"/>
      <c r="P27" s="132"/>
    </row>
  </sheetData>
  <pageMargins left="0.75" right="0.75" top="1" bottom="1" header="0.5" footer="0.5"/>
  <pageSetup paperSize="9" scale="45"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2:Q31"/>
  <sheetViews>
    <sheetView showGridLines="0" zoomScale="85" workbookViewId="0"/>
  </sheetViews>
  <sheetFormatPr defaultRowHeight="12.75"/>
  <cols>
    <col min="1" max="1" width="3.42578125" style="110" customWidth="1"/>
    <col min="2" max="2" width="61.5703125" style="110" customWidth="1"/>
    <col min="3" max="3" width="5.5703125" style="110" customWidth="1"/>
    <col min="4" max="4" width="17.7109375" style="110" customWidth="1"/>
    <col min="5" max="5" width="12.85546875" style="110" customWidth="1"/>
    <col min="6" max="6" width="3.28515625" style="110" customWidth="1"/>
    <col min="7" max="8" width="12.5703125" style="110" customWidth="1"/>
    <col min="9" max="9" width="15.140625" style="110" customWidth="1"/>
    <col min="10" max="10" width="15.28515625" style="110" bestFit="1" customWidth="1"/>
    <col min="11" max="11" width="14.42578125" style="110" customWidth="1"/>
    <col min="12" max="15" width="12.5703125" style="110" customWidth="1"/>
    <col min="16" max="16" width="7.5703125" style="110" customWidth="1"/>
    <col min="17" max="17" width="21.28515625" style="110" customWidth="1"/>
    <col min="18" max="16384" width="9.140625" style="110"/>
  </cols>
  <sheetData>
    <row r="2" spans="2:17" s="108" customFormat="1" ht="15.75">
      <c r="B2" s="107" t="s">
        <v>109</v>
      </c>
    </row>
    <row r="4" spans="2:17">
      <c r="B4" s="109"/>
    </row>
    <row r="5" spans="2:17" s="112" customFormat="1">
      <c r="B5" s="111" t="s">
        <v>1</v>
      </c>
    </row>
    <row r="6" spans="2:17" customFormat="1">
      <c r="B6" s="113"/>
    </row>
    <row r="7" spans="2:17" customFormat="1">
      <c r="B7" s="229" t="s">
        <v>185</v>
      </c>
    </row>
    <row r="8" spans="2:17" customFormat="1">
      <c r="B8" s="124" t="s">
        <v>110</v>
      </c>
    </row>
    <row r="9" spans="2:17" customFormat="1">
      <c r="B9" s="110" t="s">
        <v>111</v>
      </c>
    </row>
    <row r="10" spans="2:17">
      <c r="B10" s="110" t="s">
        <v>112</v>
      </c>
    </row>
    <row r="11" spans="2:17">
      <c r="B11" s="296" t="s">
        <v>338</v>
      </c>
    </row>
    <row r="13" spans="2:17" s="116" customFormat="1">
      <c r="B13" s="115" t="s">
        <v>113</v>
      </c>
    </row>
    <row r="15" spans="2:17" ht="60.75">
      <c r="G15" s="117" t="s">
        <v>36</v>
      </c>
      <c r="H15" s="117" t="s">
        <v>7</v>
      </c>
      <c r="I15" s="117" t="s">
        <v>39</v>
      </c>
      <c r="J15" s="117" t="s">
        <v>42</v>
      </c>
      <c r="K15" s="117" t="s">
        <v>40</v>
      </c>
      <c r="L15" s="117" t="s">
        <v>8</v>
      </c>
      <c r="M15" s="117" t="s">
        <v>37</v>
      </c>
      <c r="N15" s="117" t="s">
        <v>41</v>
      </c>
      <c r="O15" s="117" t="s">
        <v>43</v>
      </c>
      <c r="Q15" s="118" t="s">
        <v>77</v>
      </c>
    </row>
    <row r="17" spans="2:17">
      <c r="B17" s="110" t="s">
        <v>114</v>
      </c>
      <c r="D17" t="s">
        <v>45</v>
      </c>
      <c r="G17" s="134">
        <v>-108357.91199833773</v>
      </c>
      <c r="H17" s="134">
        <v>-137802.89852453323</v>
      </c>
      <c r="I17" s="134">
        <v>-293485.80450981267</v>
      </c>
      <c r="J17" s="134">
        <v>-1513004.1740142363</v>
      </c>
      <c r="K17" s="134">
        <v>-1622894.6422065566</v>
      </c>
      <c r="L17" s="134">
        <v>-89152.319996917315</v>
      </c>
      <c r="M17" s="134">
        <v>-1375785.8328529987</v>
      </c>
      <c r="N17" s="134">
        <v>-36371.9507332918</v>
      </c>
      <c r="O17" s="134">
        <v>0</v>
      </c>
      <c r="Q17" s="120" t="s">
        <v>115</v>
      </c>
    </row>
    <row r="19" spans="2:17">
      <c r="B19" s="110" t="s">
        <v>116</v>
      </c>
      <c r="D19" s="110" t="s">
        <v>57</v>
      </c>
      <c r="E19" s="135">
        <v>0.75</v>
      </c>
    </row>
    <row r="20" spans="2:17">
      <c r="B20" s="110" t="s">
        <v>117</v>
      </c>
      <c r="D20" s="110" t="s">
        <v>57</v>
      </c>
      <c r="E20" s="135">
        <v>0.41666666666666669</v>
      </c>
    </row>
    <row r="22" spans="2:17">
      <c r="B22" s="110" t="s">
        <v>118</v>
      </c>
      <c r="D22" t="s">
        <v>45</v>
      </c>
      <c r="G22" s="136">
        <f>G17/$E$19*$E$20</f>
        <v>-60198.839999076517</v>
      </c>
      <c r="H22" s="136">
        <f t="shared" ref="H22:N22" si="0">H17/$E$19*$E$20</f>
        <v>-76557.165846962904</v>
      </c>
      <c r="I22" s="136">
        <f t="shared" si="0"/>
        <v>-163047.66917211816</v>
      </c>
      <c r="J22" s="136">
        <f t="shared" si="0"/>
        <v>-840557.87445235346</v>
      </c>
      <c r="K22" s="136">
        <f t="shared" si="0"/>
        <v>-901608.13455919817</v>
      </c>
      <c r="L22" s="136">
        <f t="shared" si="0"/>
        <v>-49529.066664954065</v>
      </c>
      <c r="M22" s="136">
        <f t="shared" si="0"/>
        <v>-764325.46269611036</v>
      </c>
      <c r="N22" s="136">
        <f t="shared" si="0"/>
        <v>-20206.639296273221</v>
      </c>
      <c r="O22" s="136">
        <f t="shared" ref="O22" si="1">O17/$E$19*$E$20</f>
        <v>0</v>
      </c>
    </row>
    <row r="24" spans="2:17">
      <c r="B24" s="110" t="s">
        <v>119</v>
      </c>
      <c r="D24" t="s">
        <v>45</v>
      </c>
      <c r="G24" s="133">
        <f>G22-G17</f>
        <v>48159.071999261214</v>
      </c>
      <c r="H24" s="133">
        <f t="shared" ref="H24:N24" si="2">H22-H17</f>
        <v>61245.732677570326</v>
      </c>
      <c r="I24" s="133">
        <f t="shared" si="2"/>
        <v>130438.13533769452</v>
      </c>
      <c r="J24" s="133">
        <f t="shared" si="2"/>
        <v>672446.29956188286</v>
      </c>
      <c r="K24" s="133">
        <f t="shared" si="2"/>
        <v>721286.50764735846</v>
      </c>
      <c r="L24" s="133">
        <f t="shared" si="2"/>
        <v>39623.253331963249</v>
      </c>
      <c r="M24" s="133">
        <f t="shared" si="2"/>
        <v>611460.37015688838</v>
      </c>
      <c r="N24" s="133">
        <f t="shared" si="2"/>
        <v>16165.311437018579</v>
      </c>
      <c r="O24" s="133">
        <f t="shared" ref="O24" si="3">O22-O17</f>
        <v>0</v>
      </c>
    </row>
    <row r="30" spans="2:17">
      <c r="G30" s="132"/>
      <c r="H30" s="132"/>
      <c r="I30" s="132"/>
      <c r="J30" s="132"/>
      <c r="K30" s="132"/>
      <c r="L30" s="132"/>
      <c r="M30" s="132"/>
      <c r="N30" s="132"/>
      <c r="O30" s="132"/>
      <c r="P30" s="132"/>
    </row>
    <row r="31" spans="2:17">
      <c r="G31" s="132"/>
      <c r="H31" s="132"/>
      <c r="I31" s="132"/>
      <c r="J31" s="132"/>
      <c r="K31" s="132"/>
      <c r="L31" s="132"/>
      <c r="M31" s="132"/>
      <c r="N31" s="132"/>
      <c r="O31" s="132"/>
      <c r="P31" s="132"/>
    </row>
  </sheetData>
  <pageMargins left="0.75" right="0.75" top="1" bottom="1" header="0.5" footer="0.5"/>
  <pageSetup paperSize="9" scale="5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Q35"/>
  <sheetViews>
    <sheetView showGridLines="0" zoomScale="85" zoomScaleNormal="85" workbookViewId="0"/>
  </sheetViews>
  <sheetFormatPr defaultRowHeight="12.75"/>
  <cols>
    <col min="1" max="1" width="3.42578125" style="110" customWidth="1"/>
    <col min="2" max="2" width="87.5703125" style="110" customWidth="1"/>
    <col min="3" max="3" width="5.5703125" style="110" customWidth="1"/>
    <col min="4" max="4" width="10.140625" style="110" customWidth="1"/>
    <col min="5" max="5" width="6.42578125" style="110" bestFit="1" customWidth="1"/>
    <col min="6" max="6" width="3.28515625" style="110" customWidth="1"/>
    <col min="7" max="8" width="12.5703125" style="110" customWidth="1"/>
    <col min="9" max="9" width="15.140625" style="110" customWidth="1"/>
    <col min="10" max="10" width="15.28515625" style="110" bestFit="1" customWidth="1"/>
    <col min="11" max="11" width="14.42578125" style="110" customWidth="1"/>
    <col min="12" max="15" width="12.5703125" style="110" customWidth="1"/>
    <col min="16" max="16" width="7.5703125" style="110" customWidth="1"/>
    <col min="17" max="17" width="21.28515625" style="110" customWidth="1"/>
    <col min="18" max="16384" width="9.140625" style="110"/>
  </cols>
  <sheetData>
    <row r="2" spans="2:17" s="108" customFormat="1" ht="15.75">
      <c r="B2" s="107" t="s">
        <v>245</v>
      </c>
    </row>
    <row r="4" spans="2:17">
      <c r="B4" s="109"/>
    </row>
    <row r="5" spans="2:17" s="112" customFormat="1">
      <c r="B5" s="111" t="s">
        <v>1</v>
      </c>
    </row>
    <row r="6" spans="2:17" customFormat="1">
      <c r="B6" s="113"/>
    </row>
    <row r="7" spans="2:17" customFormat="1">
      <c r="B7" s="229" t="s">
        <v>303</v>
      </c>
    </row>
    <row r="8" spans="2:17" customFormat="1">
      <c r="B8" s="229" t="s">
        <v>315</v>
      </c>
    </row>
    <row r="9" spans="2:17" customFormat="1">
      <c r="B9" s="290" t="s">
        <v>304</v>
      </c>
    </row>
    <row r="10" spans="2:17">
      <c r="B10" s="290" t="s">
        <v>290</v>
      </c>
    </row>
    <row r="11" spans="2:17">
      <c r="B11" s="296" t="s">
        <v>336</v>
      </c>
    </row>
    <row r="12" spans="2:17">
      <c r="B12" s="290" t="s">
        <v>337</v>
      </c>
    </row>
    <row r="14" spans="2:17" s="116" customFormat="1">
      <c r="B14" s="115" t="s">
        <v>173</v>
      </c>
    </row>
    <row r="16" spans="2:17" ht="60.75">
      <c r="G16" s="117" t="s">
        <v>36</v>
      </c>
      <c r="H16" s="117" t="s">
        <v>7</v>
      </c>
      <c r="I16" s="117" t="s">
        <v>39</v>
      </c>
      <c r="J16" s="117" t="s">
        <v>42</v>
      </c>
      <c r="K16" s="117" t="s">
        <v>40</v>
      </c>
      <c r="L16" s="117" t="s">
        <v>8</v>
      </c>
      <c r="M16" s="117" t="s">
        <v>37</v>
      </c>
      <c r="N16" s="117" t="s">
        <v>41</v>
      </c>
      <c r="O16" s="117" t="s">
        <v>43</v>
      </c>
      <c r="Q16" s="118" t="s">
        <v>77</v>
      </c>
    </row>
    <row r="18" spans="1:17">
      <c r="B18" s="290"/>
      <c r="D18" s="119"/>
      <c r="Q18" s="290"/>
    </row>
    <row r="19" spans="1:17">
      <c r="B19" s="291" t="s">
        <v>301</v>
      </c>
      <c r="D19" s="103" t="s">
        <v>61</v>
      </c>
      <c r="G19" s="304">
        <f>'TI-berekening 2014'!G10</f>
        <v>21059071.230625249</v>
      </c>
      <c r="H19" s="304">
        <f>'TI-berekening 2014'!H10</f>
        <v>29339418.484225802</v>
      </c>
      <c r="I19" s="304">
        <f>'TI-berekening 2014'!I10</f>
        <v>59673264.955084041</v>
      </c>
      <c r="J19" s="304">
        <f>'TI-berekening 2014'!J10</f>
        <v>307072911.74454111</v>
      </c>
      <c r="K19" s="304">
        <f>'TI-berekening 2014'!K10</f>
        <v>330564759.32770044</v>
      </c>
      <c r="L19" s="304">
        <f>'TI-berekening 2014'!L10</f>
        <v>17559736.525284544</v>
      </c>
      <c r="M19" s="304">
        <f>'TI-berekening 2014'!M10</f>
        <v>286262603.61340219</v>
      </c>
      <c r="N19" s="304">
        <f>'TI-berekening 2014'!N10</f>
        <v>17824952.985012986</v>
      </c>
      <c r="O19" s="304">
        <f>'TI-berekening 2014'!O10</f>
        <v>5926745.038043147</v>
      </c>
      <c r="Q19" s="290"/>
    </row>
    <row r="20" spans="1:17">
      <c r="B20" s="290"/>
      <c r="D20" s="119"/>
      <c r="Q20" s="290"/>
    </row>
    <row r="21" spans="1:17">
      <c r="A21" s="250"/>
      <c r="B21" s="264" t="s">
        <v>293</v>
      </c>
      <c r="C21" s="113"/>
      <c r="D21" s="250" t="s">
        <v>45</v>
      </c>
      <c r="E21" s="250"/>
      <c r="F21" s="250"/>
      <c r="G21" s="304">
        <f>'TI-berekening 2014'!G6</f>
        <v>22155782.462519988</v>
      </c>
      <c r="H21" s="304">
        <f>'TI-berekening 2014'!H6</f>
        <v>30603336.272270575</v>
      </c>
      <c r="I21" s="304">
        <f>'TI-berekening 2014'!I6</f>
        <v>62282919.272606239</v>
      </c>
      <c r="J21" s="304">
        <f>'TI-berekening 2014'!J6</f>
        <v>320334771.2753402</v>
      </c>
      <c r="K21" s="304">
        <f>'TI-berekening 2014'!K6</f>
        <v>342731735.95406991</v>
      </c>
      <c r="L21" s="304">
        <f>'TI-berekening 2014'!L6</f>
        <v>18354485.758633368</v>
      </c>
      <c r="M21" s="304">
        <f>'TI-berekening 2014'!M6</f>
        <v>297632151.81264526</v>
      </c>
      <c r="N21" s="304">
        <f>'TI-berekening 2014'!N6</f>
        <v>18389510.971848741</v>
      </c>
      <c r="O21" s="304">
        <f>'TI-berekening 2014'!O6</f>
        <v>6440014.167166301</v>
      </c>
      <c r="P21" s="176"/>
      <c r="Q21" s="264"/>
    </row>
    <row r="22" spans="1:17">
      <c r="A22" s="63"/>
      <c r="B22" s="264" t="s">
        <v>300</v>
      </c>
      <c r="C22" s="68"/>
      <c r="D22" s="63"/>
      <c r="E22" s="67"/>
      <c r="F22" s="67"/>
      <c r="G22" s="303">
        <v>8.56</v>
      </c>
      <c r="H22" s="303">
        <v>8.07</v>
      </c>
      <c r="I22" s="303">
        <v>7.92</v>
      </c>
      <c r="J22" s="303">
        <v>7.86</v>
      </c>
      <c r="K22" s="303">
        <v>7.2</v>
      </c>
      <c r="L22" s="303">
        <v>7.88</v>
      </c>
      <c r="M22" s="303">
        <v>7.49</v>
      </c>
      <c r="N22" s="303">
        <v>8.4499999999999993</v>
      </c>
      <c r="O22" s="303">
        <v>18.18</v>
      </c>
      <c r="P22" s="63"/>
      <c r="Q22" s="264" t="s">
        <v>321</v>
      </c>
    </row>
    <row r="23" spans="1:17">
      <c r="A23" s="63"/>
      <c r="B23" s="103" t="s">
        <v>65</v>
      </c>
      <c r="C23" s="68"/>
      <c r="D23" s="63" t="s">
        <v>57</v>
      </c>
      <c r="E23" s="192">
        <f>'TI-berekening 2014'!E9</f>
        <v>2.8000000000000001E-2</v>
      </c>
      <c r="F23" s="72"/>
      <c r="G23" s="55"/>
      <c r="H23" s="55"/>
      <c r="I23" s="55"/>
      <c r="J23" s="55"/>
      <c r="K23" s="55"/>
      <c r="L23" s="55"/>
      <c r="M23" s="55"/>
      <c r="N23" s="55"/>
      <c r="O23" s="55"/>
      <c r="P23" s="68"/>
      <c r="Q23" s="63"/>
    </row>
    <row r="24" spans="1:17">
      <c r="A24" s="63"/>
      <c r="B24" s="291" t="s">
        <v>302</v>
      </c>
      <c r="C24" s="68"/>
      <c r="D24" s="103" t="s">
        <v>61</v>
      </c>
      <c r="E24" s="68"/>
      <c r="F24" s="69"/>
      <c r="G24" s="70">
        <f>G21*(1-G22/100+$E$23)</f>
        <v>20879609.392678838</v>
      </c>
      <c r="H24" s="70">
        <f t="shared" ref="H24:O24" si="0">H21*(1-H22/100+$E$23)</f>
        <v>28990540.450721916</v>
      </c>
      <c r="I24" s="70">
        <f t="shared" si="0"/>
        <v>59094033.805848807</v>
      </c>
      <c r="J24" s="70">
        <f t="shared" si="0"/>
        <v>304125831.84880799</v>
      </c>
      <c r="K24" s="70">
        <f t="shared" si="0"/>
        <v>327651539.5720908</v>
      </c>
      <c r="L24" s="70">
        <f t="shared" si="0"/>
        <v>17422077.882094793</v>
      </c>
      <c r="M24" s="70">
        <f t="shared" si="0"/>
        <v>283673203.89263219</v>
      </c>
      <c r="N24" s="70">
        <f t="shared" si="0"/>
        <v>17350503.601939287</v>
      </c>
      <c r="O24" s="70">
        <f t="shared" si="0"/>
        <v>5449539.9882561248</v>
      </c>
      <c r="P24" s="8"/>
      <c r="Q24" s="8"/>
    </row>
    <row r="25" spans="1:17">
      <c r="B25" s="290"/>
      <c r="D25" s="119"/>
      <c r="Q25" s="290"/>
    </row>
    <row r="26" spans="1:17">
      <c r="B26" s="290" t="s">
        <v>319</v>
      </c>
      <c r="D26" s="119" t="s">
        <v>61</v>
      </c>
      <c r="G26" s="70">
        <f t="shared" ref="G26:O26" si="1">G19-G24</f>
        <v>179461.83794641122</v>
      </c>
      <c r="H26" s="70">
        <f t="shared" si="1"/>
        <v>348878.03350388631</v>
      </c>
      <c r="I26" s="70">
        <f t="shared" si="1"/>
        <v>579231.14923523366</v>
      </c>
      <c r="J26" s="70">
        <f t="shared" si="1"/>
        <v>2947079.8957331181</v>
      </c>
      <c r="K26" s="70">
        <f t="shared" si="1"/>
        <v>2913219.7556096315</v>
      </c>
      <c r="L26" s="70">
        <f t="shared" si="1"/>
        <v>137658.64318975061</v>
      </c>
      <c r="M26" s="70">
        <f t="shared" si="1"/>
        <v>2589399.7207700014</v>
      </c>
      <c r="N26" s="70">
        <f t="shared" si="1"/>
        <v>474449.38307369873</v>
      </c>
      <c r="O26" s="70">
        <f t="shared" si="1"/>
        <v>477205.04978702217</v>
      </c>
      <c r="Q26" s="264"/>
    </row>
    <row r="28" spans="1:17">
      <c r="B28" s="290" t="s">
        <v>320</v>
      </c>
      <c r="D28" s="119" t="s">
        <v>61</v>
      </c>
      <c r="G28" s="133">
        <f>-G26</f>
        <v>-179461.83794641122</v>
      </c>
      <c r="H28" s="133">
        <f t="shared" ref="H28:O28" si="2">-H26</f>
        <v>-348878.03350388631</v>
      </c>
      <c r="I28" s="133">
        <f t="shared" si="2"/>
        <v>-579231.14923523366</v>
      </c>
      <c r="J28" s="133">
        <f t="shared" si="2"/>
        <v>-2947079.8957331181</v>
      </c>
      <c r="K28" s="133">
        <f t="shared" si="2"/>
        <v>-2913219.7556096315</v>
      </c>
      <c r="L28" s="133">
        <f t="shared" si="2"/>
        <v>-137658.64318975061</v>
      </c>
      <c r="M28" s="133">
        <f t="shared" si="2"/>
        <v>-2589399.7207700014</v>
      </c>
      <c r="N28" s="133">
        <f t="shared" si="2"/>
        <v>-474449.38307369873</v>
      </c>
      <c r="O28" s="133">
        <f t="shared" si="2"/>
        <v>-477205.04978702217</v>
      </c>
    </row>
    <row r="34" spans="7:16">
      <c r="G34" s="132"/>
      <c r="H34" s="132"/>
      <c r="I34" s="132"/>
      <c r="J34" s="132"/>
      <c r="K34" s="132"/>
      <c r="L34" s="132"/>
      <c r="M34" s="132"/>
      <c r="N34" s="132"/>
      <c r="O34" s="132"/>
      <c r="P34" s="132"/>
    </row>
    <row r="35" spans="7:16">
      <c r="G35" s="132"/>
      <c r="H35" s="132"/>
      <c r="I35" s="132"/>
      <c r="J35" s="132"/>
      <c r="K35" s="132"/>
      <c r="L35" s="132"/>
      <c r="M35" s="132"/>
      <c r="N35" s="132"/>
      <c r="O35" s="132"/>
      <c r="P35" s="132"/>
    </row>
  </sheetData>
  <pageMargins left="0.75" right="0.75" top="1" bottom="1" header="0.5" footer="0.5"/>
  <pageSetup paperSize="9" scale="4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E31"/>
  <sheetViews>
    <sheetView showGridLines="0" zoomScale="85" workbookViewId="0"/>
  </sheetViews>
  <sheetFormatPr defaultRowHeight="12.75"/>
  <cols>
    <col min="1" max="1" width="3.42578125" style="110" customWidth="1"/>
    <col min="2" max="2" width="67.42578125" style="110" customWidth="1"/>
    <col min="3" max="3" width="5.5703125" style="110" customWidth="1"/>
    <col min="4" max="4" width="17.7109375" style="110" customWidth="1"/>
    <col min="5" max="5" width="12.85546875" style="110" customWidth="1"/>
    <col min="6" max="6" width="3.28515625" style="110" customWidth="1"/>
    <col min="7" max="8" width="12.5703125" style="110" customWidth="1"/>
    <col min="9" max="9" width="15.140625" style="110" customWidth="1"/>
    <col min="10" max="10" width="15.28515625" style="110" bestFit="1" customWidth="1"/>
    <col min="11" max="11" width="14.42578125" style="110" customWidth="1"/>
    <col min="12" max="15" width="12.5703125" style="110" customWidth="1"/>
    <col min="16" max="16" width="7.5703125" style="110" customWidth="1"/>
    <col min="17" max="17" width="21.28515625" style="110" customWidth="1"/>
    <col min="18" max="16384" width="9.140625" style="110"/>
  </cols>
  <sheetData>
    <row r="2" spans="2:2" s="108" customFormat="1" ht="15.75">
      <c r="B2" s="107" t="s">
        <v>244</v>
      </c>
    </row>
    <row r="4" spans="2:2">
      <c r="B4" s="109"/>
    </row>
    <row r="5" spans="2:2" s="112" customFormat="1">
      <c r="B5" s="111" t="s">
        <v>1</v>
      </c>
    </row>
    <row r="6" spans="2:2" s="250" customFormat="1">
      <c r="B6" s="113"/>
    </row>
    <row r="7" spans="2:2" s="250" customFormat="1">
      <c r="B7" s="229" t="s">
        <v>309</v>
      </c>
    </row>
    <row r="8" spans="2:2" s="250" customFormat="1">
      <c r="B8" s="229" t="s">
        <v>291</v>
      </c>
    </row>
    <row r="9" spans="2:2" s="250" customFormat="1">
      <c r="B9" s="110"/>
    </row>
    <row r="10" spans="2:2">
      <c r="B10" s="290" t="s">
        <v>292</v>
      </c>
    </row>
    <row r="11" spans="2:2">
      <c r="B11" s="296" t="s">
        <v>339</v>
      </c>
    </row>
    <row r="12" spans="2:2">
      <c r="B12" s="296" t="s">
        <v>340</v>
      </c>
    </row>
    <row r="13" spans="2:2">
      <c r="B13" s="296" t="s">
        <v>314</v>
      </c>
    </row>
    <row r="15" spans="2:2" s="116" customFormat="1">
      <c r="B15" s="115" t="s">
        <v>246</v>
      </c>
    </row>
    <row r="17" spans="1:31" ht="60.75">
      <c r="G17" s="117" t="s">
        <v>36</v>
      </c>
      <c r="H17" s="117" t="s">
        <v>7</v>
      </c>
      <c r="I17" s="117" t="s">
        <v>39</v>
      </c>
      <c r="J17" s="117" t="s">
        <v>42</v>
      </c>
      <c r="K17" s="117" t="s">
        <v>40</v>
      </c>
      <c r="L17" s="117" t="s">
        <v>8</v>
      </c>
      <c r="M17" s="117" t="s">
        <v>37</v>
      </c>
      <c r="N17" s="117" t="s">
        <v>41</v>
      </c>
      <c r="O17" s="117" t="s">
        <v>43</v>
      </c>
      <c r="Q17" s="118" t="s">
        <v>77</v>
      </c>
    </row>
    <row r="19" spans="1:31">
      <c r="B19" s="291" t="s">
        <v>308</v>
      </c>
      <c r="D19" s="103" t="s">
        <v>61</v>
      </c>
      <c r="G19" s="304">
        <f>'TI-berekening 2014'!G10</f>
        <v>21059071.230625249</v>
      </c>
      <c r="H19" s="304">
        <f>'TI-berekening 2014'!H10</f>
        <v>29339418.484225802</v>
      </c>
      <c r="I19" s="304">
        <f>'TI-berekening 2014'!I10</f>
        <v>59673264.955084041</v>
      </c>
      <c r="J19" s="304">
        <f>'TI-berekening 2014'!J10</f>
        <v>307072911.74454111</v>
      </c>
      <c r="K19" s="304">
        <f>'TI-berekening 2014'!K10</f>
        <v>330564759.32770044</v>
      </c>
      <c r="L19" s="304">
        <f>'TI-berekening 2014'!L10</f>
        <v>17559736.525284544</v>
      </c>
      <c r="M19" s="304">
        <f>'TI-berekening 2014'!M10</f>
        <v>286262603.61340219</v>
      </c>
      <c r="N19" s="304">
        <f>'TI-berekening 2014'!N10</f>
        <v>17824952.985012986</v>
      </c>
      <c r="O19" s="304">
        <f>'TI-berekening 2014'!O10</f>
        <v>5926745.038043147</v>
      </c>
      <c r="Q19" s="290"/>
    </row>
    <row r="21" spans="1:31">
      <c r="B21" s="264" t="s">
        <v>305</v>
      </c>
      <c r="C21" s="264"/>
      <c r="D21" s="250" t="s">
        <v>306</v>
      </c>
      <c r="E21" s="264"/>
      <c r="F21" s="264"/>
      <c r="G21" s="305">
        <v>21839814.570544731</v>
      </c>
      <c r="H21" s="305">
        <v>30192586.721216701</v>
      </c>
      <c r="I21" s="305">
        <v>61388579.400500506</v>
      </c>
      <c r="J21" s="305">
        <v>315779382.83951968</v>
      </c>
      <c r="K21" s="305">
        <v>337906088.76432914</v>
      </c>
      <c r="L21" s="305">
        <v>18136262.53525373</v>
      </c>
      <c r="M21" s="305">
        <v>293615610.8060506</v>
      </c>
      <c r="N21" s="305">
        <v>18277223.677355818</v>
      </c>
      <c r="O21" s="305">
        <v>6440014.167166301</v>
      </c>
      <c r="Q21" s="264" t="s">
        <v>310</v>
      </c>
    </row>
    <row r="22" spans="1:31">
      <c r="B22" s="264" t="s">
        <v>307</v>
      </c>
      <c r="C22" s="264"/>
      <c r="D22" s="264"/>
      <c r="E22" s="264"/>
      <c r="F22" s="264"/>
      <c r="G22" s="306">
        <v>7.29</v>
      </c>
      <c r="H22" s="306">
        <v>6.5</v>
      </c>
      <c r="I22" s="306">
        <v>6.53</v>
      </c>
      <c r="J22" s="306">
        <v>6.48</v>
      </c>
      <c r="K22" s="306">
        <v>5.9</v>
      </c>
      <c r="L22" s="306">
        <v>6.75</v>
      </c>
      <c r="M22" s="306">
        <v>6.19</v>
      </c>
      <c r="N22" s="306">
        <v>5.68</v>
      </c>
      <c r="O22" s="306">
        <v>10.77</v>
      </c>
      <c r="Q22" s="264" t="s">
        <v>311</v>
      </c>
    </row>
    <row r="23" spans="1:31">
      <c r="A23" s="63"/>
      <c r="B23" s="103" t="s">
        <v>65</v>
      </c>
      <c r="C23" s="68"/>
      <c r="D23" s="63" t="s">
        <v>57</v>
      </c>
      <c r="E23" s="192">
        <f>'TI-berekening 2014'!E9</f>
        <v>2.8000000000000001E-2</v>
      </c>
      <c r="F23" s="72"/>
      <c r="G23" s="55"/>
      <c r="H23" s="55"/>
      <c r="I23" s="55"/>
      <c r="J23" s="55"/>
      <c r="K23" s="55"/>
      <c r="L23" s="55"/>
      <c r="M23" s="55"/>
      <c r="N23" s="55"/>
      <c r="O23" s="55"/>
      <c r="P23" s="68"/>
      <c r="Q23" s="63"/>
    </row>
    <row r="24" spans="1:31">
      <c r="A24" s="63"/>
      <c r="B24" s="291" t="s">
        <v>312</v>
      </c>
      <c r="C24" s="68"/>
      <c r="D24" s="103" t="s">
        <v>61</v>
      </c>
      <c r="E24" s="68"/>
      <c r="F24" s="69"/>
      <c r="G24" s="70">
        <f>G21*(1-G22/100+$E$23)</f>
        <v>20859206.896327272</v>
      </c>
      <c r="H24" s="70">
        <f t="shared" ref="H24:O24" si="0">H21*(1-H22/100+$E$23)</f>
        <v>29075461.012531687</v>
      </c>
      <c r="I24" s="70">
        <f t="shared" si="0"/>
        <v>59098785.388861835</v>
      </c>
      <c r="J24" s="70">
        <f t="shared" si="0"/>
        <v>304158701.55102539</v>
      </c>
      <c r="K24" s="70">
        <f t="shared" si="0"/>
        <v>327431000.01263493</v>
      </c>
      <c r="L24" s="70">
        <f t="shared" si="0"/>
        <v>17419880.165111206</v>
      </c>
      <c r="M24" s="70">
        <f t="shared" si="0"/>
        <v>283662041.59972548</v>
      </c>
      <c r="N24" s="70">
        <f t="shared" si="0"/>
        <v>17750839.635447972</v>
      </c>
      <c r="O24" s="70">
        <f t="shared" si="0"/>
        <v>5926745.038043147</v>
      </c>
      <c r="P24" s="8"/>
      <c r="Q24" s="8"/>
    </row>
    <row r="26" spans="1:31">
      <c r="B26" s="290" t="s">
        <v>313</v>
      </c>
      <c r="D26" s="119" t="s">
        <v>61</v>
      </c>
      <c r="G26" s="133">
        <f t="shared" ref="G26:O26" si="1">G24-G19</f>
        <v>-199864.33429797739</v>
      </c>
      <c r="H26" s="133">
        <f t="shared" si="1"/>
        <v>-263957.47169411555</v>
      </c>
      <c r="I26" s="133">
        <f t="shared" si="1"/>
        <v>-574479.56622220576</v>
      </c>
      <c r="J26" s="133">
        <f t="shared" si="1"/>
        <v>-2914210.193515718</v>
      </c>
      <c r="K26" s="133">
        <f t="shared" si="1"/>
        <v>-3133759.3150655031</v>
      </c>
      <c r="L26" s="133">
        <f t="shared" si="1"/>
        <v>-139856.36017333716</v>
      </c>
      <c r="M26" s="133">
        <f t="shared" si="1"/>
        <v>-2600562.013676703</v>
      </c>
      <c r="N26" s="133">
        <f t="shared" si="1"/>
        <v>-74113.349565014243</v>
      </c>
      <c r="O26" s="133">
        <f t="shared" si="1"/>
        <v>0</v>
      </c>
    </row>
    <row r="29" spans="1:31">
      <c r="G29" s="55"/>
      <c r="H29" s="55"/>
      <c r="I29" s="55"/>
      <c r="J29" s="55"/>
      <c r="K29" s="55"/>
      <c r="L29" s="55"/>
      <c r="M29" s="55"/>
      <c r="N29" s="55"/>
      <c r="O29" s="55"/>
      <c r="P29" s="114"/>
      <c r="Q29" s="114"/>
      <c r="R29" s="114"/>
      <c r="S29" s="114"/>
      <c r="T29" s="114"/>
      <c r="U29" s="114"/>
      <c r="V29" s="114"/>
      <c r="W29" s="114"/>
      <c r="X29" s="114"/>
      <c r="Y29" s="114"/>
      <c r="Z29" s="114"/>
      <c r="AA29" s="114"/>
      <c r="AB29" s="114"/>
      <c r="AC29" s="114"/>
      <c r="AD29" s="114"/>
      <c r="AE29" s="114"/>
    </row>
    <row r="30" spans="1:31">
      <c r="G30" s="309"/>
      <c r="H30" s="309"/>
      <c r="I30" s="309"/>
      <c r="J30" s="309"/>
      <c r="K30" s="309"/>
      <c r="L30" s="309"/>
      <c r="M30" s="309"/>
      <c r="N30" s="309"/>
      <c r="O30" s="309"/>
      <c r="P30" s="114"/>
      <c r="Q30" s="114"/>
      <c r="R30" s="114"/>
      <c r="S30" s="114"/>
      <c r="T30" s="114"/>
      <c r="U30" s="114"/>
      <c r="V30" s="114"/>
      <c r="W30" s="114"/>
      <c r="X30" s="114"/>
      <c r="Y30" s="114"/>
      <c r="Z30" s="114"/>
      <c r="AA30" s="114"/>
      <c r="AB30" s="114"/>
      <c r="AC30" s="114"/>
      <c r="AD30" s="114"/>
      <c r="AE30" s="114"/>
    </row>
    <row r="31" spans="1:31">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row>
  </sheetData>
  <pageMargins left="0.75" right="0.75" top="1" bottom="1" header="0.5" footer="0.5"/>
  <pageSetup paperSize="9" scale="4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16</vt:i4>
      </vt:variant>
      <vt:variant>
        <vt:lpstr>Benoemde bereiken</vt:lpstr>
      </vt:variant>
      <vt:variant>
        <vt:i4>12</vt:i4>
      </vt:variant>
    </vt:vector>
  </HeadingPairs>
  <TitlesOfParts>
    <vt:vector size="28" baseType="lpstr">
      <vt:lpstr>Toelichting</vt:lpstr>
      <vt:lpstr>TI-berekening 2014</vt:lpstr>
      <vt:lpstr>Nacalculaties en correcties</vt:lpstr>
      <vt:lpstr>Nacalculaties --&gt;</vt:lpstr>
      <vt:lpstr>Overname private netten</vt:lpstr>
      <vt:lpstr>Faillis. Orro en Trianel</vt:lpstr>
      <vt:lpstr>corrDUBDEB2013</vt:lpstr>
      <vt:lpstr>corrNVG</vt:lpstr>
      <vt:lpstr>corrIMM</vt:lpstr>
      <vt:lpstr>LH 2012</vt:lpstr>
      <vt:lpstr>BOB Rendo_2013 - deel 1</vt:lpstr>
      <vt:lpstr>BOB Rendo_2013 - deel 2</vt:lpstr>
      <vt:lpstr>BOB Rendo_2013 - deel 3</vt:lpstr>
      <vt:lpstr>Input --&gt;</vt:lpstr>
      <vt:lpstr>Heffingsrente</vt:lpstr>
      <vt:lpstr>CPI</vt:lpstr>
      <vt:lpstr>'BOB Rendo_2013 - deel 1'!Afdrukbereik</vt:lpstr>
      <vt:lpstr>'BOB Rendo_2013 - deel 2'!Afdrukbereik</vt:lpstr>
      <vt:lpstr>'BOB Rendo_2013 - deel 3'!Afdrukbereik</vt:lpstr>
      <vt:lpstr>corrDUBDEB2013!Afdrukbereik</vt:lpstr>
      <vt:lpstr>corrIMM!Afdrukbereik</vt:lpstr>
      <vt:lpstr>corrNVG!Afdrukbereik</vt:lpstr>
      <vt:lpstr>CPI!Afdrukbereik</vt:lpstr>
      <vt:lpstr>'Faillis. Orro en Trianel'!Afdrukbereik</vt:lpstr>
      <vt:lpstr>Heffingsrente!Afdrukbereik</vt:lpstr>
      <vt:lpstr>'LH 2012'!Afdrukbereik</vt:lpstr>
      <vt:lpstr>'Nacalculaties en correcties'!Afdrukbereik</vt:lpstr>
      <vt:lpstr>Toelichting!Afdrukbereik</vt:lpstr>
    </vt:vector>
  </TitlesOfParts>
  <Company>Autoriteit Consument en Mark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inkomsten netbeheer gas 2014</dc:title>
  <dc:subject>Energie</dc:subject>
  <dc:creator>Autoriteit Consument en Markt; Autoriteit Consument en Mark</dc:creator>
  <cp:keywords>Gas; Regulering; Tarieven</cp:keywords>
  <cp:lastPrinted>2013-11-27T09:36:14Z</cp:lastPrinted>
  <dcterms:created xsi:type="dcterms:W3CDTF">2008-02-08T15:02:21Z</dcterms:created>
  <dcterms:modified xsi:type="dcterms:W3CDTF">2013-11-27T12:38:57Z</dcterms:modified>
  <cp:category>Besluit</cp:category>
</cp:coreProperties>
</file>