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9320" windowHeight="12120" tabRatio="900"/>
  </bookViews>
  <sheets>
    <sheet name="Toelichting" sheetId="18" r:id="rId1"/>
    <sheet name="TI-berekening 2014" sheetId="20" r:id="rId2"/>
    <sheet name="Nacalculaties en correcties" sheetId="2" r:id="rId3"/>
    <sheet name="Nacalculaties --&gt;" sheetId="31" r:id="rId4"/>
    <sheet name="Overname private netten" sheetId="50" r:id="rId5"/>
    <sheet name="Verr. niet gecontr. verbruik " sheetId="48" r:id="rId6"/>
    <sheet name="Besp. Captar 11-13" sheetId="49" r:id="rId7"/>
    <sheet name="Faillis. Orro en Trianel" sheetId="47" r:id="rId8"/>
    <sheet name="corrDUBDEB2013" sheetId="38" r:id="rId9"/>
    <sheet name="VVCOU2013" sheetId="35" r:id="rId10"/>
    <sheet name="LH2012" sheetId="41" r:id="rId11"/>
    <sheet name="ITT2008-2010" sheetId="42" r:id="rId12"/>
    <sheet name="IT 2012" sheetId="51" r:id="rId13"/>
    <sheet name="Input --&gt;" sheetId="52" r:id="rId14"/>
    <sheet name="Heffingsrente" sheetId="4" r:id="rId15"/>
    <sheet name="CPI" sheetId="5" r:id="rId16"/>
    <sheet name="Input ITT overgedragen netten" sheetId="43" r:id="rId17"/>
    <sheet name="Input ITT kosten naaste netten" sheetId="44" r:id="rId18"/>
  </sheets>
  <externalReferences>
    <externalReference r:id="rId19"/>
    <externalReference r:id="rId20"/>
    <externalReference r:id="rId21"/>
    <externalReference r:id="rId22"/>
  </externalReferences>
  <definedNames>
    <definedName name="_CPI2001" localSheetId="13">#REF!</definedName>
    <definedName name="_CPI2001">#REF!</definedName>
    <definedName name="_CPI2002" localSheetId="13">#REF!</definedName>
    <definedName name="_CPI2002">#REF!</definedName>
    <definedName name="_CPI2003" localSheetId="13">#REF!</definedName>
    <definedName name="_CPI2003">#REF!</definedName>
    <definedName name="_CPI2004" localSheetId="13">#REF!</definedName>
    <definedName name="_CPI2004">#REF!</definedName>
    <definedName name="_CPI2005" localSheetId="13">#REF!</definedName>
    <definedName name="_CPI2005">#REF!</definedName>
    <definedName name="_CPI2006" localSheetId="13">#REF!</definedName>
    <definedName name="_CPI2006">#REF!</definedName>
    <definedName name="_CPI2007" localSheetId="13">#REF!</definedName>
    <definedName name="_CPI2007">#REF!</definedName>
    <definedName name="_CPI2008" localSheetId="13">#REF!</definedName>
    <definedName name="_CPI2008">#REF!</definedName>
    <definedName name="_CPI2009" localSheetId="13">#REF!</definedName>
    <definedName name="_CPI2009">#REF!</definedName>
    <definedName name="_CPI2010" localSheetId="13">#REF!</definedName>
    <definedName name="_CPI2010">#REF!</definedName>
    <definedName name="_CPI2011" localSheetId="13">#REF!</definedName>
    <definedName name="_CPI2011">#REF!</definedName>
    <definedName name="_CPI2012" localSheetId="13">#REF!</definedName>
    <definedName name="_CPI2012">#REF!</definedName>
    <definedName name="_CPI2013" localSheetId="13">#REF!</definedName>
    <definedName name="_CPI2013">#REF!</definedName>
    <definedName name="_CPI2014" localSheetId="13">#REF!</definedName>
    <definedName name="_CPI2014">#REF!</definedName>
    <definedName name="_xlnm.Print_Area" localSheetId="6">'Besp. Captar 11-13'!$A$1:$S$48</definedName>
    <definedName name="_xlnm.Print_Area" localSheetId="8">corrDUBDEB2013!$A$1:$Q$27</definedName>
    <definedName name="_xlnm.Print_Area" localSheetId="15">CPI!$A$1:$O$34</definedName>
    <definedName name="_xlnm.Print_Area" localSheetId="7">'Faillis. Orro en Trianel'!$A$1:$Q$28</definedName>
    <definedName name="_xlnm.Print_Area" localSheetId="14">Heffingsrente!$A$1:$Q$70</definedName>
    <definedName name="_xlnm.Print_Area" localSheetId="17">'Input ITT kosten naaste netten'!$A$1:$K$21</definedName>
    <definedName name="_xlnm.Print_Area" localSheetId="16">'Input ITT overgedragen netten'!$A$1:$I$93</definedName>
    <definedName name="_xlnm.Print_Area" localSheetId="12">'IT 2012'!$A$1:$S$86</definedName>
    <definedName name="_xlnm.Print_Area" localSheetId="11">'ITT2008-2010'!$A$1:$R$120</definedName>
    <definedName name="_xlnm.Print_Area" localSheetId="10">'LH2012'!$A$1:$T$98</definedName>
    <definedName name="_xlnm.Print_Area" localSheetId="2">'Nacalculaties en correcties'!$A$1:$Q$61</definedName>
    <definedName name="_xlnm.Print_Area" localSheetId="4">'Overname private netten'!$A$1:$P$66</definedName>
    <definedName name="_xlnm.Print_Area" localSheetId="1">'TI-berekening 2014'!$A$1:$O$45</definedName>
    <definedName name="_xlnm.Print_Area" localSheetId="0">Toelichting!$A$1:$K$25</definedName>
    <definedName name="_xlnm.Print_Area" localSheetId="5">'Verr. niet gecontr. verbruik '!$A$1:$T$101</definedName>
    <definedName name="_xlnm.Print_Area" localSheetId="9">VVCOU2013!$A$1:$W$49</definedName>
    <definedName name="CPIv2000n2001" localSheetId="13">#REF!</definedName>
    <definedName name="CPIv2000n2001">#REF!</definedName>
    <definedName name="CPIv2000n2002" localSheetId="13">#REF!</definedName>
    <definedName name="CPIv2000n2002">#REF!</definedName>
    <definedName name="CPIv2000n2003" localSheetId="13">#REF!</definedName>
    <definedName name="CPIv2000n2003">#REF!</definedName>
    <definedName name="CPIv2000n2004" localSheetId="13">#REF!</definedName>
    <definedName name="CPIv2000n2004">#REF!</definedName>
    <definedName name="CPIv2000n2005" localSheetId="13">#REF!</definedName>
    <definedName name="CPIv2000n2005">#REF!</definedName>
    <definedName name="CPIv2000n2006" localSheetId="13">#REF!</definedName>
    <definedName name="CPIv2000n2006">#REF!</definedName>
    <definedName name="CPIv2000n2007" localSheetId="13">#REF!</definedName>
    <definedName name="CPIv2000n2007">#REF!</definedName>
    <definedName name="CPIv2000n2008" localSheetId="13">#REF!</definedName>
    <definedName name="CPIv2000n2008">#REF!</definedName>
    <definedName name="CPIv2000n2009" localSheetId="13">#REF!</definedName>
    <definedName name="CPIv2000n2009">#REF!</definedName>
    <definedName name="CPIv2000n2010" localSheetId="13">#REF!</definedName>
    <definedName name="CPIv2000n2010">#REF!</definedName>
    <definedName name="CPIv2000n2011" localSheetId="13">#REF!</definedName>
    <definedName name="CPIv2000n2011">#REF!</definedName>
    <definedName name="CPIv2000n2012" localSheetId="13">#REF!</definedName>
    <definedName name="CPIv2000n2012">#REF!</definedName>
    <definedName name="CPIv2000n2013" localSheetId="13">#REF!</definedName>
    <definedName name="CPIv2000n2013">#REF!</definedName>
    <definedName name="CPIv2001n2002" localSheetId="13">#REF!</definedName>
    <definedName name="CPIv2001n2002">#REF!</definedName>
    <definedName name="CPIv2001n2003" localSheetId="13">#REF!</definedName>
    <definedName name="CPIv2001n2003">#REF!</definedName>
    <definedName name="CPIv2001n2004" localSheetId="13">#REF!</definedName>
    <definedName name="CPIv2001n2004">#REF!</definedName>
    <definedName name="CPIv2001n2005" localSheetId="13">#REF!</definedName>
    <definedName name="CPIv2001n2005">#REF!</definedName>
    <definedName name="CPIv2001n2006" localSheetId="13">#REF!</definedName>
    <definedName name="CPIv2001n2006">#REF!</definedName>
    <definedName name="CPIv2001n2007" localSheetId="13">#REF!</definedName>
    <definedName name="CPIv2001n2007">#REF!</definedName>
    <definedName name="CPIv2001n2008" localSheetId="13">#REF!</definedName>
    <definedName name="CPIv2001n2008">#REF!</definedName>
    <definedName name="CPIv2001n2009" localSheetId="13">#REF!</definedName>
    <definedName name="CPIv2001n2009">#REF!</definedName>
    <definedName name="CPIv2001n2010" localSheetId="13">#REF!</definedName>
    <definedName name="CPIv2001n2010">#REF!</definedName>
    <definedName name="CPIv2001n2011" localSheetId="13">#REF!</definedName>
    <definedName name="CPIv2001n2011">#REF!</definedName>
    <definedName name="CPIv2001n2012" localSheetId="13">#REF!</definedName>
    <definedName name="CPIv2001n2012">#REF!</definedName>
    <definedName name="CPIv2001n2013" localSheetId="13">#REF!</definedName>
    <definedName name="CPIv2001n2013">#REF!</definedName>
    <definedName name="CPIv2002n2003" localSheetId="13">#REF!</definedName>
    <definedName name="CPIv2002n2003">#REF!</definedName>
    <definedName name="CPIv2002n2004" localSheetId="13">#REF!</definedName>
    <definedName name="CPIv2002n2004">#REF!</definedName>
    <definedName name="CPIv2002n2005" localSheetId="13">#REF!</definedName>
    <definedName name="CPIv2002n2005">#REF!</definedName>
    <definedName name="CPIv2002n2006" localSheetId="13">#REF!</definedName>
    <definedName name="CPIv2002n2006">#REF!</definedName>
    <definedName name="CPIv2002n2007" localSheetId="13">#REF!</definedName>
    <definedName name="CPIv2002n2007">#REF!</definedName>
    <definedName name="CPIv2002n2008" localSheetId="13">#REF!</definedName>
    <definedName name="CPIv2002n2008">#REF!</definedName>
    <definedName name="CPIv2002n2009" localSheetId="13">#REF!</definedName>
    <definedName name="CPIv2002n2009">#REF!</definedName>
    <definedName name="CPIv2002n2010" localSheetId="13">#REF!</definedName>
    <definedName name="CPIv2002n2010">#REF!</definedName>
    <definedName name="CPIv2002n2011" localSheetId="13">#REF!</definedName>
    <definedName name="CPIv2002n2011">#REF!</definedName>
    <definedName name="CPIv2002n2012" localSheetId="13">#REF!</definedName>
    <definedName name="CPIv2002n2012">#REF!</definedName>
    <definedName name="CPIv2002n2013" localSheetId="13">#REF!</definedName>
    <definedName name="CPIv2002n2013">#REF!</definedName>
    <definedName name="CPIv2003n2004" localSheetId="13">#REF!</definedName>
    <definedName name="CPIv2003n2004">#REF!</definedName>
    <definedName name="CPIv2003n2005" localSheetId="13">#REF!</definedName>
    <definedName name="CPIv2003n2005">#REF!</definedName>
    <definedName name="CPIv2003n2006" localSheetId="13">#REF!</definedName>
    <definedName name="CPIv2003n2006">#REF!</definedName>
    <definedName name="CPIv2003n2007" localSheetId="13">#REF!</definedName>
    <definedName name="CPIv2003n2007">#REF!</definedName>
    <definedName name="CPIv2003n2008" localSheetId="13">#REF!</definedName>
    <definedName name="CPIv2003n2008">#REF!</definedName>
    <definedName name="CPIv2003n2009" localSheetId="13">#REF!</definedName>
    <definedName name="CPIv2003n2009">#REF!</definedName>
    <definedName name="CPIv2003n2010" localSheetId="13">#REF!</definedName>
    <definedName name="CPIv2003n2010">#REF!</definedName>
    <definedName name="CPIv2003n2011" localSheetId="13">#REF!</definedName>
    <definedName name="CPIv2003n2011">#REF!</definedName>
    <definedName name="CPIv2003n2012" localSheetId="13">#REF!</definedName>
    <definedName name="CPIv2003n2012">#REF!</definedName>
    <definedName name="CPIv2003n2013" localSheetId="13">#REF!</definedName>
    <definedName name="CPIv2003n2013">#REF!</definedName>
    <definedName name="CPIv2004n2005" localSheetId="13">#REF!</definedName>
    <definedName name="CPIv2004n2005">#REF!</definedName>
    <definedName name="CPIv2004n2006" localSheetId="13">#REF!</definedName>
    <definedName name="CPIv2004n2006">#REF!</definedName>
    <definedName name="CPIv2004n2007" localSheetId="13">#REF!</definedName>
    <definedName name="CPIv2004n2007">#REF!</definedName>
    <definedName name="CPIv2004n2008" localSheetId="13">#REF!</definedName>
    <definedName name="CPIv2004n2008">#REF!</definedName>
    <definedName name="CPIv2004n2009" localSheetId="13">#REF!</definedName>
    <definedName name="CPIv2004n2009">#REF!</definedName>
    <definedName name="CPIv2004n2010" localSheetId="13">#REF!</definedName>
    <definedName name="CPIv2004n2010">#REF!</definedName>
    <definedName name="CPIv2004n2011" localSheetId="13">#REF!</definedName>
    <definedName name="CPIv2004n2011">#REF!</definedName>
    <definedName name="CPIv2004n2012" localSheetId="13">#REF!</definedName>
    <definedName name="CPIv2004n2012">#REF!</definedName>
    <definedName name="CPIv2004n2013" localSheetId="13">#REF!</definedName>
    <definedName name="CPIv2004n2013">#REF!</definedName>
    <definedName name="CPIv2005n2006" localSheetId="13">#REF!</definedName>
    <definedName name="CPIv2005n2006">#REF!</definedName>
    <definedName name="CPIv2005n2007" localSheetId="13">#REF!</definedName>
    <definedName name="CPIv2005n2007">#REF!</definedName>
    <definedName name="CPIv2005n2008" localSheetId="13">#REF!</definedName>
    <definedName name="CPIv2005n2008">#REF!</definedName>
    <definedName name="CPIv2005n2009" localSheetId="13">#REF!</definedName>
    <definedName name="CPIv2005n2009">#REF!</definedName>
    <definedName name="CPIv2005n2010" localSheetId="13">#REF!</definedName>
    <definedName name="CPIv2005n2010">#REF!</definedName>
    <definedName name="CPIv2005n2011" localSheetId="13">#REF!</definedName>
    <definedName name="CPIv2005n2011">#REF!</definedName>
    <definedName name="CPIv2005n2012" localSheetId="13">#REF!</definedName>
    <definedName name="CPIv2005n2012">#REF!</definedName>
    <definedName name="CPIv2005n2013" localSheetId="13">#REF!</definedName>
    <definedName name="CPIv2005n2013">#REF!</definedName>
    <definedName name="CPIv2006n2007" localSheetId="13">#REF!</definedName>
    <definedName name="CPIv2006n2007">#REF!</definedName>
    <definedName name="CPIv2006n2008" localSheetId="13">#REF!</definedName>
    <definedName name="CPIv2006n2008">#REF!</definedName>
    <definedName name="CPIv2006n2009" localSheetId="13">#REF!</definedName>
    <definedName name="CPIv2006n2009">#REF!</definedName>
    <definedName name="CPIv2006n2010" localSheetId="13">#REF!</definedName>
    <definedName name="CPIv2006n2010">#REF!</definedName>
    <definedName name="CPIv2006n2011" localSheetId="13">#REF!</definedName>
    <definedName name="CPIv2006n2011">#REF!</definedName>
    <definedName name="CPIv2006n2012" localSheetId="13">#REF!</definedName>
    <definedName name="CPIv2006n2012">#REF!</definedName>
    <definedName name="CPIv2006n2013" localSheetId="13">#REF!</definedName>
    <definedName name="CPIv2006n2013">#REF!</definedName>
    <definedName name="CPIv2007n2008" localSheetId="13">#REF!</definedName>
    <definedName name="CPIv2007n2008">#REF!</definedName>
    <definedName name="CPIv2007n2009" localSheetId="13">#REF!</definedName>
    <definedName name="CPIv2007n2009">#REF!</definedName>
    <definedName name="CPIv2007n2010" localSheetId="13">#REF!</definedName>
    <definedName name="CPIv2007n2010">#REF!</definedName>
    <definedName name="CPIv2007n2011" localSheetId="13">#REF!</definedName>
    <definedName name="CPIv2007n2011">#REF!</definedName>
    <definedName name="CPIv2007n2012" localSheetId="13">#REF!</definedName>
    <definedName name="CPIv2007n2012">#REF!</definedName>
    <definedName name="CPIv2007n2013" localSheetId="13">#REF!</definedName>
    <definedName name="CPIv2007n2013">#REF!</definedName>
    <definedName name="CPIv2008n2009" localSheetId="13">#REF!</definedName>
    <definedName name="CPIv2008n2009">#REF!</definedName>
    <definedName name="CPIv2008n2010" localSheetId="13">#REF!</definedName>
    <definedName name="CPIv2008n2010">#REF!</definedName>
    <definedName name="CPIv2008n2011" localSheetId="13">#REF!</definedName>
    <definedName name="CPIv2008n2011">#REF!</definedName>
    <definedName name="CPIv2008n2012" localSheetId="13">#REF!</definedName>
    <definedName name="CPIv2008n2012">#REF!</definedName>
    <definedName name="CPIv2008n2013" localSheetId="13">#REF!</definedName>
    <definedName name="CPIv2008n2013">#REF!</definedName>
    <definedName name="CPIv2009n2010" localSheetId="13">#REF!</definedName>
    <definedName name="CPIv2009n2010">#REF!</definedName>
    <definedName name="CPIv2009n2011" localSheetId="13">#REF!</definedName>
    <definedName name="CPIv2009n2011">#REF!</definedName>
    <definedName name="CPIv2009n2012" localSheetId="13">#REF!</definedName>
    <definedName name="CPIv2009n2012">#REF!</definedName>
    <definedName name="CPIv2009n2013" localSheetId="13">#REF!</definedName>
    <definedName name="CPIv2009n2013">#REF!</definedName>
    <definedName name="CPIv2010n2011" localSheetId="13">#REF!</definedName>
    <definedName name="CPIv2010n2011">#REF!</definedName>
    <definedName name="CPIv2010n2012" localSheetId="13">#REF!</definedName>
    <definedName name="CPIv2010n2012">#REF!</definedName>
    <definedName name="CPIv2010n2013" localSheetId="13">#REF!</definedName>
    <definedName name="CPIv2010n2013">#REF!</definedName>
    <definedName name="CPIv2011n2012" localSheetId="13">#REF!</definedName>
    <definedName name="CPIv2011n2012">#REF!</definedName>
    <definedName name="CPIv2011n2013" localSheetId="13">#REF!</definedName>
    <definedName name="CPIv2011n2013">#REF!</definedName>
    <definedName name="CPIv2012n2013" localSheetId="13">#REF!</definedName>
    <definedName name="CPIv2012n2013">#REF!</definedName>
    <definedName name="EofG" localSheetId="6">'[1]Lokale heffingen (LH)'!#REF!</definedName>
    <definedName name="EofG" localSheetId="7">'[1]Lokale heffingen (LH)'!#REF!</definedName>
    <definedName name="EofG" localSheetId="13">'[1]Lokale heffingen (LH)'!#REF!</definedName>
    <definedName name="EofG" localSheetId="4">'[1]Lokale heffingen (LH)'!#REF!</definedName>
    <definedName name="EofG" localSheetId="5">'[1]Lokale heffingen (LH)'!#REF!</definedName>
    <definedName name="EofG">'[1]Lokale heffingen (LH)'!#REF!</definedName>
    <definedName name="Naam" localSheetId="13">#REF!</definedName>
    <definedName name="Naam">#REF!</definedName>
    <definedName name="wacc_exc_tax">[2]constants!$E$3</definedName>
    <definedName name="WACC2011_2013">'[3]CPI&amp;WACC'!$D$14</definedName>
    <definedName name="WACCtabel">'[4]CPI en WACC'!$B$6:$D$26</definedName>
  </definedNames>
  <calcPr calcId="145621" iterateCount="1000" iterateDelta="1.0000000000000001E-5"/>
</workbook>
</file>

<file path=xl/calcChain.xml><?xml version="1.0" encoding="utf-8"?>
<calcChain xmlns="http://schemas.openxmlformats.org/spreadsheetml/2006/main">
  <c r="D22" i="4" l="1"/>
  <c r="D26" i="4"/>
  <c r="D27" i="4"/>
  <c r="D28" i="4"/>
  <c r="D12" i="43"/>
  <c r="D13" i="43" s="1"/>
  <c r="J87" i="48"/>
  <c r="J80" i="48"/>
  <c r="J79" i="48"/>
  <c r="J78" i="48"/>
  <c r="G89" i="48"/>
  <c r="F26" i="49"/>
  <c r="L31" i="49" s="1"/>
  <c r="G24" i="38"/>
  <c r="L90" i="41"/>
  <c r="L93" i="41"/>
  <c r="L83" i="41"/>
  <c r="M78" i="41"/>
  <c r="M79" i="41"/>
  <c r="L41" i="41"/>
  <c r="J28" i="5"/>
  <c r="K28" i="5"/>
  <c r="D11" i="43"/>
  <c r="G31" i="49" l="1"/>
  <c r="G36" i="49" l="1"/>
  <c r="O50" i="51"/>
  <c r="O54" i="51" s="1"/>
  <c r="O49" i="51"/>
  <c r="O72" i="42"/>
  <c r="O71" i="42"/>
  <c r="O70" i="42"/>
  <c r="O69" i="42"/>
  <c r="O65" i="42"/>
  <c r="O64" i="42"/>
  <c r="O63" i="42"/>
  <c r="O62" i="42"/>
  <c r="O60" i="42"/>
  <c r="O59" i="42"/>
  <c r="O58" i="42"/>
  <c r="O57" i="42"/>
  <c r="O56" i="42"/>
  <c r="O52" i="42"/>
  <c r="O51" i="42"/>
  <c r="O50" i="42"/>
  <c r="O49" i="42"/>
  <c r="O18" i="42"/>
  <c r="O19" i="42"/>
  <c r="O20" i="42"/>
  <c r="G20" i="42"/>
  <c r="L8" i="20" l="1"/>
  <c r="G8" i="20"/>
  <c r="G69" i="43" l="1"/>
  <c r="G60" i="43"/>
  <c r="G24" i="49" l="1"/>
  <c r="H50" i="50" l="1"/>
  <c r="H60" i="50" s="1"/>
  <c r="I50" i="50"/>
  <c r="I60" i="50" s="1"/>
  <c r="J50" i="50"/>
  <c r="K50" i="50"/>
  <c r="K60" i="50" s="1"/>
  <c r="L50" i="50"/>
  <c r="M50" i="50"/>
  <c r="M60" i="50" s="1"/>
  <c r="N50" i="50"/>
  <c r="G50" i="50"/>
  <c r="G60" i="50" s="1"/>
  <c r="M93" i="42"/>
  <c r="M88" i="42"/>
  <c r="O82" i="42"/>
  <c r="G40" i="43"/>
  <c r="N60" i="50"/>
  <c r="L60" i="50"/>
  <c r="J60" i="50"/>
  <c r="G74" i="50"/>
  <c r="G84" i="50" s="1"/>
  <c r="H74" i="50"/>
  <c r="I74" i="50"/>
  <c r="J74" i="50"/>
  <c r="K74" i="50"/>
  <c r="L74" i="50"/>
  <c r="M74" i="50"/>
  <c r="N74" i="50"/>
  <c r="G53" i="50" l="1"/>
  <c r="G54" i="50" s="1"/>
  <c r="I53" i="50"/>
  <c r="I54" i="50" s="1"/>
  <c r="K53" i="50"/>
  <c r="K54" i="50" s="1"/>
  <c r="M53" i="50"/>
  <c r="M54" i="50" s="1"/>
  <c r="M57" i="50"/>
  <c r="H53" i="50"/>
  <c r="H57" i="50" s="1"/>
  <c r="J53" i="50"/>
  <c r="J57" i="50" s="1"/>
  <c r="L53" i="50"/>
  <c r="L54" i="50" s="1"/>
  <c r="N53" i="50"/>
  <c r="N54" i="50" s="1"/>
  <c r="H54" i="50"/>
  <c r="J54" i="50"/>
  <c r="I57" i="50" l="1"/>
  <c r="N57" i="50"/>
  <c r="K57" i="50"/>
  <c r="L57" i="50"/>
  <c r="G57" i="50"/>
  <c r="G47" i="43" l="1"/>
  <c r="G39" i="43"/>
  <c r="G67" i="43"/>
  <c r="G58" i="43"/>
  <c r="G87" i="43"/>
  <c r="D25" i="4" l="1"/>
  <c r="D24" i="4"/>
  <c r="D23" i="4"/>
  <c r="D16" i="4" l="1"/>
  <c r="D15" i="4" s="1"/>
  <c r="E40" i="50" l="1"/>
  <c r="E23" i="49"/>
  <c r="D14" i="41"/>
  <c r="D15" i="41"/>
  <c r="D16" i="41"/>
  <c r="D13" i="41"/>
  <c r="H17" i="2"/>
  <c r="I17" i="2"/>
  <c r="J17" i="2"/>
  <c r="K17" i="2"/>
  <c r="L17" i="2"/>
  <c r="M17" i="2"/>
  <c r="N17" i="2"/>
  <c r="G17" i="2"/>
  <c r="H8" i="20"/>
  <c r="I8" i="20"/>
  <c r="J8" i="20"/>
  <c r="K8" i="20"/>
  <c r="M8" i="20"/>
  <c r="N8" i="20"/>
  <c r="E11" i="20"/>
  <c r="G12" i="20" l="1"/>
  <c r="G13" i="20" s="1"/>
  <c r="K12" i="20"/>
  <c r="K13" i="20" s="1"/>
  <c r="M12" i="20"/>
  <c r="M13" i="20" s="1"/>
  <c r="I12" i="20"/>
  <c r="I13" i="20" s="1"/>
  <c r="N12" i="20"/>
  <c r="N13" i="20" s="1"/>
  <c r="L12" i="20"/>
  <c r="L13" i="20" s="1"/>
  <c r="J12" i="20"/>
  <c r="J13" i="20" s="1"/>
  <c r="H12" i="20"/>
  <c r="H13" i="20" s="1"/>
  <c r="H53" i="48" l="1"/>
  <c r="I53" i="48"/>
  <c r="J53" i="48"/>
  <c r="K53" i="48"/>
  <c r="L53" i="48"/>
  <c r="M53" i="48"/>
  <c r="N53" i="48"/>
  <c r="G53" i="48"/>
  <c r="H24" i="49"/>
  <c r="F24" i="49" s="1"/>
  <c r="I24" i="49"/>
  <c r="J24" i="49"/>
  <c r="K24" i="49"/>
  <c r="L24" i="49"/>
  <c r="M24" i="49"/>
  <c r="N24" i="49"/>
  <c r="F25" i="49"/>
  <c r="F22" i="49"/>
  <c r="I77" i="50" l="1"/>
  <c r="I81" i="50" s="1"/>
  <c r="I84" i="50"/>
  <c r="K77" i="50"/>
  <c r="K81" i="50" s="1"/>
  <c r="K84" i="50"/>
  <c r="M77" i="50"/>
  <c r="M81" i="50" s="1"/>
  <c r="M84" i="50"/>
  <c r="H84" i="50"/>
  <c r="H77" i="50"/>
  <c r="H81" i="50" s="1"/>
  <c r="J77" i="50"/>
  <c r="J81" i="50" s="1"/>
  <c r="J84" i="50"/>
  <c r="L77" i="50"/>
  <c r="L81" i="50" s="1"/>
  <c r="L84" i="50"/>
  <c r="N77" i="50"/>
  <c r="N81" i="50" s="1"/>
  <c r="N84" i="50"/>
  <c r="G77" i="50"/>
  <c r="G81" i="50" s="1"/>
  <c r="L78" i="50" l="1"/>
  <c r="H78" i="50"/>
  <c r="N78" i="50"/>
  <c r="J78" i="50"/>
  <c r="K78" i="50"/>
  <c r="L88" i="50"/>
  <c r="L9" i="2" s="1"/>
  <c r="G78" i="50"/>
  <c r="M88" i="50"/>
  <c r="M9" i="2" s="1"/>
  <c r="I88" i="50"/>
  <c r="I9" i="2" s="1"/>
  <c r="G88" i="50"/>
  <c r="G9" i="2" s="1"/>
  <c r="M78" i="50"/>
  <c r="I78" i="50"/>
  <c r="N88" i="50"/>
  <c r="N9" i="2" s="1"/>
  <c r="J88" i="50"/>
  <c r="J9" i="2" s="1"/>
  <c r="K88" i="50"/>
  <c r="K9" i="2" s="1"/>
  <c r="E43" i="42"/>
  <c r="E44" i="42"/>
  <c r="E45" i="42"/>
  <c r="E42" i="42"/>
  <c r="F33" i="51"/>
  <c r="F34" i="51"/>
  <c r="F35" i="51"/>
  <c r="F32" i="51"/>
  <c r="H88" i="50" l="1"/>
  <c r="H9" i="2" s="1"/>
  <c r="N78" i="51"/>
  <c r="M78" i="51"/>
  <c r="L78" i="51"/>
  <c r="K78" i="51"/>
  <c r="J78" i="51"/>
  <c r="I78" i="51"/>
  <c r="H78" i="51"/>
  <c r="G78" i="51"/>
  <c r="O77" i="51"/>
  <c r="O76" i="51"/>
  <c r="O48" i="51"/>
  <c r="O47" i="51"/>
  <c r="F30" i="51"/>
  <c r="F29" i="51"/>
  <c r="F28" i="51"/>
  <c r="N22" i="51"/>
  <c r="M22" i="51"/>
  <c r="L22" i="51"/>
  <c r="K22" i="51"/>
  <c r="J22" i="51"/>
  <c r="I22" i="51"/>
  <c r="H22" i="51"/>
  <c r="G22" i="51"/>
  <c r="O21" i="51"/>
  <c r="O20" i="51"/>
  <c r="O52" i="51" l="1"/>
  <c r="G39" i="51"/>
  <c r="G40" i="51" s="1"/>
  <c r="G41" i="51" s="1"/>
  <c r="G42" i="51" s="1"/>
  <c r="I39" i="51"/>
  <c r="I40" i="51" s="1"/>
  <c r="I41" i="51" s="1"/>
  <c r="I42" i="51" s="1"/>
  <c r="K39" i="51"/>
  <c r="K40" i="51" s="1"/>
  <c r="K41" i="51" s="1"/>
  <c r="K42" i="51" s="1"/>
  <c r="M39" i="51"/>
  <c r="M40" i="51" s="1"/>
  <c r="M41" i="51" s="1"/>
  <c r="M42" i="51" s="1"/>
  <c r="H39" i="51"/>
  <c r="H40" i="51" s="1"/>
  <c r="H41" i="51" s="1"/>
  <c r="H42" i="51" s="1"/>
  <c r="J39" i="51"/>
  <c r="J40" i="51" s="1"/>
  <c r="J41" i="51" s="1"/>
  <c r="J42" i="51" s="1"/>
  <c r="L39" i="51"/>
  <c r="L40" i="51" s="1"/>
  <c r="L41" i="51" s="1"/>
  <c r="L42" i="51" s="1"/>
  <c r="N39" i="51"/>
  <c r="N40" i="51" s="1"/>
  <c r="N41" i="51" s="1"/>
  <c r="N42" i="51" s="1"/>
  <c r="O53" i="51"/>
  <c r="O78" i="51"/>
  <c r="O22" i="51"/>
  <c r="O64" i="51" s="1"/>
  <c r="H24" i="50"/>
  <c r="I24" i="50"/>
  <c r="J24" i="50"/>
  <c r="K24" i="50"/>
  <c r="L24" i="50"/>
  <c r="M24" i="50"/>
  <c r="N24" i="50"/>
  <c r="G24" i="50"/>
  <c r="H56" i="48"/>
  <c r="I56" i="48"/>
  <c r="J56" i="48"/>
  <c r="K56" i="48"/>
  <c r="L56" i="48"/>
  <c r="M56" i="48"/>
  <c r="N56" i="48"/>
  <c r="G56" i="48"/>
  <c r="G64" i="51" l="1"/>
  <c r="N46" i="50"/>
  <c r="N27" i="50"/>
  <c r="N41" i="50"/>
  <c r="N31" i="50"/>
  <c r="N34" i="50"/>
  <c r="L46" i="50"/>
  <c r="L27" i="50"/>
  <c r="L41" i="50"/>
  <c r="L31" i="50"/>
  <c r="L34" i="50"/>
  <c r="J46" i="50"/>
  <c r="J27" i="50"/>
  <c r="J28" i="50" s="1"/>
  <c r="J41" i="50"/>
  <c r="J31" i="50"/>
  <c r="J34" i="50"/>
  <c r="H34" i="50"/>
  <c r="H46" i="50"/>
  <c r="H27" i="50"/>
  <c r="H41" i="50"/>
  <c r="H31" i="50"/>
  <c r="M41" i="50"/>
  <c r="M46" i="50"/>
  <c r="M27" i="50"/>
  <c r="M31" i="50" s="1"/>
  <c r="M34" i="50"/>
  <c r="K41" i="50"/>
  <c r="K46" i="50"/>
  <c r="K27" i="50"/>
  <c r="K31" i="50" s="1"/>
  <c r="K34" i="50"/>
  <c r="I41" i="50"/>
  <c r="I46" i="50"/>
  <c r="I27" i="50"/>
  <c r="I31" i="50" s="1"/>
  <c r="I34" i="50"/>
  <c r="O39" i="51"/>
  <c r="N64" i="51"/>
  <c r="L64" i="51"/>
  <c r="J64" i="51"/>
  <c r="H64" i="51"/>
  <c r="M64" i="51"/>
  <c r="K64" i="51"/>
  <c r="I64" i="51"/>
  <c r="G34" i="50"/>
  <c r="G27" i="50"/>
  <c r="G28" i="50" s="1"/>
  <c r="G41" i="50"/>
  <c r="G46" i="50"/>
  <c r="O40" i="51"/>
  <c r="O59" i="51" s="1"/>
  <c r="D21" i="48"/>
  <c r="D22" i="48"/>
  <c r="D23" i="48"/>
  <c r="D20" i="48"/>
  <c r="E35" i="49"/>
  <c r="E40" i="49"/>
  <c r="E45" i="49"/>
  <c r="H20" i="47"/>
  <c r="H16" i="2" s="1"/>
  <c r="I20" i="47"/>
  <c r="I16" i="2" s="1"/>
  <c r="J20" i="47"/>
  <c r="J16" i="2" s="1"/>
  <c r="K20" i="47"/>
  <c r="K16" i="2" s="1"/>
  <c r="L20" i="47"/>
  <c r="L16" i="2" s="1"/>
  <c r="M20" i="47"/>
  <c r="M16" i="2" s="1"/>
  <c r="N20" i="47"/>
  <c r="N16" i="2" s="1"/>
  <c r="G20" i="47"/>
  <c r="G16" i="2" s="1"/>
  <c r="H22" i="38"/>
  <c r="H24" i="38" s="1"/>
  <c r="I22" i="38"/>
  <c r="I24" i="38" s="1"/>
  <c r="J22" i="38"/>
  <c r="J24" i="38" s="1"/>
  <c r="K22" i="38"/>
  <c r="K24" i="38" s="1"/>
  <c r="L22" i="38"/>
  <c r="L24" i="38" s="1"/>
  <c r="M22" i="38"/>
  <c r="M24" i="38" s="1"/>
  <c r="N22" i="38"/>
  <c r="N24" i="38" s="1"/>
  <c r="G22" i="38"/>
  <c r="J27" i="5"/>
  <c r="D28" i="5"/>
  <c r="D26" i="5"/>
  <c r="E28" i="5"/>
  <c r="F28" i="5"/>
  <c r="G28" i="5"/>
  <c r="H28" i="5"/>
  <c r="I28" i="5"/>
  <c r="F36" i="2"/>
  <c r="G86" i="43"/>
  <c r="G85" i="43"/>
  <c r="G84" i="43"/>
  <c r="G78" i="43"/>
  <c r="G77" i="43"/>
  <c r="G76" i="43"/>
  <c r="G75" i="43"/>
  <c r="G66" i="43"/>
  <c r="G65" i="43"/>
  <c r="G64" i="43"/>
  <c r="G57" i="43"/>
  <c r="G56" i="43"/>
  <c r="G55" i="43"/>
  <c r="G46" i="43"/>
  <c r="G45" i="43"/>
  <c r="G44" i="43"/>
  <c r="G38" i="43"/>
  <c r="G37" i="43"/>
  <c r="G36" i="43"/>
  <c r="G41" i="43" s="1"/>
  <c r="O103" i="42"/>
  <c r="N104" i="42" s="1"/>
  <c r="O93" i="42"/>
  <c r="O92" i="42"/>
  <c r="O88" i="42"/>
  <c r="O86" i="42"/>
  <c r="O80" i="42"/>
  <c r="E40" i="42"/>
  <c r="E39" i="42"/>
  <c r="E38" i="42"/>
  <c r="O29" i="42"/>
  <c r="O28" i="42"/>
  <c r="O24" i="42"/>
  <c r="N20" i="42"/>
  <c r="N26" i="42" s="1"/>
  <c r="M20" i="42"/>
  <c r="M26" i="42" s="1"/>
  <c r="L20" i="42"/>
  <c r="L26" i="42" s="1"/>
  <c r="K20" i="42"/>
  <c r="J20" i="42"/>
  <c r="I20" i="42"/>
  <c r="I26" i="42" s="1"/>
  <c r="H20" i="42"/>
  <c r="G26" i="42"/>
  <c r="M50" i="2" l="1"/>
  <c r="M48" i="2"/>
  <c r="M42" i="2"/>
  <c r="M20" i="20" s="1"/>
  <c r="J66" i="51"/>
  <c r="O58" i="51"/>
  <c r="G66" i="51" s="1"/>
  <c r="K66" i="51"/>
  <c r="H66" i="51"/>
  <c r="L66" i="51"/>
  <c r="M66" i="51"/>
  <c r="K28" i="50"/>
  <c r="K42" i="50" s="1"/>
  <c r="K44" i="50" s="1"/>
  <c r="G80" i="43"/>
  <c r="G49" i="43"/>
  <c r="E11" i="43"/>
  <c r="E12" i="43"/>
  <c r="E13" i="43" s="1"/>
  <c r="E21" i="43" s="1"/>
  <c r="E29" i="43" s="1"/>
  <c r="K81" i="42" s="1"/>
  <c r="F11" i="43"/>
  <c r="G89" i="43"/>
  <c r="F12" i="43" s="1"/>
  <c r="G42" i="50"/>
  <c r="G44" i="50" s="1"/>
  <c r="G64" i="50" s="1"/>
  <c r="J42" i="50"/>
  <c r="J44" i="50" s="1"/>
  <c r="J64" i="50" s="1"/>
  <c r="O94" i="42"/>
  <c r="I66" i="51"/>
  <c r="N66" i="51"/>
  <c r="H25" i="42"/>
  <c r="H26" i="42" s="1"/>
  <c r="O31" i="42"/>
  <c r="G104" i="42"/>
  <c r="G109" i="42" s="1"/>
  <c r="K104" i="42"/>
  <c r="K109" i="42" s="1"/>
  <c r="I104" i="42"/>
  <c r="I109" i="42" s="1"/>
  <c r="M104" i="42"/>
  <c r="M109" i="42" s="1"/>
  <c r="L50" i="2"/>
  <c r="L28" i="20" s="1"/>
  <c r="H50" i="2"/>
  <c r="H28" i="20" s="1"/>
  <c r="M28" i="20"/>
  <c r="I50" i="2"/>
  <c r="I28" i="20" s="1"/>
  <c r="N50" i="2"/>
  <c r="N28" i="20" s="1"/>
  <c r="J50" i="2"/>
  <c r="J28" i="20" s="1"/>
  <c r="G50" i="2"/>
  <c r="G28" i="20" s="1"/>
  <c r="K50" i="2"/>
  <c r="K28" i="20" s="1"/>
  <c r="G42" i="2"/>
  <c r="G20" i="20" s="1"/>
  <c r="K42" i="2"/>
  <c r="K20" i="20" s="1"/>
  <c r="I42" i="2"/>
  <c r="I20" i="20" s="1"/>
  <c r="J42" i="2"/>
  <c r="J20" i="20" s="1"/>
  <c r="N42" i="2"/>
  <c r="N20" i="20" s="1"/>
  <c r="L42" i="2"/>
  <c r="L20" i="20" s="1"/>
  <c r="H42" i="2"/>
  <c r="H20" i="20" s="1"/>
  <c r="I38" i="50"/>
  <c r="I7" i="2" s="1"/>
  <c r="M38" i="50"/>
  <c r="M7" i="2" s="1"/>
  <c r="L28" i="50"/>
  <c r="L42" i="50" s="1"/>
  <c r="L44" i="50" s="1"/>
  <c r="I28" i="50"/>
  <c r="I42" i="50" s="1"/>
  <c r="I44" i="50" s="1"/>
  <c r="H28" i="50"/>
  <c r="N28" i="50"/>
  <c r="N42" i="50" s="1"/>
  <c r="N44" i="50" s="1"/>
  <c r="N64" i="50" s="1"/>
  <c r="M28" i="50"/>
  <c r="M42" i="50" s="1"/>
  <c r="M44" i="50" s="1"/>
  <c r="J38" i="50"/>
  <c r="J7" i="2" s="1"/>
  <c r="L38" i="50"/>
  <c r="L7" i="2" s="1"/>
  <c r="N38" i="50"/>
  <c r="N7" i="2" s="1"/>
  <c r="K38" i="50"/>
  <c r="K7" i="2" s="1"/>
  <c r="G31" i="50"/>
  <c r="G38" i="50" s="1"/>
  <c r="G7" i="2" s="1"/>
  <c r="H44" i="48"/>
  <c r="J44" i="48"/>
  <c r="L44" i="48"/>
  <c r="N44" i="48"/>
  <c r="I44" i="48"/>
  <c r="K44" i="48"/>
  <c r="M44" i="48"/>
  <c r="G44" i="48"/>
  <c r="G87" i="48" s="1"/>
  <c r="I67" i="51"/>
  <c r="M67" i="51"/>
  <c r="H67" i="51"/>
  <c r="L67" i="51"/>
  <c r="K67" i="51"/>
  <c r="G67" i="51"/>
  <c r="J67" i="51"/>
  <c r="N67" i="51"/>
  <c r="O42" i="51"/>
  <c r="O41" i="51"/>
  <c r="O60" i="51" s="1"/>
  <c r="G68" i="51" s="1"/>
  <c r="G85" i="51" s="1"/>
  <c r="J8" i="2"/>
  <c r="J41" i="2" s="1"/>
  <c r="J19" i="20" s="1"/>
  <c r="G78" i="48"/>
  <c r="M78" i="48"/>
  <c r="K78" i="48"/>
  <c r="I78" i="48"/>
  <c r="N78" i="48"/>
  <c r="L78" i="48"/>
  <c r="H78" i="48"/>
  <c r="F29" i="49"/>
  <c r="N114" i="42"/>
  <c r="N109" i="42"/>
  <c r="K25" i="42"/>
  <c r="K26" i="42" s="1"/>
  <c r="I114" i="42"/>
  <c r="K114" i="42"/>
  <c r="M114" i="42"/>
  <c r="J25" i="42"/>
  <c r="J26" i="42" s="1"/>
  <c r="H104" i="42"/>
  <c r="J104" i="42"/>
  <c r="L104" i="42"/>
  <c r="M64" i="50" l="1"/>
  <c r="M8" i="2" s="1"/>
  <c r="L64" i="50"/>
  <c r="L8" i="2" s="1"/>
  <c r="L41" i="2" s="1"/>
  <c r="L19" i="20" s="1"/>
  <c r="I64" i="50"/>
  <c r="I8" i="2" s="1"/>
  <c r="I41" i="2" s="1"/>
  <c r="I19" i="20" s="1"/>
  <c r="K64" i="50"/>
  <c r="K8" i="2" s="1"/>
  <c r="K41" i="2" s="1"/>
  <c r="K19" i="20" s="1"/>
  <c r="D21" i="43"/>
  <c r="D29" i="43" s="1"/>
  <c r="J81" i="42" s="1"/>
  <c r="O81" i="42" s="1"/>
  <c r="O83" i="42" s="1"/>
  <c r="F13" i="43"/>
  <c r="F21" i="43" s="1"/>
  <c r="F29" i="43" s="1"/>
  <c r="K87" i="42" s="1"/>
  <c r="O87" i="42" s="1"/>
  <c r="O89" i="42" s="1"/>
  <c r="H38" i="50"/>
  <c r="H7" i="2" s="1"/>
  <c r="H42" i="50"/>
  <c r="H44" i="50" s="1"/>
  <c r="O66" i="51"/>
  <c r="O25" i="42"/>
  <c r="O26" i="42"/>
  <c r="O33" i="42" s="1"/>
  <c r="G114" i="42"/>
  <c r="L36" i="49"/>
  <c r="L13" i="2" s="1"/>
  <c r="I31" i="49"/>
  <c r="I36" i="49" s="1"/>
  <c r="I13" i="2" s="1"/>
  <c r="N31" i="49"/>
  <c r="N36" i="49" s="1"/>
  <c r="N13" i="2" s="1"/>
  <c r="M31" i="49"/>
  <c r="M36" i="49" s="1"/>
  <c r="M13" i="2" s="1"/>
  <c r="H31" i="49"/>
  <c r="K31" i="49"/>
  <c r="K36" i="49" s="1"/>
  <c r="K13" i="2" s="1"/>
  <c r="J31" i="49"/>
  <c r="J36" i="49" s="1"/>
  <c r="J13" i="2" s="1"/>
  <c r="N8" i="2"/>
  <c r="N41" i="2" s="1"/>
  <c r="N19" i="20" s="1"/>
  <c r="I41" i="49"/>
  <c r="I14" i="2" s="1"/>
  <c r="O67" i="51"/>
  <c r="I68" i="51"/>
  <c r="I85" i="51" s="1"/>
  <c r="I23" i="2" s="1"/>
  <c r="M68" i="51"/>
  <c r="M85" i="51" s="1"/>
  <c r="M23" i="2" s="1"/>
  <c r="H68" i="51"/>
  <c r="H85" i="51" s="1"/>
  <c r="H23" i="2" s="1"/>
  <c r="L68" i="51"/>
  <c r="L85" i="51" s="1"/>
  <c r="L23" i="2" s="1"/>
  <c r="K68" i="51"/>
  <c r="K85" i="51" s="1"/>
  <c r="K23" i="2" s="1"/>
  <c r="J68" i="51"/>
  <c r="J85" i="51" s="1"/>
  <c r="J23" i="2" s="1"/>
  <c r="N68" i="51"/>
  <c r="N85" i="51" s="1"/>
  <c r="N23" i="2" s="1"/>
  <c r="H45" i="48"/>
  <c r="H87" i="48"/>
  <c r="J88" i="48"/>
  <c r="N79" i="48"/>
  <c r="N88" i="48"/>
  <c r="K79" i="48"/>
  <c r="K88" i="48"/>
  <c r="G88" i="48"/>
  <c r="G10" i="2" s="1"/>
  <c r="G79" i="48"/>
  <c r="I45" i="48"/>
  <c r="I87" i="48"/>
  <c r="M45" i="48"/>
  <c r="M87" i="48"/>
  <c r="L45" i="48"/>
  <c r="L87" i="48"/>
  <c r="N45" i="48"/>
  <c r="N87" i="48"/>
  <c r="K45" i="48"/>
  <c r="K87" i="48"/>
  <c r="H79" i="48"/>
  <c r="H88" i="48"/>
  <c r="H89" i="48" s="1"/>
  <c r="H10" i="2" s="1"/>
  <c r="L79" i="48"/>
  <c r="L88" i="48"/>
  <c r="L89" i="48" s="1"/>
  <c r="L10" i="2" s="1"/>
  <c r="I79" i="48"/>
  <c r="I88" i="48"/>
  <c r="I89" i="48" s="1"/>
  <c r="I10" i="2" s="1"/>
  <c r="M79" i="48"/>
  <c r="M88" i="48"/>
  <c r="M89" i="48" s="1"/>
  <c r="M10" i="2" s="1"/>
  <c r="J45" i="48"/>
  <c r="G45" i="48"/>
  <c r="L114" i="42"/>
  <c r="L109" i="42"/>
  <c r="J114" i="42"/>
  <c r="J109" i="42"/>
  <c r="H114" i="42"/>
  <c r="H109" i="42"/>
  <c r="O104" i="42"/>
  <c r="M41" i="2" l="1"/>
  <c r="M19" i="20" s="1"/>
  <c r="H36" i="49"/>
  <c r="H13" i="2" s="1"/>
  <c r="F31" i="49"/>
  <c r="G13" i="2"/>
  <c r="G41" i="49"/>
  <c r="G46" i="49" s="1"/>
  <c r="G15" i="2" s="1"/>
  <c r="G48" i="2" s="1"/>
  <c r="G26" i="20" s="1"/>
  <c r="H64" i="50"/>
  <c r="H8" i="2" s="1"/>
  <c r="H41" i="2" s="1"/>
  <c r="H19" i="20" s="1"/>
  <c r="G8" i="2"/>
  <c r="G80" i="48"/>
  <c r="G96" i="48" s="1"/>
  <c r="G92" i="48"/>
  <c r="K89" i="48"/>
  <c r="K10" i="2" s="1"/>
  <c r="N89" i="48"/>
  <c r="N10" i="2" s="1"/>
  <c r="J89" i="48"/>
  <c r="J10" i="2" s="1"/>
  <c r="G46" i="48"/>
  <c r="G95" i="48" s="1"/>
  <c r="G91" i="48"/>
  <c r="J46" i="48"/>
  <c r="J95" i="48" s="1"/>
  <c r="J91" i="48"/>
  <c r="M80" i="48"/>
  <c r="M96" i="48" s="1"/>
  <c r="M92" i="48"/>
  <c r="I80" i="48"/>
  <c r="I96" i="48" s="1"/>
  <c r="I92" i="48"/>
  <c r="L80" i="48"/>
  <c r="L96" i="48" s="1"/>
  <c r="L92" i="48"/>
  <c r="H80" i="48"/>
  <c r="H96" i="48" s="1"/>
  <c r="H92" i="48"/>
  <c r="K46" i="48"/>
  <c r="K95" i="48" s="1"/>
  <c r="K91" i="48"/>
  <c r="N46" i="48"/>
  <c r="N95" i="48" s="1"/>
  <c r="N91" i="48"/>
  <c r="L46" i="48"/>
  <c r="L95" i="48" s="1"/>
  <c r="L91" i="48"/>
  <c r="M46" i="48"/>
  <c r="M95" i="48" s="1"/>
  <c r="M91" i="48"/>
  <c r="I46" i="48"/>
  <c r="I95" i="48" s="1"/>
  <c r="I91" i="48"/>
  <c r="K80" i="48"/>
  <c r="K96" i="48" s="1"/>
  <c r="K97" i="48" s="1"/>
  <c r="K12" i="2" s="1"/>
  <c r="K92" i="48"/>
  <c r="K93" i="48" s="1"/>
  <c r="K11" i="2" s="1"/>
  <c r="N80" i="48"/>
  <c r="N96" i="48" s="1"/>
  <c r="N97" i="48" s="1"/>
  <c r="N12" i="2" s="1"/>
  <c r="N92" i="48"/>
  <c r="N93" i="48" s="1"/>
  <c r="N11" i="2" s="1"/>
  <c r="J96" i="48"/>
  <c r="J97" i="48" s="1"/>
  <c r="J12" i="2" s="1"/>
  <c r="J92" i="48"/>
  <c r="J93" i="48" s="1"/>
  <c r="J11" i="2" s="1"/>
  <c r="H46" i="48"/>
  <c r="H95" i="48" s="1"/>
  <c r="H91" i="48"/>
  <c r="I46" i="49"/>
  <c r="I15" i="2" s="1"/>
  <c r="I48" i="2" s="1"/>
  <c r="I26" i="20" s="1"/>
  <c r="O68" i="51"/>
  <c r="O109" i="42"/>
  <c r="O114" i="42"/>
  <c r="O102" i="42"/>
  <c r="G41" i="2" l="1"/>
  <c r="G19" i="20" s="1"/>
  <c r="O85" i="51"/>
  <c r="G23" i="2"/>
  <c r="G97" i="48"/>
  <c r="G12" i="2" s="1"/>
  <c r="H93" i="48"/>
  <c r="H11" i="2" s="1"/>
  <c r="L93" i="48"/>
  <c r="L11" i="2" s="1"/>
  <c r="I93" i="48"/>
  <c r="I11" i="2" s="1"/>
  <c r="M93" i="48"/>
  <c r="M11" i="2" s="1"/>
  <c r="H97" i="48"/>
  <c r="H12" i="2" s="1"/>
  <c r="L97" i="48"/>
  <c r="L12" i="2" s="1"/>
  <c r="I97" i="48"/>
  <c r="I12" i="2" s="1"/>
  <c r="M97" i="48"/>
  <c r="M12" i="2" s="1"/>
  <c r="G93" i="48"/>
  <c r="G11" i="2" s="1"/>
  <c r="L41" i="49"/>
  <c r="N41" i="49"/>
  <c r="G14" i="2"/>
  <c r="M41" i="49"/>
  <c r="M14" i="2" s="1"/>
  <c r="H41" i="49"/>
  <c r="H14" i="2" s="1"/>
  <c r="K41" i="49"/>
  <c r="K14" i="2" s="1"/>
  <c r="J41" i="49"/>
  <c r="J14" i="2" s="1"/>
  <c r="J26" i="2" s="1"/>
  <c r="O108" i="42"/>
  <c r="O113" i="42"/>
  <c r="I105" i="42"/>
  <c r="I20" i="2" s="1"/>
  <c r="N105" i="42"/>
  <c r="N20" i="2" s="1"/>
  <c r="G105" i="42"/>
  <c r="G20" i="2" s="1"/>
  <c r="K105" i="42"/>
  <c r="K20" i="2" s="1"/>
  <c r="M105" i="42"/>
  <c r="M20" i="2" s="1"/>
  <c r="L105" i="42"/>
  <c r="L20" i="2" s="1"/>
  <c r="J105" i="42"/>
  <c r="J20" i="2" s="1"/>
  <c r="H105" i="42"/>
  <c r="H20" i="2" s="1"/>
  <c r="L14" i="2" l="1"/>
  <c r="L46" i="49"/>
  <c r="N46" i="49"/>
  <c r="N15" i="2" s="1"/>
  <c r="N48" i="2" s="1"/>
  <c r="N26" i="20" s="1"/>
  <c r="N14" i="2"/>
  <c r="L15" i="2"/>
  <c r="L48" i="2" s="1"/>
  <c r="L26" i="20" s="1"/>
  <c r="J46" i="49"/>
  <c r="J15" i="2" s="1"/>
  <c r="H46" i="49"/>
  <c r="H15" i="2" s="1"/>
  <c r="H48" i="2" s="1"/>
  <c r="H26" i="20" s="1"/>
  <c r="K46" i="49"/>
  <c r="K15" i="2" s="1"/>
  <c r="K48" i="2" s="1"/>
  <c r="K26" i="20" s="1"/>
  <c r="M46" i="49"/>
  <c r="M15" i="2" s="1"/>
  <c r="M26" i="20" s="1"/>
  <c r="O105" i="42"/>
  <c r="G110" i="42"/>
  <c r="G21" i="2" s="1"/>
  <c r="M110" i="42"/>
  <c r="M21" i="2" s="1"/>
  <c r="K110" i="42"/>
  <c r="K21" i="2" s="1"/>
  <c r="I110" i="42"/>
  <c r="I21" i="2" s="1"/>
  <c r="N110" i="42"/>
  <c r="N21" i="2" s="1"/>
  <c r="L110" i="42"/>
  <c r="L21" i="2" s="1"/>
  <c r="J110" i="42"/>
  <c r="J21" i="2" s="1"/>
  <c r="H110" i="42"/>
  <c r="H21" i="2" s="1"/>
  <c r="M115" i="42"/>
  <c r="M22" i="2" s="1"/>
  <c r="K115" i="42"/>
  <c r="K22" i="2" s="1"/>
  <c r="N115" i="42"/>
  <c r="N22" i="2" s="1"/>
  <c r="I115" i="42"/>
  <c r="I22" i="2" s="1"/>
  <c r="G115" i="42"/>
  <c r="G22" i="2" s="1"/>
  <c r="J115" i="42"/>
  <c r="J22" i="2" s="1"/>
  <c r="L115" i="42"/>
  <c r="L22" i="2" s="1"/>
  <c r="H115" i="42"/>
  <c r="H22" i="2" s="1"/>
  <c r="J48" i="2" l="1"/>
  <c r="J26" i="20" s="1"/>
  <c r="O115" i="42"/>
  <c r="O110" i="42"/>
  <c r="G56" i="41" l="1"/>
  <c r="G50" i="41"/>
  <c r="I50" i="41"/>
  <c r="H50" i="41"/>
  <c r="G70" i="41" l="1"/>
  <c r="N50" i="41"/>
  <c r="N56" i="41" s="1"/>
  <c r="M50" i="41"/>
  <c r="M56" i="41" s="1"/>
  <c r="L50" i="41"/>
  <c r="L56" i="41" s="1"/>
  <c r="K50" i="41"/>
  <c r="K56" i="41" s="1"/>
  <c r="J50" i="41"/>
  <c r="J56" i="41" s="1"/>
  <c r="I56" i="41"/>
  <c r="H56" i="41"/>
  <c r="N70" i="41"/>
  <c r="M70" i="41"/>
  <c r="L70" i="41"/>
  <c r="K70" i="41"/>
  <c r="J70" i="41"/>
  <c r="I70" i="41"/>
  <c r="H70" i="41"/>
  <c r="G41" i="41" l="1"/>
  <c r="G42" i="41" s="1"/>
  <c r="G90" i="41" s="1"/>
  <c r="I57" i="41"/>
  <c r="I60" i="41" s="1"/>
  <c r="I74" i="41" s="1"/>
  <c r="I78" i="41" s="1"/>
  <c r="I79" i="41" s="1"/>
  <c r="I82" i="41" s="1"/>
  <c r="I83" i="41" s="1"/>
  <c r="I93" i="41" s="1"/>
  <c r="K57" i="41"/>
  <c r="H57" i="41"/>
  <c r="H60" i="41" s="1"/>
  <c r="H74" i="41" s="1"/>
  <c r="H78" i="41" s="1"/>
  <c r="H79" i="41" s="1"/>
  <c r="H82" i="41" s="1"/>
  <c r="H83" i="41" s="1"/>
  <c r="H93" i="41" s="1"/>
  <c r="J57" i="41"/>
  <c r="L57" i="41"/>
  <c r="L60" i="41" s="1"/>
  <c r="L74" i="41" s="1"/>
  <c r="L78" i="41" s="1"/>
  <c r="L79" i="41" s="1"/>
  <c r="L82" i="41" s="1"/>
  <c r="N57" i="41"/>
  <c r="N60" i="41" s="1"/>
  <c r="N74" i="41" s="1"/>
  <c r="N78" i="41" s="1"/>
  <c r="G57" i="41"/>
  <c r="G60" i="41" s="1"/>
  <c r="G74" i="41" s="1"/>
  <c r="G78" i="41" s="1"/>
  <c r="G79" i="41" s="1"/>
  <c r="G82" i="41" s="1"/>
  <c r="G83" i="41" s="1"/>
  <c r="G93" i="41" s="1"/>
  <c r="M57" i="41"/>
  <c r="K60" i="41"/>
  <c r="K74" i="41" s="1"/>
  <c r="K78" i="41" s="1"/>
  <c r="K79" i="41" s="1"/>
  <c r="K82" i="41" s="1"/>
  <c r="K83" i="41" s="1"/>
  <c r="K93" i="41" s="1"/>
  <c r="M60" i="41"/>
  <c r="M74" i="41" s="1"/>
  <c r="M82" i="41" s="1"/>
  <c r="M83" i="41" s="1"/>
  <c r="M93" i="41" s="1"/>
  <c r="N82" i="41"/>
  <c r="N83" i="41" s="1"/>
  <c r="N93" i="41" s="1"/>
  <c r="J60" i="41"/>
  <c r="J74" i="41" s="1"/>
  <c r="J78" i="41" s="1"/>
  <c r="J79" i="41" s="1"/>
  <c r="J82" i="41" s="1"/>
  <c r="J83" i="41" s="1"/>
  <c r="J93" i="41" s="1"/>
  <c r="H41" i="41"/>
  <c r="H42" i="41" s="1"/>
  <c r="H90" i="41" s="1"/>
  <c r="J41" i="41"/>
  <c r="J42" i="41" s="1"/>
  <c r="J90" i="41" s="1"/>
  <c r="L42" i="41"/>
  <c r="N41" i="41"/>
  <c r="N42" i="41" s="1"/>
  <c r="N90" i="41" s="1"/>
  <c r="I41" i="41"/>
  <c r="I42" i="41" s="1"/>
  <c r="I90" i="41" s="1"/>
  <c r="K41" i="41"/>
  <c r="K42" i="41" s="1"/>
  <c r="K90" i="41" s="1"/>
  <c r="M41" i="41"/>
  <c r="M42" i="41" s="1"/>
  <c r="M90" i="41" s="1"/>
  <c r="G96" i="41" l="1"/>
  <c r="G19" i="2" s="1"/>
  <c r="J96" i="41"/>
  <c r="J19" i="2" s="1"/>
  <c r="N96" i="41"/>
  <c r="N19" i="2" s="1"/>
  <c r="K96" i="41"/>
  <c r="K19" i="2" s="1"/>
  <c r="L96" i="41"/>
  <c r="L19" i="2" s="1"/>
  <c r="H96" i="41"/>
  <c r="H19" i="2" s="1"/>
  <c r="M96" i="41"/>
  <c r="M19" i="2" s="1"/>
  <c r="I96" i="41"/>
  <c r="I19" i="2" s="1"/>
  <c r="G43" i="35"/>
  <c r="G18" i="2" s="1"/>
  <c r="G51" i="2" s="1"/>
  <c r="G29" i="20" s="1"/>
  <c r="H25" i="5"/>
  <c r="I26" i="5"/>
  <c r="I27" i="5" s="1"/>
  <c r="D21" i="5"/>
  <c r="D22" i="5" s="1"/>
  <c r="D23" i="5" s="1"/>
  <c r="D24" i="5" s="1"/>
  <c r="D25" i="5" s="1"/>
  <c r="D27" i="5" s="1"/>
  <c r="E22" i="5"/>
  <c r="E23" i="5" s="1"/>
  <c r="E24" i="5" s="1"/>
  <c r="E25" i="5" s="1"/>
  <c r="E26" i="5" s="1"/>
  <c r="E27" i="5" s="1"/>
  <c r="F23" i="5"/>
  <c r="F24" i="5" s="1"/>
  <c r="F25" i="5"/>
  <c r="F26" i="5" s="1"/>
  <c r="F27" i="5" s="1"/>
  <c r="G24" i="5"/>
  <c r="G25" i="5"/>
  <c r="H26" i="5"/>
  <c r="H27" i="5" s="1"/>
  <c r="D14" i="4" l="1"/>
  <c r="F34" i="2" s="1"/>
  <c r="F35" i="2"/>
  <c r="J52" i="2"/>
  <c r="J30" i="20" s="1"/>
  <c r="I43" i="35"/>
  <c r="I18" i="2" s="1"/>
  <c r="I51" i="2" s="1"/>
  <c r="I29" i="20" s="1"/>
  <c r="G26" i="5"/>
  <c r="J59" i="2" l="1"/>
  <c r="J37" i="20" s="1"/>
  <c r="M49" i="2"/>
  <c r="M47" i="2"/>
  <c r="M25" i="20" s="1"/>
  <c r="N58" i="2"/>
  <c r="M56" i="2"/>
  <c r="M34" i="20" s="1"/>
  <c r="M52" i="2"/>
  <c r="M30" i="20" s="1"/>
  <c r="M40" i="2"/>
  <c r="G40" i="2"/>
  <c r="G18" i="20" s="1"/>
  <c r="G52" i="2"/>
  <c r="G30" i="20" s="1"/>
  <c r="N57" i="2"/>
  <c r="M46" i="2"/>
  <c r="M24" i="20" s="1"/>
  <c r="H52" i="2"/>
  <c r="H30" i="20" s="1"/>
  <c r="L52" i="2"/>
  <c r="L30" i="20" s="1"/>
  <c r="K52" i="2"/>
  <c r="K30" i="20" s="1"/>
  <c r="I52" i="2"/>
  <c r="I30" i="20" s="1"/>
  <c r="N52" i="2"/>
  <c r="N30" i="20" s="1"/>
  <c r="I56" i="2"/>
  <c r="I34" i="20" s="1"/>
  <c r="K56" i="2"/>
  <c r="K34" i="20" s="1"/>
  <c r="G56" i="2"/>
  <c r="G34" i="20" s="1"/>
  <c r="H56" i="2"/>
  <c r="H34" i="20" s="1"/>
  <c r="J56" i="2"/>
  <c r="J34" i="20" s="1"/>
  <c r="L56" i="2"/>
  <c r="L34" i="20" s="1"/>
  <c r="N56" i="2"/>
  <c r="N34" i="20" s="1"/>
  <c r="N36" i="20"/>
  <c r="G49" i="2"/>
  <c r="G27" i="20" s="1"/>
  <c r="K49" i="2"/>
  <c r="K27" i="20" s="1"/>
  <c r="N49" i="2"/>
  <c r="N27" i="20" s="1"/>
  <c r="J49" i="2"/>
  <c r="J27" i="20" s="1"/>
  <c r="M27" i="20"/>
  <c r="I49" i="2"/>
  <c r="I27" i="20" s="1"/>
  <c r="L49" i="2"/>
  <c r="L27" i="20" s="1"/>
  <c r="H49" i="2"/>
  <c r="H27" i="20" s="1"/>
  <c r="N40" i="2"/>
  <c r="N18" i="20" s="1"/>
  <c r="L40" i="2"/>
  <c r="L18" i="20" s="1"/>
  <c r="K40" i="2"/>
  <c r="K18" i="20" s="1"/>
  <c r="M18" i="20"/>
  <c r="J40" i="2"/>
  <c r="J18" i="20" s="1"/>
  <c r="I40" i="2"/>
  <c r="I18" i="20" s="1"/>
  <c r="H40" i="2"/>
  <c r="H18" i="20" s="1"/>
  <c r="I47" i="2"/>
  <c r="I25" i="20" s="1"/>
  <c r="K47" i="2"/>
  <c r="K25" i="20" s="1"/>
  <c r="G47" i="2"/>
  <c r="G25" i="20" s="1"/>
  <c r="H47" i="2"/>
  <c r="H25" i="20" s="1"/>
  <c r="L47" i="2"/>
  <c r="L25" i="20" s="1"/>
  <c r="J47" i="2"/>
  <c r="J25" i="20" s="1"/>
  <c r="N47" i="2"/>
  <c r="N25" i="20" s="1"/>
  <c r="N35" i="20"/>
  <c r="H46" i="2"/>
  <c r="H24" i="20" s="1"/>
  <c r="G46" i="2"/>
  <c r="G24" i="20" s="1"/>
  <c r="J46" i="2"/>
  <c r="J24" i="20" s="1"/>
  <c r="N46" i="2"/>
  <c r="N24" i="20" s="1"/>
  <c r="K46" i="2"/>
  <c r="K24" i="20" s="1"/>
  <c r="I46" i="2"/>
  <c r="I24" i="20" s="1"/>
  <c r="L46" i="2"/>
  <c r="L24" i="20" s="1"/>
  <c r="D13" i="4"/>
  <c r="K43" i="35"/>
  <c r="K18" i="2" s="1"/>
  <c r="K51" i="2" s="1"/>
  <c r="K29" i="20" s="1"/>
  <c r="G27" i="5"/>
  <c r="D12" i="4" l="1"/>
  <c r="F32" i="2" s="1"/>
  <c r="F33" i="2"/>
  <c r="J43" i="35"/>
  <c r="J18" i="2" s="1"/>
  <c r="J51" i="2" l="1"/>
  <c r="J29" i="20" s="1"/>
  <c r="J27" i="2"/>
  <c r="J60" i="2" s="1"/>
  <c r="J38" i="20" s="1"/>
  <c r="M55" i="2"/>
  <c r="M45" i="2"/>
  <c r="M23" i="20" s="1"/>
  <c r="M54" i="2"/>
  <c r="M44" i="2"/>
  <c r="I54" i="2"/>
  <c r="I32" i="20" s="1"/>
  <c r="K54" i="2"/>
  <c r="K32" i="20" s="1"/>
  <c r="M32" i="20"/>
  <c r="G54" i="2"/>
  <c r="G32" i="20" s="1"/>
  <c r="H54" i="2"/>
  <c r="H32" i="20" s="1"/>
  <c r="J54" i="2"/>
  <c r="J32" i="20" s="1"/>
  <c r="L54" i="2"/>
  <c r="L32" i="20" s="1"/>
  <c r="N54" i="2"/>
  <c r="N32" i="20" s="1"/>
  <c r="K44" i="2"/>
  <c r="K22" i="20" s="1"/>
  <c r="N44" i="2"/>
  <c r="N22" i="20" s="1"/>
  <c r="J44" i="2"/>
  <c r="J22" i="20" s="1"/>
  <c r="H44" i="2"/>
  <c r="H22" i="20" s="1"/>
  <c r="L44" i="2"/>
  <c r="L22" i="20" s="1"/>
  <c r="G44" i="2"/>
  <c r="G22" i="20" s="1"/>
  <c r="I44" i="2"/>
  <c r="I22" i="20" s="1"/>
  <c r="M22" i="20"/>
  <c r="H55" i="2"/>
  <c r="H33" i="20" s="1"/>
  <c r="J55" i="2"/>
  <c r="J33" i="20" s="1"/>
  <c r="L55" i="2"/>
  <c r="L33" i="20" s="1"/>
  <c r="N55" i="2"/>
  <c r="N33" i="20" s="1"/>
  <c r="I55" i="2"/>
  <c r="I33" i="20" s="1"/>
  <c r="K55" i="2"/>
  <c r="K33" i="20" s="1"/>
  <c r="M33" i="20"/>
  <c r="G55" i="2"/>
  <c r="G33" i="20" s="1"/>
  <c r="J45" i="2"/>
  <c r="J23" i="20" s="1"/>
  <c r="K45" i="2"/>
  <c r="K23" i="20" s="1"/>
  <c r="N45" i="2"/>
  <c r="N23" i="20" s="1"/>
  <c r="H45" i="2"/>
  <c r="H23" i="20" s="1"/>
  <c r="L45" i="2"/>
  <c r="L23" i="20" s="1"/>
  <c r="I45" i="2"/>
  <c r="I23" i="20" s="1"/>
  <c r="G45" i="2"/>
  <c r="G23" i="20" s="1"/>
  <c r="L43" i="35"/>
  <c r="L18" i="2" s="1"/>
  <c r="L51" i="2" s="1"/>
  <c r="L29" i="20" s="1"/>
  <c r="N43" i="35"/>
  <c r="N18" i="2" s="1"/>
  <c r="N51" i="2" s="1"/>
  <c r="N29" i="20" s="1"/>
  <c r="D11" i="4"/>
  <c r="D10" i="4" s="1"/>
  <c r="M43" i="35"/>
  <c r="M18" i="2" s="1"/>
  <c r="M51" i="2" s="1"/>
  <c r="M29" i="20" s="1"/>
  <c r="H43" i="35"/>
  <c r="H18" i="2" s="1"/>
  <c r="H51" i="2" s="1"/>
  <c r="H29" i="20" s="1"/>
  <c r="F31" i="2" l="1"/>
  <c r="M53" i="2" l="1"/>
  <c r="M43" i="2"/>
  <c r="M21" i="20" s="1"/>
  <c r="H53" i="2"/>
  <c r="H31" i="20" s="1"/>
  <c r="J53" i="2"/>
  <c r="J31" i="20" s="1"/>
  <c r="L53" i="2"/>
  <c r="L31" i="20" s="1"/>
  <c r="N53" i="2"/>
  <c r="N31" i="20" s="1"/>
  <c r="I53" i="2"/>
  <c r="I31" i="20" s="1"/>
  <c r="K53" i="2"/>
  <c r="K31" i="20" s="1"/>
  <c r="M31" i="20"/>
  <c r="G53" i="2"/>
  <c r="G31" i="20" s="1"/>
  <c r="G43" i="2"/>
  <c r="G21" i="20" s="1"/>
  <c r="G40" i="20" s="1"/>
  <c r="G44" i="20" s="1"/>
  <c r="H43" i="2"/>
  <c r="H21" i="20" s="1"/>
  <c r="L43" i="2"/>
  <c r="L21" i="20" s="1"/>
  <c r="I43" i="2"/>
  <c r="I21" i="20" s="1"/>
  <c r="K43" i="2"/>
  <c r="K21" i="20" s="1"/>
  <c r="K40" i="20" s="1"/>
  <c r="K44" i="20" s="1"/>
  <c r="N43" i="2"/>
  <c r="N21" i="20" s="1"/>
  <c r="J43" i="2"/>
  <c r="J21" i="20" s="1"/>
  <c r="I40" i="20" l="1"/>
  <c r="I44" i="20" s="1"/>
  <c r="J40" i="20"/>
  <c r="J44" i="20" s="1"/>
  <c r="N40" i="20"/>
  <c r="N44" i="20" s="1"/>
  <c r="H40" i="20"/>
  <c r="H44" i="20" s="1"/>
  <c r="M40" i="20"/>
  <c r="M44" i="20" s="1"/>
  <c r="L40" i="20"/>
  <c r="L44" i="20" s="1"/>
</calcChain>
</file>

<file path=xl/comments1.xml><?xml version="1.0" encoding="utf-8"?>
<comments xmlns="http://schemas.openxmlformats.org/spreadsheetml/2006/main">
  <authors>
    <author>Klok, Hilbert</author>
  </authors>
  <commentList>
    <comment ref="J51" authorId="0">
      <text>
        <r>
          <rPr>
            <sz val="8"/>
            <color indexed="81"/>
            <rFont val="Tahoma"/>
            <family val="2"/>
          </rPr>
          <t xml:space="preserve">125.592 (Essent) + 1007 (inframosana)
</t>
        </r>
      </text>
    </comment>
    <comment ref="M51" authorId="0">
      <text>
        <r>
          <rPr>
            <sz val="8"/>
            <color indexed="81"/>
            <rFont val="Tahoma"/>
            <family val="2"/>
          </rPr>
          <t>62790,2298 (Eneco netb)+1414,3 (ONS)</t>
        </r>
      </text>
    </comment>
  </commentList>
</comments>
</file>

<file path=xl/comments2.xml><?xml version="1.0" encoding="utf-8"?>
<comments xmlns="http://schemas.openxmlformats.org/spreadsheetml/2006/main">
  <authors>
    <author>padriaansen</author>
  </authors>
  <commentList>
    <comment ref="N79" authorId="0">
      <text>
        <r>
          <rPr>
            <sz val="8"/>
            <color indexed="81"/>
            <rFont val="Tahoma"/>
            <family val="2"/>
          </rPr>
          <t>Alternatieve berekening.</t>
        </r>
      </text>
    </comment>
  </commentList>
</comments>
</file>

<file path=xl/comments3.xml><?xml version="1.0" encoding="utf-8"?>
<comments xmlns="http://schemas.openxmlformats.org/spreadsheetml/2006/main">
  <authors>
    <author>padriaansen</author>
  </authors>
  <commentList>
    <comment ref="D64" authorId="0">
      <text>
        <r>
          <rPr>
            <sz val="8"/>
            <color indexed="81"/>
            <rFont val="Tahoma"/>
            <family val="2"/>
          </rPr>
          <t xml:space="preserve">Schatting op basis van meest recente cijfer (Bron: MinFin)
</t>
        </r>
      </text>
    </comment>
  </commentList>
</comments>
</file>

<file path=xl/sharedStrings.xml><?xml version="1.0" encoding="utf-8"?>
<sst xmlns="http://schemas.openxmlformats.org/spreadsheetml/2006/main" count="1083" uniqueCount="491">
  <si>
    <t>Opmerking</t>
  </si>
  <si>
    <t>Totaal</t>
  </si>
  <si>
    <t>COGAS</t>
  </si>
  <si>
    <t>DNWB</t>
  </si>
  <si>
    <t>ENDINET</t>
  </si>
  <si>
    <t>ENEXIS</t>
  </si>
  <si>
    <t>LIANDER</t>
  </si>
  <si>
    <t>RENDO</t>
  </si>
  <si>
    <t>STEDIN</t>
  </si>
  <si>
    <t>WESTLAND</t>
  </si>
  <si>
    <t>€, pp 2008</t>
  </si>
  <si>
    <t>€, pp 2009</t>
  </si>
  <si>
    <t>€, pp 2010</t>
  </si>
  <si>
    <t>Eindinkomsten 2013</t>
  </si>
  <si>
    <t>€, pp 2011</t>
  </si>
  <si>
    <t>€, pp 2012</t>
  </si>
  <si>
    <t>Heffingsrente</t>
  </si>
  <si>
    <t>Heffingsrente naar jaar van berekening TI</t>
  </si>
  <si>
    <t>naar jaar:</t>
  </si>
  <si>
    <t>van 2007</t>
  </si>
  <si>
    <t>van 2008</t>
  </si>
  <si>
    <t>van 2009</t>
  </si>
  <si>
    <t>van 2010</t>
  </si>
  <si>
    <t>van 2011</t>
  </si>
  <si>
    <t>van 2007 naar 2008</t>
  </si>
  <si>
    <t>van 2008 naar 2009</t>
  </si>
  <si>
    <t>van 2009 naar 2010</t>
  </si>
  <si>
    <t>van 2010 naar 2011</t>
  </si>
  <si>
    <t>van 2011 naar 2012</t>
  </si>
  <si>
    <t>CPI</t>
  </si>
  <si>
    <t>Data</t>
  </si>
  <si>
    <t>Van jaar - naar jaar</t>
  </si>
  <si>
    <t>Van:</t>
  </si>
  <si>
    <t>Naar:</t>
  </si>
  <si>
    <t>Als gevolg van de invoering van capaciteitstarief konden afnemers tegen gereduceerd tarief hun aansluiting laten verkleinen.</t>
  </si>
  <si>
    <t>&gt; 3*25A t/m 3*35A</t>
  </si>
  <si>
    <t>&gt; 3*35A t/m 3*50A</t>
  </si>
  <si>
    <t>&gt; 3*50A t/m 3*63A</t>
  </si>
  <si>
    <t>&gt; 3*63A t/m 3*80A</t>
  </si>
  <si>
    <t>t/m 1*6A op het geschakeld net</t>
  </si>
  <si>
    <t>t/m 3*25A + alle 1-fase aansluitingen1</t>
  </si>
  <si>
    <t>Nacalculaties en correcties</t>
  </si>
  <si>
    <t>Toelichting</t>
  </si>
  <si>
    <t>Saldo volumeverschuivingen</t>
  </si>
  <si>
    <t>Saldo per categorie</t>
  </si>
  <si>
    <t>Legenda celkleuren</t>
  </si>
  <si>
    <t>Data en input</t>
  </si>
  <si>
    <t>Berekende waarde</t>
  </si>
  <si>
    <t>Waarde die zonder berekening wordt overgenomen uit een andere cel</t>
  </si>
  <si>
    <t>Berekende of overgenomen waarde en tevens resultaat</t>
  </si>
  <si>
    <t>Toelichting bij TI-berekening</t>
  </si>
  <si>
    <t>Begininkomsten 2010</t>
  </si>
  <si>
    <t>Data heffingsrente per kwartaal</t>
  </si>
  <si>
    <t>Gederfde inkomsten</t>
  </si>
  <si>
    <t>€, pp 2013</t>
  </si>
  <si>
    <t>van 2012</t>
  </si>
  <si>
    <t>van 2012 naar 2013</t>
  </si>
  <si>
    <t>Verschil in TI bedrag na virtuele aanpassing van de x-factor NE5R.</t>
  </si>
  <si>
    <t>(op basis van de geschatte kosten voor de ORV Lokale Heffingen)</t>
  </si>
  <si>
    <t>(op basis van de daadwerkelijke kosten voor de ORV Lokale Heffingen)</t>
  </si>
  <si>
    <t>De netbeheerders krijgen hierdoor minder tariefinkomsten dan voorgerekend was in de Rekenvolumes van 2009 (voor de periode 2011-2013)</t>
  </si>
  <si>
    <t>Wat vergoed wordt is een schatting van de gederfde inkomsten op basis van de verschoven volumes en de toenmalige tarieven.</t>
  </si>
  <si>
    <t>Bron: dataverzoek coulance juli 2011, Tabel B / verwijzing naar VVCOU2011</t>
  </si>
  <si>
    <t>TOTAAL</t>
  </si>
  <si>
    <t>Bron / opmerking</t>
  </si>
  <si>
    <t>%</t>
  </si>
  <si>
    <t>CPI 2009</t>
  </si>
  <si>
    <t>CPI 2010</t>
  </si>
  <si>
    <t># SO</t>
  </si>
  <si>
    <t>SO Transportdienst 2010</t>
  </si>
  <si>
    <t>Heffingsrente per jaar</t>
  </si>
  <si>
    <t>Deze besluiten zijn te vinden op de websites van de rijksoverheid en de belastingdienst</t>
  </si>
  <si>
    <r>
      <t xml:space="preserve">De </t>
    </r>
    <r>
      <rPr>
        <sz val="10"/>
        <color indexed="10"/>
        <rFont val="Arial"/>
        <family val="2"/>
      </rPr>
      <t>rode</t>
    </r>
    <r>
      <rPr>
        <sz val="10"/>
        <rFont val="Arial"/>
        <family val="2"/>
      </rPr>
      <t xml:space="preserve"> getallen betreffen een schatting.</t>
    </r>
  </si>
  <si>
    <t>De gegevens over volumeverschuivingen zijn afkomstig uit een afzonderlijk dataverzoek in juli 2011 (Tabel B).</t>
  </si>
  <si>
    <t>#</t>
  </si>
  <si>
    <t>CPI 2011</t>
  </si>
  <si>
    <t>WACC NE5R (2011-2013)</t>
  </si>
  <si>
    <t>Bron: Methodebesluit NE5R</t>
  </si>
  <si>
    <t>x-factor</t>
  </si>
  <si>
    <t>Begininkomsten 2010 Totaal</t>
  </si>
  <si>
    <t>x-factor vijfde reguleringsperiode</t>
  </si>
  <si>
    <t>x-factor onafgerond</t>
  </si>
  <si>
    <t>TI-bedrag 2011 op basis van oorspronkelijke x-factorberekening</t>
  </si>
  <si>
    <t>Aanpassing gegevens voor nacalculatie lokale heffingen</t>
  </si>
  <si>
    <t>CAPEX</t>
  </si>
  <si>
    <t>Vermogenskostenvergoeding (WACC * GAW)</t>
  </si>
  <si>
    <t>OPEX</t>
  </si>
  <si>
    <t>TI-bedrag 2011 op basis van nieuwe 'virtuele' x-factorberekening</t>
  </si>
  <si>
    <t>Omdat dit een bijzonder volume-effect is voortvloeiend uit het gewijzigde wettelijke kader worden de netbeheerders hiervoor gecompenseerd.</t>
  </si>
  <si>
    <t>t/m 3*25A + alle 1-fase aansluitingen</t>
  </si>
  <si>
    <t>Toepassing op periode van 1 april 2013 t/m 31 december 2013</t>
  </si>
  <si>
    <t>Nacalculaties en bijzonderheden (totaal)</t>
  </si>
  <si>
    <t>Bijzonderheid: nacalc.saldo verrekenen i.v.m. lagere tarieven Enexis over 2012</t>
  </si>
  <si>
    <t>Bron: Herstelde x-factorberekening NE5R (27 augustus 2012)</t>
  </si>
  <si>
    <t>Begininkomsten 2010 (onveranderd)</t>
  </si>
  <si>
    <t xml:space="preserve">   waarvan inschatting ORV 2013:</t>
  </si>
  <si>
    <t>Inschatting ORV 2013 na aanpassing gegevens</t>
  </si>
  <si>
    <t>ORV 2013 (op te nemen in eindinkomsten)</t>
  </si>
  <si>
    <t>Deze volumeverschuivingen waren in de rekenvolumes van 2009 nog niet volledig verwerkt.</t>
  </si>
  <si>
    <t>Dit Excel-bestand bevat de berekening van de TI-bedragen voor het jaar 2014 voor de regionale netbeheerders Elektriciteit.</t>
  </si>
  <si>
    <t>TI-berekening 2014</t>
  </si>
  <si>
    <t>cpi 2014</t>
  </si>
  <si>
    <t>TI 2014 (zonder correcties)</t>
  </si>
  <si>
    <t>€, pp 2014</t>
  </si>
  <si>
    <t>X-factor 2014-2016</t>
  </si>
  <si>
    <t>Q-factor 2014-2016</t>
  </si>
  <si>
    <t>Correcties in tarieven 2014</t>
  </si>
  <si>
    <t>Totale Inkomsten 2014 (incl. correcties)</t>
  </si>
  <si>
    <t>Totale Inkomsten 2014 inclusief correcties</t>
  </si>
  <si>
    <t>Totaalbedrag Correcties in TI 2014</t>
  </si>
  <si>
    <t>Nacalculatie vervanging schatting door data Lokale Heffingen 2012</t>
  </si>
  <si>
    <t>Nacalc. Gederfde inkomsten volumeverschuivingen coulance 2013</t>
  </si>
  <si>
    <t>Nacalc. Inkoopkosten Transport TenneT 2008</t>
  </si>
  <si>
    <t>Nacalc. Inkoopkosten Transport TenneT 2009</t>
  </si>
  <si>
    <t>Nacalc. Inkoopkosten Transport TenneT 2010</t>
  </si>
  <si>
    <t>Nacalc. Verrekening extra inkomsten niet gecontracteerd verbruik 2010</t>
  </si>
  <si>
    <t>Nacalc. Verrekening extra inkomsten niet gecontracteerd verbruik 2008</t>
  </si>
  <si>
    <t>Nacalc. Verrekening extra inkomsten niet gecontracteerd verbruik 2009</t>
  </si>
  <si>
    <t>€, pp 2006</t>
  </si>
  <si>
    <t>€, pp 2007</t>
  </si>
  <si>
    <t>van 2012 naar 2014</t>
  </si>
  <si>
    <t>van 2013 naar 2014</t>
  </si>
  <si>
    <t>van 2011 naar 2014</t>
  </si>
  <si>
    <t>van 2010 naar 2014</t>
  </si>
  <si>
    <t>van 2009 naar 2014</t>
  </si>
  <si>
    <t>van 2008 naar 2014</t>
  </si>
  <si>
    <t>Nacalc. TI 2011 a.g.v. wijziging x-factoren NE5R - Westland (tweede helft)</t>
  </si>
  <si>
    <t>Nacalc. TI 2012 a.g.v. wijziging x-factoren NE5R - Westland (tweede helft)</t>
  </si>
  <si>
    <t>CPI 2012</t>
  </si>
  <si>
    <t>CPI 2013</t>
  </si>
  <si>
    <t>TI-bedrag 2012 op basis van oorspronkelijke x-factorberekening</t>
  </si>
  <si>
    <t>Eindstand GAW (ultimo 2012)</t>
  </si>
  <si>
    <t>Afschrijvingen in 2012</t>
  </si>
  <si>
    <t>Gedoogbelasting 2012</t>
  </si>
  <si>
    <t>Precario 2012</t>
  </si>
  <si>
    <t>Totale kosten Lokale heffingen in 2012</t>
  </si>
  <si>
    <t>Totale kosten Lokale heffingen in 2012 in pp 2010</t>
  </si>
  <si>
    <t>Bron: PRD 2012</t>
  </si>
  <si>
    <t>Bron: Kapitaalkostenberekening (en PRD 2012)</t>
  </si>
  <si>
    <t>TI-bedrag 2012 op basis van nieuwe 'virtuele' x-factorberekening</t>
  </si>
  <si>
    <t>Oorspronkelijke TI-bedrag 2012</t>
  </si>
  <si>
    <t>Nieuwe TI-bedrag 2012 na virtuele aanpassing van de x-factor</t>
  </si>
  <si>
    <t>Nacalculatie LH2012</t>
  </si>
  <si>
    <t>Berekening LH2012</t>
  </si>
  <si>
    <t>Berekening schatting ITT in x-factorbesluit NE4R</t>
  </si>
  <si>
    <t>Stap 1a: data inkoopkosten 2006</t>
  </si>
  <si>
    <t>Totale inkoopkosten transport</t>
  </si>
  <si>
    <t>Codata uitvraag coulancevolumes/inkoopkosten transport (juli 2010)</t>
  </si>
  <si>
    <t>Waarvan inkoop bij niet-TenneT</t>
  </si>
  <si>
    <t>Inkoopkosten Transport bij TenneT 2006</t>
  </si>
  <si>
    <t>Aandeel direct aangeslotenen op HS-net</t>
  </si>
  <si>
    <t>Tarievenbesluit TenneT 2010</t>
  </si>
  <si>
    <t>Netbeheerders met overdracht: Inkoop voor niet overgedragen HS-netten</t>
  </si>
  <si>
    <t>Codata uitvraag ten behoeve van beheersoverdracht (102484)</t>
  </si>
  <si>
    <t>Inkoop voor overgedragen direct aangeslotenen op HS</t>
  </si>
  <si>
    <t>Inkoopk. Transport bij TenneT 2006 excl overgedragen direct-aangeslotenen</t>
  </si>
  <si>
    <t>Kapitaalkosten overgedragen HS-netten (obv WACC 2008-2010)</t>
  </si>
  <si>
    <t>Bron: Analyse in Kapitaalkostenmodel, zie map "Kapitaalkosten HS" (WACC = 5,5%)</t>
  </si>
  <si>
    <t>Directe operationele kosten overgedragen HS-netten</t>
  </si>
  <si>
    <t>102484 Waardering overdracht HS-netten. Gemiddelde directe HS OPEX 2005 en 2006 (pp 2006)</t>
  </si>
  <si>
    <t>Overgedragen beheerskosten HS (2006), excl. direct aangeslotenen</t>
  </si>
  <si>
    <t>Verwachte Inkoopkosten Transport TenneT 2006 in NE4R</t>
  </si>
  <si>
    <t>Stap 1b: Correctie voor PV en CPI</t>
  </si>
  <si>
    <t>PV 2007</t>
  </si>
  <si>
    <t>Bron: Berekening NE4R (na herstel zomer 2011), prismanr. 103838</t>
  </si>
  <si>
    <t>PV 2008</t>
  </si>
  <si>
    <t>PV 2009</t>
  </si>
  <si>
    <t>PV 2010</t>
  </si>
  <si>
    <t>CPI 2007</t>
  </si>
  <si>
    <t>CPI 2008</t>
  </si>
  <si>
    <t>Stap 1c: Analyse volume effecten</t>
  </si>
  <si>
    <t>SO Transportdienst 2006 (excl. overgedragen HS)</t>
  </si>
  <si>
    <t>SO-berekening voor 2006 o.b.v. wegingsfactoren NE5R en volumes uit PRD 2006 na overdracht HS</t>
  </si>
  <si>
    <t>SO Transportdienst 2007 (excl. overgedragen HS)</t>
  </si>
  <si>
    <t>SO-berekening voor 2007 o.b.v. wegingsfactoren NE5R en volumes uit PRD 2007 na overdracht HS</t>
  </si>
  <si>
    <t>SO Transportdienst 2008</t>
  </si>
  <si>
    <t>SO Transportdienst 2009</t>
  </si>
  <si>
    <t>SO-berekening voor 2010 o.b.v. wegingsfactoren NE5R en volumes uit PRD 2010</t>
  </si>
  <si>
    <t>Volume-effecten (SO) 2006 - 2007</t>
  </si>
  <si>
    <t>Volume-effecten (SO) 2007 - 2008</t>
  </si>
  <si>
    <t>Volume-effecten (SO) 2008 - 2009</t>
  </si>
  <si>
    <t>Volume-effecten (SO) 2009 - 2010</t>
  </si>
  <si>
    <t>Geschatte totale inkoopkosten</t>
  </si>
  <si>
    <t>Totale inkoopkosten 2007</t>
  </si>
  <si>
    <t>Totale inkoopkosten 2008</t>
  </si>
  <si>
    <t>Totale inkoopkosten 2009</t>
  </si>
  <si>
    <t>Totale inkoopkosten 2010</t>
  </si>
  <si>
    <t>Daadwerkelijke Inkoopkosten Transport TenneT</t>
  </si>
  <si>
    <t>Stap 2: Daadwerkelijk gerealiseerde inkoopkosten</t>
  </si>
  <si>
    <t>2008</t>
  </si>
  <si>
    <t>IT bij landelijk netbeheerder</t>
  </si>
  <si>
    <t>PRD 2008 ("ruwe datasets")</t>
  </si>
  <si>
    <t>IT bij landelijke netbeheerder op overgedragen netten</t>
  </si>
  <si>
    <t>Totaal daadwerkelijke IT bij landelijke netbeheerder</t>
  </si>
  <si>
    <t>2009</t>
  </si>
  <si>
    <t>PRD 2009 ("ruwe datasets")</t>
  </si>
  <si>
    <t>Saldering ontvangen inkoopkosten transport van TenneT bij RNB</t>
  </si>
  <si>
    <t>2010</t>
  </si>
  <si>
    <t>PRD 2010, daadwerkelijke facturatie TenneT</t>
  </si>
  <si>
    <t>Nacalculatiebedrag Inkoopkosten Transport TenneT</t>
  </si>
  <si>
    <t>Stap 3: Berekening nacalculatiebedragen</t>
  </si>
  <si>
    <t>Nacalculatiebedrag IT sector 2008</t>
  </si>
  <si>
    <t>SO 2007 (na overdracht)</t>
  </si>
  <si>
    <t>Bron: Analyse berekening SO Transportdienst in model NE4R (na herstel zomer 2011)</t>
  </si>
  <si>
    <t>Aandeel SO 2007 in totaal (na overdracht)</t>
  </si>
  <si>
    <t>Nacalculatiebedrag Inkoopkosten Transport TenneT 2008</t>
  </si>
  <si>
    <t>Nacalculatiebedrag IT sector 2009</t>
  </si>
  <si>
    <t>Nacalculatiebedrag IT 2009</t>
  </si>
  <si>
    <t>Nacalculatiebedrag IT sector 2010</t>
  </si>
  <si>
    <t>Nacalculatiebedrag IT 2010</t>
  </si>
  <si>
    <t>Inkoopkosten Transport bij landelijke netbeheerder op overgedragen netten</t>
  </si>
  <si>
    <t>Alle bedragen in EUR van desbetreffende jaar</t>
  </si>
  <si>
    <t>Netbeheerder</t>
  </si>
  <si>
    <t>Enexis</t>
  </si>
  <si>
    <t>Liander</t>
  </si>
  <si>
    <t>Jaar</t>
  </si>
  <si>
    <t>Periode</t>
  </si>
  <si>
    <t>t/m oktober</t>
  </si>
  <si>
    <t>geheel</t>
  </si>
  <si>
    <t>t/m mei</t>
  </si>
  <si>
    <t>Stap 1</t>
  </si>
  <si>
    <t>Omzet TenneT HS</t>
  </si>
  <si>
    <t>Omzet TenneT HS max 600</t>
  </si>
  <si>
    <t>Omzet TenneT HS totaal</t>
  </si>
  <si>
    <t>bron: opgave TenneT, bij tariefvoorstel 2011</t>
  </si>
  <si>
    <t>Stap 2</t>
  </si>
  <si>
    <t>Omzet op HS-net regionale netbeheerder</t>
  </si>
  <si>
    <t>bron: productiviteitsdata 2008, 2009</t>
  </si>
  <si>
    <t>Inkoop bij TenneT zou zijn geweest (Stap 1 -/- 2)</t>
  </si>
  <si>
    <t>Stap 4</t>
  </si>
  <si>
    <t>Door netbeheerder gerapporteerde inkoop bij TenneT</t>
  </si>
  <si>
    <t>Stap 5</t>
  </si>
  <si>
    <t>IT bij landelijke netbeheerder af overgedragen netten (Stap 3 -/- 4)</t>
  </si>
  <si>
    <t>Enexis 2008</t>
  </si>
  <si>
    <t>Afnemers HS (110-150 kV) - voorheen Enexis regio</t>
  </si>
  <si>
    <t>Volumes eindverbruikers</t>
  </si>
  <si>
    <t>Volumes Enexis</t>
  </si>
  <si>
    <t>Tarief</t>
  </si>
  <si>
    <t>Omzet</t>
  </si>
  <si>
    <t>Vastrecht transportdienst</t>
  </si>
  <si>
    <t>kW gecontracteerd per jaar</t>
  </si>
  <si>
    <t>kW max per maand</t>
  </si>
  <si>
    <t>kVArh blindvermogen</t>
  </si>
  <si>
    <t>Afnemers HS (110-150 kV) max 600 uur per jaar - voorheen Enexis regio</t>
  </si>
  <si>
    <t>kW max per week</t>
  </si>
  <si>
    <t>Liander 2008</t>
  </si>
  <si>
    <t>Afnemers HS (110-150 kV) - voorheen Liander regio</t>
  </si>
  <si>
    <t>Volumes Liander</t>
  </si>
  <si>
    <t>Afnemers HS (110-150 kV) max 600 uur per jaar - voorheen Liander regio</t>
  </si>
  <si>
    <t>Liander 2009</t>
  </si>
  <si>
    <t>Input Inkoopkosten Transport van TenneT af naastgelegen HS-netten</t>
  </si>
  <si>
    <t>Bron: Opgave TenneT van 8 juni 2012.</t>
  </si>
  <si>
    <t>Bedragen in x1000 EUR in prijspeil van desbetreffende jaar.</t>
  </si>
  <si>
    <t>van 2013</t>
  </si>
  <si>
    <t>Berekening nacalculatie voor gederfde inkomsten in 2013 vanwege te hoog rekenvolume door verschuivingen ihkv coulance (VVCOU2013)</t>
  </si>
  <si>
    <t>Tarieven 2013</t>
  </si>
  <si>
    <t>Gederfde inkomsten door coulanceregeling 2013 (nacalculatiebedrag)</t>
  </si>
  <si>
    <t>Als gevolg van de invoering van het verplichte leveranciersmodel heeft ACM de tarieven voor 2013 aangepast (op basis van artikel 41c, lid 2 sub d)</t>
  </si>
  <si>
    <t>ACM deed dit omdat het risico voor dubieuze debiteuren onder kleinverbruikers vanaf de invoering van het leveranciersmodel in 2013 niet meer bij de netbeheerder ligt, maar bij de leverancier.</t>
  </si>
  <si>
    <t>ACM constateert dat bij het vaststellen van de tarieven 2013 de invoering van het leveranciersmodel was voorzien op 1 april 2013, maar dat de feitelijke datum 1 augustus 2013 is geworden.</t>
  </si>
  <si>
    <t>Nu de nacalculatie voor dubieuze debiteuren t.b.v. de tarieven 2013 uitging van 1 april, dient deze nacalculatie gecorrigeerd te worden.</t>
  </si>
  <si>
    <t>Nacalculatie dubieuze debiteuren 2013</t>
  </si>
  <si>
    <t>Tarievenbesluiten 2013</t>
  </si>
  <si>
    <t>Toepassing op periode van 1 augustus 2013 t/m 31 december 2013</t>
  </si>
  <si>
    <t>Nacalculatiebedrag tarieven 2013</t>
  </si>
  <si>
    <t>Nacalculatiebedrag tarieven 2013 had moeten zijn</t>
  </si>
  <si>
    <t>€, prijspeil 2010</t>
  </si>
  <si>
    <t>Het correctiebedrag betreft ten hoogste de gederfde tariefinkomsten gedurende twee maanden voorafgaand aan het moment waarop de leverancier in staat van faillissement is verklaard.</t>
  </si>
  <si>
    <t>Gederfde tariefinkomsten Trianel</t>
  </si>
  <si>
    <t>Correctiebedrag gederfde tariefinkomsten tarieven 2014</t>
  </si>
  <si>
    <t>Het betreft de gerealiseerde besparingen in de jaren 2011, 2012 en 2013.</t>
  </si>
  <si>
    <t>Bron: Datauitvraag besparingen invoering capaciteitstarief</t>
  </si>
  <si>
    <t>ACM corrigeert de tarieven 2014 voor de gerealiseerde besparingen met betrekking tot het capaciteitstarief (CapTar) op grond van artikel 41c, lid 2 sub d van de Elektriciteitswet 1998.</t>
  </si>
  <si>
    <t>€, prijspeil 2011</t>
  </si>
  <si>
    <t>€, prijspeil 2012</t>
  </si>
  <si>
    <t>€, prijspeil 2013</t>
  </si>
  <si>
    <t>Vervolgens berekent ACM de gerealiseerde besparingen op sectorniveau en rekent deze via de SO toe aan de verschillende netbeheerders.</t>
  </si>
  <si>
    <t>SO Transportdienst Kleinverbuik</t>
  </si>
  <si>
    <t>Nacalculatie besparingen marktmodel 2011-2013</t>
  </si>
  <si>
    <t>Berekening SO Kleinverbruik op basis van x-factorberekening NE5R (27 augustus 2012)</t>
  </si>
  <si>
    <t>Verdeling besparingen capaciteitstarief naar rato SO Kleinverbruik</t>
  </si>
  <si>
    <t>Correctiebedrag besparingen capaciteitstarief 2011</t>
  </si>
  <si>
    <t>Correctiebedrag besparingen capaciteitstarief 2013</t>
  </si>
  <si>
    <t>Correctiebedrag besparingen capaciteitstarief 2012</t>
  </si>
  <si>
    <t>Nacalculatie verrekening extra inkomsten niet gecontracteerd verbruik 2008-2010</t>
  </si>
  <si>
    <t>Het jaar 2006 dient als basisjaar voor de periode NE4R. In dit basisjaar is immers rekening gehouden met de ongesaldeerde kosten voor Inkoop Energie en Vermogen.</t>
  </si>
  <si>
    <t>Vervolgens berekent ACM via deze 'virtuele' x-factor wat in de jaren 2008-2010 de inkomsten zouden zijn geweest.</t>
  </si>
  <si>
    <t>Het nacalculatiebedrag is het verschil tussen de in de tarievenbesluiten van 2008-2010 vastgestelde inkomsten  en de op basis van de virtuele x-factor berekende inkomsten voor die jaren.</t>
  </si>
  <si>
    <t>Oorspronkelijke x-factorberekening</t>
  </si>
  <si>
    <t>Eindinkomsten 2010</t>
  </si>
  <si>
    <t>Begininkomsten 2007</t>
  </si>
  <si>
    <t>TI-bedrag 2008 op basis van oorspronkelijke x-factorberekening</t>
  </si>
  <si>
    <t>x-factor (per 29 augustus 2008)</t>
  </si>
  <si>
    <t>TI-bedrag 2009 op basis van oorspronkelijke x-factorberekening</t>
  </si>
  <si>
    <t>TI-bedrag 2010 op basis van oorspronkelijke x-factorberekening</t>
  </si>
  <si>
    <t>Aanpassing gegevens voor Inkoopkosten Energie en vermogen</t>
  </si>
  <si>
    <t>Inkoopkosten Energie en vermogen</t>
  </si>
  <si>
    <t>Inkoopkosten Energie en vermogen 2006 (nieuw)</t>
  </si>
  <si>
    <t>Inkoopkosten Energie en vermogen 2006 (oud)</t>
  </si>
  <si>
    <t>Bron: PRD 2006</t>
  </si>
  <si>
    <t>Totale operationele kosten in 2006 (oud)</t>
  </si>
  <si>
    <t>Totale operationele kosten in 2006 (nieuw)</t>
  </si>
  <si>
    <t>Nieuwe 'virtuele' x-factorberekening</t>
  </si>
  <si>
    <t>Begininkomsten 2007 wet</t>
  </si>
  <si>
    <t>Berekening Nacalculatiebedrag</t>
  </si>
  <si>
    <t>Oorspronkelijke TI-bedrag 2008</t>
  </si>
  <si>
    <t>Nieuwe TI-bedrag 2008 na virtuele aanpassing van de x-factor</t>
  </si>
  <si>
    <t>Oorspronkelijke TI-bedrag 2009</t>
  </si>
  <si>
    <t>Nieuwe TI-bedrag 2009 na virtuele aanpassing van de x-factor</t>
  </si>
  <si>
    <t>Oorspronkelijke TI-bedrag 2010</t>
  </si>
  <si>
    <t>Nieuwe TI-bedrag 2010 na virtuele aanpassing van de x-factor</t>
  </si>
  <si>
    <t>Opbrengsten van afnemers op het net in 2012</t>
  </si>
  <si>
    <t>Investeringen in private net in 2012</t>
  </si>
  <si>
    <t>WACC NE5R</t>
  </si>
  <si>
    <t>Afschrijftermijn private net</t>
  </si>
  <si>
    <t>De investeringen en de overname som in het jaar van overnemen van het private net worden gezien als investering op 1 juli van dat jaar. Dit is overeenkomstig de werkwijze van de RAR.</t>
  </si>
  <si>
    <t>Boekwaarde overgenomen private net per 1 juli 2012</t>
  </si>
  <si>
    <t>Kapitaalkosten private net in 2012</t>
  </si>
  <si>
    <t>Opbrengsten van afnemers op het net in 2013</t>
  </si>
  <si>
    <t>Operationele kosten private net in 2013</t>
  </si>
  <si>
    <t>Kapitaalkosten private net in 2013</t>
  </si>
  <si>
    <t>Operationele kosten private net in 2012</t>
  </si>
  <si>
    <t>Stap 1a: data inkoopkosten 2009</t>
  </si>
  <si>
    <t>Inkoopkosten bij TenneT 2009</t>
  </si>
  <si>
    <t>Inkoopkosten bij boven/naastliggende RNB 2009</t>
  </si>
  <si>
    <t>Totale Inkoopkosten Transport 2009</t>
  </si>
  <si>
    <t>PV 2011</t>
  </si>
  <si>
    <t>PV 2012</t>
  </si>
  <si>
    <t>PV 2013</t>
  </si>
  <si>
    <t>SO Transportdienst 2011</t>
  </si>
  <si>
    <t>SO Transportdienst 2012</t>
  </si>
  <si>
    <t>Volume-effecten (SO) 2010 - 2011</t>
  </si>
  <si>
    <t>Volume-effecten (SO) 2011 - 2012</t>
  </si>
  <si>
    <t>Geschatte totale inkoopkosten 2010</t>
  </si>
  <si>
    <t>Geschatte totale inkoopkosten 2011</t>
  </si>
  <si>
    <t>Geschatte totale inkoopkosten 2012</t>
  </si>
  <si>
    <t>Daadwerkelijke Inkoopkosten Transport</t>
  </si>
  <si>
    <t>Inkoopkosten 2012</t>
  </si>
  <si>
    <t>Inkoopkosten bij TenneT 2012</t>
  </si>
  <si>
    <t>Inkoopkosten bij boven/naastliggende RNB 2012</t>
  </si>
  <si>
    <t>Daadwerkelijke totale inkoopkosten 2012</t>
  </si>
  <si>
    <t>Nacalculatiebedrag Inkoopkosten Transport</t>
  </si>
  <si>
    <t>Nacalculatiebedrag Inkoopkosten Transport 2012</t>
  </si>
  <si>
    <t>Berekening schatting via x-factorbesluit voor 2012</t>
  </si>
  <si>
    <t>X-factorsheet NE5R (27 augustus 2012)</t>
  </si>
  <si>
    <t>EUR, pp 2009</t>
  </si>
  <si>
    <t>EUR, pp 2010</t>
  </si>
  <si>
    <t>EUR, pp 2011</t>
  </si>
  <si>
    <t>PRD 2012</t>
  </si>
  <si>
    <t>Geschatte totale inkoopkosten (sector)</t>
  </si>
  <si>
    <t>Geschatte totale inkoopkosten (per netbeheerder)</t>
  </si>
  <si>
    <t>EUR, pp 2012</t>
  </si>
  <si>
    <t>EUR, pp 2013</t>
  </si>
  <si>
    <t>Conform de toezeggingen hierover in het methodebesluit zal ACM de effecten van verschillen tussen de schattingen van kosten voor lokale heffingen in 2012 en de realisaties hiervan nacalculeren.</t>
  </si>
  <si>
    <t>Algemene gegevens</t>
  </si>
  <si>
    <t>De bron voor de aangepaste gegevens ten aanzien van de kosten voor Lokale Heffingen is de PRD 2012.</t>
  </si>
  <si>
    <t>Analyse nacalculatie Inkoopkosten Transport (IT 2012)</t>
  </si>
  <si>
    <t>Analyse nacalculatie Inkoopkosten Transport vierde periode (ITT 2008-2010)</t>
  </si>
  <si>
    <t>Oorspronkelijke x-factorberekening (27 augustus 2012)</t>
  </si>
  <si>
    <t>De wijze waarop ACM dit doet is conform de eerdere werkwijze voor deze nacalculatie (zie bijvoorbeeld Tarievenbesluit Elektriciteit 2012): via een virtuele aanpassing van de x-factor</t>
  </si>
  <si>
    <t>Berekening nacalculatie ORV Lokale Heffingen 2012 (LH2012)</t>
  </si>
  <si>
    <t>Bron: tarievenbesluiten 2013</t>
  </si>
  <si>
    <t>ACM berekent de gerealiseerde besparingen voor de jaren 2011, 2012 en 2013 door de structurele besparingen waar nog geen rekening mee was gehouden in de tarieven via de CPI om te rekenen naar de betreffende jaren.</t>
  </si>
  <si>
    <t>Omdat de besparingen in het jaar 2009 reeds via de x-factoren zijn verwerkt in de tarieven 2011-2013, gaat ACM uit van het saldo van de besparingen van 2010 ten opzichte van 2009.</t>
  </si>
  <si>
    <t>€, prijspeil 2009</t>
  </si>
  <si>
    <t>Gerealiseerde besparing door invoering capaciteitstarief 2009</t>
  </si>
  <si>
    <t>Gerealiseerde besparing door invoering capaciteitstarief 2010</t>
  </si>
  <si>
    <t>Te verrekenen saldo van besparingen (sector)</t>
  </si>
  <si>
    <t>Hierdoor hebben netbeheerders kosten dubbel vergoed verkregen; éénmaal via de kosten van Energie en Vermogen welke worden vergoed in de tarieven via de reguleringssystematiek en éénmaal via achteraf alsnog geïnde facturen.</t>
  </si>
  <si>
    <t>Uit de dataverzoeken die zijn gebruikt voor het gewijzigd vaststellen van de x-factoren NE5R (27 augustus 2012), volgt wat de juiste Inkoopkosten voor Energie en Vermogen voor het jaar 2006 waren.</t>
  </si>
  <si>
    <t>Gefactureerde niet gecontracteerd verbruik</t>
  </si>
  <si>
    <t>x-factor vierde reguleringsperiode</t>
  </si>
  <si>
    <t>€ '000, pp 2006</t>
  </si>
  <si>
    <t>ACM berekent door in het x-factormodel voor de periode NE4R de gesaldeerde Inkoopkosten voor Energie en Vermogen te gebruiken, wat de x-factor voor NE4R zou zijn geweest. Hierbij abstraheert ACM van het aanpassen van de productiviteitsverandering.</t>
  </si>
  <si>
    <t>De effecten over de jaren 2008 t/m 2010 heeft ACM nog niet verrekend. Via deze nacalculatie worden de dubbele inkomsten alsnog verrekend.</t>
  </si>
  <si>
    <t>ACM berekent deze correctie als volgt. ACM berekent wat de x-factoren, inkomsten en tarieven zouden zijn geweest als direct de juiste (gesaldeerde) gegevens waren gebruikt.</t>
  </si>
  <si>
    <t>Naar aanleiding van onderzoek (zaak 103791) heeft ACM geconstateed dat netbeheerders in de afgelopen jaren extra inkomsten hebben verkregen uit gefactureerd verbuik welke niet (allemaal) zijn gesaldeerd in de inkoopkosten Energie en Vermogen.</t>
  </si>
  <si>
    <t>Begininkomsten 2007 tbv x-factor (na overdracht)</t>
  </si>
  <si>
    <t>Deze Totale operationele kosten in 2006 (nieuw) worden gehanteerd in de Nieuwe 'virtuele x-factorberekening' (hierna: met gewijzigde data) en komen ter vervanging van de gegevens op tabblad Productiviteit en kosten, rij 180.</t>
  </si>
  <si>
    <t>Verrekening extra inkomsten niet gecontracteerd verbruik 2008</t>
  </si>
  <si>
    <t>Verrekening extra inkomsten niet gecontracteerd verbruik 2009</t>
  </si>
  <si>
    <t>Verrekening extra inkomsten niet gecontracteerd verbruik 2010</t>
  </si>
  <si>
    <t>Overnamesom private net in 2012</t>
  </si>
  <si>
    <t>Afschrijvingen private net in 2012</t>
  </si>
  <si>
    <t>Forfaitair percentage operationele kosten overgenomen particulier net</t>
  </si>
  <si>
    <t>Te verrekenen over 2012</t>
  </si>
  <si>
    <t>Te verrekenen over 2013</t>
  </si>
  <si>
    <t>Opgave kosten, investeringen en opbrengsten overgenomen private netten 2013</t>
  </si>
  <si>
    <t>Opgave kosten, investeringen en opbrengsten overgenomen private netten 2012</t>
  </si>
  <si>
    <t>Overnamesom private net in 2013</t>
  </si>
  <si>
    <t>Investeringen in private net in 2013</t>
  </si>
  <si>
    <t>Boekwaarde overgenomen private net per 1 juli 2013</t>
  </si>
  <si>
    <t>Afschrijvingen private net in 2013</t>
  </si>
  <si>
    <t>Nacalculatie overname private netten 2012 en 2013</t>
  </si>
  <si>
    <t>Boekwaarde overgenomen private net ultimo 2013</t>
  </si>
  <si>
    <t>Boekwaarde overgenomen private net ultimo 2012</t>
  </si>
  <si>
    <t>De opbrengsten van de afnemers betreffen de ontvangen tarieven of overige inkomsten op het net welke dienen ter dekking van de kosten van de gereguleerde activiteiten op het private net.</t>
  </si>
  <si>
    <t>Gemiddelde inkoopkosten transport in efficiëntie-niveau 2013</t>
  </si>
  <si>
    <t>Begininkomsten 2013  (exclusief correcties en inkoopkosten transport )</t>
  </si>
  <si>
    <t>Totale Inkomsten exclusief correcties</t>
  </si>
  <si>
    <t>Nacalc. Overname private netten 2013 in 2013</t>
  </si>
  <si>
    <t>Nacalc. Overname private netten 2012 in 2013</t>
  </si>
  <si>
    <t>Nacalc. Overname private netten 2012 in 2012</t>
  </si>
  <si>
    <t>Nacalc. Besparingen als gevolg van de invoering van het capaciteitstarief 2011</t>
  </si>
  <si>
    <t>Nacalc. Besparingen als gevolg van de invoering van het capaciteitstarief 2012</t>
  </si>
  <si>
    <t>Nacalc. Besparingen als gevolg van de invoering van het capaciteitstarief 2013</t>
  </si>
  <si>
    <t>Nacalc. Correctie vervallen vergoeding dubieuze debiteuren 2013</t>
  </si>
  <si>
    <t>Bron: Tarievenbesluit 2013</t>
  </si>
  <si>
    <t>Nacalc. Inkoopkosten Transport 2012 (Amendement Zijlstra)</t>
  </si>
  <si>
    <t>Bijzonderheid: nacalc.saldo verrekenen i.v.m. lagere tarieven Enexis over 2013</t>
  </si>
  <si>
    <t>Gederfde tariefinkomsten Orro</t>
  </si>
  <si>
    <t>Als gevolg van het faillissement van de leveranciers Orro Energy en Trianel eind 2012 corrigeert ACM de tarieven 2014. ACM doet dit op grond van artikel 5.1.2 van de TarievenCode Elektriciteit.</t>
  </si>
  <si>
    <t>Nacalculatie als gevolg van faillissement Orro en Trianel</t>
  </si>
  <si>
    <t>Nacalc. Faillissement Orro en Trianel</t>
  </si>
  <si>
    <t>Opgave correctiebedrag  gederfde tariefinkomsten faillissement Orro en Trianel</t>
  </si>
  <si>
    <t>Gemiddelde inkoopkosten transport 2014 bij rekenvolumina 2014-2016</t>
  </si>
  <si>
    <t>Nacalculatie besparingen capaciteitstarief als gevolg van de invoering van het capaciteitstarief</t>
  </si>
  <si>
    <t>Als gevolg van de invoering van het capaciteitstarief hebben netbeheerders besparingen gerealiseerd. Ondermeer betreffen dit besparingen vanwege het wegvallen van taken door de invoering van het capaciteitstarief.</t>
  </si>
  <si>
    <t>Aandeel Inkoopkosten transport in totaal</t>
  </si>
  <si>
    <t>De heffingsrente of belastingrente wordt ieder kwartaal gepubliceerd door het Ministerie van Financiën.</t>
  </si>
  <si>
    <t>Stap 3 (gehele jaar)</t>
  </si>
  <si>
    <t>Stap 1a: berekenen van de verwachte  Inkoopkosten Transport TenneT in NE4R, mede in het licht van de HS-overdracht, uitgedrukt in het jaar 2006.</t>
  </si>
  <si>
    <t>Totale inkoopkosten 2007, obv rekenvolume 2008-2010</t>
  </si>
  <si>
    <t>Totale inkoopkosten 2008, obv rekenvolume 2008-2010</t>
  </si>
  <si>
    <t>Totale inkoopkosten 2009, obv rekenvolume 2008-2010</t>
  </si>
  <si>
    <t>Totale inkoopkosten 2010, obv rekenvolume 2008-2010</t>
  </si>
  <si>
    <t>Schatting totale inkoopkosten NE4R, obv rekenvolume 2008-2010</t>
  </si>
  <si>
    <t xml:space="preserve">Voor de toelichting bij deze nacalculatie verwijst ACM tevens naar de e-mail van 9 augustus 2013 en de reeds voorgaande communicatie over dit onderwerp. </t>
  </si>
  <si>
    <t>Stap 1b: omzetten naar de jaren 2007 t/m 2010 op basis van rekenvolumina 2008-2010.</t>
  </si>
  <si>
    <t>Stap 1c: omzetten naar de jaren 2007 t/m 2010, rekening houdend met de volumeontwikkeling over 2007 t/m 2010.</t>
  </si>
  <si>
    <t>Stap 3: Berekening van nacalculatiebedragen voor 2008-2010. Hierbij hanteert ACM de SO 2007 als verdeelsleutel, omdat vanuit de reguleringssystematiek volgt dat deze kosten de maatstaf volgen.</t>
  </si>
  <si>
    <t>Stap 1: berekenen met welke inkoopkosten transport rekening is gehouden in de tarieven.</t>
  </si>
  <si>
    <t>Stap 1: berekenen met welke inkoopkosten transport bij TenneT rekening is gehouden in de tarieven.</t>
  </si>
  <si>
    <t>Stap 1a: berekenen van de verwachte  Inkoopkosten Transport in NE5R, uitgedrukt in het jaar 2009.</t>
  </si>
  <si>
    <t>Stap 1b: omzetten naar de jaren 2010 t/m 2013 op basis van rekenvolumina 2011-2013.</t>
  </si>
  <si>
    <t>Schatting totale inkoopkosten 2012 en 2013, obv rekenvolume 2011-2013</t>
  </si>
  <si>
    <t>Totale inkoopkosten 2010, obv rekenvolume 2011-2013</t>
  </si>
  <si>
    <t>Totale inkoopkosten 2011, obv rekenvolume 2011-2013</t>
  </si>
  <si>
    <t>Totale inkoopkosten 2012, obv rekenvolume 2011-2013</t>
  </si>
  <si>
    <t>Totale inkoopkosten 2013, obv rekenvolume 2011-2013</t>
  </si>
  <si>
    <t xml:space="preserve">Stap 1c: omzetten naar de jaren 2010 t/m 2012, rekening houdend met de volumeontwikkeling over 2010 t/m 2012. </t>
  </si>
  <si>
    <t xml:space="preserve">              Tot slot hanteer ACM de verhoudingen in Inkoopkosten Transport 2009 als verdeelsleutel, omdat vanuit amendement Zijlstra volgt dat deze kosten een individueel karakter kennen en zo ook woirden verrekend.</t>
  </si>
  <si>
    <t>Stap 2: bepalen van de daadwerkelijk inkoopkosten transport voor het jaar 2012.</t>
  </si>
  <si>
    <t xml:space="preserve">Stap 3: Berekening van nacalculatiebedragen voor 2012. </t>
  </si>
  <si>
    <t>Als faillissementsdatum geldt voor Orro 21 december 2012 en voor Trianel 27 december 2012.</t>
  </si>
  <si>
    <t>Voor de operationele kosten wordt uitgegaan van 1% forfaitair over de nominale investeringswaarde van het net (geen indexatie), naar rato van het jaar. In het geval van de particuliere net hanteert ACM daarvoor de overnamesom en investeringen samen.</t>
  </si>
  <si>
    <t>Als gevolg van een wetswijziging in 2012 mogen netbeheerders de extra (doelmatige) kosten die zij maken voor het overnemen van bestaande netten waarvoor nog niet eerder een netbeheerder was aangewezen door of met instemming van de minister van Economische Zaken, en voor de investeringen tot aanpassing van die verworven netten (waardoor aan de bij of krachtens de E-wet daaraan gestelde eisen wordt voldaan), verrekenen in de tarieven. Dit volgt uit artikel 41b, eerste lid, aanhef en onder g, van de E-wet.</t>
  </si>
  <si>
    <t>Bron: opgave TenneT bij tarievenvoorstel 2011 en opgave Enexis bij Tarievenproces 2014</t>
  </si>
  <si>
    <t>Overname en investeringen 2012</t>
  </si>
  <si>
    <t>Exclusief HS (EWR) en EHS (CBL)</t>
  </si>
  <si>
    <t>Bron: opgave TenneT bij tarievenvoorstel 2011 en opgave Liander bij Tarievenproces 2014</t>
  </si>
  <si>
    <t>Bron: opgave TenneT 16 oktober 2012 en opgave Liander bij Tarievenproces 2014</t>
  </si>
  <si>
    <t>bron: productiviteitsdata 2008, 2009 en opgave Liander bij Tarievenproces 2014</t>
  </si>
  <si>
    <t>Saldering ontvangen inkoopkosten transport van TenneT bij RNB en correctie Stedin</t>
  </si>
  <si>
    <t>Correctie Stedin</t>
  </si>
  <si>
    <t>Opgave Stedin in Tarievenproces 2014</t>
  </si>
  <si>
    <t>Opgave TenneT van 8 juni 2012  Stedin in Tarievenproces 2014</t>
  </si>
  <si>
    <t>Opgave TenneT van 8 juni 2012 en Stedin in Tarievenproces 2014</t>
  </si>
  <si>
    <t>Stap 2: bepalen van de daadwerkelijk inkoopkosten transport bij TenneT voor de jaren 2008-2010. Hierbij houdt ACM tevens rekening met ITT op overgedragen netten, de saldering van ontvangen ITT van TenneT bij RNB's en een door Stedin opgegeven correctie.</t>
  </si>
  <si>
    <t>Boekwaarde van investeringen 2013 overgenomen private net per 1 juli 2013</t>
  </si>
  <si>
    <t>Investeringen 2013</t>
  </si>
  <si>
    <t>Overname en investeringen 2013</t>
  </si>
  <si>
    <t>Voor Liander zijn dit de gerapporteerde Inkoopkosten Transport minus Inkoopkosten Transport van HS (EWR) en EHS (CBL)</t>
  </si>
  <si>
    <t xml:space="preserve">Hierbij maakt ACM gebruik van de SO voor alleen kleinverbruikers, aangezien het de invoering van het capaciteitstarief alleen gold voor afnemers met een aansluiting met een doorlaatwaarde kleiner dan of gelijk aan 3*80A. </t>
  </si>
  <si>
    <t>Periodieke aansluitvergoeding Liander (kosten)</t>
  </si>
  <si>
    <t>Periodieke aansluitvergoeding Enexis (kosten)</t>
  </si>
  <si>
    <t>Begininkomsten 2013 (exclusief correcties)</t>
  </si>
  <si>
    <t>Bron: x-factorberekening NE6R (bestand: xfactormodel-rnbe-2014tm2016-20130930); Tab Bijlage 1 - Resultaten, rij 9.</t>
  </si>
  <si>
    <t>Bron: x-factorberekening NE6R (bestand: xfactormodel-rnbe-2014tm2016-20130930); Tab Bijlage 1 - Resultaten, rij 38.</t>
  </si>
  <si>
    <t>Bron: x-factorberekening NE6R (bestand: xfactormodel-rnbe-2014tm2016-20130930); Tab Bijlage 1 - Resultaten, rij 13.</t>
  </si>
  <si>
    <t>Bron: x-factorberekening NE6R (bestand: xfactormodel-rnbe-2014tm2016-20130930); Tab Bijlage 1 - Resultaten, rij 18.</t>
  </si>
  <si>
    <t>Bij het tarievenvoorstel dient de netbeheerder een overzicht van de gederfde tariefinkomsten te overleggen, voorzien van een goedkeurende accountantsverklaring.</t>
  </si>
  <si>
    <t>X-factorsheet NE6R (30 september 2013)</t>
  </si>
  <si>
    <t>De x-factorberekening die hiervoor gebruikt is de (herstelde) x-factorberekening NE5R van 27 augustus 2012.</t>
  </si>
  <si>
    <t>Nieuwe 'virtuele' x-factorberekening (na herstel augustus 2012 voor DCO) na vervanging schatting door gerealiseerde data (op basis van PRD 2012)</t>
  </si>
  <si>
    <t>Correctie van nacalculatiebedrag vervallen vergoeding voor dubieuze debiteuren 2013, vanwege verlate invoering leveranciersmodel (corrDUBDEB2013)</t>
  </si>
  <si>
    <t>Nacalculatiebedrag Correctie vervallen vergoeding dubieuze debiteuren 2013</t>
  </si>
  <si>
    <t>Wanneer de nu weergegeven bedragen niet overeenkomen met de door de accountant goedgekeurde bedragen kunnen onderstaande bedragen in overleg met ACM hieraan worden aangepast.</t>
  </si>
  <si>
    <t>ACM baseert de berekening van de gerealiseerde besparingen op gegevens zoals opgegeven door de netbeheerders in hun reactie op de brief van één van de voorlopers van ACM (de Energiekamer) van d.d. 8 juli 2011. Dit betreft besparingen over het jaar 2010.</t>
  </si>
  <si>
    <t>ACM heeft de effecten op de inkomsten in de jaren 2011 t/m 2013 al verrekend via de nacalculaties op de tarieven 2013 als gevolg van het vaststellen van de gewijzigde x-factoren voor NE5R op 27 augustus 2012.</t>
  </si>
  <si>
    <t>Bron: rekenmodel herstel x-factor NE4R 5 augustus 2011</t>
  </si>
  <si>
    <t>Bron: opgaven van netbeheerders in het kader van zaak 103791</t>
  </si>
  <si>
    <t>Bron: rekenmodel herstel x-factor NE4R 5 augustus 2011 met gewijzigde data</t>
  </si>
  <si>
    <t>Heffingsrentepercentages zoals te gebruiken voor de "TI-berekening 2014"</t>
  </si>
  <si>
    <t>Bron: opgave netbeheerder in het kader van Tarievenproces 2014</t>
  </si>
  <si>
    <t>ACM verzoekt de netbeheerders gemotiveerd toe te lichten om welke netten het gaat, wat de resterende levensduur is van het net rekening houdend met de afschrijvingstermijnen die ACM voorschrijft, welke kosten zijn gemaakt in het kader van de verwerving van het net, welke aanpassingskosten zijn gemaakt, welke inkomsten worden verwacht uit het net, en dat de gemaakte kosten doelmatig zijn geweest. In dit kader verzoekt ACM de netbeheerders om een verklaring van de accountant over te leggen ter onderbouwing van het gestelde en – voor zover van toepassing – tevens de benodigde onderzoeksrapporten en/of rechterlijke beslissingen waaruit blijkt wat de waarde van het net is en de aanvullende kosten die moesten worden gemaakt om het net te laten voldoen aan de bij of krachtens de E-wet gestelde eisen.</t>
  </si>
  <si>
    <t>In het kader van de tarievenbesluiten 2014 heeft geen van de netbeheerders over de jaren 2012 en 2013 een overgenomen net opgegeven bij het tarievenvoorstel voor verrekening in de tarieven.</t>
  </si>
  <si>
    <t>In dit bestand worden de berekeningen voor de totale inkomsten gepresenteerd zoals ACM hanteert bij de vaststelling van de tarieven voor 2014, inclusief de berekening van de nacalculatiebedragen.</t>
  </si>
  <si>
    <t>Waarde of berekening die speciale aandacht vraagt (toelichting in opmerking)</t>
  </si>
  <si>
    <t>Omdat het leveranciersmodel ingaat op 1 augustus 2013 had de correctie plaats moeten vinden over 5 maanden (5/12 deel van totaalbedrag) i.p.v. over 9 maanden (9/12 deel van totaalbedrag).</t>
  </si>
  <si>
    <t>De tarievenbesluiten 2014 voor regionale netbeheerders elektriciteit hebben de volgende kenmerken: 13.1091.52, 13.1092.52, 13.1093.52, 13.1094.52, 13.1095.52, 13.1096.52, 13.1097.52, en 13.1099.52.</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</si>
</sst>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quot;€&quot;\ * #,##0.00_ ;_ &quot;€&quot;\ * \-#,##0.00_ ;_ &quot;€&quot;\ * &quot;-&quot;??_ ;_ @_ "/>
    <numFmt numFmtId="164" formatCode="_-* #,##0_-;_-* #,##0\-;_-* &quot;-&quot;_-;_-@_-"/>
    <numFmt numFmtId="165" formatCode="_-* #,##0.00_-;_-* #,##0.00\-;_-* &quot;-&quot;??_-;_-@_-"/>
    <numFmt numFmtId="166" formatCode="0.0%"/>
    <numFmt numFmtId="167" formatCode="_-* #,##0.0_-;_-* #,##0.0\-;_-* &quot;-&quot;??_-;_-@_-"/>
    <numFmt numFmtId="168" formatCode="_-* #,##0_-;_-* #,##0\-;_-* &quot;-&quot;??_-;_-@_-"/>
    <numFmt numFmtId="169" formatCode="0.0"/>
    <numFmt numFmtId="170" formatCode="0.00000"/>
    <numFmt numFmtId="171" formatCode="_-* #,##0.0000_-;_-* #,##0.0000\-;_-* &quot;-&quot;????_-;_-@_-"/>
    <numFmt numFmtId="172" formatCode="_-* #,##0_-;_-* #,##0\-;_-* &quot;-&quot;?_-;_-@_-"/>
    <numFmt numFmtId="173" formatCode="0.000%"/>
    <numFmt numFmtId="174" formatCode="_(* #,##0_);_(* \(#,##0\);_(* &quot;-&quot;??_);_(@_)"/>
    <numFmt numFmtId="175" formatCode="_ &quot;€&quot;\ * #,##0_ ;_ &quot;€&quot;\ * \-#,##0_ ;_ &quot;€&quot;\ * &quot;-&quot;??_ ;_ @_ "/>
    <numFmt numFmtId="176" formatCode="_-* #,##0.0000_-;_-* #,##0.0000\-;_-* &quot;-&quot;??_-;_-@_-"/>
    <numFmt numFmtId="177" formatCode="0.000000"/>
    <numFmt numFmtId="178" formatCode="#,##0_ ;\-#,##0\ "/>
    <numFmt numFmtId="179" formatCode="0.0000%"/>
  </numFmts>
  <fonts count="53">
    <font>
      <sz val="10"/>
      <name val="Arial"/>
    </font>
    <font>
      <sz val="10"/>
      <name val="Arial"/>
      <family val="2"/>
    </font>
    <font>
      <sz val="10"/>
      <color indexed="8"/>
      <name val="MS Sans Serif"/>
      <family val="2"/>
    </font>
    <font>
      <sz val="8"/>
      <name val="Arial"/>
      <family val="2"/>
    </font>
    <font>
      <b/>
      <sz val="14"/>
      <name val="Arial"/>
      <family val="2"/>
    </font>
    <font>
      <b/>
      <sz val="10"/>
      <name val="Arial"/>
      <family val="2"/>
    </font>
    <font>
      <i/>
      <sz val="10"/>
      <name val="Arial"/>
      <family val="2"/>
    </font>
    <font>
      <sz val="10"/>
      <color indexed="10"/>
      <name val="Arial"/>
      <family val="2"/>
    </font>
    <font>
      <sz val="10"/>
      <name val="Arial"/>
      <family val="2"/>
    </font>
    <font>
      <sz val="10"/>
      <color indexed="10"/>
      <name val="Arial"/>
      <family val="2"/>
    </font>
    <font>
      <sz val="8"/>
      <name val="Arial"/>
      <family val="2"/>
    </font>
    <font>
      <sz val="10"/>
      <name val="ScalaSans"/>
      <family val="2"/>
    </font>
    <font>
      <sz val="10"/>
      <color indexed="8"/>
      <name val="Arial"/>
      <family val="2"/>
    </font>
    <font>
      <b/>
      <sz val="12"/>
      <name val="Arial"/>
      <family val="2"/>
    </font>
    <font>
      <sz val="12"/>
      <name val="Times New Roman"/>
      <family val="1"/>
    </font>
    <font>
      <b/>
      <sz val="8"/>
      <name val="Arial"/>
      <family val="2"/>
    </font>
    <font>
      <i/>
      <sz val="8"/>
      <name val="Arial"/>
      <family val="2"/>
    </font>
    <font>
      <sz val="8"/>
      <color indexed="81"/>
      <name val="Tahoma"/>
      <family val="2"/>
    </font>
    <font>
      <i/>
      <sz val="9.5"/>
      <name val="Arial"/>
      <family val="2"/>
    </font>
    <font>
      <sz val="16"/>
      <color rgb="FFFF0000"/>
      <name val="Arial"/>
      <family val="2"/>
    </font>
    <font>
      <sz val="10"/>
      <name val="Arial"/>
      <family val="2"/>
    </font>
    <font>
      <sz val="10"/>
      <color indexed="8"/>
      <name val="MS Sans Serif"/>
      <family val="2"/>
    </font>
    <font>
      <sz val="8"/>
      <name val="Arial"/>
      <family val="2"/>
    </font>
    <font>
      <sz val="10"/>
      <color indexed="8"/>
      <name val="ScalaSans"/>
      <family val="2"/>
    </font>
    <font>
      <sz val="10"/>
      <name val="DTLArgoT"/>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i/>
      <sz val="8"/>
      <name val="Arial"/>
      <family val="2"/>
    </font>
    <font>
      <b/>
      <sz val="12"/>
      <color indexed="9"/>
      <name val="Arial"/>
      <family val="2"/>
    </font>
    <font>
      <sz val="12"/>
      <name val="Arial"/>
      <family val="2"/>
    </font>
    <font>
      <sz val="10"/>
      <color indexed="9"/>
      <name val="Arial"/>
      <family val="2"/>
    </font>
    <font>
      <b/>
      <sz val="10"/>
      <color indexed="9"/>
      <name val="Arial"/>
      <family val="2"/>
    </font>
    <font>
      <b/>
      <sz val="10"/>
      <color theme="0"/>
      <name val="Arial"/>
      <family val="2"/>
    </font>
    <font>
      <sz val="12"/>
      <color indexed="9"/>
      <name val="Arial"/>
      <family val="2"/>
    </font>
    <font>
      <sz val="8"/>
      <color indexed="10"/>
      <name val="Arial"/>
      <family val="2"/>
    </font>
    <font>
      <sz val="10"/>
      <color indexed="10"/>
      <name val="Arial"/>
      <family val="2"/>
    </font>
    <font>
      <b/>
      <sz val="8"/>
      <name val="Arial"/>
      <family val="2"/>
    </font>
    <font>
      <sz val="11"/>
      <color rgb="FF000000"/>
      <name val="Calibri"/>
      <family val="2"/>
    </font>
  </fonts>
  <fills count="41">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FFFF99"/>
        <bgColor indexed="64"/>
      </patternFill>
    </fill>
    <fill>
      <patternFill patternType="solid">
        <fgColor rgb="FFFFCC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rgb="FFCCFFFF"/>
        <bgColor indexed="64"/>
      </patternFill>
    </fill>
    <fill>
      <patternFill patternType="solid">
        <fgColor indexed="18"/>
        <bgColor indexed="64"/>
      </patternFill>
    </fill>
    <fill>
      <patternFill patternType="solid">
        <fgColor rgb="FFCCFFCC"/>
        <bgColor rgb="FF000000"/>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s>
  <borders count="24">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69">
    <xf numFmtId="0" fontId="0" fillId="0" borderId="0"/>
    <xf numFmtId="0" fontId="1" fillId="0" borderId="0"/>
    <xf numFmtId="165" fontId="1" fillId="0" borderId="0" applyFont="0" applyFill="0" applyBorder="0" applyAlignment="0" applyProtection="0"/>
    <xf numFmtId="37" fontId="1" fillId="0" borderId="0" applyFill="0" applyBorder="0" applyProtection="0">
      <protection locked="0"/>
    </xf>
    <xf numFmtId="9" fontId="1"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1" fillId="0" borderId="0"/>
    <xf numFmtId="44" fontId="20" fillId="0" borderId="0" applyFont="0" applyFill="0" applyBorder="0" applyAlignment="0" applyProtection="0"/>
    <xf numFmtId="0" fontId="21" fillId="0" borderId="0"/>
    <xf numFmtId="0" fontId="21" fillId="0" borderId="0"/>
    <xf numFmtId="9" fontId="20" fillId="0" borderId="0" applyFont="0" applyFill="0" applyBorder="0" applyAlignment="0" applyProtection="0"/>
    <xf numFmtId="0" fontId="20" fillId="0" borderId="0"/>
    <xf numFmtId="0" fontId="24" fillId="0" borderId="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21" borderId="0" applyNumberFormat="0" applyBorder="0" applyAlignment="0" applyProtection="0"/>
    <xf numFmtId="0" fontId="26" fillId="22"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9" borderId="0" applyNumberFormat="0" applyBorder="0" applyAlignment="0" applyProtection="0"/>
    <xf numFmtId="0" fontId="27" fillId="30" borderId="4" applyNumberFormat="0" applyAlignment="0" applyProtection="0"/>
    <xf numFmtId="0" fontId="28" fillId="31" borderId="5" applyNumberFormat="0" applyAlignment="0" applyProtection="0"/>
    <xf numFmtId="0" fontId="29" fillId="0" borderId="6" applyNumberFormat="0" applyFill="0" applyAlignment="0" applyProtection="0"/>
    <xf numFmtId="0" fontId="30" fillId="14" borderId="0" applyNumberFormat="0" applyBorder="0" applyAlignment="0" applyProtection="0"/>
    <xf numFmtId="0" fontId="31" fillId="17" borderId="4" applyNumberFormat="0" applyAlignment="0" applyProtection="0"/>
    <xf numFmtId="165" fontId="20" fillId="0" borderId="0" applyFont="0" applyFill="0" applyBorder="0" applyAlignment="0" applyProtection="0"/>
    <xf numFmtId="165" fontId="1" fillId="0" borderId="0" applyFont="0" applyFill="0" applyBorder="0" applyAlignment="0" applyProtection="0"/>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32" borderId="0" applyNumberFormat="0" applyBorder="0" applyAlignment="0" applyProtection="0"/>
    <xf numFmtId="0" fontId="24" fillId="33" borderId="10" applyNumberFormat="0" applyFont="0" applyAlignment="0" applyProtection="0"/>
    <xf numFmtId="0" fontId="36" fillId="13" borderId="0" applyNumberFormat="0" applyBorder="0" applyAlignment="0" applyProtection="0"/>
    <xf numFmtId="0" fontId="14" fillId="0" borderId="0"/>
    <xf numFmtId="0" fontId="1" fillId="0" borderId="0"/>
    <xf numFmtId="0" fontId="1" fillId="0" borderId="0"/>
    <xf numFmtId="0" fontId="1" fillId="0" borderId="0"/>
    <xf numFmtId="0" fontId="37" fillId="0" borderId="0" applyNumberFormat="0" applyFill="0" applyBorder="0" applyAlignment="0" applyProtection="0"/>
    <xf numFmtId="0" fontId="38" fillId="0" borderId="11" applyNumberFormat="0" applyFill="0" applyAlignment="0" applyProtection="0"/>
    <xf numFmtId="0" fontId="39" fillId="30" borderId="12"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0" fillId="0" borderId="0"/>
    <xf numFmtId="0" fontId="1" fillId="0" borderId="0"/>
  </cellStyleXfs>
  <cellXfs count="378">
    <xf numFmtId="0" fontId="0" fillId="0" borderId="0" xfId="0"/>
    <xf numFmtId="0" fontId="4" fillId="2" borderId="1" xfId="0" applyFont="1" applyFill="1" applyBorder="1" applyAlignment="1">
      <alignment wrapText="1"/>
    </xf>
    <xf numFmtId="0" fontId="0" fillId="2" borderId="1" xfId="0" applyFill="1" applyBorder="1"/>
    <xf numFmtId="0" fontId="5" fillId="2" borderId="1" xfId="1" applyFont="1" applyFill="1" applyBorder="1" applyAlignment="1">
      <alignment horizontal="center" textRotation="90"/>
    </xf>
    <xf numFmtId="0" fontId="5" fillId="3" borderId="1" xfId="0" applyFont="1" applyFill="1" applyBorder="1"/>
    <xf numFmtId="0" fontId="0" fillId="3" borderId="1" xfId="0" applyFill="1" applyBorder="1"/>
    <xf numFmtId="0" fontId="6" fillId="0" borderId="0" xfId="0" applyFont="1"/>
    <xf numFmtId="1" fontId="0" fillId="0" borderId="0" xfId="0" applyNumberFormat="1"/>
    <xf numFmtId="168" fontId="3" fillId="0" borderId="0" xfId="2" applyNumberFormat="1" applyFont="1" applyFill="1"/>
    <xf numFmtId="167" fontId="3" fillId="0" borderId="0" xfId="2" applyNumberFormat="1" applyFont="1" applyFill="1"/>
    <xf numFmtId="0" fontId="0" fillId="0" borderId="0" xfId="0" applyFill="1"/>
    <xf numFmtId="168" fontId="3" fillId="0" borderId="0" xfId="0" applyNumberFormat="1" applyFont="1" applyFill="1"/>
    <xf numFmtId="168" fontId="1" fillId="5" borderId="0" xfId="2" applyNumberFormat="1" applyFont="1" applyFill="1"/>
    <xf numFmtId="0" fontId="5" fillId="0" borderId="0" xfId="1" applyFont="1" applyFill="1" applyBorder="1" applyAlignment="1">
      <alignment horizontal="center" textRotation="90"/>
    </xf>
    <xf numFmtId="168" fontId="1" fillId="6" borderId="0" xfId="2" applyNumberFormat="1" applyFill="1"/>
    <xf numFmtId="168" fontId="1" fillId="0" borderId="0" xfId="2" applyNumberFormat="1" applyFill="1"/>
    <xf numFmtId="0" fontId="5" fillId="0" borderId="0" xfId="0" applyFont="1"/>
    <xf numFmtId="0" fontId="0" fillId="2" borderId="0" xfId="0" applyFill="1"/>
    <xf numFmtId="0" fontId="4" fillId="2" borderId="1" xfId="0" applyFont="1" applyFill="1" applyBorder="1"/>
    <xf numFmtId="10" fontId="1" fillId="5" borderId="0" xfId="4" applyNumberFormat="1" applyFill="1"/>
    <xf numFmtId="10" fontId="0" fillId="5" borderId="0" xfId="0" applyNumberFormat="1" applyFill="1"/>
    <xf numFmtId="16" fontId="0" fillId="0" borderId="0" xfId="0" applyNumberFormat="1"/>
    <xf numFmtId="10" fontId="1" fillId="5" borderId="0" xfId="4" applyNumberFormat="1" applyFont="1" applyFill="1"/>
    <xf numFmtId="0" fontId="6" fillId="0" borderId="0" xfId="1" applyFont="1"/>
    <xf numFmtId="14" fontId="0" fillId="0" borderId="0" xfId="0" applyNumberFormat="1"/>
    <xf numFmtId="10" fontId="1" fillId="4" borderId="0" xfId="4" applyNumberFormat="1" applyFill="1"/>
    <xf numFmtId="10" fontId="0" fillId="4" borderId="0" xfId="0" applyNumberFormat="1" applyFill="1"/>
    <xf numFmtId="0" fontId="0" fillId="0" borderId="0" xfId="0" applyFill="1" applyBorder="1"/>
    <xf numFmtId="0" fontId="4" fillId="0" borderId="0" xfId="0" applyFont="1" applyFill="1" applyBorder="1" applyAlignment="1">
      <alignment wrapText="1"/>
    </xf>
    <xf numFmtId="0" fontId="0" fillId="2" borderId="2" xfId="0" applyFill="1" applyBorder="1"/>
    <xf numFmtId="0" fontId="1" fillId="0" borderId="0" xfId="0" applyFont="1" applyFill="1" applyBorder="1"/>
    <xf numFmtId="168" fontId="3" fillId="0" borderId="0" xfId="2" applyNumberFormat="1" applyFont="1" applyFill="1" applyBorder="1"/>
    <xf numFmtId="168" fontId="0" fillId="7" borderId="0" xfId="0" applyNumberFormat="1" applyFill="1"/>
    <xf numFmtId="0" fontId="6" fillId="0" borderId="0" xfId="0" applyFont="1" applyFill="1"/>
    <xf numFmtId="168" fontId="1" fillId="0" borderId="0" xfId="2" applyNumberFormat="1" applyFont="1" applyFill="1" applyBorder="1"/>
    <xf numFmtId="0" fontId="8" fillId="8" borderId="0" xfId="0" applyNumberFormat="1" applyFont="1" applyFill="1" applyBorder="1" applyAlignment="1">
      <alignment vertical="top"/>
    </xf>
    <xf numFmtId="0" fontId="10" fillId="0" borderId="0" xfId="0" applyFont="1" applyFill="1" applyBorder="1" applyAlignment="1"/>
    <xf numFmtId="168" fontId="1" fillId="3" borderId="1" xfId="2" applyNumberFormat="1" applyFill="1" applyBorder="1"/>
    <xf numFmtId="10" fontId="7" fillId="0" borderId="0" xfId="4" applyNumberFormat="1" applyFont="1" applyFill="1"/>
    <xf numFmtId="10" fontId="1" fillId="0" borderId="0" xfId="4" applyNumberFormat="1" applyFont="1" applyFill="1"/>
    <xf numFmtId="168" fontId="0" fillId="5" borderId="0" xfId="0" applyNumberFormat="1" applyFill="1"/>
    <xf numFmtId="0" fontId="1" fillId="0" borderId="0" xfId="1"/>
    <xf numFmtId="0" fontId="5" fillId="3" borderId="1" xfId="1" applyFont="1" applyFill="1" applyBorder="1"/>
    <xf numFmtId="0" fontId="1" fillId="3" borderId="1" xfId="1" applyFill="1" applyBorder="1"/>
    <xf numFmtId="0" fontId="8" fillId="4" borderId="3" xfId="6" applyFont="1" applyFill="1" applyBorder="1"/>
    <xf numFmtId="0" fontId="8" fillId="8" borderId="0" xfId="6" applyFont="1" applyFill="1" applyBorder="1"/>
    <xf numFmtId="0" fontId="8" fillId="5" borderId="3" xfId="6" applyFont="1" applyFill="1" applyBorder="1"/>
    <xf numFmtId="0" fontId="8" fillId="6" borderId="3" xfId="6" applyFont="1" applyFill="1" applyBorder="1"/>
    <xf numFmtId="0" fontId="12" fillId="8" borderId="0" xfId="6" applyFont="1" applyFill="1" applyBorder="1"/>
    <xf numFmtId="0" fontId="8" fillId="7" borderId="3" xfId="6" applyFont="1" applyFill="1" applyBorder="1"/>
    <xf numFmtId="0" fontId="11" fillId="0" borderId="0" xfId="0" applyFont="1"/>
    <xf numFmtId="10" fontId="1" fillId="6" borderId="0" xfId="4" applyNumberFormat="1" applyFont="1" applyFill="1"/>
    <xf numFmtId="0" fontId="0" fillId="0" borderId="0" xfId="0" quotePrefix="1" applyAlignment="1">
      <alignment horizontal="center"/>
    </xf>
    <xf numFmtId="168" fontId="3" fillId="0" borderId="0" xfId="2" applyNumberFormat="1" applyFont="1"/>
    <xf numFmtId="166" fontId="3" fillId="0" borderId="0" xfId="4" applyNumberFormat="1" applyFont="1" applyFill="1"/>
    <xf numFmtId="166" fontId="0" fillId="0" borderId="0" xfId="4" applyNumberFormat="1" applyFont="1" applyFill="1"/>
    <xf numFmtId="172" fontId="3" fillId="0" borderId="0" xfId="0" applyNumberFormat="1" applyFont="1" applyFill="1"/>
    <xf numFmtId="166" fontId="0" fillId="0" borderId="0" xfId="0" applyNumberFormat="1" applyFill="1"/>
    <xf numFmtId="0" fontId="0" fillId="0" borderId="0" xfId="0" applyFill="1" applyAlignment="1">
      <alignment horizontal="center"/>
    </xf>
    <xf numFmtId="9" fontId="0" fillId="0" borderId="0" xfId="4" applyFont="1" applyFill="1" applyAlignment="1">
      <alignment horizontal="center"/>
    </xf>
    <xf numFmtId="166" fontId="0" fillId="0" borderId="0" xfId="4" applyNumberFormat="1" applyFont="1" applyFill="1" applyAlignment="1">
      <alignment horizontal="center"/>
    </xf>
    <xf numFmtId="0" fontId="5" fillId="3" borderId="1" xfId="0" applyFont="1" applyFill="1" applyBorder="1" applyAlignment="1">
      <alignment horizontal="center"/>
    </xf>
    <xf numFmtId="0" fontId="8" fillId="0" borderId="0" xfId="0" applyFont="1" applyAlignment="1">
      <alignment horizontal="center"/>
    </xf>
    <xf numFmtId="10" fontId="0" fillId="0" borderId="0" xfId="0" applyNumberFormat="1" applyFill="1"/>
    <xf numFmtId="10" fontId="0" fillId="2" borderId="0" xfId="0" applyNumberFormat="1" applyFill="1"/>
    <xf numFmtId="0" fontId="1" fillId="0" borderId="0" xfId="0" applyFont="1" applyFill="1"/>
    <xf numFmtId="0" fontId="1" fillId="2" borderId="1" xfId="9" applyFont="1" applyFill="1" applyBorder="1"/>
    <xf numFmtId="0" fontId="13" fillId="2" borderId="1" xfId="9" applyFont="1" applyFill="1" applyBorder="1"/>
    <xf numFmtId="0" fontId="1" fillId="0" borderId="0" xfId="9" applyFont="1"/>
    <xf numFmtId="0" fontId="5" fillId="2" borderId="1" xfId="9" applyFont="1" applyFill="1" applyBorder="1" applyAlignment="1">
      <alignment horizontal="center" textRotation="90"/>
    </xf>
    <xf numFmtId="0" fontId="5" fillId="0" borderId="0" xfId="9" applyFont="1" applyFill="1" applyBorder="1" applyAlignment="1">
      <alignment horizontal="left"/>
    </xf>
    <xf numFmtId="0" fontId="1" fillId="0" borderId="0" xfId="9" applyFont="1" applyFill="1"/>
    <xf numFmtId="0" fontId="1" fillId="3" borderId="1" xfId="9" applyFont="1" applyFill="1" applyBorder="1"/>
    <xf numFmtId="0" fontId="5" fillId="3" borderId="1" xfId="9" applyFont="1" applyFill="1" applyBorder="1"/>
    <xf numFmtId="0" fontId="1" fillId="0" borderId="0" xfId="12" applyFont="1" applyFill="1"/>
    <xf numFmtId="164" fontId="3" fillId="0" borderId="0" xfId="12" applyNumberFormat="1" applyFont="1" applyFill="1" applyBorder="1"/>
    <xf numFmtId="0" fontId="9" fillId="0" borderId="0" xfId="9" applyFont="1"/>
    <xf numFmtId="0" fontId="6" fillId="0" borderId="0" xfId="9" applyFont="1"/>
    <xf numFmtId="0" fontId="8" fillId="0" borderId="0" xfId="0" applyFont="1" applyFill="1" applyAlignment="1">
      <alignment horizontal="center"/>
    </xf>
    <xf numFmtId="0" fontId="1" fillId="0" borderId="0" xfId="8" applyFont="1"/>
    <xf numFmtId="10" fontId="1" fillId="0" borderId="0" xfId="4" applyNumberFormat="1" applyFill="1"/>
    <xf numFmtId="0" fontId="5" fillId="3" borderId="1" xfId="10" applyFont="1" applyFill="1" applyBorder="1"/>
    <xf numFmtId="0" fontId="1" fillId="0" borderId="0" xfId="10"/>
    <xf numFmtId="0" fontId="4" fillId="2" borderId="1" xfId="7" applyFont="1" applyFill="1" applyBorder="1"/>
    <xf numFmtId="168" fontId="3" fillId="6" borderId="0" xfId="2" applyNumberFormat="1" applyFont="1" applyFill="1"/>
    <xf numFmtId="0" fontId="1" fillId="0" borderId="0" xfId="1" applyAlignment="1"/>
    <xf numFmtId="0" fontId="1" fillId="0" borderId="0" xfId="1" applyAlignment="1">
      <alignment wrapText="1"/>
    </xf>
    <xf numFmtId="0" fontId="15" fillId="0" borderId="1" xfId="1" applyFont="1" applyFill="1" applyBorder="1"/>
    <xf numFmtId="0" fontId="15" fillId="0" borderId="1" xfId="1" applyFont="1" applyFill="1" applyBorder="1" applyAlignment="1">
      <alignment horizontal="center" textRotation="90"/>
    </xf>
    <xf numFmtId="0" fontId="15" fillId="0" borderId="1" xfId="1" applyFont="1" applyFill="1" applyBorder="1" applyAlignment="1">
      <alignment horizontal="left"/>
    </xf>
    <xf numFmtId="0" fontId="16" fillId="0" borderId="0" xfId="1" applyFont="1"/>
    <xf numFmtId="0" fontId="15" fillId="8" borderId="1" xfId="1" applyFont="1" applyFill="1" applyBorder="1"/>
    <xf numFmtId="169" fontId="15" fillId="5" borderId="1" xfId="1" applyNumberFormat="1" applyFont="1" applyFill="1" applyBorder="1"/>
    <xf numFmtId="169" fontId="15" fillId="9" borderId="1" xfId="1" applyNumberFormat="1" applyFont="1" applyFill="1" applyBorder="1"/>
    <xf numFmtId="0" fontId="5" fillId="0" borderId="0" xfId="1" applyFont="1"/>
    <xf numFmtId="168" fontId="1" fillId="5" borderId="0" xfId="1" applyNumberFormat="1" applyFill="1"/>
    <xf numFmtId="168" fontId="1" fillId="5" borderId="0" xfId="9" applyNumberFormat="1" applyFont="1" applyFill="1"/>
    <xf numFmtId="9" fontId="1" fillId="4" borderId="0" xfId="9" applyNumberFormat="1" applyFont="1" applyFill="1"/>
    <xf numFmtId="0" fontId="0" fillId="3" borderId="1" xfId="0" applyFill="1" applyBorder="1"/>
    <xf numFmtId="0" fontId="0" fillId="0" borderId="0" xfId="0"/>
    <xf numFmtId="168" fontId="1" fillId="4" borderId="0" xfId="2" applyNumberFormat="1" applyFill="1"/>
    <xf numFmtId="168" fontId="1" fillId="5" borderId="0" xfId="2" applyNumberFormat="1" applyFill="1"/>
    <xf numFmtId="168" fontId="0" fillId="5" borderId="0" xfId="0" applyNumberFormat="1" applyFill="1"/>
    <xf numFmtId="0" fontId="6" fillId="0" borderId="0" xfId="0" applyFont="1"/>
    <xf numFmtId="0" fontId="5" fillId="0" borderId="0" xfId="0" applyFont="1"/>
    <xf numFmtId="0" fontId="0" fillId="0" borderId="0" xfId="0" applyFill="1"/>
    <xf numFmtId="168" fontId="1" fillId="7" borderId="0" xfId="2" applyNumberFormat="1" applyFill="1"/>
    <xf numFmtId="166" fontId="1" fillId="6" borderId="0" xfId="4" applyNumberFormat="1" applyFill="1"/>
    <xf numFmtId="10" fontId="0" fillId="0" borderId="0" xfId="4" applyNumberFormat="1" applyFont="1"/>
    <xf numFmtId="10" fontId="7" fillId="9" borderId="0" xfId="0" applyNumberFormat="1" applyFont="1" applyFill="1"/>
    <xf numFmtId="10" fontId="1" fillId="7" borderId="0" xfId="4" applyNumberFormat="1" applyFill="1"/>
    <xf numFmtId="0" fontId="0" fillId="0" borderId="0" xfId="0" applyAlignment="1">
      <alignment horizontal="right"/>
    </xf>
    <xf numFmtId="0" fontId="1" fillId="0" borderId="0" xfId="5" applyFont="1" applyFill="1"/>
    <xf numFmtId="0" fontId="5" fillId="0" borderId="0" xfId="1" applyFont="1" applyAlignment="1"/>
    <xf numFmtId="168" fontId="1" fillId="0" borderId="0" xfId="2" applyNumberFormat="1"/>
    <xf numFmtId="0" fontId="1" fillId="0" borderId="0" xfId="11" applyFont="1" applyFill="1"/>
    <xf numFmtId="0" fontId="0" fillId="0" borderId="0" xfId="0" applyBorder="1"/>
    <xf numFmtId="168" fontId="0" fillId="0" borderId="0" xfId="2" applyNumberFormat="1" applyFont="1" applyFill="1"/>
    <xf numFmtId="168" fontId="0" fillId="0" borderId="0" xfId="0" applyNumberFormat="1" applyFill="1"/>
    <xf numFmtId="10" fontId="1" fillId="4" borderId="0" xfId="0" applyNumberFormat="1" applyFont="1" applyFill="1"/>
    <xf numFmtId="164" fontId="1" fillId="0" borderId="0" xfId="1" applyNumberFormat="1"/>
    <xf numFmtId="0" fontId="1" fillId="0" borderId="0" xfId="1" applyFont="1"/>
    <xf numFmtId="168" fontId="1" fillId="0" borderId="0" xfId="1" applyNumberFormat="1"/>
    <xf numFmtId="0" fontId="0" fillId="0" borderId="0" xfId="10" applyFont="1"/>
    <xf numFmtId="0" fontId="8" fillId="0" borderId="0" xfId="0" applyFont="1"/>
    <xf numFmtId="0" fontId="1" fillId="0" borderId="0" xfId="0" applyFont="1"/>
    <xf numFmtId="0" fontId="18" fillId="0" borderId="0" xfId="0" applyFont="1" applyBorder="1" applyAlignment="1">
      <alignment vertical="center"/>
    </xf>
    <xf numFmtId="0" fontId="1" fillId="0" borderId="0" xfId="0" applyNumberFormat="1" applyFont="1" applyFill="1" applyBorder="1" applyAlignment="1">
      <alignment vertical="top"/>
    </xf>
    <xf numFmtId="0" fontId="18" fillId="0" borderId="0" xfId="0" applyFont="1" applyBorder="1" applyAlignment="1">
      <alignment vertical="center" wrapText="1"/>
    </xf>
    <xf numFmtId="0" fontId="19" fillId="0" borderId="0" xfId="0" applyFont="1" applyAlignment="1">
      <alignment vertical="center"/>
    </xf>
    <xf numFmtId="0" fontId="1" fillId="0" borderId="0" xfId="0" applyFont="1" applyBorder="1" applyAlignment="1">
      <alignment horizontal="center"/>
    </xf>
    <xf numFmtId="0" fontId="18" fillId="0" borderId="0" xfId="0" applyFont="1" applyFill="1" applyBorder="1" applyAlignment="1">
      <alignment vertical="center"/>
    </xf>
    <xf numFmtId="49" fontId="0" fillId="0" borderId="0" xfId="2" applyNumberFormat="1" applyFont="1" applyFill="1" applyAlignment="1">
      <alignment horizontal="center"/>
    </xf>
    <xf numFmtId="168" fontId="1" fillId="10" borderId="0" xfId="2" applyNumberFormat="1" applyFill="1"/>
    <xf numFmtId="0" fontId="8" fillId="0" borderId="0" xfId="6" applyFont="1" applyFill="1" applyBorder="1"/>
    <xf numFmtId="0" fontId="1" fillId="2" borderId="1" xfId="13" applyFill="1" applyBorder="1"/>
    <xf numFmtId="0" fontId="1" fillId="0" borderId="0" xfId="13"/>
    <xf numFmtId="0" fontId="5" fillId="0" borderId="0" xfId="13" applyFont="1"/>
    <xf numFmtId="0" fontId="1" fillId="0" borderId="0" xfId="13" applyFill="1"/>
    <xf numFmtId="0" fontId="5" fillId="3" borderId="1" xfId="13" applyFont="1" applyFill="1" applyBorder="1"/>
    <xf numFmtId="0" fontId="1" fillId="3" borderId="1" xfId="13" applyFill="1" applyBorder="1"/>
    <xf numFmtId="0" fontId="6" fillId="0" borderId="0" xfId="13" applyFont="1"/>
    <xf numFmtId="168" fontId="3" fillId="0" borderId="0" xfId="13" applyNumberFormat="1" applyFont="1" applyFill="1"/>
    <xf numFmtId="9" fontId="0" fillId="0" borderId="0" xfId="0" applyNumberFormat="1"/>
    <xf numFmtId="168" fontId="8" fillId="4" borderId="0" xfId="2" applyNumberFormat="1" applyFont="1" applyFill="1" applyBorder="1"/>
    <xf numFmtId="0" fontId="3" fillId="0" borderId="1" xfId="1" applyFont="1" applyFill="1" applyBorder="1"/>
    <xf numFmtId="0" fontId="3" fillId="0" borderId="0" xfId="1" applyFont="1" applyFill="1"/>
    <xf numFmtId="0" fontId="3" fillId="8" borderId="0" xfId="1" applyFont="1" applyFill="1"/>
    <xf numFmtId="0" fontId="3" fillId="0" borderId="0" xfId="1" applyFont="1"/>
    <xf numFmtId="164" fontId="3" fillId="6" borderId="0" xfId="1" applyNumberFormat="1" applyFont="1" applyFill="1" applyBorder="1"/>
    <xf numFmtId="10" fontId="3" fillId="0" borderId="0" xfId="4" applyNumberFormat="1" applyFont="1"/>
    <xf numFmtId="10" fontId="3" fillId="0" borderId="0" xfId="4" applyNumberFormat="1" applyFont="1" applyFill="1"/>
    <xf numFmtId="164" fontId="3" fillId="0" borderId="0" xfId="1" applyNumberFormat="1" applyFont="1" applyFill="1" applyBorder="1"/>
    <xf numFmtId="164" fontId="3" fillId="4" borderId="0" xfId="1" applyNumberFormat="1" applyFont="1" applyFill="1" applyBorder="1"/>
    <xf numFmtId="164" fontId="3" fillId="8" borderId="0" xfId="1" applyNumberFormat="1" applyFont="1" applyFill="1"/>
    <xf numFmtId="164" fontId="3" fillId="5" borderId="0" xfId="1" applyNumberFormat="1" applyFont="1" applyFill="1" applyBorder="1"/>
    <xf numFmtId="170" fontId="3" fillId="5" borderId="0" xfId="1" applyNumberFormat="1" applyFont="1" applyFill="1"/>
    <xf numFmtId="0" fontId="1" fillId="0" borderId="0" xfId="13" applyFill="1" applyBorder="1"/>
    <xf numFmtId="0" fontId="5" fillId="0" borderId="0" xfId="13" applyFont="1" applyFill="1" applyBorder="1" applyAlignment="1">
      <alignment wrapText="1"/>
    </xf>
    <xf numFmtId="0" fontId="4" fillId="0" borderId="0" xfId="13" applyFont="1" applyFill="1" applyBorder="1" applyAlignment="1">
      <alignment wrapText="1"/>
    </xf>
    <xf numFmtId="0" fontId="1" fillId="2" borderId="2" xfId="13" applyFill="1" applyBorder="1"/>
    <xf numFmtId="0" fontId="1" fillId="0" borderId="0" xfId="13" applyFont="1" applyFill="1" applyBorder="1"/>
    <xf numFmtId="0" fontId="1" fillId="0" borderId="0" xfId="13" applyFont="1" applyFill="1" applyBorder="1" applyAlignment="1">
      <alignment wrapText="1"/>
    </xf>
    <xf numFmtId="168" fontId="1" fillId="7" borderId="0" xfId="13" applyNumberFormat="1" applyFill="1"/>
    <xf numFmtId="168" fontId="1" fillId="0" borderId="0" xfId="13" applyNumberFormat="1" applyFill="1" applyBorder="1"/>
    <xf numFmtId="0" fontId="1" fillId="0" borderId="0" xfId="1" applyFill="1"/>
    <xf numFmtId="168" fontId="3" fillId="7" borderId="0" xfId="2" applyNumberFormat="1" applyFont="1" applyFill="1"/>
    <xf numFmtId="0" fontId="20" fillId="2" borderId="1" xfId="15" applyFont="1" applyFill="1" applyBorder="1"/>
    <xf numFmtId="0" fontId="13" fillId="2" borderId="1" xfId="15" applyFont="1" applyFill="1" applyBorder="1"/>
    <xf numFmtId="0" fontId="20" fillId="0" borderId="0" xfId="15" applyFont="1"/>
    <xf numFmtId="0" fontId="5" fillId="2" borderId="1" xfId="15" applyFont="1" applyFill="1" applyBorder="1" applyAlignment="1">
      <alignment horizontal="center" textRotation="90"/>
    </xf>
    <xf numFmtId="0" fontId="5" fillId="0" borderId="0" xfId="15" applyFont="1" applyFill="1" applyBorder="1" applyAlignment="1">
      <alignment horizontal="left"/>
    </xf>
    <xf numFmtId="0" fontId="20" fillId="0" borderId="0" xfId="15" applyFont="1" applyFill="1"/>
    <xf numFmtId="0" fontId="20" fillId="3" borderId="1" xfId="15" applyFont="1" applyFill="1" applyBorder="1"/>
    <xf numFmtId="0" fontId="5" fillId="3" borderId="1" xfId="15" applyFont="1" applyFill="1" applyBorder="1"/>
    <xf numFmtId="0" fontId="20" fillId="0" borderId="0" xfId="16" applyFont="1" applyFill="1"/>
    <xf numFmtId="0" fontId="20" fillId="0" borderId="0" xfId="16" applyFont="1"/>
    <xf numFmtId="0" fontId="5" fillId="0" borderId="0" xfId="15" applyFont="1"/>
    <xf numFmtId="0" fontId="20" fillId="8" borderId="0" xfId="16" applyFont="1" applyFill="1"/>
    <xf numFmtId="164" fontId="20" fillId="8" borderId="0" xfId="16" applyNumberFormat="1" applyFont="1" applyFill="1"/>
    <xf numFmtId="164" fontId="22" fillId="4" borderId="0" xfId="16" applyNumberFormat="1" applyFont="1" applyFill="1" applyBorder="1"/>
    <xf numFmtId="164" fontId="22" fillId="5" borderId="0" xfId="16" applyNumberFormat="1" applyFont="1" applyFill="1" applyBorder="1"/>
    <xf numFmtId="0" fontId="1" fillId="8" borderId="0" xfId="16" applyFont="1" applyFill="1"/>
    <xf numFmtId="168" fontId="22" fillId="5" borderId="0" xfId="16" applyNumberFormat="1" applyFont="1" applyFill="1" applyBorder="1"/>
    <xf numFmtId="0" fontId="1" fillId="0" borderId="0" xfId="16" applyFont="1" applyFill="1"/>
    <xf numFmtId="168" fontId="22" fillId="0" borderId="0" xfId="16" applyNumberFormat="1" applyFont="1" applyFill="1" applyBorder="1"/>
    <xf numFmtId="164" fontId="22" fillId="0" borderId="0" xfId="16" applyNumberFormat="1" applyFont="1" applyFill="1" applyBorder="1"/>
    <xf numFmtId="9" fontId="22" fillId="4" borderId="0" xfId="17" applyFont="1" applyFill="1" applyBorder="1"/>
    <xf numFmtId="9" fontId="22" fillId="0" borderId="0" xfId="17" applyFont="1" applyFill="1" applyBorder="1"/>
    <xf numFmtId="0" fontId="5" fillId="8" borderId="0" xfId="16" applyFont="1" applyFill="1"/>
    <xf numFmtId="164" fontId="5" fillId="8" borderId="0" xfId="16" applyNumberFormat="1" applyFont="1" applyFill="1"/>
    <xf numFmtId="171" fontId="20" fillId="0" borderId="0" xfId="16" applyNumberFormat="1" applyFont="1"/>
    <xf numFmtId="0" fontId="6" fillId="0" borderId="0" xfId="16" applyFont="1" applyFill="1"/>
    <xf numFmtId="164" fontId="20" fillId="0" borderId="0" xfId="16" applyNumberFormat="1" applyFont="1"/>
    <xf numFmtId="0" fontId="5" fillId="0" borderId="0" xfId="16" applyFont="1" applyFill="1"/>
    <xf numFmtId="164" fontId="5" fillId="0" borderId="0" xfId="16" applyNumberFormat="1" applyFont="1" applyFill="1"/>
    <xf numFmtId="164" fontId="22" fillId="7" borderId="0" xfId="16" applyNumberFormat="1" applyFont="1" applyFill="1" applyBorder="1"/>
    <xf numFmtId="3" fontId="21" fillId="0" borderId="0" xfId="15" applyNumberFormat="1"/>
    <xf numFmtId="3" fontId="23" fillId="0" borderId="0" xfId="15" applyNumberFormat="1" applyFont="1"/>
    <xf numFmtId="173" fontId="22" fillId="4" borderId="0" xfId="15" applyNumberFormat="1" applyFont="1" applyFill="1"/>
    <xf numFmtId="173" fontId="22" fillId="0" borderId="0" xfId="15" applyNumberFormat="1" applyFont="1" applyFill="1"/>
    <xf numFmtId="173" fontId="22" fillId="6" borderId="0" xfId="15" applyNumberFormat="1" applyFont="1" applyFill="1"/>
    <xf numFmtId="173" fontId="22" fillId="0" borderId="0" xfId="15" applyNumberFormat="1" applyFont="1"/>
    <xf numFmtId="166" fontId="22" fillId="0" borderId="0" xfId="15" applyNumberFormat="1" applyFont="1" applyFill="1"/>
    <xf numFmtId="0" fontId="22" fillId="0" borderId="0" xfId="15" applyFont="1"/>
    <xf numFmtId="0" fontId="22" fillId="0" borderId="0" xfId="15" applyFont="1" applyFill="1"/>
    <xf numFmtId="166" fontId="22" fillId="5" borderId="0" xfId="16" applyNumberFormat="1" applyFont="1" applyFill="1" applyBorder="1"/>
    <xf numFmtId="0" fontId="5" fillId="8" borderId="0" xfId="16" quotePrefix="1" applyFont="1" applyFill="1"/>
    <xf numFmtId="164" fontId="0" fillId="8" borderId="0" xfId="16" applyNumberFormat="1" applyFont="1" applyFill="1" applyBorder="1"/>
    <xf numFmtId="164" fontId="22" fillId="10" borderId="0" xfId="16" applyNumberFormat="1" applyFont="1" applyFill="1" applyBorder="1"/>
    <xf numFmtId="0" fontId="0" fillId="0" borderId="0" xfId="15" applyFont="1"/>
    <xf numFmtId="164" fontId="1" fillId="8" borderId="0" xfId="16" applyNumberFormat="1" applyFont="1" applyFill="1" applyBorder="1"/>
    <xf numFmtId="164" fontId="22" fillId="11" borderId="0" xfId="16" applyNumberFormat="1" applyFont="1" applyFill="1" applyBorder="1"/>
    <xf numFmtId="3" fontId="3" fillId="0" borderId="0" xfId="15" applyNumberFormat="1" applyFont="1" applyFill="1" applyBorder="1" applyAlignment="1">
      <alignment horizontal="center" textRotation="90"/>
    </xf>
    <xf numFmtId="0" fontId="1" fillId="0" borderId="0" xfId="15" applyFont="1" applyFill="1" applyBorder="1"/>
    <xf numFmtId="166" fontId="22" fillId="5" borderId="0" xfId="17" applyNumberFormat="1" applyFont="1" applyFill="1" applyBorder="1"/>
    <xf numFmtId="166" fontId="22" fillId="6" borderId="0" xfId="17" applyNumberFormat="1" applyFont="1" applyFill="1" applyBorder="1"/>
    <xf numFmtId="0" fontId="42" fillId="0" borderId="0" xfId="13" applyFont="1"/>
    <xf numFmtId="0" fontId="15" fillId="0" borderId="0" xfId="13" applyFont="1"/>
    <xf numFmtId="3" fontId="5" fillId="0" borderId="0" xfId="13" applyNumberFormat="1" applyFont="1" applyAlignment="1">
      <alignment horizontal="right"/>
    </xf>
    <xf numFmtId="0" fontId="5" fillId="0" borderId="0" xfId="13" applyNumberFormat="1" applyFont="1" applyAlignment="1">
      <alignment horizontal="right"/>
    </xf>
    <xf numFmtId="3" fontId="1" fillId="11" borderId="0" xfId="13" applyNumberFormat="1" applyFill="1" applyAlignment="1">
      <alignment horizontal="right"/>
    </xf>
    <xf numFmtId="3" fontId="1" fillId="10" borderId="13" xfId="13" applyNumberFormat="1" applyFill="1" applyBorder="1" applyAlignment="1">
      <alignment horizontal="right"/>
    </xf>
    <xf numFmtId="3" fontId="0" fillId="34" borderId="0" xfId="0" applyNumberFormat="1" applyFill="1" applyAlignment="1">
      <alignment horizontal="right"/>
    </xf>
    <xf numFmtId="3" fontId="1" fillId="10" borderId="0" xfId="13" applyNumberFormat="1" applyFill="1" applyAlignment="1">
      <alignment horizontal="right"/>
    </xf>
    <xf numFmtId="3" fontId="0" fillId="0" borderId="0" xfId="0" applyNumberFormat="1"/>
    <xf numFmtId="3" fontId="1" fillId="34" borderId="0" xfId="13" applyNumberFormat="1" applyFill="1" applyAlignment="1">
      <alignment horizontal="right"/>
    </xf>
    <xf numFmtId="0" fontId="1" fillId="0" borderId="0" xfId="13" applyFont="1"/>
    <xf numFmtId="3" fontId="1" fillId="35" borderId="0" xfId="13" applyNumberFormat="1" applyFill="1"/>
    <xf numFmtId="0" fontId="0" fillId="0" borderId="14" xfId="0" applyBorder="1"/>
    <xf numFmtId="0" fontId="44" fillId="36" borderId="1" xfId="58" applyFont="1" applyFill="1" applyBorder="1" applyAlignment="1" applyProtection="1">
      <alignment vertical="center" wrapText="1"/>
    </xf>
    <xf numFmtId="0" fontId="44" fillId="0" borderId="0" xfId="58" applyFont="1" applyFill="1" applyBorder="1" applyAlignment="1" applyProtection="1">
      <alignment vertical="center"/>
    </xf>
    <xf numFmtId="0" fontId="44" fillId="0" borderId="0" xfId="0" applyFont="1"/>
    <xf numFmtId="39" fontId="1" fillId="0" borderId="0" xfId="61" applyNumberFormat="1" applyFont="1" applyFill="1" applyAlignment="1" applyProtection="1">
      <alignment horizontal="center" vertical="center"/>
    </xf>
    <xf numFmtId="39" fontId="1" fillId="0" borderId="0" xfId="61" applyNumberFormat="1" applyFont="1" applyAlignment="1" applyProtection="1">
      <alignment vertical="center"/>
    </xf>
    <xf numFmtId="39" fontId="1" fillId="0" borderId="0" xfId="60" applyNumberFormat="1" applyFont="1" applyFill="1" applyBorder="1" applyAlignment="1" applyProtection="1">
      <alignment vertical="center"/>
    </xf>
    <xf numFmtId="174" fontId="1" fillId="0" borderId="0" xfId="50" applyNumberFormat="1" applyFont="1" applyFill="1" applyBorder="1" applyAlignment="1" applyProtection="1">
      <alignment horizontal="center" vertical="center"/>
    </xf>
    <xf numFmtId="0" fontId="47" fillId="36" borderId="2" xfId="58" applyFont="1" applyFill="1" applyBorder="1" applyAlignment="1" applyProtection="1">
      <alignment horizontal="center" vertical="center" wrapText="1"/>
    </xf>
    <xf numFmtId="39" fontId="1" fillId="0" borderId="0" xfId="61" applyNumberFormat="1" applyFont="1" applyFill="1" applyBorder="1" applyAlignment="1" applyProtection="1">
      <alignment horizontal="left" vertical="center"/>
    </xf>
    <xf numFmtId="39" fontId="1" fillId="0" borderId="18" xfId="19" applyNumberFormat="1" applyFont="1" applyFill="1" applyBorder="1" applyAlignment="1" applyProtection="1">
      <alignment vertical="center"/>
    </xf>
    <xf numFmtId="39" fontId="1" fillId="0" borderId="2" xfId="61" applyNumberFormat="1" applyFont="1" applyFill="1" applyBorder="1" applyAlignment="1" applyProtection="1">
      <alignment horizontal="left" vertical="center"/>
    </xf>
    <xf numFmtId="3" fontId="1" fillId="4" borderId="19" xfId="50" applyNumberFormat="1" applyFont="1" applyFill="1" applyBorder="1" applyAlignment="1" applyProtection="1">
      <alignment vertical="center"/>
      <protection locked="0"/>
    </xf>
    <xf numFmtId="4" fontId="1" fillId="0" borderId="19" xfId="50" applyNumberFormat="1" applyFont="1" applyFill="1" applyBorder="1" applyAlignment="1" applyProtection="1">
      <alignment vertical="center"/>
    </xf>
    <xf numFmtId="3" fontId="1" fillId="5" borderId="19" xfId="50" applyNumberFormat="1" applyFont="1" applyFill="1" applyBorder="1" applyAlignment="1" applyProtection="1">
      <alignment vertical="center"/>
    </xf>
    <xf numFmtId="39" fontId="1" fillId="0" borderId="17" xfId="19" applyNumberFormat="1" applyFont="1" applyFill="1" applyBorder="1" applyAlignment="1" applyProtection="1">
      <alignment vertical="center"/>
    </xf>
    <xf numFmtId="3" fontId="1" fillId="4" borderId="20" xfId="50" applyNumberFormat="1" applyFont="1" applyFill="1" applyBorder="1" applyAlignment="1" applyProtection="1">
      <alignment vertical="center"/>
      <protection locked="0"/>
    </xf>
    <xf numFmtId="4" fontId="1" fillId="0" borderId="20" xfId="50" applyNumberFormat="1" applyFont="1" applyFill="1" applyBorder="1" applyAlignment="1" applyProtection="1">
      <alignment vertical="center"/>
    </xf>
    <xf numFmtId="3" fontId="1" fillId="5" borderId="20" xfId="50" applyNumberFormat="1" applyFont="1" applyFill="1" applyBorder="1" applyAlignment="1" applyProtection="1">
      <alignment vertical="center"/>
    </xf>
    <xf numFmtId="39" fontId="1" fillId="0" borderId="22" xfId="19" applyNumberFormat="1" applyFont="1" applyFill="1" applyBorder="1" applyAlignment="1" applyProtection="1">
      <alignment vertical="center"/>
    </xf>
    <xf numFmtId="39" fontId="1" fillId="0" borderId="14" xfId="61" applyNumberFormat="1" applyFont="1" applyFill="1" applyBorder="1" applyAlignment="1" applyProtection="1">
      <alignment horizontal="left" vertical="center"/>
    </xf>
    <xf numFmtId="3" fontId="1" fillId="0" borderId="23" xfId="50" applyNumberFormat="1" applyFont="1" applyFill="1" applyBorder="1" applyAlignment="1" applyProtection="1">
      <alignment vertical="center"/>
    </xf>
    <xf numFmtId="4" fontId="1" fillId="0" borderId="23" xfId="50" applyNumberFormat="1" applyFont="1" applyFill="1" applyBorder="1" applyAlignment="1" applyProtection="1">
      <alignment vertical="center"/>
    </xf>
    <xf numFmtId="3" fontId="1" fillId="5" borderId="23" xfId="50" applyNumberFormat="1" applyFont="1" applyFill="1" applyBorder="1" applyAlignment="1" applyProtection="1">
      <alignment vertical="center"/>
    </xf>
    <xf numFmtId="39" fontId="1" fillId="0" borderId="0" xfId="19" applyNumberFormat="1" applyFont="1" applyFill="1" applyBorder="1" applyAlignment="1" applyProtection="1">
      <alignment vertical="center"/>
    </xf>
    <xf numFmtId="39" fontId="3" fillId="0" borderId="0" xfId="19" applyNumberFormat="1" applyFont="1" applyFill="1" applyBorder="1" applyAlignment="1" applyProtection="1">
      <alignment vertical="center"/>
    </xf>
    <xf numFmtId="3" fontId="1" fillId="0" borderId="0" xfId="50" applyNumberFormat="1" applyFont="1" applyFill="1" applyBorder="1" applyAlignment="1" applyProtection="1">
      <alignment vertical="center"/>
    </xf>
    <xf numFmtId="3" fontId="1" fillId="37" borderId="20" xfId="50" applyNumberFormat="1" applyFont="1" applyFill="1" applyBorder="1" applyAlignment="1" applyProtection="1">
      <alignment vertical="center"/>
      <protection locked="0"/>
    </xf>
    <xf numFmtId="3" fontId="1" fillId="0" borderId="20" xfId="50" applyNumberFormat="1" applyFont="1" applyFill="1" applyBorder="1" applyAlignment="1" applyProtection="1">
      <alignment vertical="center"/>
      <protection locked="0"/>
    </xf>
    <xf numFmtId="0" fontId="3" fillId="0" borderId="0" xfId="0" applyFont="1"/>
    <xf numFmtId="0" fontId="20" fillId="0" borderId="0" xfId="0" applyFont="1" applyFill="1" applyBorder="1"/>
    <xf numFmtId="168" fontId="22" fillId="0" borderId="0" xfId="49" applyNumberFormat="1" applyFont="1" applyFill="1" applyBorder="1"/>
    <xf numFmtId="168" fontId="6" fillId="0" borderId="0" xfId="49" applyNumberFormat="1" applyFont="1" applyFill="1" applyBorder="1"/>
    <xf numFmtId="168" fontId="1" fillId="4" borderId="0" xfId="49" applyNumberFormat="1" applyFont="1" applyFill="1"/>
    <xf numFmtId="168" fontId="1" fillId="0" borderId="0" xfId="49" applyNumberFormat="1" applyFont="1" applyFill="1"/>
    <xf numFmtId="0" fontId="1" fillId="0" borderId="0" xfId="1" applyFont="1" applyFill="1"/>
    <xf numFmtId="167" fontId="5" fillId="4" borderId="1" xfId="2" applyNumberFormat="1" applyFont="1" applyFill="1" applyBorder="1"/>
    <xf numFmtId="168" fontId="1" fillId="0" borderId="0" xfId="1" applyNumberFormat="1" applyFill="1"/>
    <xf numFmtId="168" fontId="1" fillId="0" borderId="1" xfId="2" applyNumberFormat="1" applyFill="1" applyBorder="1"/>
    <xf numFmtId="175" fontId="1" fillId="0" borderId="0" xfId="14" applyNumberFormat="1" applyFont="1" applyFill="1"/>
    <xf numFmtId="166" fontId="1" fillId="4" borderId="0" xfId="4" applyNumberFormat="1" applyFont="1" applyFill="1"/>
    <xf numFmtId="0" fontId="1" fillId="0" borderId="0" xfId="2" applyNumberFormat="1" applyFill="1"/>
    <xf numFmtId="0" fontId="12" fillId="0" borderId="0" xfId="6" applyFont="1" applyFill="1" applyBorder="1"/>
    <xf numFmtId="0" fontId="1" fillId="0" borderId="0" xfId="1" applyFill="1" applyBorder="1"/>
    <xf numFmtId="0" fontId="13" fillId="2" borderId="1" xfId="18" applyFont="1" applyFill="1" applyBorder="1"/>
    <xf numFmtId="0" fontId="0" fillId="2" borderId="1" xfId="18" applyFont="1" applyFill="1" applyBorder="1"/>
    <xf numFmtId="0" fontId="5" fillId="2" borderId="1" xfId="18" applyFont="1" applyFill="1" applyBorder="1" applyAlignment="1">
      <alignment horizontal="center" textRotation="90"/>
    </xf>
    <xf numFmtId="0" fontId="5" fillId="0" borderId="0" xfId="18" applyFont="1" applyFill="1" applyBorder="1" applyAlignment="1">
      <alignment horizontal="left"/>
    </xf>
    <xf numFmtId="0" fontId="0" fillId="0" borderId="0" xfId="18" applyFont="1" applyFill="1"/>
    <xf numFmtId="0" fontId="5" fillId="0" borderId="0" xfId="18" applyFont="1" applyFill="1" applyBorder="1" applyAlignment="1">
      <alignment horizontal="center" textRotation="90"/>
    </xf>
    <xf numFmtId="0" fontId="5" fillId="3" borderId="1" xfId="18" applyFont="1" applyFill="1" applyBorder="1"/>
    <xf numFmtId="0" fontId="0" fillId="3" borderId="1" xfId="18" applyFont="1" applyFill="1" applyBorder="1"/>
    <xf numFmtId="0" fontId="5" fillId="0" borderId="0" xfId="18" applyFont="1"/>
    <xf numFmtId="168" fontId="22" fillId="5" borderId="0" xfId="49" applyNumberFormat="1" applyFont="1" applyFill="1"/>
    <xf numFmtId="0" fontId="22" fillId="0" borderId="0" xfId="18" applyFont="1"/>
    <xf numFmtId="173" fontId="22" fillId="4" borderId="0" xfId="18" applyNumberFormat="1" applyFont="1" applyFill="1"/>
    <xf numFmtId="173" fontId="22" fillId="0" borderId="0" xfId="18" applyNumberFormat="1" applyFont="1" applyFill="1"/>
    <xf numFmtId="0" fontId="22" fillId="0" borderId="0" xfId="18" applyFont="1" applyFill="1"/>
    <xf numFmtId="173" fontId="22" fillId="6" borderId="0" xfId="18" applyNumberFormat="1" applyFont="1" applyFill="1"/>
    <xf numFmtId="173" fontId="22" fillId="0" borderId="0" xfId="18" applyNumberFormat="1" applyFont="1"/>
    <xf numFmtId="166" fontId="22" fillId="0" borderId="0" xfId="18" applyNumberFormat="1" applyFont="1" applyFill="1"/>
    <xf numFmtId="166" fontId="49" fillId="0" borderId="0" xfId="18" applyNumberFormat="1" applyFont="1" applyFill="1"/>
    <xf numFmtId="0" fontId="50" fillId="0" borderId="0" xfId="18" applyFont="1" applyFill="1"/>
    <xf numFmtId="168" fontId="22" fillId="0" borderId="0" xfId="18" applyNumberFormat="1" applyFont="1"/>
    <xf numFmtId="0" fontId="22" fillId="3" borderId="1" xfId="18" applyFont="1" applyFill="1" applyBorder="1"/>
    <xf numFmtId="0" fontId="51" fillId="0" borderId="0" xfId="18" applyFont="1" applyFill="1" applyBorder="1" applyAlignment="1">
      <alignment horizontal="center" textRotation="90"/>
    </xf>
    <xf numFmtId="164" fontId="22" fillId="4" borderId="0" xfId="18" applyNumberFormat="1" applyFont="1" applyFill="1" applyBorder="1"/>
    <xf numFmtId="166" fontId="22" fillId="38" borderId="0" xfId="18" applyNumberFormat="1" applyFont="1" applyFill="1"/>
    <xf numFmtId="168" fontId="3" fillId="5" borderId="0" xfId="49" applyNumberFormat="1" applyFont="1" applyFill="1"/>
    <xf numFmtId="166" fontId="3" fillId="5" borderId="0" xfId="17" applyNumberFormat="1" applyFont="1" applyFill="1"/>
    <xf numFmtId="168" fontId="3" fillId="7" borderId="0" xfId="49" applyNumberFormat="1" applyFont="1" applyFill="1"/>
    <xf numFmtId="166" fontId="22" fillId="38" borderId="0" xfId="15" applyNumberFormat="1" applyFont="1" applyFill="1"/>
    <xf numFmtId="168" fontId="3" fillId="4" borderId="0" xfId="49" applyNumberFormat="1" applyFont="1" applyFill="1"/>
    <xf numFmtId="0" fontId="1" fillId="0" borderId="0" xfId="0" applyNumberFormat="1" applyFont="1"/>
    <xf numFmtId="0" fontId="1" fillId="9" borderId="3" xfId="6" applyFont="1" applyFill="1" applyBorder="1"/>
    <xf numFmtId="164" fontId="3" fillId="5" borderId="0" xfId="16" applyNumberFormat="1" applyFont="1" applyFill="1" applyBorder="1"/>
    <xf numFmtId="168" fontId="22" fillId="35" borderId="0" xfId="49" applyNumberFormat="1" applyFont="1" applyFill="1"/>
    <xf numFmtId="0" fontId="3" fillId="0" borderId="0" xfId="18" applyFont="1"/>
    <xf numFmtId="168" fontId="15" fillId="0" borderId="0" xfId="2" applyNumberFormat="1" applyFont="1" applyFill="1" applyBorder="1" applyAlignment="1">
      <alignment horizontal="center" textRotation="90"/>
    </xf>
    <xf numFmtId="0" fontId="3" fillId="0" borderId="0" xfId="13" applyFont="1"/>
    <xf numFmtId="168" fontId="3" fillId="7" borderId="0" xfId="13" applyNumberFormat="1" applyFont="1" applyFill="1"/>
    <xf numFmtId="168" fontId="3" fillId="5" borderId="0" xfId="2" applyNumberFormat="1" applyFont="1" applyFill="1"/>
    <xf numFmtId="168" fontId="3" fillId="5" borderId="0" xfId="1" applyNumberFormat="1" applyFont="1" applyFill="1"/>
    <xf numFmtId="168" fontId="3" fillId="6" borderId="0" xfId="1" applyNumberFormat="1" applyFont="1" applyFill="1"/>
    <xf numFmtId="166" fontId="3" fillId="6" borderId="0" xfId="4" applyNumberFormat="1" applyFont="1" applyFill="1"/>
    <xf numFmtId="166" fontId="3" fillId="4" borderId="0" xfId="1" applyNumberFormat="1" applyFont="1" applyFill="1"/>
    <xf numFmtId="0" fontId="3" fillId="34" borderId="0" xfId="1" applyFont="1" applyFill="1"/>
    <xf numFmtId="168" fontId="3" fillId="34" borderId="0" xfId="2" applyNumberFormat="1" applyFont="1" applyFill="1"/>
    <xf numFmtId="168" fontId="3" fillId="4" borderId="0" xfId="2" applyNumberFormat="1" applyFont="1" applyFill="1"/>
    <xf numFmtId="177" fontId="3" fillId="0" borderId="0" xfId="1" applyNumberFormat="1" applyFont="1"/>
    <xf numFmtId="176" fontId="1" fillId="34" borderId="0" xfId="2" applyNumberFormat="1" applyFill="1"/>
    <xf numFmtId="10" fontId="1" fillId="39" borderId="0" xfId="9" applyNumberFormat="1" applyFont="1" applyFill="1"/>
    <xf numFmtId="168" fontId="1" fillId="40" borderId="0" xfId="9" applyNumberFormat="1" applyFont="1" applyFill="1"/>
    <xf numFmtId="168" fontId="1" fillId="40" borderId="0" xfId="49" applyNumberFormat="1" applyFont="1" applyFill="1"/>
    <xf numFmtId="0" fontId="6" fillId="40" borderId="0" xfId="1" applyFont="1" applyFill="1"/>
    <xf numFmtId="0" fontId="1" fillId="0" borderId="0" xfId="13" quotePrefix="1"/>
    <xf numFmtId="167" fontId="5" fillId="34" borderId="1" xfId="2" applyNumberFormat="1" applyFont="1" applyFill="1" applyBorder="1"/>
    <xf numFmtId="0" fontId="1" fillId="40" borderId="0" xfId="1" applyFill="1"/>
    <xf numFmtId="0" fontId="3" fillId="40" borderId="1" xfId="1" applyFont="1" applyFill="1" applyBorder="1"/>
    <xf numFmtId="0" fontId="3" fillId="40" borderId="0" xfId="1" applyFont="1" applyFill="1"/>
    <xf numFmtId="0" fontId="15" fillId="40" borderId="1" xfId="1" applyFont="1" applyFill="1" applyBorder="1"/>
    <xf numFmtId="10" fontId="3" fillId="40" borderId="0" xfId="4" applyNumberFormat="1" applyFont="1" applyFill="1"/>
    <xf numFmtId="0" fontId="16" fillId="40" borderId="0" xfId="1" applyFont="1" applyFill="1"/>
    <xf numFmtId="178" fontId="1" fillId="4" borderId="0" xfId="14" applyNumberFormat="1" applyFont="1" applyFill="1"/>
    <xf numFmtId="9" fontId="1" fillId="34" borderId="0" xfId="9" applyNumberFormat="1" applyFont="1" applyFill="1"/>
    <xf numFmtId="168" fontId="1" fillId="34" borderId="0" xfId="2" applyNumberFormat="1" applyFont="1" applyFill="1"/>
    <xf numFmtId="165" fontId="1" fillId="34" borderId="0" xfId="2" applyNumberFormat="1" applyFont="1" applyFill="1"/>
    <xf numFmtId="10" fontId="0" fillId="39" borderId="0" xfId="0" applyNumberFormat="1" applyFill="1"/>
    <xf numFmtId="168" fontId="0" fillId="34" borderId="0" xfId="2" applyNumberFormat="1" applyFont="1" applyFill="1"/>
    <xf numFmtId="168" fontId="0" fillId="10" borderId="0" xfId="2" applyNumberFormat="1" applyFont="1" applyFill="1"/>
    <xf numFmtId="168" fontId="1" fillId="10" borderId="0" xfId="2" applyNumberFormat="1" applyFont="1" applyFill="1"/>
    <xf numFmtId="0" fontId="1" fillId="40" borderId="0" xfId="12" applyFont="1" applyFill="1" applyBorder="1"/>
    <xf numFmtId="0" fontId="0" fillId="40" borderId="0" xfId="0" applyFill="1" applyBorder="1"/>
    <xf numFmtId="0" fontId="1" fillId="40" borderId="0" xfId="0" applyFont="1" applyFill="1" applyBorder="1"/>
    <xf numFmtId="168" fontId="8" fillId="10" borderId="0" xfId="6" applyNumberFormat="1" applyFont="1" applyFill="1" applyBorder="1"/>
    <xf numFmtId="169" fontId="15" fillId="34" borderId="1" xfId="1" applyNumberFormat="1" applyFont="1" applyFill="1" applyBorder="1"/>
    <xf numFmtId="0" fontId="5" fillId="0" borderId="0" xfId="0" applyNumberFormat="1" applyFont="1"/>
    <xf numFmtId="10" fontId="1" fillId="35" borderId="0" xfId="4" applyNumberFormat="1" applyFill="1"/>
    <xf numFmtId="10" fontId="1" fillId="10" borderId="0" xfId="4" applyNumberFormat="1" applyFont="1" applyFill="1"/>
    <xf numFmtId="10" fontId="1" fillId="34" borderId="0" xfId="0" applyNumberFormat="1" applyFont="1" applyFill="1"/>
    <xf numFmtId="14" fontId="0" fillId="0" borderId="0" xfId="0" applyNumberFormat="1" applyBorder="1"/>
    <xf numFmtId="0" fontId="1" fillId="0" borderId="0" xfId="15" applyFont="1"/>
    <xf numFmtId="179" fontId="22" fillId="0" borderId="0" xfId="4" applyNumberFormat="1" applyFont="1"/>
    <xf numFmtId="3" fontId="1" fillId="34" borderId="21" xfId="50" applyNumberFormat="1" applyFont="1" applyFill="1" applyBorder="1" applyAlignment="1" applyProtection="1">
      <alignment vertical="center"/>
    </xf>
    <xf numFmtId="3" fontId="1" fillId="0" borderId="0" xfId="13" applyNumberFormat="1"/>
    <xf numFmtId="39" fontId="1" fillId="40" borderId="17" xfId="19" applyNumberFormat="1" applyFont="1" applyFill="1" applyBorder="1" applyAlignment="1" applyProtection="1">
      <alignment vertical="center"/>
    </xf>
    <xf numFmtId="39" fontId="3" fillId="40" borderId="0" xfId="19" applyNumberFormat="1" applyFont="1" applyFill="1" applyBorder="1" applyAlignment="1" applyProtection="1">
      <alignment vertical="center"/>
    </xf>
    <xf numFmtId="39" fontId="1" fillId="40" borderId="0" xfId="61" applyNumberFormat="1" applyFont="1" applyFill="1" applyBorder="1" applyAlignment="1" applyProtection="1">
      <alignment horizontal="left" vertical="center"/>
    </xf>
    <xf numFmtId="0" fontId="1" fillId="0" borderId="0" xfId="15" applyFont="1" applyFill="1"/>
    <xf numFmtId="168" fontId="1" fillId="10" borderId="0" xfId="49" applyNumberFormat="1" applyFont="1" applyFill="1"/>
    <xf numFmtId="0" fontId="1" fillId="0" borderId="0" xfId="9" quotePrefix="1" applyFont="1"/>
    <xf numFmtId="168" fontId="3" fillId="34" borderId="0" xfId="0" applyNumberFormat="1" applyFont="1" applyFill="1"/>
    <xf numFmtId="4" fontId="52" fillId="0" borderId="0" xfId="0" applyNumberFormat="1" applyFont="1" applyBorder="1" applyAlignment="1">
      <alignment horizontal="right" vertical="center"/>
    </xf>
    <xf numFmtId="0" fontId="1" fillId="0" borderId="0" xfId="0" applyFont="1" applyFill="1" applyAlignment="1">
      <alignment wrapText="1" readingOrder="1"/>
    </xf>
    <xf numFmtId="0" fontId="0" fillId="0" borderId="0" xfId="0" applyAlignment="1">
      <alignment readingOrder="1"/>
    </xf>
    <xf numFmtId="0" fontId="0" fillId="0" borderId="0" xfId="0" applyFill="1" applyAlignment="1">
      <alignment wrapText="1"/>
    </xf>
    <xf numFmtId="0" fontId="0" fillId="0" borderId="0" xfId="0" applyAlignment="1">
      <alignment wrapText="1"/>
    </xf>
    <xf numFmtId="39" fontId="46" fillId="36" borderId="17" xfId="59" applyNumberFormat="1" applyFont="1" applyFill="1" applyBorder="1" applyAlignment="1" applyProtection="1">
      <alignment vertical="center" wrapText="1"/>
    </xf>
    <xf numFmtId="0" fontId="0" fillId="0" borderId="0" xfId="0" applyAlignment="1">
      <alignment vertical="center" wrapText="1"/>
    </xf>
    <xf numFmtId="0" fontId="43" fillId="36" borderId="15" xfId="58" applyFont="1" applyFill="1" applyBorder="1" applyAlignment="1" applyProtection="1">
      <alignment horizontal="left" vertical="center"/>
    </xf>
    <xf numFmtId="0" fontId="43" fillId="36" borderId="1" xfId="58" applyFont="1" applyFill="1" applyBorder="1" applyAlignment="1" applyProtection="1">
      <alignment horizontal="left" vertical="center"/>
    </xf>
    <xf numFmtId="0" fontId="45" fillId="36" borderId="1" xfId="58" applyFont="1" applyFill="1" applyBorder="1" applyAlignment="1" applyProtection="1">
      <alignment horizontal="right" vertical="center" wrapText="1"/>
    </xf>
    <xf numFmtId="0" fontId="1" fillId="0" borderId="1" xfId="0" applyFont="1" applyBorder="1" applyAlignment="1">
      <alignment vertical="center" wrapText="1"/>
    </xf>
    <xf numFmtId="0" fontId="1" fillId="0" borderId="16" xfId="0" applyFont="1" applyBorder="1" applyAlignment="1">
      <alignment vertical="center" wrapText="1"/>
    </xf>
    <xf numFmtId="39" fontId="46" fillId="36" borderId="17" xfId="59" applyNumberFormat="1" applyFont="1" applyFill="1" applyBorder="1" applyAlignment="1" applyProtection="1">
      <alignment vertical="center"/>
    </xf>
    <xf numFmtId="0" fontId="0" fillId="0" borderId="0" xfId="0" applyAlignment="1">
      <alignment vertical="center"/>
    </xf>
    <xf numFmtId="0" fontId="48" fillId="36" borderId="1" xfId="58" applyFont="1" applyFill="1" applyBorder="1" applyAlignment="1" applyProtection="1">
      <alignment horizontal="right" vertical="center" wrapText="1"/>
    </xf>
    <xf numFmtId="0" fontId="0" fillId="0" borderId="1" xfId="0" applyBorder="1" applyAlignment="1">
      <alignment vertical="center" wrapText="1"/>
    </xf>
    <xf numFmtId="0" fontId="0" fillId="0" borderId="16" xfId="0" applyBorder="1" applyAlignment="1">
      <alignment vertical="center" wrapText="1"/>
    </xf>
  </cellXfs>
  <cellStyles count="69">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18"/>
    <cellStyle name="_x000d__x000a_JournalTemplate=C:\COMFO\CTALK\JOURSTD.TPL_x000d__x000a_LbStateAddress=3 3 0 251 1 89 2 311_x000d__x000a_LbStateJou 3" xfId="19"/>
    <cellStyle name="_x000d__x000a_JournalTemplate=C:\COMFO\CTALK\JOURSTD.TPL_x000d__x000a_LbStateAddress=3 3 0 251 1 89 2 311_x000d__x000a_LbStateJou_100720 berekening x-factoren NG4R v4.2" xfId="67"/>
    <cellStyle name="20% - Accent1 2" xfId="20"/>
    <cellStyle name="20% - Accent2 2" xfId="21"/>
    <cellStyle name="20% - Accent3 2" xfId="22"/>
    <cellStyle name="20% - Accent4 2" xfId="23"/>
    <cellStyle name="20% - Accent5 2" xfId="24"/>
    <cellStyle name="20% - Accent6 2" xfId="25"/>
    <cellStyle name="40% - Accent1 2" xfId="26"/>
    <cellStyle name="40% - Accent2 2" xfId="27"/>
    <cellStyle name="40% - Accent3 2" xfId="28"/>
    <cellStyle name="40% - Accent4 2" xfId="29"/>
    <cellStyle name="40% - Accent5 2" xfId="30"/>
    <cellStyle name="40% - Accent6 2" xfId="31"/>
    <cellStyle name="60% - Accent1 2" xfId="32"/>
    <cellStyle name="60% - Accent2 2" xfId="33"/>
    <cellStyle name="60% - Accent3 2" xfId="34"/>
    <cellStyle name="60% - Accent4 2" xfId="35"/>
    <cellStyle name="60% - Accent5 2" xfId="36"/>
    <cellStyle name="60% - Accent6 2" xfId="37"/>
    <cellStyle name="Accent1 2" xfId="38"/>
    <cellStyle name="Accent2 2" xfId="39"/>
    <cellStyle name="Accent3 2" xfId="40"/>
    <cellStyle name="Accent4 2" xfId="41"/>
    <cellStyle name="Accent5 2" xfId="42"/>
    <cellStyle name="Accent6 2" xfId="43"/>
    <cellStyle name="Berekening 2" xfId="44"/>
    <cellStyle name="Controlecel 2" xfId="45"/>
    <cellStyle name="Gekoppelde cel 2" xfId="46"/>
    <cellStyle name="Goed 2" xfId="47"/>
    <cellStyle name="Invoer 2" xfId="48"/>
    <cellStyle name="Komma" xfId="2" builtinId="3"/>
    <cellStyle name="Komma 2" xfId="49"/>
    <cellStyle name="Komma_Tarievenmandje - definitief4" xfId="50"/>
    <cellStyle name="Kop 1 2" xfId="51"/>
    <cellStyle name="Kop 2 2" xfId="52"/>
    <cellStyle name="Kop 3 2" xfId="53"/>
    <cellStyle name="Kop 4 2" xfId="54"/>
    <cellStyle name="Neutraal 2" xfId="55"/>
    <cellStyle name="Normal_Data_2_wrm1_30" xfId="3"/>
    <cellStyle name="Notitie 2" xfId="56"/>
    <cellStyle name="Ongeldig 2" xfId="57"/>
    <cellStyle name="Procent" xfId="4" builtinId="5"/>
    <cellStyle name="Procent 2" xfId="17"/>
    <cellStyle name="Standaard" xfId="0" builtinId="0"/>
    <cellStyle name="Standaard 2" xfId="13"/>
    <cellStyle name="Standaard 2 2" xfId="68"/>
    <cellStyle name="Standaard_103838 Berekeningen XQRV-besluit Herstel NE4R" xfId="5"/>
    <cellStyle name="Standaard_20100727 Rekenmodel NE5R v1.9" xfId="6"/>
    <cellStyle name="Standaard_20110803 Nacalculatieregister gas (WhK)" xfId="7"/>
    <cellStyle name="Standaard_20110830 TI berekening 2012 E - v3 PwA" xfId="8"/>
    <cellStyle name="Standaard_20120514 - Analyse Inkoopkosten Transport v9" xfId="9"/>
    <cellStyle name="Standaard_20120514 - Analyse Inkoopkosten Transport v9 2" xfId="15"/>
    <cellStyle name="Standaard_20120516 - TI-berekening 2013 Elektriciteit (concept) opm HK" xfId="10"/>
    <cellStyle name="Standaard_20120522 - TI-berekening 2013 Gas" xfId="11"/>
    <cellStyle name="Standaard_Handboek TSO (260202)" xfId="58"/>
    <cellStyle name="Standaard_Rekenmodel inkoopkosten transport NE4R v2" xfId="12"/>
    <cellStyle name="Standaard_Rekenmodel inkoopkosten transport NE4R v2 2" xfId="16"/>
    <cellStyle name="Standaard_Tabellen - CIV2" xfId="59"/>
    <cellStyle name="Standaard_Tarievenmand 2002" xfId="60"/>
    <cellStyle name="Standaard_Template Tarievenmand 2002" xfId="61"/>
    <cellStyle name="Titel 2" xfId="62"/>
    <cellStyle name="Totaal 2" xfId="63"/>
    <cellStyle name="Uitvoer 2" xfId="64"/>
    <cellStyle name="Valuta" xfId="14" builtinId="4"/>
    <cellStyle name="Verklarende tekst 2" xfId="65"/>
    <cellStyle name="Waarschuwingstekst 2" xfId="66"/>
  </cellStyles>
  <dxfs count="0"/>
  <tableStyles count="0" defaultTableStyle="TableStyleMedium2" defaultPivotStyle="PivotStyleLight16"/>
  <colors>
    <mruColors>
      <color rgb="FFCCFFCC"/>
      <color rgb="FFFFFF99"/>
      <color rgb="FFFF33CC"/>
      <color rgb="FFCCFFFF"/>
      <color rgb="FFFFFF66"/>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857250</xdr:colOff>
      <xdr:row>37</xdr:row>
      <xdr:rowOff>0</xdr:rowOff>
    </xdr:from>
    <xdr:to>
      <xdr:col>1</xdr:col>
      <xdr:colOff>933450</xdr:colOff>
      <xdr:row>37</xdr:row>
      <xdr:rowOff>0</xdr:rowOff>
    </xdr:to>
    <xdr:sp macro="" textlink="">
      <xdr:nvSpPr>
        <xdr:cNvPr id="4097" name="AutoShape 1"/>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4098" name="AutoShape 2"/>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4099" name="AutoShape 3"/>
        <xdr:cNvSpPr>
          <a:spLocks/>
        </xdr:cNvSpPr>
      </xdr:nvSpPr>
      <xdr:spPr bwMode="auto">
        <a:xfrm>
          <a:off x="1133475" y="71818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28575</xdr:rowOff>
    </xdr:from>
    <xdr:to>
      <xdr:col>1</xdr:col>
      <xdr:colOff>933450</xdr:colOff>
      <xdr:row>40</xdr:row>
      <xdr:rowOff>142875</xdr:rowOff>
    </xdr:to>
    <xdr:sp macro="" textlink="">
      <xdr:nvSpPr>
        <xdr:cNvPr id="4100" name="AutoShape 4"/>
        <xdr:cNvSpPr>
          <a:spLocks/>
        </xdr:cNvSpPr>
      </xdr:nvSpPr>
      <xdr:spPr bwMode="auto">
        <a:xfrm>
          <a:off x="1133475" y="72104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41</xdr:row>
      <xdr:rowOff>28575</xdr:rowOff>
    </xdr:from>
    <xdr:to>
      <xdr:col>1</xdr:col>
      <xdr:colOff>933450</xdr:colOff>
      <xdr:row>44</xdr:row>
      <xdr:rowOff>142875</xdr:rowOff>
    </xdr:to>
    <xdr:sp macro="" textlink="">
      <xdr:nvSpPr>
        <xdr:cNvPr id="4101" name="AutoShape 5"/>
        <xdr:cNvSpPr>
          <a:spLocks/>
        </xdr:cNvSpPr>
      </xdr:nvSpPr>
      <xdr:spPr bwMode="auto">
        <a:xfrm>
          <a:off x="1133475" y="78581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45</xdr:row>
      <xdr:rowOff>28575</xdr:rowOff>
    </xdr:from>
    <xdr:to>
      <xdr:col>1</xdr:col>
      <xdr:colOff>933450</xdr:colOff>
      <xdr:row>48</xdr:row>
      <xdr:rowOff>142875</xdr:rowOff>
    </xdr:to>
    <xdr:sp macro="" textlink="">
      <xdr:nvSpPr>
        <xdr:cNvPr id="4102" name="AutoShape 6"/>
        <xdr:cNvSpPr>
          <a:spLocks/>
        </xdr:cNvSpPr>
      </xdr:nvSpPr>
      <xdr:spPr bwMode="auto">
        <a:xfrm>
          <a:off x="1133475" y="85058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49</xdr:row>
      <xdr:rowOff>28575</xdr:rowOff>
    </xdr:from>
    <xdr:to>
      <xdr:col>1</xdr:col>
      <xdr:colOff>933450</xdr:colOff>
      <xdr:row>52</xdr:row>
      <xdr:rowOff>142875</xdr:rowOff>
    </xdr:to>
    <xdr:sp macro="" textlink="">
      <xdr:nvSpPr>
        <xdr:cNvPr id="4103" name="AutoShape 7"/>
        <xdr:cNvSpPr>
          <a:spLocks/>
        </xdr:cNvSpPr>
      </xdr:nvSpPr>
      <xdr:spPr bwMode="auto">
        <a:xfrm>
          <a:off x="1133475" y="91535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53</xdr:row>
      <xdr:rowOff>28575</xdr:rowOff>
    </xdr:from>
    <xdr:to>
      <xdr:col>1</xdr:col>
      <xdr:colOff>933450</xdr:colOff>
      <xdr:row>56</xdr:row>
      <xdr:rowOff>142875</xdr:rowOff>
    </xdr:to>
    <xdr:sp macro="" textlink="">
      <xdr:nvSpPr>
        <xdr:cNvPr id="4104" name="AutoShape 8"/>
        <xdr:cNvSpPr>
          <a:spLocks/>
        </xdr:cNvSpPr>
      </xdr:nvSpPr>
      <xdr:spPr bwMode="auto">
        <a:xfrm>
          <a:off x="1133475" y="98012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4105" name="AutoShape 9"/>
        <xdr:cNvSpPr>
          <a:spLocks/>
        </xdr:cNvSpPr>
      </xdr:nvSpPr>
      <xdr:spPr bwMode="auto">
        <a:xfrm>
          <a:off x="1133475" y="1044892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4106" name="AutoShape 10"/>
        <xdr:cNvSpPr>
          <a:spLocks/>
        </xdr:cNvSpPr>
      </xdr:nvSpPr>
      <xdr:spPr bwMode="auto">
        <a:xfrm>
          <a:off x="1133475" y="110680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4107" name="AutoShape 11"/>
        <xdr:cNvSpPr>
          <a:spLocks/>
        </xdr:cNvSpPr>
      </xdr:nvSpPr>
      <xdr:spPr bwMode="auto">
        <a:xfrm>
          <a:off x="1133475" y="1106805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28575</xdr:rowOff>
    </xdr:from>
    <xdr:to>
      <xdr:col>1</xdr:col>
      <xdr:colOff>933450</xdr:colOff>
      <xdr:row>64</xdr:row>
      <xdr:rowOff>142875</xdr:rowOff>
    </xdr:to>
    <xdr:sp macro="" textlink="">
      <xdr:nvSpPr>
        <xdr:cNvPr id="13" name="AutoShape 9"/>
        <xdr:cNvSpPr>
          <a:spLocks/>
        </xdr:cNvSpPr>
      </xdr:nvSpPr>
      <xdr:spPr bwMode="auto">
        <a:xfrm>
          <a:off x="1137397" y="10293163"/>
          <a:ext cx="76200" cy="584947"/>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600076</xdr:colOff>
      <xdr:row>3</xdr:row>
      <xdr:rowOff>76200</xdr:rowOff>
    </xdr:from>
    <xdr:to>
      <xdr:col>7</xdr:col>
      <xdr:colOff>605670</xdr:colOff>
      <xdr:row>13</xdr:row>
      <xdr:rowOff>142875</xdr:rowOff>
    </xdr:to>
    <xdr:pic>
      <xdr:nvPicPr>
        <xdr:cNvPr id="2" name="Afbeelding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6" y="600075"/>
          <a:ext cx="4272794"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53"/>
  <sheetViews>
    <sheetView showGridLines="0" tabSelected="1" zoomScale="85" workbookViewId="0"/>
  </sheetViews>
  <sheetFormatPr defaultRowHeight="12.75"/>
  <cols>
    <col min="1" max="1" width="3" customWidth="1"/>
    <col min="2" max="2" width="110.7109375" customWidth="1"/>
  </cols>
  <sheetData>
    <row r="2" spans="2:18" s="2" customFormat="1" ht="18">
      <c r="B2" s="1" t="s">
        <v>42</v>
      </c>
      <c r="C2" s="1"/>
      <c r="F2" s="3"/>
      <c r="G2" s="3"/>
      <c r="H2" s="3"/>
      <c r="I2" s="3"/>
      <c r="J2" s="3"/>
      <c r="K2" s="3"/>
      <c r="L2" s="3"/>
      <c r="M2" s="3"/>
      <c r="N2" s="3"/>
      <c r="O2" s="3"/>
      <c r="P2" s="3"/>
      <c r="Q2" s="3"/>
      <c r="R2" s="3"/>
    </row>
    <row r="5" spans="2:18" s="5" customFormat="1">
      <c r="B5" s="4" t="s">
        <v>50</v>
      </c>
      <c r="C5" s="4"/>
      <c r="D5" s="4"/>
    </row>
    <row r="6" spans="2:18">
      <c r="G6" s="7"/>
      <c r="H6" s="7"/>
      <c r="I6" s="7"/>
      <c r="J6" s="7"/>
      <c r="K6" s="7"/>
      <c r="L6" s="7"/>
      <c r="M6" s="7"/>
      <c r="N6" s="7"/>
      <c r="O6" s="7"/>
      <c r="P6" s="7"/>
      <c r="Q6" s="7"/>
      <c r="R6" s="7"/>
    </row>
    <row r="7" spans="2:18">
      <c r="B7" t="s">
        <v>99</v>
      </c>
      <c r="G7" s="7"/>
      <c r="H7" s="7"/>
      <c r="I7" s="7"/>
      <c r="J7" s="7"/>
      <c r="K7" s="7"/>
      <c r="L7" s="7"/>
      <c r="M7" s="7"/>
      <c r="N7" s="7"/>
      <c r="O7" s="7"/>
      <c r="P7" s="7"/>
      <c r="Q7" s="7"/>
      <c r="R7" s="7"/>
    </row>
    <row r="8" spans="2:18">
      <c r="B8" t="s">
        <v>487</v>
      </c>
      <c r="G8" s="7"/>
      <c r="H8" s="7"/>
      <c r="I8" s="7"/>
      <c r="J8" s="7"/>
      <c r="K8" s="7"/>
      <c r="L8" s="7"/>
      <c r="M8" s="7"/>
      <c r="N8" s="7"/>
      <c r="O8" s="7"/>
      <c r="P8" s="7"/>
      <c r="Q8" s="7"/>
      <c r="R8" s="7"/>
    </row>
    <row r="9" spans="2:18">
      <c r="B9" s="302" t="s">
        <v>490</v>
      </c>
      <c r="G9" s="7"/>
      <c r="H9" s="7"/>
      <c r="I9" s="7"/>
      <c r="J9" s="7"/>
      <c r="K9" s="7"/>
      <c r="L9" s="7"/>
      <c r="M9" s="7"/>
      <c r="N9" s="7"/>
      <c r="O9" s="7"/>
      <c r="P9" s="7"/>
      <c r="Q9" s="7"/>
      <c r="R9" s="7"/>
    </row>
    <row r="10" spans="2:18">
      <c r="B10" s="345"/>
    </row>
    <row r="12" spans="2:18" s="43" customFormat="1">
      <c r="B12" s="42" t="s">
        <v>45</v>
      </c>
    </row>
    <row r="13" spans="2:18" s="41" customFormat="1"/>
    <row r="14" spans="2:18" s="41" customFormat="1">
      <c r="B14" s="44" t="s">
        <v>46</v>
      </c>
    </row>
    <row r="15" spans="2:18" s="41" customFormat="1">
      <c r="B15" s="45"/>
    </row>
    <row r="16" spans="2:18" s="41" customFormat="1">
      <c r="B16" s="46" t="s">
        <v>47</v>
      </c>
    </row>
    <row r="17" spans="2:2" s="41" customFormat="1">
      <c r="B17" s="45"/>
    </row>
    <row r="18" spans="2:2" s="41" customFormat="1">
      <c r="B18" s="47" t="s">
        <v>48</v>
      </c>
    </row>
    <row r="19" spans="2:2" s="41" customFormat="1">
      <c r="B19" s="48"/>
    </row>
    <row r="20" spans="2:2" s="41" customFormat="1">
      <c r="B20" s="49" t="s">
        <v>49</v>
      </c>
    </row>
    <row r="21" spans="2:2" s="41" customFormat="1"/>
    <row r="22" spans="2:2" s="41" customFormat="1">
      <c r="B22" s="303" t="s">
        <v>488</v>
      </c>
    </row>
    <row r="23" spans="2:2" s="41" customFormat="1"/>
    <row r="25" spans="2:2" s="10" customFormat="1"/>
    <row r="26" spans="2:2" s="10" customFormat="1"/>
    <row r="27" spans="2:2" s="10" customFormat="1"/>
    <row r="28" spans="2:2" s="10" customFormat="1"/>
    <row r="29" spans="2:2" s="10" customFormat="1"/>
    <row r="30" spans="2:2" s="10" customFormat="1"/>
    <row r="31" spans="2:2" s="10" customFormat="1"/>
    <row r="32" spans="2:2" s="10" customFormat="1"/>
    <row r="33" s="10" customFormat="1"/>
    <row r="34" s="10" customFormat="1"/>
    <row r="35" s="10" customFormat="1"/>
    <row r="36" s="10" customFormat="1"/>
    <row r="37" s="10" customFormat="1"/>
    <row r="38" s="10" customFormat="1"/>
    <row r="39" s="10" customFormat="1"/>
    <row r="40" s="10" customFormat="1"/>
    <row r="41" s="10" customFormat="1"/>
    <row r="42" s="10" customFormat="1"/>
    <row r="43" s="10" customFormat="1"/>
    <row r="44" s="10" customFormat="1"/>
    <row r="45" s="10" customFormat="1"/>
    <row r="46" s="10" customFormat="1"/>
    <row r="47" s="10" customFormat="1"/>
    <row r="48" s="10" customFormat="1"/>
    <row r="49" s="10" customFormat="1"/>
    <row r="50" s="10" customFormat="1"/>
    <row r="51" s="10" customFormat="1"/>
    <row r="52" s="10" customFormat="1"/>
    <row r="53" s="10" customFormat="1"/>
  </sheetData>
  <phoneticPr fontId="3" type="noConversion"/>
  <pageMargins left="0.75" right="0.75" top="1" bottom="1" header="0.5" footer="0.5"/>
  <pageSetup paperSize="9" scale="6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2:W43"/>
  <sheetViews>
    <sheetView showGridLines="0" zoomScale="85" workbookViewId="0"/>
  </sheetViews>
  <sheetFormatPr defaultRowHeight="12.75"/>
  <cols>
    <col min="1" max="1" width="4.140625" customWidth="1"/>
    <col min="2" max="2" width="58.42578125" customWidth="1"/>
    <col min="3" max="3" width="6.42578125" customWidth="1"/>
    <col min="4" max="4" width="15" customWidth="1"/>
    <col min="5" max="5" width="3.28515625" customWidth="1"/>
    <col min="6" max="6" width="3.5703125" customWidth="1"/>
    <col min="7" max="14" width="14.7109375" customWidth="1"/>
    <col min="15" max="15" width="3.85546875" customWidth="1"/>
  </cols>
  <sheetData>
    <row r="2" spans="2:2" s="2" customFormat="1" ht="30" customHeight="1">
      <c r="B2" s="18" t="s">
        <v>254</v>
      </c>
    </row>
    <row r="5" spans="2:2" s="5" customFormat="1">
      <c r="B5" s="4" t="s">
        <v>42</v>
      </c>
    </row>
    <row r="7" spans="2:2">
      <c r="B7" s="10" t="s">
        <v>34</v>
      </c>
    </row>
    <row r="8" spans="2:2">
      <c r="B8" s="10" t="s">
        <v>98</v>
      </c>
    </row>
    <row r="9" spans="2:2">
      <c r="B9" s="10" t="s">
        <v>60</v>
      </c>
    </row>
    <row r="10" spans="2:2">
      <c r="B10" s="10" t="s">
        <v>88</v>
      </c>
    </row>
    <row r="12" spans="2:2">
      <c r="B12" s="10" t="s">
        <v>61</v>
      </c>
    </row>
    <row r="13" spans="2:2">
      <c r="B13" s="10" t="s">
        <v>73</v>
      </c>
    </row>
    <row r="16" spans="2:2" s="5" customFormat="1">
      <c r="B16" s="4" t="s">
        <v>43</v>
      </c>
    </row>
    <row r="18" spans="1:23" s="29" customFormat="1" ht="60">
      <c r="A18" s="27"/>
      <c r="B18" s="28"/>
      <c r="C18" s="28"/>
      <c r="D18" s="27"/>
      <c r="E18" s="27"/>
      <c r="F18" s="13"/>
      <c r="G18" s="3" t="s">
        <v>2</v>
      </c>
      <c r="H18" s="3" t="s">
        <v>3</v>
      </c>
      <c r="I18" s="3" t="s">
        <v>4</v>
      </c>
      <c r="J18" s="3" t="s">
        <v>5</v>
      </c>
      <c r="K18" s="3" t="s">
        <v>6</v>
      </c>
      <c r="L18" s="3" t="s">
        <v>7</v>
      </c>
      <c r="M18" s="3" t="s">
        <v>8</v>
      </c>
      <c r="N18" s="3" t="s">
        <v>9</v>
      </c>
      <c r="O18" s="13"/>
      <c r="P18" s="13"/>
      <c r="Q18" s="13"/>
      <c r="R18" s="13"/>
      <c r="S18" s="27"/>
      <c r="T18" s="27"/>
      <c r="U18" s="27"/>
      <c r="V18" s="27"/>
      <c r="W18" s="27"/>
    </row>
    <row r="20" spans="1:23">
      <c r="A20" s="10"/>
      <c r="B20" s="16" t="s">
        <v>44</v>
      </c>
      <c r="H20" s="10"/>
      <c r="I20" s="10"/>
      <c r="J20" s="10"/>
      <c r="K20" s="10"/>
      <c r="L20" s="10"/>
      <c r="M20" s="10"/>
      <c r="N20" s="10"/>
    </row>
    <row r="21" spans="1:23">
      <c r="A21" s="10"/>
      <c r="B21" t="s">
        <v>39</v>
      </c>
      <c r="D21" t="s">
        <v>74</v>
      </c>
      <c r="G21" s="100">
        <v>0</v>
      </c>
      <c r="H21" s="100">
        <v>0</v>
      </c>
      <c r="I21" s="100">
        <v>0</v>
      </c>
      <c r="J21" s="100">
        <v>0</v>
      </c>
      <c r="K21" s="100">
        <v>0</v>
      </c>
      <c r="L21" s="100">
        <v>0</v>
      </c>
      <c r="M21" s="100">
        <v>0</v>
      </c>
      <c r="N21" s="100">
        <v>0</v>
      </c>
      <c r="P21" s="33" t="s">
        <v>62</v>
      </c>
    </row>
    <row r="22" spans="1:23">
      <c r="A22" s="10"/>
      <c r="B22" t="s">
        <v>40</v>
      </c>
      <c r="D22" t="s">
        <v>74</v>
      </c>
      <c r="G22" s="100">
        <v>98</v>
      </c>
      <c r="H22" s="100">
        <v>217</v>
      </c>
      <c r="I22" s="100">
        <v>13</v>
      </c>
      <c r="J22" s="100">
        <v>442</v>
      </c>
      <c r="K22" s="100">
        <v>205</v>
      </c>
      <c r="L22" s="100">
        <v>54</v>
      </c>
      <c r="M22" s="100">
        <v>2822</v>
      </c>
      <c r="N22" s="100">
        <v>90</v>
      </c>
      <c r="P22" s="33"/>
    </row>
    <row r="23" spans="1:23">
      <c r="A23" s="10"/>
      <c r="B23" t="s">
        <v>35</v>
      </c>
      <c r="D23" t="s">
        <v>74</v>
      </c>
      <c r="G23" s="100">
        <v>-36</v>
      </c>
      <c r="H23" s="100">
        <v>-125</v>
      </c>
      <c r="I23" s="100">
        <v>-6</v>
      </c>
      <c r="J23" s="100">
        <v>-341</v>
      </c>
      <c r="K23" s="100">
        <v>-161</v>
      </c>
      <c r="L23" s="100">
        <v>-30</v>
      </c>
      <c r="M23" s="100">
        <v>-1755</v>
      </c>
      <c r="N23" s="100">
        <v>-28</v>
      </c>
    </row>
    <row r="24" spans="1:23">
      <c r="A24" s="10"/>
      <c r="B24" t="s">
        <v>36</v>
      </c>
      <c r="D24" t="s">
        <v>74</v>
      </c>
      <c r="G24" s="100">
        <v>-16</v>
      </c>
      <c r="H24" s="100">
        <v>-34</v>
      </c>
      <c r="I24" s="100">
        <v>6</v>
      </c>
      <c r="J24" s="100">
        <v>-6</v>
      </c>
      <c r="K24" s="100">
        <v>0</v>
      </c>
      <c r="L24" s="100">
        <v>-4</v>
      </c>
      <c r="M24" s="100">
        <v>-220</v>
      </c>
      <c r="N24" s="100">
        <v>-30</v>
      </c>
    </row>
    <row r="25" spans="1:23">
      <c r="A25" s="10"/>
      <c r="B25" t="s">
        <v>37</v>
      </c>
      <c r="D25" t="s">
        <v>74</v>
      </c>
      <c r="G25" s="100">
        <v>-19</v>
      </c>
      <c r="H25" s="100">
        <v>-32</v>
      </c>
      <c r="I25" s="100">
        <v>-13</v>
      </c>
      <c r="J25" s="100">
        <v>-32</v>
      </c>
      <c r="K25" s="100">
        <v>-29</v>
      </c>
      <c r="L25" s="100">
        <v>-8</v>
      </c>
      <c r="M25" s="100">
        <v>-606</v>
      </c>
      <c r="N25" s="100">
        <v>-16</v>
      </c>
    </row>
    <row r="26" spans="1:23">
      <c r="A26" s="10"/>
      <c r="B26" t="s">
        <v>38</v>
      </c>
      <c r="D26" t="s">
        <v>74</v>
      </c>
      <c r="G26" s="100">
        <v>-27</v>
      </c>
      <c r="H26" s="100">
        <v>-26</v>
      </c>
      <c r="I26" s="100">
        <v>0</v>
      </c>
      <c r="J26" s="100">
        <v>-63</v>
      </c>
      <c r="K26" s="100">
        <v>-15</v>
      </c>
      <c r="L26" s="100">
        <v>-12</v>
      </c>
      <c r="M26" s="100">
        <v>-241</v>
      </c>
      <c r="N26" s="100">
        <v>-16</v>
      </c>
    </row>
    <row r="29" spans="1:23" s="5" customFormat="1">
      <c r="B29" s="4" t="s">
        <v>255</v>
      </c>
    </row>
    <row r="31" spans="1:23">
      <c r="B31" s="16" t="s">
        <v>255</v>
      </c>
    </row>
    <row r="32" spans="1:23">
      <c r="B32" t="s">
        <v>39</v>
      </c>
      <c r="D32" s="125" t="s">
        <v>54</v>
      </c>
      <c r="G32" s="319">
        <v>2.2349999999999999</v>
      </c>
      <c r="H32" s="319">
        <v>2.0009999999999999</v>
      </c>
      <c r="I32" s="319">
        <v>1.8614999999999999</v>
      </c>
      <c r="J32" s="319">
        <v>1.7215</v>
      </c>
      <c r="K32" s="319">
        <v>1.788</v>
      </c>
      <c r="L32" s="319">
        <v>2.0225</v>
      </c>
      <c r="M32" s="319">
        <v>1.84</v>
      </c>
      <c r="N32" s="319">
        <v>2.1164999999999998</v>
      </c>
      <c r="P32" s="33" t="s">
        <v>361</v>
      </c>
    </row>
    <row r="33" spans="2:14">
      <c r="B33" t="s">
        <v>89</v>
      </c>
      <c r="D33" s="125" t="s">
        <v>54</v>
      </c>
      <c r="G33" s="319">
        <v>178.8</v>
      </c>
      <c r="H33" s="319">
        <v>160.08000000000001</v>
      </c>
      <c r="I33" s="319">
        <v>148.91999999999999</v>
      </c>
      <c r="J33" s="319">
        <v>137.72</v>
      </c>
      <c r="K33" s="319">
        <v>143.04</v>
      </c>
      <c r="L33" s="319">
        <v>161.80000000000001</v>
      </c>
      <c r="M33" s="319">
        <v>147.19999999999999</v>
      </c>
      <c r="N33" s="319">
        <v>169.32</v>
      </c>
    </row>
    <row r="34" spans="2:14">
      <c r="B34" t="s">
        <v>35</v>
      </c>
      <c r="D34" s="125" t="s">
        <v>54</v>
      </c>
      <c r="G34" s="319">
        <v>894</v>
      </c>
      <c r="H34" s="319">
        <v>800.4</v>
      </c>
      <c r="I34" s="319">
        <v>744.6</v>
      </c>
      <c r="J34" s="319">
        <v>688.6</v>
      </c>
      <c r="K34" s="319">
        <v>715.2</v>
      </c>
      <c r="L34" s="319">
        <v>809</v>
      </c>
      <c r="M34" s="319">
        <v>736</v>
      </c>
      <c r="N34" s="319">
        <v>846.6</v>
      </c>
    </row>
    <row r="35" spans="2:14">
      <c r="B35" t="s">
        <v>36</v>
      </c>
      <c r="D35" s="125" t="s">
        <v>54</v>
      </c>
      <c r="G35" s="319">
        <v>1341</v>
      </c>
      <c r="H35" s="319">
        <v>1200.5999999999999</v>
      </c>
      <c r="I35" s="319">
        <v>1116.9000000000001</v>
      </c>
      <c r="J35" s="319">
        <v>1032.9000000000001</v>
      </c>
      <c r="K35" s="319">
        <v>1072.8</v>
      </c>
      <c r="L35" s="319">
        <v>1213.5</v>
      </c>
      <c r="M35" s="319">
        <v>1104</v>
      </c>
      <c r="N35" s="319">
        <v>1269.9000000000001</v>
      </c>
    </row>
    <row r="36" spans="2:14">
      <c r="B36" t="s">
        <v>37</v>
      </c>
      <c r="D36" s="125" t="s">
        <v>54</v>
      </c>
      <c r="G36" s="319">
        <v>1788</v>
      </c>
      <c r="H36" s="319">
        <v>1600.8</v>
      </c>
      <c r="I36" s="319">
        <v>1489.2</v>
      </c>
      <c r="J36" s="319">
        <v>1377.2</v>
      </c>
      <c r="K36" s="319">
        <v>1430.4</v>
      </c>
      <c r="L36" s="319">
        <v>1618</v>
      </c>
      <c r="M36" s="319">
        <v>1472</v>
      </c>
      <c r="N36" s="319">
        <v>1693.2</v>
      </c>
    </row>
    <row r="37" spans="2:14">
      <c r="B37" t="s">
        <v>38</v>
      </c>
      <c r="D37" s="125" t="s">
        <v>54</v>
      </c>
      <c r="G37" s="319">
        <v>2235</v>
      </c>
      <c r="H37" s="319">
        <v>2001</v>
      </c>
      <c r="I37" s="319">
        <v>1861.5</v>
      </c>
      <c r="J37" s="319">
        <v>1721.5</v>
      </c>
      <c r="K37" s="319">
        <v>1788</v>
      </c>
      <c r="L37" s="319">
        <v>2022.5</v>
      </c>
      <c r="M37" s="319">
        <v>1840</v>
      </c>
      <c r="N37" s="319">
        <v>2116.5</v>
      </c>
    </row>
    <row r="40" spans="2:14" s="5" customFormat="1">
      <c r="B40" s="4" t="s">
        <v>53</v>
      </c>
    </row>
    <row r="43" spans="2:14">
      <c r="B43" s="125" t="s">
        <v>256</v>
      </c>
      <c r="D43" s="125" t="s">
        <v>54</v>
      </c>
      <c r="G43" s="32">
        <f t="shared" ref="G43:N43" si="0">-1*(SUMPRODUCT(G21:G26,G32:G37))</f>
        <v>130434.6</v>
      </c>
      <c r="H43" s="32">
        <f t="shared" si="0"/>
        <v>209384.63999999998</v>
      </c>
      <c r="I43" s="32">
        <f t="shared" si="0"/>
        <v>15189.840000000002</v>
      </c>
      <c r="J43" s="32">
        <f t="shared" si="0"/>
        <v>332662.66000000003</v>
      </c>
      <c r="K43" s="32">
        <f t="shared" si="0"/>
        <v>154125.60000000003</v>
      </c>
      <c r="L43" s="32">
        <f t="shared" si="0"/>
        <v>57600.800000000003</v>
      </c>
      <c r="M43" s="32">
        <f t="shared" si="0"/>
        <v>2454633.6</v>
      </c>
      <c r="N43" s="32">
        <f t="shared" si="0"/>
        <v>107518.2</v>
      </c>
    </row>
  </sheetData>
  <phoneticPr fontId="3" type="noConversion"/>
  <pageMargins left="0.75" right="0.75" top="1" bottom="1" header="0.5" footer="0.5"/>
  <pageSetup paperSize="9" scale="46"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Z99"/>
  <sheetViews>
    <sheetView showGridLines="0" zoomScale="85" zoomScaleNormal="85" workbookViewId="0"/>
  </sheetViews>
  <sheetFormatPr defaultRowHeight="12.75"/>
  <cols>
    <col min="1" max="1" width="4.85546875" style="136" customWidth="1"/>
    <col min="2" max="2" width="62" style="136" customWidth="1"/>
    <col min="3" max="3" width="4.42578125" style="136" customWidth="1"/>
    <col min="4" max="4" width="18.28515625" style="136" customWidth="1"/>
    <col min="5" max="5" width="5.85546875" style="136" customWidth="1"/>
    <col min="6" max="6" width="4.140625" style="136" customWidth="1"/>
    <col min="7" max="14" width="15.42578125" style="136" customWidth="1"/>
    <col min="15" max="15" width="5.28515625" style="136" customWidth="1"/>
    <col min="16" max="256" width="9.140625" style="136"/>
    <col min="257" max="257" width="4.85546875" style="136" customWidth="1"/>
    <col min="258" max="258" width="62" style="136" customWidth="1"/>
    <col min="259" max="259" width="4.42578125" style="136" customWidth="1"/>
    <col min="260" max="260" width="18.28515625" style="136" customWidth="1"/>
    <col min="261" max="261" width="5.85546875" style="136" customWidth="1"/>
    <col min="262" max="262" width="4.140625" style="136" customWidth="1"/>
    <col min="263" max="270" width="15.42578125" style="136" customWidth="1"/>
    <col min="271" max="271" width="5.28515625" style="136" customWidth="1"/>
    <col min="272" max="512" width="9.140625" style="136"/>
    <col min="513" max="513" width="4.85546875" style="136" customWidth="1"/>
    <col min="514" max="514" width="62" style="136" customWidth="1"/>
    <col min="515" max="515" width="4.42578125" style="136" customWidth="1"/>
    <col min="516" max="516" width="18.28515625" style="136" customWidth="1"/>
    <col min="517" max="517" width="5.85546875" style="136" customWidth="1"/>
    <col min="518" max="518" width="4.140625" style="136" customWidth="1"/>
    <col min="519" max="526" width="15.42578125" style="136" customWidth="1"/>
    <col min="527" max="527" width="5.28515625" style="136" customWidth="1"/>
    <col min="528" max="768" width="9.140625" style="136"/>
    <col min="769" max="769" width="4.85546875" style="136" customWidth="1"/>
    <col min="770" max="770" width="62" style="136" customWidth="1"/>
    <col min="771" max="771" width="4.42578125" style="136" customWidth="1"/>
    <col min="772" max="772" width="18.28515625" style="136" customWidth="1"/>
    <col min="773" max="773" width="5.85546875" style="136" customWidth="1"/>
    <col min="774" max="774" width="4.140625" style="136" customWidth="1"/>
    <col min="775" max="782" width="15.42578125" style="136" customWidth="1"/>
    <col min="783" max="783" width="5.28515625" style="136" customWidth="1"/>
    <col min="784" max="1024" width="9.140625" style="136"/>
    <col min="1025" max="1025" width="4.85546875" style="136" customWidth="1"/>
    <col min="1026" max="1026" width="62" style="136" customWidth="1"/>
    <col min="1027" max="1027" width="4.42578125" style="136" customWidth="1"/>
    <col min="1028" max="1028" width="18.28515625" style="136" customWidth="1"/>
    <col min="1029" max="1029" width="5.85546875" style="136" customWidth="1"/>
    <col min="1030" max="1030" width="4.140625" style="136" customWidth="1"/>
    <col min="1031" max="1038" width="15.42578125" style="136" customWidth="1"/>
    <col min="1039" max="1039" width="5.28515625" style="136" customWidth="1"/>
    <col min="1040" max="1280" width="9.140625" style="136"/>
    <col min="1281" max="1281" width="4.85546875" style="136" customWidth="1"/>
    <col min="1282" max="1282" width="62" style="136" customWidth="1"/>
    <col min="1283" max="1283" width="4.42578125" style="136" customWidth="1"/>
    <col min="1284" max="1284" width="18.28515625" style="136" customWidth="1"/>
    <col min="1285" max="1285" width="5.85546875" style="136" customWidth="1"/>
    <col min="1286" max="1286" width="4.140625" style="136" customWidth="1"/>
    <col min="1287" max="1294" width="15.42578125" style="136" customWidth="1"/>
    <col min="1295" max="1295" width="5.28515625" style="136" customWidth="1"/>
    <col min="1296" max="1536" width="9.140625" style="136"/>
    <col min="1537" max="1537" width="4.85546875" style="136" customWidth="1"/>
    <col min="1538" max="1538" width="62" style="136" customWidth="1"/>
    <col min="1539" max="1539" width="4.42578125" style="136" customWidth="1"/>
    <col min="1540" max="1540" width="18.28515625" style="136" customWidth="1"/>
    <col min="1541" max="1541" width="5.85546875" style="136" customWidth="1"/>
    <col min="1542" max="1542" width="4.140625" style="136" customWidth="1"/>
    <col min="1543" max="1550" width="15.42578125" style="136" customWidth="1"/>
    <col min="1551" max="1551" width="5.28515625" style="136" customWidth="1"/>
    <col min="1552" max="1792" width="9.140625" style="136"/>
    <col min="1793" max="1793" width="4.85546875" style="136" customWidth="1"/>
    <col min="1794" max="1794" width="62" style="136" customWidth="1"/>
    <col min="1795" max="1795" width="4.42578125" style="136" customWidth="1"/>
    <col min="1796" max="1796" width="18.28515625" style="136" customWidth="1"/>
    <col min="1797" max="1797" width="5.85546875" style="136" customWidth="1"/>
    <col min="1798" max="1798" width="4.140625" style="136" customWidth="1"/>
    <col min="1799" max="1806" width="15.42578125" style="136" customWidth="1"/>
    <col min="1807" max="1807" width="5.28515625" style="136" customWidth="1"/>
    <col min="1808" max="2048" width="9.140625" style="136"/>
    <col min="2049" max="2049" width="4.85546875" style="136" customWidth="1"/>
    <col min="2050" max="2050" width="62" style="136" customWidth="1"/>
    <col min="2051" max="2051" width="4.42578125" style="136" customWidth="1"/>
    <col min="2052" max="2052" width="18.28515625" style="136" customWidth="1"/>
    <col min="2053" max="2053" width="5.85546875" style="136" customWidth="1"/>
    <col min="2054" max="2054" width="4.140625" style="136" customWidth="1"/>
    <col min="2055" max="2062" width="15.42578125" style="136" customWidth="1"/>
    <col min="2063" max="2063" width="5.28515625" style="136" customWidth="1"/>
    <col min="2064" max="2304" width="9.140625" style="136"/>
    <col min="2305" max="2305" width="4.85546875" style="136" customWidth="1"/>
    <col min="2306" max="2306" width="62" style="136" customWidth="1"/>
    <col min="2307" max="2307" width="4.42578125" style="136" customWidth="1"/>
    <col min="2308" max="2308" width="18.28515625" style="136" customWidth="1"/>
    <col min="2309" max="2309" width="5.85546875" style="136" customWidth="1"/>
    <col min="2310" max="2310" width="4.140625" style="136" customWidth="1"/>
    <col min="2311" max="2318" width="15.42578125" style="136" customWidth="1"/>
    <col min="2319" max="2319" width="5.28515625" style="136" customWidth="1"/>
    <col min="2320" max="2560" width="9.140625" style="136"/>
    <col min="2561" max="2561" width="4.85546875" style="136" customWidth="1"/>
    <col min="2562" max="2562" width="62" style="136" customWidth="1"/>
    <col min="2563" max="2563" width="4.42578125" style="136" customWidth="1"/>
    <col min="2564" max="2564" width="18.28515625" style="136" customWidth="1"/>
    <col min="2565" max="2565" width="5.85546875" style="136" customWidth="1"/>
    <col min="2566" max="2566" width="4.140625" style="136" customWidth="1"/>
    <col min="2567" max="2574" width="15.42578125" style="136" customWidth="1"/>
    <col min="2575" max="2575" width="5.28515625" style="136" customWidth="1"/>
    <col min="2576" max="2816" width="9.140625" style="136"/>
    <col min="2817" max="2817" width="4.85546875" style="136" customWidth="1"/>
    <col min="2818" max="2818" width="62" style="136" customWidth="1"/>
    <col min="2819" max="2819" width="4.42578125" style="136" customWidth="1"/>
    <col min="2820" max="2820" width="18.28515625" style="136" customWidth="1"/>
    <col min="2821" max="2821" width="5.85546875" style="136" customWidth="1"/>
    <col min="2822" max="2822" width="4.140625" style="136" customWidth="1"/>
    <col min="2823" max="2830" width="15.42578125" style="136" customWidth="1"/>
    <col min="2831" max="2831" width="5.28515625" style="136" customWidth="1"/>
    <col min="2832" max="3072" width="9.140625" style="136"/>
    <col min="3073" max="3073" width="4.85546875" style="136" customWidth="1"/>
    <col min="3074" max="3074" width="62" style="136" customWidth="1"/>
    <col min="3075" max="3075" width="4.42578125" style="136" customWidth="1"/>
    <col min="3076" max="3076" width="18.28515625" style="136" customWidth="1"/>
    <col min="3077" max="3077" width="5.85546875" style="136" customWidth="1"/>
    <col min="3078" max="3078" width="4.140625" style="136" customWidth="1"/>
    <col min="3079" max="3086" width="15.42578125" style="136" customWidth="1"/>
    <col min="3087" max="3087" width="5.28515625" style="136" customWidth="1"/>
    <col min="3088" max="3328" width="9.140625" style="136"/>
    <col min="3329" max="3329" width="4.85546875" style="136" customWidth="1"/>
    <col min="3330" max="3330" width="62" style="136" customWidth="1"/>
    <col min="3331" max="3331" width="4.42578125" style="136" customWidth="1"/>
    <col min="3332" max="3332" width="18.28515625" style="136" customWidth="1"/>
    <col min="3333" max="3333" width="5.85546875" style="136" customWidth="1"/>
    <col min="3334" max="3334" width="4.140625" style="136" customWidth="1"/>
    <col min="3335" max="3342" width="15.42578125" style="136" customWidth="1"/>
    <col min="3343" max="3343" width="5.28515625" style="136" customWidth="1"/>
    <col min="3344" max="3584" width="9.140625" style="136"/>
    <col min="3585" max="3585" width="4.85546875" style="136" customWidth="1"/>
    <col min="3586" max="3586" width="62" style="136" customWidth="1"/>
    <col min="3587" max="3587" width="4.42578125" style="136" customWidth="1"/>
    <col min="3588" max="3588" width="18.28515625" style="136" customWidth="1"/>
    <col min="3589" max="3589" width="5.85546875" style="136" customWidth="1"/>
    <col min="3590" max="3590" width="4.140625" style="136" customWidth="1"/>
    <col min="3591" max="3598" width="15.42578125" style="136" customWidth="1"/>
    <col min="3599" max="3599" width="5.28515625" style="136" customWidth="1"/>
    <col min="3600" max="3840" width="9.140625" style="136"/>
    <col min="3841" max="3841" width="4.85546875" style="136" customWidth="1"/>
    <col min="3842" max="3842" width="62" style="136" customWidth="1"/>
    <col min="3843" max="3843" width="4.42578125" style="136" customWidth="1"/>
    <col min="3844" max="3844" width="18.28515625" style="136" customWidth="1"/>
    <col min="3845" max="3845" width="5.85546875" style="136" customWidth="1"/>
    <col min="3846" max="3846" width="4.140625" style="136" customWidth="1"/>
    <col min="3847" max="3854" width="15.42578125" style="136" customWidth="1"/>
    <col min="3855" max="3855" width="5.28515625" style="136" customWidth="1"/>
    <col min="3856" max="4096" width="9.140625" style="136"/>
    <col min="4097" max="4097" width="4.85546875" style="136" customWidth="1"/>
    <col min="4098" max="4098" width="62" style="136" customWidth="1"/>
    <col min="4099" max="4099" width="4.42578125" style="136" customWidth="1"/>
    <col min="4100" max="4100" width="18.28515625" style="136" customWidth="1"/>
    <col min="4101" max="4101" width="5.85546875" style="136" customWidth="1"/>
    <col min="4102" max="4102" width="4.140625" style="136" customWidth="1"/>
    <col min="4103" max="4110" width="15.42578125" style="136" customWidth="1"/>
    <col min="4111" max="4111" width="5.28515625" style="136" customWidth="1"/>
    <col min="4112" max="4352" width="9.140625" style="136"/>
    <col min="4353" max="4353" width="4.85546875" style="136" customWidth="1"/>
    <col min="4354" max="4354" width="62" style="136" customWidth="1"/>
    <col min="4355" max="4355" width="4.42578125" style="136" customWidth="1"/>
    <col min="4356" max="4356" width="18.28515625" style="136" customWidth="1"/>
    <col min="4357" max="4357" width="5.85546875" style="136" customWidth="1"/>
    <col min="4358" max="4358" width="4.140625" style="136" customWidth="1"/>
    <col min="4359" max="4366" width="15.42578125" style="136" customWidth="1"/>
    <col min="4367" max="4367" width="5.28515625" style="136" customWidth="1"/>
    <col min="4368" max="4608" width="9.140625" style="136"/>
    <col min="4609" max="4609" width="4.85546875" style="136" customWidth="1"/>
    <col min="4610" max="4610" width="62" style="136" customWidth="1"/>
    <col min="4611" max="4611" width="4.42578125" style="136" customWidth="1"/>
    <col min="4612" max="4612" width="18.28515625" style="136" customWidth="1"/>
    <col min="4613" max="4613" width="5.85546875" style="136" customWidth="1"/>
    <col min="4614" max="4614" width="4.140625" style="136" customWidth="1"/>
    <col min="4615" max="4622" width="15.42578125" style="136" customWidth="1"/>
    <col min="4623" max="4623" width="5.28515625" style="136" customWidth="1"/>
    <col min="4624" max="4864" width="9.140625" style="136"/>
    <col min="4865" max="4865" width="4.85546875" style="136" customWidth="1"/>
    <col min="4866" max="4866" width="62" style="136" customWidth="1"/>
    <col min="4867" max="4867" width="4.42578125" style="136" customWidth="1"/>
    <col min="4868" max="4868" width="18.28515625" style="136" customWidth="1"/>
    <col min="4869" max="4869" width="5.85546875" style="136" customWidth="1"/>
    <col min="4870" max="4870" width="4.140625" style="136" customWidth="1"/>
    <col min="4871" max="4878" width="15.42578125" style="136" customWidth="1"/>
    <col min="4879" max="4879" width="5.28515625" style="136" customWidth="1"/>
    <col min="4880" max="5120" width="9.140625" style="136"/>
    <col min="5121" max="5121" width="4.85546875" style="136" customWidth="1"/>
    <col min="5122" max="5122" width="62" style="136" customWidth="1"/>
    <col min="5123" max="5123" width="4.42578125" style="136" customWidth="1"/>
    <col min="5124" max="5124" width="18.28515625" style="136" customWidth="1"/>
    <col min="5125" max="5125" width="5.85546875" style="136" customWidth="1"/>
    <col min="5126" max="5126" width="4.140625" style="136" customWidth="1"/>
    <col min="5127" max="5134" width="15.42578125" style="136" customWidth="1"/>
    <col min="5135" max="5135" width="5.28515625" style="136" customWidth="1"/>
    <col min="5136" max="5376" width="9.140625" style="136"/>
    <col min="5377" max="5377" width="4.85546875" style="136" customWidth="1"/>
    <col min="5378" max="5378" width="62" style="136" customWidth="1"/>
    <col min="5379" max="5379" width="4.42578125" style="136" customWidth="1"/>
    <col min="5380" max="5380" width="18.28515625" style="136" customWidth="1"/>
    <col min="5381" max="5381" width="5.85546875" style="136" customWidth="1"/>
    <col min="5382" max="5382" width="4.140625" style="136" customWidth="1"/>
    <col min="5383" max="5390" width="15.42578125" style="136" customWidth="1"/>
    <col min="5391" max="5391" width="5.28515625" style="136" customWidth="1"/>
    <col min="5392" max="5632" width="9.140625" style="136"/>
    <col min="5633" max="5633" width="4.85546875" style="136" customWidth="1"/>
    <col min="5634" max="5634" width="62" style="136" customWidth="1"/>
    <col min="5635" max="5635" width="4.42578125" style="136" customWidth="1"/>
    <col min="5636" max="5636" width="18.28515625" style="136" customWidth="1"/>
    <col min="5637" max="5637" width="5.85546875" style="136" customWidth="1"/>
    <col min="5638" max="5638" width="4.140625" style="136" customWidth="1"/>
    <col min="5639" max="5646" width="15.42578125" style="136" customWidth="1"/>
    <col min="5647" max="5647" width="5.28515625" style="136" customWidth="1"/>
    <col min="5648" max="5888" width="9.140625" style="136"/>
    <col min="5889" max="5889" width="4.85546875" style="136" customWidth="1"/>
    <col min="5890" max="5890" width="62" style="136" customWidth="1"/>
    <col min="5891" max="5891" width="4.42578125" style="136" customWidth="1"/>
    <col min="5892" max="5892" width="18.28515625" style="136" customWidth="1"/>
    <col min="5893" max="5893" width="5.85546875" style="136" customWidth="1"/>
    <col min="5894" max="5894" width="4.140625" style="136" customWidth="1"/>
    <col min="5895" max="5902" width="15.42578125" style="136" customWidth="1"/>
    <col min="5903" max="5903" width="5.28515625" style="136" customWidth="1"/>
    <col min="5904" max="6144" width="9.140625" style="136"/>
    <col min="6145" max="6145" width="4.85546875" style="136" customWidth="1"/>
    <col min="6146" max="6146" width="62" style="136" customWidth="1"/>
    <col min="6147" max="6147" width="4.42578125" style="136" customWidth="1"/>
    <col min="6148" max="6148" width="18.28515625" style="136" customWidth="1"/>
    <col min="6149" max="6149" width="5.85546875" style="136" customWidth="1"/>
    <col min="6150" max="6150" width="4.140625" style="136" customWidth="1"/>
    <col min="6151" max="6158" width="15.42578125" style="136" customWidth="1"/>
    <col min="6159" max="6159" width="5.28515625" style="136" customWidth="1"/>
    <col min="6160" max="6400" width="9.140625" style="136"/>
    <col min="6401" max="6401" width="4.85546875" style="136" customWidth="1"/>
    <col min="6402" max="6402" width="62" style="136" customWidth="1"/>
    <col min="6403" max="6403" width="4.42578125" style="136" customWidth="1"/>
    <col min="6404" max="6404" width="18.28515625" style="136" customWidth="1"/>
    <col min="6405" max="6405" width="5.85546875" style="136" customWidth="1"/>
    <col min="6406" max="6406" width="4.140625" style="136" customWidth="1"/>
    <col min="6407" max="6414" width="15.42578125" style="136" customWidth="1"/>
    <col min="6415" max="6415" width="5.28515625" style="136" customWidth="1"/>
    <col min="6416" max="6656" width="9.140625" style="136"/>
    <col min="6657" max="6657" width="4.85546875" style="136" customWidth="1"/>
    <col min="6658" max="6658" width="62" style="136" customWidth="1"/>
    <col min="6659" max="6659" width="4.42578125" style="136" customWidth="1"/>
    <col min="6660" max="6660" width="18.28515625" style="136" customWidth="1"/>
    <col min="6661" max="6661" width="5.85546875" style="136" customWidth="1"/>
    <col min="6662" max="6662" width="4.140625" style="136" customWidth="1"/>
    <col min="6663" max="6670" width="15.42578125" style="136" customWidth="1"/>
    <col min="6671" max="6671" width="5.28515625" style="136" customWidth="1"/>
    <col min="6672" max="6912" width="9.140625" style="136"/>
    <col min="6913" max="6913" width="4.85546875" style="136" customWidth="1"/>
    <col min="6914" max="6914" width="62" style="136" customWidth="1"/>
    <col min="6915" max="6915" width="4.42578125" style="136" customWidth="1"/>
    <col min="6916" max="6916" width="18.28515625" style="136" customWidth="1"/>
    <col min="6917" max="6917" width="5.85546875" style="136" customWidth="1"/>
    <col min="6918" max="6918" width="4.140625" style="136" customWidth="1"/>
    <col min="6919" max="6926" width="15.42578125" style="136" customWidth="1"/>
    <col min="6927" max="6927" width="5.28515625" style="136" customWidth="1"/>
    <col min="6928" max="7168" width="9.140625" style="136"/>
    <col min="7169" max="7169" width="4.85546875" style="136" customWidth="1"/>
    <col min="7170" max="7170" width="62" style="136" customWidth="1"/>
    <col min="7171" max="7171" width="4.42578125" style="136" customWidth="1"/>
    <col min="7172" max="7172" width="18.28515625" style="136" customWidth="1"/>
    <col min="7173" max="7173" width="5.85546875" style="136" customWidth="1"/>
    <col min="7174" max="7174" width="4.140625" style="136" customWidth="1"/>
    <col min="7175" max="7182" width="15.42578125" style="136" customWidth="1"/>
    <col min="7183" max="7183" width="5.28515625" style="136" customWidth="1"/>
    <col min="7184" max="7424" width="9.140625" style="136"/>
    <col min="7425" max="7425" width="4.85546875" style="136" customWidth="1"/>
    <col min="7426" max="7426" width="62" style="136" customWidth="1"/>
    <col min="7427" max="7427" width="4.42578125" style="136" customWidth="1"/>
    <col min="7428" max="7428" width="18.28515625" style="136" customWidth="1"/>
    <col min="7429" max="7429" width="5.85546875" style="136" customWidth="1"/>
    <col min="7430" max="7430" width="4.140625" style="136" customWidth="1"/>
    <col min="7431" max="7438" width="15.42578125" style="136" customWidth="1"/>
    <col min="7439" max="7439" width="5.28515625" style="136" customWidth="1"/>
    <col min="7440" max="7680" width="9.140625" style="136"/>
    <col min="7681" max="7681" width="4.85546875" style="136" customWidth="1"/>
    <col min="7682" max="7682" width="62" style="136" customWidth="1"/>
    <col min="7683" max="7683" width="4.42578125" style="136" customWidth="1"/>
    <col min="7684" max="7684" width="18.28515625" style="136" customWidth="1"/>
    <col min="7685" max="7685" width="5.85546875" style="136" customWidth="1"/>
    <col min="7686" max="7686" width="4.140625" style="136" customWidth="1"/>
    <col min="7687" max="7694" width="15.42578125" style="136" customWidth="1"/>
    <col min="7695" max="7695" width="5.28515625" style="136" customWidth="1"/>
    <col min="7696" max="7936" width="9.140625" style="136"/>
    <col min="7937" max="7937" width="4.85546875" style="136" customWidth="1"/>
    <col min="7938" max="7938" width="62" style="136" customWidth="1"/>
    <col min="7939" max="7939" width="4.42578125" style="136" customWidth="1"/>
    <col min="7940" max="7940" width="18.28515625" style="136" customWidth="1"/>
    <col min="7941" max="7941" width="5.85546875" style="136" customWidth="1"/>
    <col min="7942" max="7942" width="4.140625" style="136" customWidth="1"/>
    <col min="7943" max="7950" width="15.42578125" style="136" customWidth="1"/>
    <col min="7951" max="7951" width="5.28515625" style="136" customWidth="1"/>
    <col min="7952" max="8192" width="9.140625" style="136"/>
    <col min="8193" max="8193" width="4.85546875" style="136" customWidth="1"/>
    <col min="8194" max="8194" width="62" style="136" customWidth="1"/>
    <col min="8195" max="8195" width="4.42578125" style="136" customWidth="1"/>
    <col min="8196" max="8196" width="18.28515625" style="136" customWidth="1"/>
    <col min="8197" max="8197" width="5.85546875" style="136" customWidth="1"/>
    <col min="8198" max="8198" width="4.140625" style="136" customWidth="1"/>
    <col min="8199" max="8206" width="15.42578125" style="136" customWidth="1"/>
    <col min="8207" max="8207" width="5.28515625" style="136" customWidth="1"/>
    <col min="8208" max="8448" width="9.140625" style="136"/>
    <col min="8449" max="8449" width="4.85546875" style="136" customWidth="1"/>
    <col min="8450" max="8450" width="62" style="136" customWidth="1"/>
    <col min="8451" max="8451" width="4.42578125" style="136" customWidth="1"/>
    <col min="8452" max="8452" width="18.28515625" style="136" customWidth="1"/>
    <col min="8453" max="8453" width="5.85546875" style="136" customWidth="1"/>
    <col min="8454" max="8454" width="4.140625" style="136" customWidth="1"/>
    <col min="8455" max="8462" width="15.42578125" style="136" customWidth="1"/>
    <col min="8463" max="8463" width="5.28515625" style="136" customWidth="1"/>
    <col min="8464" max="8704" width="9.140625" style="136"/>
    <col min="8705" max="8705" width="4.85546875" style="136" customWidth="1"/>
    <col min="8706" max="8706" width="62" style="136" customWidth="1"/>
    <col min="8707" max="8707" width="4.42578125" style="136" customWidth="1"/>
    <col min="8708" max="8708" width="18.28515625" style="136" customWidth="1"/>
    <col min="8709" max="8709" width="5.85546875" style="136" customWidth="1"/>
    <col min="8710" max="8710" width="4.140625" style="136" customWidth="1"/>
    <col min="8711" max="8718" width="15.42578125" style="136" customWidth="1"/>
    <col min="8719" max="8719" width="5.28515625" style="136" customWidth="1"/>
    <col min="8720" max="8960" width="9.140625" style="136"/>
    <col min="8961" max="8961" width="4.85546875" style="136" customWidth="1"/>
    <col min="8962" max="8962" width="62" style="136" customWidth="1"/>
    <col min="8963" max="8963" width="4.42578125" style="136" customWidth="1"/>
    <col min="8964" max="8964" width="18.28515625" style="136" customWidth="1"/>
    <col min="8965" max="8965" width="5.85546875" style="136" customWidth="1"/>
    <col min="8966" max="8966" width="4.140625" style="136" customWidth="1"/>
    <col min="8967" max="8974" width="15.42578125" style="136" customWidth="1"/>
    <col min="8975" max="8975" width="5.28515625" style="136" customWidth="1"/>
    <col min="8976" max="9216" width="9.140625" style="136"/>
    <col min="9217" max="9217" width="4.85546875" style="136" customWidth="1"/>
    <col min="9218" max="9218" width="62" style="136" customWidth="1"/>
    <col min="9219" max="9219" width="4.42578125" style="136" customWidth="1"/>
    <col min="9220" max="9220" width="18.28515625" style="136" customWidth="1"/>
    <col min="9221" max="9221" width="5.85546875" style="136" customWidth="1"/>
    <col min="9222" max="9222" width="4.140625" style="136" customWidth="1"/>
    <col min="9223" max="9230" width="15.42578125" style="136" customWidth="1"/>
    <col min="9231" max="9231" width="5.28515625" style="136" customWidth="1"/>
    <col min="9232" max="9472" width="9.140625" style="136"/>
    <col min="9473" max="9473" width="4.85546875" style="136" customWidth="1"/>
    <col min="9474" max="9474" width="62" style="136" customWidth="1"/>
    <col min="9475" max="9475" width="4.42578125" style="136" customWidth="1"/>
    <col min="9476" max="9476" width="18.28515625" style="136" customWidth="1"/>
    <col min="9477" max="9477" width="5.85546875" style="136" customWidth="1"/>
    <col min="9478" max="9478" width="4.140625" style="136" customWidth="1"/>
    <col min="9479" max="9486" width="15.42578125" style="136" customWidth="1"/>
    <col min="9487" max="9487" width="5.28515625" style="136" customWidth="1"/>
    <col min="9488" max="9728" width="9.140625" style="136"/>
    <col min="9729" max="9729" width="4.85546875" style="136" customWidth="1"/>
    <col min="9730" max="9730" width="62" style="136" customWidth="1"/>
    <col min="9731" max="9731" width="4.42578125" style="136" customWidth="1"/>
    <col min="9732" max="9732" width="18.28515625" style="136" customWidth="1"/>
    <col min="9733" max="9733" width="5.85546875" style="136" customWidth="1"/>
    <col min="9734" max="9734" width="4.140625" style="136" customWidth="1"/>
    <col min="9735" max="9742" width="15.42578125" style="136" customWidth="1"/>
    <col min="9743" max="9743" width="5.28515625" style="136" customWidth="1"/>
    <col min="9744" max="9984" width="9.140625" style="136"/>
    <col min="9985" max="9985" width="4.85546875" style="136" customWidth="1"/>
    <col min="9986" max="9986" width="62" style="136" customWidth="1"/>
    <col min="9987" max="9987" width="4.42578125" style="136" customWidth="1"/>
    <col min="9988" max="9988" width="18.28515625" style="136" customWidth="1"/>
    <col min="9989" max="9989" width="5.85546875" style="136" customWidth="1"/>
    <col min="9990" max="9990" width="4.140625" style="136" customWidth="1"/>
    <col min="9991" max="9998" width="15.42578125" style="136" customWidth="1"/>
    <col min="9999" max="9999" width="5.28515625" style="136" customWidth="1"/>
    <col min="10000" max="10240" width="9.140625" style="136"/>
    <col min="10241" max="10241" width="4.85546875" style="136" customWidth="1"/>
    <col min="10242" max="10242" width="62" style="136" customWidth="1"/>
    <col min="10243" max="10243" width="4.42578125" style="136" customWidth="1"/>
    <col min="10244" max="10244" width="18.28515625" style="136" customWidth="1"/>
    <col min="10245" max="10245" width="5.85546875" style="136" customWidth="1"/>
    <col min="10246" max="10246" width="4.140625" style="136" customWidth="1"/>
    <col min="10247" max="10254" width="15.42578125" style="136" customWidth="1"/>
    <col min="10255" max="10255" width="5.28515625" style="136" customWidth="1"/>
    <col min="10256" max="10496" width="9.140625" style="136"/>
    <col min="10497" max="10497" width="4.85546875" style="136" customWidth="1"/>
    <col min="10498" max="10498" width="62" style="136" customWidth="1"/>
    <col min="10499" max="10499" width="4.42578125" style="136" customWidth="1"/>
    <col min="10500" max="10500" width="18.28515625" style="136" customWidth="1"/>
    <col min="10501" max="10501" width="5.85546875" style="136" customWidth="1"/>
    <col min="10502" max="10502" width="4.140625" style="136" customWidth="1"/>
    <col min="10503" max="10510" width="15.42578125" style="136" customWidth="1"/>
    <col min="10511" max="10511" width="5.28515625" style="136" customWidth="1"/>
    <col min="10512" max="10752" width="9.140625" style="136"/>
    <col min="10753" max="10753" width="4.85546875" style="136" customWidth="1"/>
    <col min="10754" max="10754" width="62" style="136" customWidth="1"/>
    <col min="10755" max="10755" width="4.42578125" style="136" customWidth="1"/>
    <col min="10756" max="10756" width="18.28515625" style="136" customWidth="1"/>
    <col min="10757" max="10757" width="5.85546875" style="136" customWidth="1"/>
    <col min="10758" max="10758" width="4.140625" style="136" customWidth="1"/>
    <col min="10759" max="10766" width="15.42578125" style="136" customWidth="1"/>
    <col min="10767" max="10767" width="5.28515625" style="136" customWidth="1"/>
    <col min="10768" max="11008" width="9.140625" style="136"/>
    <col min="11009" max="11009" width="4.85546875" style="136" customWidth="1"/>
    <col min="11010" max="11010" width="62" style="136" customWidth="1"/>
    <col min="11011" max="11011" width="4.42578125" style="136" customWidth="1"/>
    <col min="11012" max="11012" width="18.28515625" style="136" customWidth="1"/>
    <col min="11013" max="11013" width="5.85546875" style="136" customWidth="1"/>
    <col min="11014" max="11014" width="4.140625" style="136" customWidth="1"/>
    <col min="11015" max="11022" width="15.42578125" style="136" customWidth="1"/>
    <col min="11023" max="11023" width="5.28515625" style="136" customWidth="1"/>
    <col min="11024" max="11264" width="9.140625" style="136"/>
    <col min="11265" max="11265" width="4.85546875" style="136" customWidth="1"/>
    <col min="11266" max="11266" width="62" style="136" customWidth="1"/>
    <col min="11267" max="11267" width="4.42578125" style="136" customWidth="1"/>
    <col min="11268" max="11268" width="18.28515625" style="136" customWidth="1"/>
    <col min="11269" max="11269" width="5.85546875" style="136" customWidth="1"/>
    <col min="11270" max="11270" width="4.140625" style="136" customWidth="1"/>
    <col min="11271" max="11278" width="15.42578125" style="136" customWidth="1"/>
    <col min="11279" max="11279" width="5.28515625" style="136" customWidth="1"/>
    <col min="11280" max="11520" width="9.140625" style="136"/>
    <col min="11521" max="11521" width="4.85546875" style="136" customWidth="1"/>
    <col min="11522" max="11522" width="62" style="136" customWidth="1"/>
    <col min="11523" max="11523" width="4.42578125" style="136" customWidth="1"/>
    <col min="11524" max="11524" width="18.28515625" style="136" customWidth="1"/>
    <col min="11525" max="11525" width="5.85546875" style="136" customWidth="1"/>
    <col min="11526" max="11526" width="4.140625" style="136" customWidth="1"/>
    <col min="11527" max="11534" width="15.42578125" style="136" customWidth="1"/>
    <col min="11535" max="11535" width="5.28515625" style="136" customWidth="1"/>
    <col min="11536" max="11776" width="9.140625" style="136"/>
    <col min="11777" max="11777" width="4.85546875" style="136" customWidth="1"/>
    <col min="11778" max="11778" width="62" style="136" customWidth="1"/>
    <col min="11779" max="11779" width="4.42578125" style="136" customWidth="1"/>
    <col min="11780" max="11780" width="18.28515625" style="136" customWidth="1"/>
    <col min="11781" max="11781" width="5.85546875" style="136" customWidth="1"/>
    <col min="11782" max="11782" width="4.140625" style="136" customWidth="1"/>
    <col min="11783" max="11790" width="15.42578125" style="136" customWidth="1"/>
    <col min="11791" max="11791" width="5.28515625" style="136" customWidth="1"/>
    <col min="11792" max="12032" width="9.140625" style="136"/>
    <col min="12033" max="12033" width="4.85546875" style="136" customWidth="1"/>
    <col min="12034" max="12034" width="62" style="136" customWidth="1"/>
    <col min="12035" max="12035" width="4.42578125" style="136" customWidth="1"/>
    <col min="12036" max="12036" width="18.28515625" style="136" customWidth="1"/>
    <col min="12037" max="12037" width="5.85546875" style="136" customWidth="1"/>
    <col min="12038" max="12038" width="4.140625" style="136" customWidth="1"/>
    <col min="12039" max="12046" width="15.42578125" style="136" customWidth="1"/>
    <col min="12047" max="12047" width="5.28515625" style="136" customWidth="1"/>
    <col min="12048" max="12288" width="9.140625" style="136"/>
    <col min="12289" max="12289" width="4.85546875" style="136" customWidth="1"/>
    <col min="12290" max="12290" width="62" style="136" customWidth="1"/>
    <col min="12291" max="12291" width="4.42578125" style="136" customWidth="1"/>
    <col min="12292" max="12292" width="18.28515625" style="136" customWidth="1"/>
    <col min="12293" max="12293" width="5.85546875" style="136" customWidth="1"/>
    <col min="12294" max="12294" width="4.140625" style="136" customWidth="1"/>
    <col min="12295" max="12302" width="15.42578125" style="136" customWidth="1"/>
    <col min="12303" max="12303" width="5.28515625" style="136" customWidth="1"/>
    <col min="12304" max="12544" width="9.140625" style="136"/>
    <col min="12545" max="12545" width="4.85546875" style="136" customWidth="1"/>
    <col min="12546" max="12546" width="62" style="136" customWidth="1"/>
    <col min="12547" max="12547" width="4.42578125" style="136" customWidth="1"/>
    <col min="12548" max="12548" width="18.28515625" style="136" customWidth="1"/>
    <col min="12549" max="12549" width="5.85546875" style="136" customWidth="1"/>
    <col min="12550" max="12550" width="4.140625" style="136" customWidth="1"/>
    <col min="12551" max="12558" width="15.42578125" style="136" customWidth="1"/>
    <col min="12559" max="12559" width="5.28515625" style="136" customWidth="1"/>
    <col min="12560" max="12800" width="9.140625" style="136"/>
    <col min="12801" max="12801" width="4.85546875" style="136" customWidth="1"/>
    <col min="12802" max="12802" width="62" style="136" customWidth="1"/>
    <col min="12803" max="12803" width="4.42578125" style="136" customWidth="1"/>
    <col min="12804" max="12804" width="18.28515625" style="136" customWidth="1"/>
    <col min="12805" max="12805" width="5.85546875" style="136" customWidth="1"/>
    <col min="12806" max="12806" width="4.140625" style="136" customWidth="1"/>
    <col min="12807" max="12814" width="15.42578125" style="136" customWidth="1"/>
    <col min="12815" max="12815" width="5.28515625" style="136" customWidth="1"/>
    <col min="12816" max="13056" width="9.140625" style="136"/>
    <col min="13057" max="13057" width="4.85546875" style="136" customWidth="1"/>
    <col min="13058" max="13058" width="62" style="136" customWidth="1"/>
    <col min="13059" max="13059" width="4.42578125" style="136" customWidth="1"/>
    <col min="13060" max="13060" width="18.28515625" style="136" customWidth="1"/>
    <col min="13061" max="13061" width="5.85546875" style="136" customWidth="1"/>
    <col min="13062" max="13062" width="4.140625" style="136" customWidth="1"/>
    <col min="13063" max="13070" width="15.42578125" style="136" customWidth="1"/>
    <col min="13071" max="13071" width="5.28515625" style="136" customWidth="1"/>
    <col min="13072" max="13312" width="9.140625" style="136"/>
    <col min="13313" max="13313" width="4.85546875" style="136" customWidth="1"/>
    <col min="13314" max="13314" width="62" style="136" customWidth="1"/>
    <col min="13315" max="13315" width="4.42578125" style="136" customWidth="1"/>
    <col min="13316" max="13316" width="18.28515625" style="136" customWidth="1"/>
    <col min="13317" max="13317" width="5.85546875" style="136" customWidth="1"/>
    <col min="13318" max="13318" width="4.140625" style="136" customWidth="1"/>
    <col min="13319" max="13326" width="15.42578125" style="136" customWidth="1"/>
    <col min="13327" max="13327" width="5.28515625" style="136" customWidth="1"/>
    <col min="13328" max="13568" width="9.140625" style="136"/>
    <col min="13569" max="13569" width="4.85546875" style="136" customWidth="1"/>
    <col min="13570" max="13570" width="62" style="136" customWidth="1"/>
    <col min="13571" max="13571" width="4.42578125" style="136" customWidth="1"/>
    <col min="13572" max="13572" width="18.28515625" style="136" customWidth="1"/>
    <col min="13573" max="13573" width="5.85546875" style="136" customWidth="1"/>
    <col min="13574" max="13574" width="4.140625" style="136" customWidth="1"/>
    <col min="13575" max="13582" width="15.42578125" style="136" customWidth="1"/>
    <col min="13583" max="13583" width="5.28515625" style="136" customWidth="1"/>
    <col min="13584" max="13824" width="9.140625" style="136"/>
    <col min="13825" max="13825" width="4.85546875" style="136" customWidth="1"/>
    <col min="13826" max="13826" width="62" style="136" customWidth="1"/>
    <col min="13827" max="13827" width="4.42578125" style="136" customWidth="1"/>
    <col min="13828" max="13828" width="18.28515625" style="136" customWidth="1"/>
    <col min="13829" max="13829" width="5.85546875" style="136" customWidth="1"/>
    <col min="13830" max="13830" width="4.140625" style="136" customWidth="1"/>
    <col min="13831" max="13838" width="15.42578125" style="136" customWidth="1"/>
    <col min="13839" max="13839" width="5.28515625" style="136" customWidth="1"/>
    <col min="13840" max="14080" width="9.140625" style="136"/>
    <col min="14081" max="14081" width="4.85546875" style="136" customWidth="1"/>
    <col min="14082" max="14082" width="62" style="136" customWidth="1"/>
    <col min="14083" max="14083" width="4.42578125" style="136" customWidth="1"/>
    <col min="14084" max="14084" width="18.28515625" style="136" customWidth="1"/>
    <col min="14085" max="14085" width="5.85546875" style="136" customWidth="1"/>
    <col min="14086" max="14086" width="4.140625" style="136" customWidth="1"/>
    <col min="14087" max="14094" width="15.42578125" style="136" customWidth="1"/>
    <col min="14095" max="14095" width="5.28515625" style="136" customWidth="1"/>
    <col min="14096" max="14336" width="9.140625" style="136"/>
    <col min="14337" max="14337" width="4.85546875" style="136" customWidth="1"/>
    <col min="14338" max="14338" width="62" style="136" customWidth="1"/>
    <col min="14339" max="14339" width="4.42578125" style="136" customWidth="1"/>
    <col min="14340" max="14340" width="18.28515625" style="136" customWidth="1"/>
    <col min="14341" max="14341" width="5.85546875" style="136" customWidth="1"/>
    <col min="14342" max="14342" width="4.140625" style="136" customWidth="1"/>
    <col min="14343" max="14350" width="15.42578125" style="136" customWidth="1"/>
    <col min="14351" max="14351" width="5.28515625" style="136" customWidth="1"/>
    <col min="14352" max="14592" width="9.140625" style="136"/>
    <col min="14593" max="14593" width="4.85546875" style="136" customWidth="1"/>
    <col min="14594" max="14594" width="62" style="136" customWidth="1"/>
    <col min="14595" max="14595" width="4.42578125" style="136" customWidth="1"/>
    <col min="14596" max="14596" width="18.28515625" style="136" customWidth="1"/>
    <col min="14597" max="14597" width="5.85546875" style="136" customWidth="1"/>
    <col min="14598" max="14598" width="4.140625" style="136" customWidth="1"/>
    <col min="14599" max="14606" width="15.42578125" style="136" customWidth="1"/>
    <col min="14607" max="14607" width="5.28515625" style="136" customWidth="1"/>
    <col min="14608" max="14848" width="9.140625" style="136"/>
    <col min="14849" max="14849" width="4.85546875" style="136" customWidth="1"/>
    <col min="14850" max="14850" width="62" style="136" customWidth="1"/>
    <col min="14851" max="14851" width="4.42578125" style="136" customWidth="1"/>
    <col min="14852" max="14852" width="18.28515625" style="136" customWidth="1"/>
    <col min="14853" max="14853" width="5.85546875" style="136" customWidth="1"/>
    <col min="14854" max="14854" width="4.140625" style="136" customWidth="1"/>
    <col min="14855" max="14862" width="15.42578125" style="136" customWidth="1"/>
    <col min="14863" max="14863" width="5.28515625" style="136" customWidth="1"/>
    <col min="14864" max="15104" width="9.140625" style="136"/>
    <col min="15105" max="15105" width="4.85546875" style="136" customWidth="1"/>
    <col min="15106" max="15106" width="62" style="136" customWidth="1"/>
    <col min="15107" max="15107" width="4.42578125" style="136" customWidth="1"/>
    <col min="15108" max="15108" width="18.28515625" style="136" customWidth="1"/>
    <col min="15109" max="15109" width="5.85546875" style="136" customWidth="1"/>
    <col min="15110" max="15110" width="4.140625" style="136" customWidth="1"/>
    <col min="15111" max="15118" width="15.42578125" style="136" customWidth="1"/>
    <col min="15119" max="15119" width="5.28515625" style="136" customWidth="1"/>
    <col min="15120" max="15360" width="9.140625" style="136"/>
    <col min="15361" max="15361" width="4.85546875" style="136" customWidth="1"/>
    <col min="15362" max="15362" width="62" style="136" customWidth="1"/>
    <col min="15363" max="15363" width="4.42578125" style="136" customWidth="1"/>
    <col min="15364" max="15364" width="18.28515625" style="136" customWidth="1"/>
    <col min="15365" max="15365" width="5.85546875" style="136" customWidth="1"/>
    <col min="15366" max="15366" width="4.140625" style="136" customWidth="1"/>
    <col min="15367" max="15374" width="15.42578125" style="136" customWidth="1"/>
    <col min="15375" max="15375" width="5.28515625" style="136" customWidth="1"/>
    <col min="15376" max="15616" width="9.140625" style="136"/>
    <col min="15617" max="15617" width="4.85546875" style="136" customWidth="1"/>
    <col min="15618" max="15618" width="62" style="136" customWidth="1"/>
    <col min="15619" max="15619" width="4.42578125" style="136" customWidth="1"/>
    <col min="15620" max="15620" width="18.28515625" style="136" customWidth="1"/>
    <col min="15621" max="15621" width="5.85546875" style="136" customWidth="1"/>
    <col min="15622" max="15622" width="4.140625" style="136" customWidth="1"/>
    <col min="15623" max="15630" width="15.42578125" style="136" customWidth="1"/>
    <col min="15631" max="15631" width="5.28515625" style="136" customWidth="1"/>
    <col min="15632" max="15872" width="9.140625" style="136"/>
    <col min="15873" max="15873" width="4.85546875" style="136" customWidth="1"/>
    <col min="15874" max="15874" width="62" style="136" customWidth="1"/>
    <col min="15875" max="15875" width="4.42578125" style="136" customWidth="1"/>
    <col min="15876" max="15876" width="18.28515625" style="136" customWidth="1"/>
    <col min="15877" max="15877" width="5.85546875" style="136" customWidth="1"/>
    <col min="15878" max="15878" width="4.140625" style="136" customWidth="1"/>
    <col min="15879" max="15886" width="15.42578125" style="136" customWidth="1"/>
    <col min="15887" max="15887" width="5.28515625" style="136" customWidth="1"/>
    <col min="15888" max="16128" width="9.140625" style="136"/>
    <col min="16129" max="16129" width="4.85546875" style="136" customWidth="1"/>
    <col min="16130" max="16130" width="62" style="136" customWidth="1"/>
    <col min="16131" max="16131" width="4.42578125" style="136" customWidth="1"/>
    <col min="16132" max="16132" width="18.28515625" style="136" customWidth="1"/>
    <col min="16133" max="16133" width="5.85546875" style="136" customWidth="1"/>
    <col min="16134" max="16134" width="4.140625" style="136" customWidth="1"/>
    <col min="16135" max="16142" width="15.42578125" style="136" customWidth="1"/>
    <col min="16143" max="16143" width="5.28515625" style="136" customWidth="1"/>
    <col min="16144" max="16384" width="9.140625" style="136"/>
  </cols>
  <sheetData>
    <row r="2" spans="2:7" s="135" customFormat="1" ht="30" customHeight="1">
      <c r="B2" s="83" t="s">
        <v>360</v>
      </c>
    </row>
    <row r="5" spans="2:7" s="140" customFormat="1">
      <c r="B5" s="139" t="s">
        <v>42</v>
      </c>
    </row>
    <row r="6" spans="2:7">
      <c r="B6" s="138"/>
    </row>
    <row r="7" spans="2:7">
      <c r="B7" s="138" t="s">
        <v>353</v>
      </c>
    </row>
    <row r="8" spans="2:7">
      <c r="B8" s="138" t="s">
        <v>359</v>
      </c>
    </row>
    <row r="9" spans="2:7">
      <c r="B9" s="138" t="s">
        <v>473</v>
      </c>
    </row>
    <row r="10" spans="2:7" s="41" customFormat="1">
      <c r="B10" s="112" t="s">
        <v>355</v>
      </c>
    </row>
    <row r="11" spans="2:7" s="41" customFormat="1">
      <c r="B11" s="85"/>
      <c r="C11" s="86"/>
    </row>
    <row r="12" spans="2:7" s="41" customFormat="1">
      <c r="B12" s="113" t="s">
        <v>354</v>
      </c>
      <c r="C12" s="86"/>
    </row>
    <row r="13" spans="2:7" s="41" customFormat="1">
      <c r="B13" s="85" t="s">
        <v>66</v>
      </c>
      <c r="C13" s="86"/>
      <c r="D13" s="313">
        <f>CPI!C9</f>
        <v>3.2000000000000001E-2</v>
      </c>
      <c r="G13" s="23"/>
    </row>
    <row r="14" spans="2:7" s="41" customFormat="1">
      <c r="B14" s="85" t="s">
        <v>67</v>
      </c>
      <c r="C14" s="86"/>
      <c r="D14" s="313">
        <f>CPI!C10</f>
        <v>3.0000000000000001E-3</v>
      </c>
      <c r="G14" s="23"/>
    </row>
    <row r="15" spans="2:7" s="41" customFormat="1">
      <c r="B15" s="85" t="s">
        <v>75</v>
      </c>
      <c r="C15" s="86"/>
      <c r="D15" s="313">
        <f>CPI!C11</f>
        <v>1.4999999999999999E-2</v>
      </c>
      <c r="G15" s="23"/>
    </row>
    <row r="16" spans="2:7" s="41" customFormat="1">
      <c r="B16" s="85" t="s">
        <v>128</v>
      </c>
      <c r="C16" s="86"/>
      <c r="D16" s="313">
        <f>CPI!C12</f>
        <v>2.5999999999999999E-2</v>
      </c>
      <c r="G16" s="23"/>
    </row>
    <row r="17" spans="1:16" s="41" customFormat="1">
      <c r="B17" s="85"/>
      <c r="C17" s="86"/>
      <c r="D17" s="148"/>
      <c r="G17" s="23"/>
    </row>
    <row r="18" spans="1:16" s="41" customFormat="1">
      <c r="B18" s="85" t="s">
        <v>76</v>
      </c>
      <c r="C18" s="86"/>
      <c r="D18" s="314">
        <v>6.2E-2</v>
      </c>
      <c r="G18" s="23" t="s">
        <v>77</v>
      </c>
    </row>
    <row r="19" spans="1:16" s="41" customFormat="1">
      <c r="B19" s="85"/>
      <c r="C19" s="86"/>
      <c r="G19" s="23"/>
    </row>
    <row r="20" spans="1:16" s="41" customFormat="1"/>
    <row r="21" spans="1:16" s="43" customFormat="1">
      <c r="B21" s="42" t="s">
        <v>358</v>
      </c>
    </row>
    <row r="22" spans="1:16" s="41" customFormat="1"/>
    <row r="23" spans="1:16" s="41" customFormat="1">
      <c r="G23" s="120"/>
      <c r="H23" s="120"/>
      <c r="I23" s="120"/>
      <c r="J23" s="120"/>
      <c r="K23" s="120"/>
      <c r="L23" s="120"/>
      <c r="M23" s="120"/>
      <c r="N23" s="120"/>
    </row>
    <row r="24" spans="1:16" s="146" customFormat="1" ht="73.5" customHeight="1">
      <c r="A24" s="145"/>
      <c r="B24" s="87" t="s">
        <v>78</v>
      </c>
      <c r="C24" s="87"/>
      <c r="D24" s="87"/>
      <c r="E24" s="87"/>
      <c r="F24" s="87"/>
      <c r="G24" s="88" t="s">
        <v>2</v>
      </c>
      <c r="H24" s="88" t="s">
        <v>3</v>
      </c>
      <c r="I24" s="88" t="s">
        <v>4</v>
      </c>
      <c r="J24" s="88" t="s">
        <v>5</v>
      </c>
      <c r="K24" s="88" t="s">
        <v>6</v>
      </c>
      <c r="L24" s="88" t="s">
        <v>7</v>
      </c>
      <c r="M24" s="88" t="s">
        <v>8</v>
      </c>
      <c r="N24" s="88" t="s">
        <v>9</v>
      </c>
    </row>
    <row r="25" spans="1:16" s="148" customFormat="1" ht="11.25">
      <c r="A25" s="147"/>
      <c r="B25" s="147"/>
      <c r="C25" s="147"/>
      <c r="D25" s="147"/>
      <c r="E25" s="147"/>
      <c r="F25" s="147"/>
      <c r="G25" s="147"/>
      <c r="H25" s="147"/>
      <c r="I25" s="147"/>
      <c r="J25" s="147"/>
      <c r="K25" s="147"/>
      <c r="L25" s="147"/>
      <c r="M25" s="147"/>
      <c r="N25" s="147"/>
    </row>
    <row r="26" spans="1:16" s="146" customFormat="1" ht="11.25">
      <c r="A26" s="145"/>
      <c r="B26" s="89" t="s">
        <v>51</v>
      </c>
      <c r="C26" s="89"/>
      <c r="D26" s="89"/>
      <c r="E26" s="145"/>
      <c r="F26" s="145"/>
      <c r="G26" s="145"/>
      <c r="H26" s="145"/>
      <c r="I26" s="145"/>
      <c r="J26" s="145"/>
      <c r="K26" s="145"/>
      <c r="L26" s="145"/>
      <c r="M26" s="145"/>
      <c r="N26" s="145"/>
    </row>
    <row r="27" spans="1:16" s="148" customFormat="1" ht="11.25">
      <c r="A27" s="147"/>
      <c r="B27" s="147"/>
      <c r="C27" s="147"/>
      <c r="D27" s="147"/>
      <c r="E27" s="147"/>
      <c r="F27" s="147"/>
      <c r="G27" s="147"/>
      <c r="H27" s="147"/>
      <c r="I27" s="147"/>
      <c r="J27" s="147"/>
      <c r="K27" s="147"/>
      <c r="L27" s="147"/>
      <c r="M27" s="147"/>
      <c r="N27" s="147"/>
    </row>
    <row r="28" spans="1:16" s="148" customFormat="1">
      <c r="A28" s="147"/>
      <c r="B28" s="147" t="s">
        <v>79</v>
      </c>
      <c r="C28" s="147"/>
      <c r="D28" s="136" t="s">
        <v>12</v>
      </c>
      <c r="E28" s="147"/>
      <c r="F28" s="147"/>
      <c r="G28" s="153">
        <v>16416591.9110837</v>
      </c>
      <c r="H28" s="153">
        <v>61323881.157258138</v>
      </c>
      <c r="I28" s="153">
        <v>29887174.666856606</v>
      </c>
      <c r="J28" s="153">
        <v>796581465.14931011</v>
      </c>
      <c r="K28" s="153">
        <v>803275591.52776539</v>
      </c>
      <c r="L28" s="153">
        <v>9610828.9018656407</v>
      </c>
      <c r="M28" s="153">
        <v>564321536.86602449</v>
      </c>
      <c r="N28" s="153">
        <v>39819577.280147642</v>
      </c>
      <c r="P28" s="141" t="s">
        <v>93</v>
      </c>
    </row>
    <row r="29" spans="1:16" s="148" customFormat="1" ht="11.25">
      <c r="A29" s="147"/>
      <c r="B29" s="147"/>
      <c r="C29" s="147"/>
      <c r="D29" s="147"/>
      <c r="E29" s="147"/>
      <c r="F29" s="147"/>
      <c r="G29" s="147"/>
      <c r="H29" s="147"/>
      <c r="I29" s="147"/>
      <c r="J29" s="147"/>
      <c r="K29" s="147"/>
      <c r="L29" s="147"/>
      <c r="M29" s="147"/>
      <c r="N29" s="147"/>
      <c r="P29" s="150"/>
    </row>
    <row r="30" spans="1:16" s="146" customFormat="1" ht="11.25">
      <c r="A30" s="145"/>
      <c r="B30" s="89" t="s">
        <v>13</v>
      </c>
      <c r="C30" s="89"/>
      <c r="D30" s="89"/>
      <c r="E30" s="145"/>
      <c r="F30" s="145"/>
      <c r="G30" s="145"/>
      <c r="H30" s="145"/>
      <c r="I30" s="145"/>
      <c r="J30" s="145"/>
      <c r="K30" s="145"/>
      <c r="L30" s="145"/>
      <c r="M30" s="145"/>
      <c r="N30" s="145"/>
      <c r="P30" s="151"/>
    </row>
    <row r="31" spans="1:16" s="148" customFormat="1" ht="11.25">
      <c r="A31" s="147"/>
      <c r="B31" s="147"/>
      <c r="C31" s="147"/>
      <c r="D31" s="147"/>
      <c r="E31" s="147"/>
      <c r="F31" s="147"/>
      <c r="G31" s="147"/>
      <c r="H31" s="147"/>
      <c r="I31" s="147"/>
      <c r="J31" s="147"/>
      <c r="K31" s="147"/>
      <c r="L31" s="147"/>
      <c r="M31" s="147"/>
      <c r="N31" s="147"/>
      <c r="P31" s="150"/>
    </row>
    <row r="32" spans="1:16" s="148" customFormat="1">
      <c r="A32" s="147"/>
      <c r="B32" s="147" t="s">
        <v>13</v>
      </c>
      <c r="C32" s="147"/>
      <c r="D32" s="136" t="s">
        <v>12</v>
      </c>
      <c r="E32" s="147"/>
      <c r="F32" s="147"/>
      <c r="G32" s="153">
        <v>18545744.015438784</v>
      </c>
      <c r="H32" s="153">
        <v>71361784.276094154</v>
      </c>
      <c r="I32" s="153">
        <v>35698985.922251694</v>
      </c>
      <c r="J32" s="153">
        <v>950639279.7368629</v>
      </c>
      <c r="K32" s="153">
        <v>967330809.5318898</v>
      </c>
      <c r="L32" s="153">
        <v>11590819.302419379</v>
      </c>
      <c r="M32" s="153">
        <v>704125219.52114642</v>
      </c>
      <c r="N32" s="153">
        <v>40222663.275450446</v>
      </c>
      <c r="P32" s="141" t="s">
        <v>93</v>
      </c>
    </row>
    <row r="33" spans="1:16" s="148" customFormat="1" ht="11.25">
      <c r="A33" s="147"/>
      <c r="B33" s="147"/>
      <c r="C33" s="147"/>
      <c r="D33" s="147"/>
      <c r="E33" s="147"/>
      <c r="F33" s="147"/>
      <c r="G33" s="152"/>
      <c r="H33" s="152"/>
      <c r="I33" s="152"/>
      <c r="J33" s="152"/>
      <c r="K33" s="152"/>
      <c r="L33" s="152"/>
      <c r="M33" s="152"/>
      <c r="N33" s="152"/>
      <c r="P33" s="90"/>
    </row>
    <row r="34" spans="1:16" s="148" customFormat="1">
      <c r="A34" s="147"/>
      <c r="B34" s="147" t="s">
        <v>95</v>
      </c>
      <c r="C34" s="147"/>
      <c r="D34" s="136" t="s">
        <v>12</v>
      </c>
      <c r="E34" s="147"/>
      <c r="F34" s="147"/>
      <c r="G34" s="153">
        <v>1028763.0283376739</v>
      </c>
      <c r="H34" s="153">
        <v>495492.00993999996</v>
      </c>
      <c r="I34" s="153">
        <v>0</v>
      </c>
      <c r="J34" s="153">
        <v>1743214</v>
      </c>
      <c r="K34" s="153">
        <v>13690254.666194815</v>
      </c>
      <c r="L34" s="153">
        <v>986010.47563952568</v>
      </c>
      <c r="M34" s="153">
        <v>15505350.921999998</v>
      </c>
      <c r="N34" s="153">
        <v>24413.02</v>
      </c>
      <c r="P34" s="141" t="s">
        <v>93</v>
      </c>
    </row>
    <row r="35" spans="1:16" s="148" customFormat="1" ht="11.25">
      <c r="A35" s="147"/>
      <c r="B35" s="147"/>
      <c r="C35" s="147"/>
      <c r="D35" s="147"/>
      <c r="E35" s="147"/>
      <c r="F35" s="147"/>
      <c r="G35" s="154"/>
      <c r="H35" s="154"/>
      <c r="I35" s="154"/>
      <c r="J35" s="154"/>
      <c r="K35" s="154"/>
      <c r="L35" s="154"/>
      <c r="M35" s="154"/>
      <c r="N35" s="154"/>
    </row>
    <row r="36" spans="1:16" s="146" customFormat="1" ht="11.25">
      <c r="A36" s="145"/>
      <c r="B36" s="89" t="s">
        <v>80</v>
      </c>
      <c r="C36" s="89"/>
      <c r="D36" s="89"/>
      <c r="E36" s="145"/>
      <c r="F36" s="145"/>
      <c r="G36" s="145"/>
      <c r="H36" s="145"/>
      <c r="I36" s="145"/>
      <c r="J36" s="145"/>
      <c r="K36" s="145"/>
      <c r="L36" s="145"/>
      <c r="M36" s="145"/>
      <c r="N36" s="145"/>
    </row>
    <row r="37" spans="1:16" s="148" customFormat="1" ht="11.25">
      <c r="A37" s="147"/>
      <c r="B37" s="147"/>
      <c r="C37" s="147"/>
      <c r="D37" s="147"/>
      <c r="E37" s="147"/>
      <c r="F37" s="147"/>
      <c r="G37" s="147"/>
      <c r="H37" s="147"/>
      <c r="I37" s="147"/>
      <c r="J37" s="147"/>
      <c r="K37" s="147"/>
      <c r="L37" s="147"/>
      <c r="M37" s="147"/>
      <c r="N37" s="147"/>
    </row>
    <row r="38" spans="1:16" s="148" customFormat="1">
      <c r="A38" s="91"/>
      <c r="B38" s="91" t="s">
        <v>78</v>
      </c>
      <c r="C38" s="91"/>
      <c r="D38" s="91"/>
      <c r="E38" s="91"/>
      <c r="F38" s="91"/>
      <c r="G38" s="344">
        <v>-4.2</v>
      </c>
      <c r="H38" s="344">
        <v>-5.2</v>
      </c>
      <c r="I38" s="344">
        <v>-6.2</v>
      </c>
      <c r="J38" s="344">
        <v>-6.1</v>
      </c>
      <c r="K38" s="344">
        <v>-6.4</v>
      </c>
      <c r="L38" s="344">
        <v>-6.5</v>
      </c>
      <c r="M38" s="344">
        <v>-7.7</v>
      </c>
      <c r="N38" s="344">
        <v>-5</v>
      </c>
      <c r="P38" s="141" t="s">
        <v>93</v>
      </c>
    </row>
    <row r="39" spans="1:16" s="41" customFormat="1">
      <c r="G39" s="148"/>
      <c r="H39" s="148"/>
      <c r="I39" s="148"/>
      <c r="J39" s="148"/>
      <c r="K39" s="148"/>
      <c r="L39" s="148"/>
      <c r="M39" s="148"/>
      <c r="N39" s="148"/>
    </row>
    <row r="40" spans="1:16" s="41" customFormat="1">
      <c r="G40" s="148"/>
      <c r="H40" s="148"/>
      <c r="I40" s="148"/>
      <c r="J40" s="148"/>
      <c r="K40" s="148"/>
      <c r="L40" s="148"/>
      <c r="M40" s="148"/>
      <c r="N40" s="148"/>
    </row>
    <row r="41" spans="1:16" s="41" customFormat="1">
      <c r="B41" s="94" t="s">
        <v>82</v>
      </c>
      <c r="C41" s="94"/>
      <c r="D41" s="136" t="s">
        <v>14</v>
      </c>
      <c r="G41" s="310">
        <f>G28*(1-G38/100+$D$15)</f>
        <v>17352337.65001547</v>
      </c>
      <c r="H41" s="310">
        <f t="shared" ref="H41:N41" si="0">H28*(1-H38/100+$D$15)</f>
        <v>65432581.194794431</v>
      </c>
      <c r="I41" s="310">
        <f t="shared" si="0"/>
        <v>32188487.116204564</v>
      </c>
      <c r="J41" s="310">
        <f t="shared" si="0"/>
        <v>857121656.50065756</v>
      </c>
      <c r="K41" s="310">
        <f t="shared" si="0"/>
        <v>866734363.25845885</v>
      </c>
      <c r="L41" s="310">
        <f>L28*(1-L38/100+$D$15)</f>
        <v>10379695.21401489</v>
      </c>
      <c r="M41" s="310">
        <f t="shared" si="0"/>
        <v>616239118.25769866</v>
      </c>
      <c r="N41" s="310">
        <f t="shared" si="0"/>
        <v>42407849.803357236</v>
      </c>
    </row>
    <row r="42" spans="1:16" s="41" customFormat="1">
      <c r="B42" s="94" t="s">
        <v>130</v>
      </c>
      <c r="D42" s="136" t="s">
        <v>15</v>
      </c>
      <c r="G42" s="310">
        <f>G41*(1-G38/100+$D$16)</f>
        <v>18532296.610216524</v>
      </c>
      <c r="H42" s="310">
        <f t="shared" ref="H42:M42" si="1">H41*(1-H38/100+$D$16)</f>
        <v>70536322.527988404</v>
      </c>
      <c r="I42" s="310">
        <f t="shared" si="1"/>
        <v>35021073.98243057</v>
      </c>
      <c r="J42" s="310">
        <f t="shared" si="1"/>
        <v>931691240.61621475</v>
      </c>
      <c r="K42" s="310">
        <f t="shared" si="1"/>
        <v>944740455.95172024</v>
      </c>
      <c r="L42" s="310">
        <f t="shared" si="1"/>
        <v>11324247.478490245</v>
      </c>
      <c r="M42" s="310">
        <f t="shared" si="1"/>
        <v>679711747.4382416</v>
      </c>
      <c r="N42" s="310">
        <f>N41*(1-N38/100+$D$16)</f>
        <v>45630846.388412386</v>
      </c>
    </row>
    <row r="43" spans="1:16" s="41" customFormat="1"/>
    <row r="44" spans="1:16" s="43" customFormat="1">
      <c r="B44" s="42" t="s">
        <v>83</v>
      </c>
      <c r="C44" s="42"/>
    </row>
    <row r="45" spans="1:16" s="41" customFormat="1">
      <c r="E45" s="165"/>
      <c r="F45" s="165"/>
      <c r="G45" s="165"/>
    </row>
    <row r="46" spans="1:16" s="41" customFormat="1">
      <c r="B46" s="94" t="s">
        <v>84</v>
      </c>
      <c r="C46" s="94"/>
    </row>
    <row r="47" spans="1:16" s="41" customFormat="1">
      <c r="B47" s="41" t="s">
        <v>131</v>
      </c>
      <c r="D47" s="136" t="s">
        <v>15</v>
      </c>
      <c r="G47" s="315"/>
      <c r="H47" s="315"/>
      <c r="I47" s="315"/>
      <c r="J47" s="315"/>
      <c r="K47" s="315"/>
      <c r="L47" s="316">
        <v>3953823.4556040927</v>
      </c>
      <c r="M47" s="315"/>
      <c r="N47" s="315"/>
      <c r="P47" s="23" t="s">
        <v>138</v>
      </c>
    </row>
    <row r="48" spans="1:16" s="41" customFormat="1">
      <c r="B48" s="41" t="s">
        <v>132</v>
      </c>
      <c r="D48" s="136" t="s">
        <v>15</v>
      </c>
      <c r="G48" s="315"/>
      <c r="H48" s="315"/>
      <c r="I48" s="315"/>
      <c r="J48" s="315"/>
      <c r="K48" s="315"/>
      <c r="L48" s="316">
        <v>658970.57593401696</v>
      </c>
      <c r="M48" s="315"/>
      <c r="N48" s="315"/>
      <c r="P48" s="23" t="s">
        <v>138</v>
      </c>
    </row>
    <row r="49" spans="2:17" s="41" customFormat="1">
      <c r="G49" s="148"/>
      <c r="H49" s="148"/>
      <c r="I49" s="148"/>
      <c r="J49" s="148"/>
      <c r="K49" s="148"/>
      <c r="L49" s="318"/>
      <c r="M49" s="148"/>
      <c r="N49" s="148"/>
    </row>
    <row r="50" spans="2:17" s="41" customFormat="1">
      <c r="B50" s="41" t="s">
        <v>85</v>
      </c>
      <c r="D50" s="136" t="s">
        <v>15</v>
      </c>
      <c r="G50" s="310">
        <f>G47*$D$18</f>
        <v>0</v>
      </c>
      <c r="H50" s="310">
        <f>H47*$D$18</f>
        <v>0</v>
      </c>
      <c r="I50" s="310">
        <f>I47*$D$18</f>
        <v>0</v>
      </c>
      <c r="J50" s="310">
        <f t="shared" ref="J50:N50" si="2">J47*$D$18</f>
        <v>0</v>
      </c>
      <c r="K50" s="310">
        <f t="shared" si="2"/>
        <v>0</v>
      </c>
      <c r="L50" s="310">
        <f>L47*$D$18</f>
        <v>245137.05424745375</v>
      </c>
      <c r="M50" s="310">
        <f t="shared" si="2"/>
        <v>0</v>
      </c>
      <c r="N50" s="310">
        <f t="shared" si="2"/>
        <v>0</v>
      </c>
      <c r="Q50" s="122"/>
    </row>
    <row r="51" spans="2:17" s="41" customFormat="1">
      <c r="G51" s="148"/>
      <c r="H51" s="148"/>
      <c r="I51" s="148"/>
      <c r="J51" s="148"/>
      <c r="K51" s="148"/>
      <c r="L51" s="148"/>
      <c r="M51" s="148"/>
      <c r="N51" s="148"/>
      <c r="Q51" s="122"/>
    </row>
    <row r="52" spans="2:17" s="41" customFormat="1">
      <c r="B52" s="94" t="s">
        <v>86</v>
      </c>
      <c r="C52" s="94"/>
      <c r="G52" s="148"/>
      <c r="H52" s="148"/>
      <c r="I52" s="148"/>
      <c r="J52" s="148"/>
      <c r="K52" s="148"/>
      <c r="L52" s="148"/>
      <c r="M52" s="148"/>
      <c r="N52" s="148"/>
    </row>
    <row r="53" spans="2:17" s="41" customFormat="1">
      <c r="B53" s="41" t="s">
        <v>134</v>
      </c>
      <c r="D53" s="136" t="s">
        <v>15</v>
      </c>
      <c r="G53" s="317">
        <v>0</v>
      </c>
      <c r="H53" s="317">
        <v>851761.6</v>
      </c>
      <c r="I53" s="317">
        <v>0</v>
      </c>
      <c r="J53" s="317">
        <v>1612169</v>
      </c>
      <c r="K53" s="317">
        <v>29496805</v>
      </c>
      <c r="L53" s="317">
        <v>0</v>
      </c>
      <c r="M53" s="317">
        <v>16832392</v>
      </c>
      <c r="N53" s="317">
        <v>14690.86</v>
      </c>
      <c r="P53" s="23" t="s">
        <v>137</v>
      </c>
    </row>
    <row r="54" spans="2:17" s="41" customFormat="1">
      <c r="B54" s="41" t="s">
        <v>133</v>
      </c>
      <c r="D54" s="136" t="s">
        <v>15</v>
      </c>
      <c r="G54" s="317">
        <v>1484</v>
      </c>
      <c r="H54" s="317">
        <v>0</v>
      </c>
      <c r="I54" s="317">
        <v>0</v>
      </c>
      <c r="J54" s="317">
        <v>0</v>
      </c>
      <c r="K54" s="317">
        <v>0</v>
      </c>
      <c r="L54" s="317">
        <v>0</v>
      </c>
      <c r="M54" s="317">
        <v>0</v>
      </c>
      <c r="N54" s="317">
        <v>0</v>
      </c>
      <c r="P54" s="23" t="s">
        <v>137</v>
      </c>
    </row>
    <row r="55" spans="2:17" s="41" customFormat="1">
      <c r="G55" s="148"/>
      <c r="H55" s="148"/>
      <c r="I55" s="148"/>
      <c r="J55" s="148"/>
      <c r="K55" s="148"/>
      <c r="L55" s="148"/>
      <c r="M55" s="148"/>
      <c r="N55" s="148"/>
    </row>
    <row r="56" spans="2:17" s="41" customFormat="1">
      <c r="B56" s="41" t="s">
        <v>135</v>
      </c>
      <c r="D56" s="136" t="s">
        <v>15</v>
      </c>
      <c r="G56" s="311">
        <f>G48+G50+G53+G54</f>
        <v>1484</v>
      </c>
      <c r="H56" s="311">
        <f t="shared" ref="H56:N56" si="3">H48+H50+H53+H54</f>
        <v>851761.6</v>
      </c>
      <c r="I56" s="311">
        <f t="shared" si="3"/>
        <v>0</v>
      </c>
      <c r="J56" s="311">
        <f t="shared" si="3"/>
        <v>1612169</v>
      </c>
      <c r="K56" s="311">
        <f t="shared" si="3"/>
        <v>29496805</v>
      </c>
      <c r="L56" s="311">
        <f>L48+L50+L53+L54</f>
        <v>904107.63018147065</v>
      </c>
      <c r="M56" s="311">
        <f t="shared" si="3"/>
        <v>16832392</v>
      </c>
      <c r="N56" s="311">
        <f t="shared" si="3"/>
        <v>14690.86</v>
      </c>
    </row>
    <row r="57" spans="2:17" s="41" customFormat="1">
      <c r="B57" s="41" t="s">
        <v>136</v>
      </c>
      <c r="D57" s="136" t="s">
        <v>12</v>
      </c>
      <c r="G57" s="166">
        <f>G56/(1+$D$15)/(1+$D$16)</f>
        <v>1425.0184849095922</v>
      </c>
      <c r="H57" s="166">
        <f>H56/(1+$D$15)/(1+$D$16)</f>
        <v>817908.37246372644</v>
      </c>
      <c r="I57" s="166">
        <f t="shared" ref="I57:N57" si="4">I56/(1+$D$15)/(1+$D$16)</f>
        <v>0</v>
      </c>
      <c r="J57" s="166">
        <f t="shared" si="4"/>
        <v>1548093.4136106551</v>
      </c>
      <c r="K57" s="166">
        <f t="shared" si="4"/>
        <v>28324455.775453966</v>
      </c>
      <c r="L57" s="166">
        <f t="shared" si="4"/>
        <v>868173.91196522978</v>
      </c>
      <c r="M57" s="166">
        <f t="shared" si="4"/>
        <v>16163389.316202383</v>
      </c>
      <c r="N57" s="166">
        <f t="shared" si="4"/>
        <v>14106.972411872595</v>
      </c>
    </row>
    <row r="58" spans="2:17" s="41" customFormat="1">
      <c r="G58" s="8"/>
      <c r="H58" s="148"/>
      <c r="I58" s="148"/>
      <c r="J58" s="148"/>
      <c r="K58" s="148"/>
      <c r="L58" s="148"/>
      <c r="M58" s="148"/>
      <c r="N58" s="148"/>
    </row>
    <row r="59" spans="2:17" s="41" customFormat="1">
      <c r="B59" s="94" t="s">
        <v>96</v>
      </c>
      <c r="G59" s="148"/>
      <c r="H59" s="148"/>
      <c r="I59" s="148"/>
      <c r="J59" s="148"/>
      <c r="K59" s="148"/>
      <c r="L59" s="148"/>
      <c r="M59" s="148"/>
      <c r="N59" s="148"/>
    </row>
    <row r="60" spans="2:17" s="41" customFormat="1">
      <c r="B60" s="121" t="s">
        <v>97</v>
      </c>
      <c r="D60" s="136" t="s">
        <v>12</v>
      </c>
      <c r="G60" s="312">
        <f>G57</f>
        <v>1425.0184849095922</v>
      </c>
      <c r="H60" s="312">
        <f t="shared" ref="H60:N60" si="5">H57</f>
        <v>817908.37246372644</v>
      </c>
      <c r="I60" s="312">
        <f t="shared" si="5"/>
        <v>0</v>
      </c>
      <c r="J60" s="312">
        <f t="shared" si="5"/>
        <v>1548093.4136106551</v>
      </c>
      <c r="K60" s="312">
        <f t="shared" si="5"/>
        <v>28324455.775453966</v>
      </c>
      <c r="L60" s="312">
        <f>L57</f>
        <v>868173.91196522978</v>
      </c>
      <c r="M60" s="312">
        <f t="shared" si="5"/>
        <v>16163389.316202383</v>
      </c>
      <c r="N60" s="312">
        <f t="shared" si="5"/>
        <v>14106.972411872595</v>
      </c>
    </row>
    <row r="61" spans="2:17" s="41" customFormat="1">
      <c r="G61" s="122"/>
      <c r="H61" s="122"/>
      <c r="I61" s="122"/>
      <c r="J61" s="122"/>
      <c r="K61" s="122"/>
      <c r="L61" s="122"/>
      <c r="M61" s="122"/>
      <c r="N61" s="122"/>
    </row>
    <row r="62" spans="2:17" s="41" customFormat="1"/>
    <row r="63" spans="2:17" s="43" customFormat="1">
      <c r="B63" s="42" t="s">
        <v>474</v>
      </c>
      <c r="C63" s="42"/>
    </row>
    <row r="64" spans="2:17" s="41" customFormat="1"/>
    <row r="65" spans="1:16" s="41" customFormat="1"/>
    <row r="66" spans="1:16" s="146" customFormat="1" ht="73.5" customHeight="1">
      <c r="A66" s="145"/>
      <c r="B66" s="87" t="s">
        <v>78</v>
      </c>
      <c r="C66" s="87"/>
      <c r="D66" s="87"/>
      <c r="E66" s="87"/>
      <c r="F66" s="87"/>
      <c r="G66" s="88" t="s">
        <v>2</v>
      </c>
      <c r="H66" s="88" t="s">
        <v>3</v>
      </c>
      <c r="I66" s="88" t="s">
        <v>4</v>
      </c>
      <c r="J66" s="88" t="s">
        <v>5</v>
      </c>
      <c r="K66" s="88" t="s">
        <v>6</v>
      </c>
      <c r="L66" s="88" t="s">
        <v>7</v>
      </c>
      <c r="M66" s="88" t="s">
        <v>8</v>
      </c>
      <c r="N66" s="88" t="s">
        <v>9</v>
      </c>
    </row>
    <row r="67" spans="1:16" s="148" customFormat="1" ht="11.25">
      <c r="A67" s="147"/>
      <c r="B67" s="147"/>
      <c r="C67" s="147"/>
      <c r="D67" s="147"/>
      <c r="E67" s="147"/>
      <c r="F67" s="147"/>
      <c r="G67" s="147"/>
      <c r="H67" s="147"/>
      <c r="I67" s="147"/>
      <c r="J67" s="147"/>
      <c r="K67" s="147"/>
      <c r="L67" s="147"/>
      <c r="M67" s="147"/>
      <c r="N67" s="147"/>
    </row>
    <row r="68" spans="1:16" s="146" customFormat="1" ht="11.25">
      <c r="A68" s="145"/>
      <c r="B68" s="89" t="s">
        <v>94</v>
      </c>
      <c r="C68" s="89"/>
      <c r="D68" s="89"/>
      <c r="E68" s="145"/>
      <c r="F68" s="145"/>
      <c r="G68" s="145"/>
      <c r="H68" s="145"/>
      <c r="I68" s="145"/>
      <c r="J68" s="145"/>
      <c r="K68" s="145"/>
      <c r="L68" s="145"/>
      <c r="M68" s="145"/>
      <c r="N68" s="145"/>
    </row>
    <row r="69" spans="1:16" s="148" customFormat="1" ht="11.25">
      <c r="A69" s="147"/>
      <c r="B69" s="147"/>
      <c r="C69" s="147"/>
      <c r="D69" s="147"/>
      <c r="E69" s="147"/>
      <c r="F69" s="147"/>
      <c r="G69" s="147"/>
      <c r="H69" s="147"/>
      <c r="I69" s="147"/>
      <c r="J69" s="147"/>
      <c r="K69" s="147"/>
      <c r="L69" s="147"/>
      <c r="M69" s="147"/>
      <c r="N69" s="147"/>
    </row>
    <row r="70" spans="1:16" s="148" customFormat="1">
      <c r="A70" s="147"/>
      <c r="B70" s="147" t="s">
        <v>79</v>
      </c>
      <c r="C70" s="147"/>
      <c r="D70" s="136" t="s">
        <v>12</v>
      </c>
      <c r="E70" s="147"/>
      <c r="F70" s="147"/>
      <c r="G70" s="149">
        <f>G28</f>
        <v>16416591.9110837</v>
      </c>
      <c r="H70" s="149">
        <f t="shared" ref="H70:N70" si="6">H28</f>
        <v>61323881.157258138</v>
      </c>
      <c r="I70" s="149">
        <f t="shared" si="6"/>
        <v>29887174.666856606</v>
      </c>
      <c r="J70" s="149">
        <f t="shared" si="6"/>
        <v>796581465.14931011</v>
      </c>
      <c r="K70" s="149">
        <f t="shared" si="6"/>
        <v>803275591.52776539</v>
      </c>
      <c r="L70" s="149">
        <f t="shared" si="6"/>
        <v>9610828.9018656407</v>
      </c>
      <c r="M70" s="149">
        <f t="shared" si="6"/>
        <v>564321536.86602449</v>
      </c>
      <c r="N70" s="149">
        <f t="shared" si="6"/>
        <v>39819577.280147642</v>
      </c>
      <c r="P70" s="150"/>
    </row>
    <row r="71" spans="1:16" s="148" customFormat="1" ht="11.25">
      <c r="A71" s="147"/>
      <c r="B71" s="147"/>
      <c r="C71" s="147"/>
      <c r="D71" s="147"/>
      <c r="E71" s="147"/>
      <c r="F71" s="147"/>
      <c r="G71" s="154"/>
      <c r="H71" s="154"/>
      <c r="I71" s="154"/>
      <c r="J71" s="154"/>
      <c r="K71" s="154"/>
      <c r="L71" s="154"/>
      <c r="M71" s="154"/>
      <c r="N71" s="154"/>
      <c r="P71" s="150"/>
    </row>
    <row r="72" spans="1:16" s="146" customFormat="1" ht="11.25">
      <c r="A72" s="145"/>
      <c r="B72" s="89" t="s">
        <v>13</v>
      </c>
      <c r="C72" s="89"/>
      <c r="D72" s="89"/>
      <c r="E72" s="145"/>
      <c r="F72" s="145"/>
      <c r="G72" s="145"/>
      <c r="H72" s="145"/>
      <c r="I72" s="145"/>
      <c r="J72" s="145"/>
      <c r="K72" s="145"/>
      <c r="L72" s="145"/>
      <c r="M72" s="145"/>
      <c r="N72" s="145"/>
      <c r="P72" s="151"/>
    </row>
    <row r="73" spans="1:16" s="148" customFormat="1" ht="11.25">
      <c r="A73" s="147"/>
      <c r="B73" s="147"/>
      <c r="C73" s="147"/>
      <c r="D73" s="147"/>
      <c r="E73" s="147"/>
      <c r="F73" s="147"/>
      <c r="G73" s="147"/>
      <c r="H73" s="147"/>
      <c r="I73" s="147"/>
      <c r="J73" s="147"/>
      <c r="K73" s="147"/>
      <c r="L73" s="147"/>
      <c r="M73" s="147"/>
      <c r="N73" s="147"/>
      <c r="P73" s="150"/>
    </row>
    <row r="74" spans="1:16" s="148" customFormat="1">
      <c r="A74" s="147"/>
      <c r="B74" s="147" t="s">
        <v>13</v>
      </c>
      <c r="C74" s="147"/>
      <c r="D74" s="136" t="s">
        <v>12</v>
      </c>
      <c r="E74" s="147"/>
      <c r="F74" s="147"/>
      <c r="G74" s="155">
        <f>G32-G34+G60</f>
        <v>17518406.005586021</v>
      </c>
      <c r="H74" s="155">
        <f t="shared" ref="H74:N74" si="7">H32-H34+H60</f>
        <v>71684200.638617888</v>
      </c>
      <c r="I74" s="155">
        <f t="shared" si="7"/>
        <v>35698985.922251694</v>
      </c>
      <c r="J74" s="155">
        <f t="shared" si="7"/>
        <v>950444159.15047359</v>
      </c>
      <c r="K74" s="155">
        <f t="shared" si="7"/>
        <v>981965010.64114892</v>
      </c>
      <c r="L74" s="155">
        <f t="shared" si="7"/>
        <v>11472982.738745084</v>
      </c>
      <c r="M74" s="155">
        <f t="shared" si="7"/>
        <v>704783257.91534877</v>
      </c>
      <c r="N74" s="155">
        <f t="shared" si="7"/>
        <v>40212357.227862313</v>
      </c>
      <c r="P74" s="150"/>
    </row>
    <row r="75" spans="1:16" s="148" customFormat="1" ht="11.25">
      <c r="A75" s="147"/>
      <c r="B75" s="147"/>
      <c r="C75" s="147"/>
      <c r="D75" s="147"/>
      <c r="E75" s="147"/>
      <c r="F75" s="147"/>
      <c r="G75" s="147"/>
      <c r="H75" s="147"/>
      <c r="I75" s="147"/>
      <c r="J75" s="147"/>
      <c r="K75" s="147"/>
      <c r="L75" s="147"/>
      <c r="M75" s="147"/>
      <c r="N75" s="147"/>
    </row>
    <row r="76" spans="1:16" s="146" customFormat="1" ht="11.25">
      <c r="A76" s="145"/>
      <c r="B76" s="89" t="s">
        <v>80</v>
      </c>
      <c r="C76" s="89"/>
      <c r="D76" s="89"/>
      <c r="E76" s="145"/>
      <c r="F76" s="145"/>
      <c r="G76" s="145"/>
      <c r="H76" s="145"/>
      <c r="I76" s="145"/>
      <c r="J76" s="145"/>
      <c r="K76" s="145"/>
      <c r="L76" s="145"/>
      <c r="M76" s="145"/>
      <c r="N76" s="145"/>
    </row>
    <row r="77" spans="1:16" s="148" customFormat="1" ht="11.25">
      <c r="A77" s="147"/>
      <c r="B77" s="147"/>
      <c r="C77" s="147"/>
      <c r="D77" s="147"/>
      <c r="E77" s="147"/>
      <c r="F77" s="147"/>
      <c r="G77" s="147"/>
      <c r="H77" s="147"/>
      <c r="I77" s="147"/>
      <c r="J77" s="147"/>
      <c r="K77" s="147"/>
      <c r="L77" s="147"/>
      <c r="M77" s="147"/>
      <c r="N77" s="147"/>
    </row>
    <row r="78" spans="1:16" s="148" customFormat="1" ht="11.25">
      <c r="A78" s="147"/>
      <c r="B78" s="147" t="s">
        <v>81</v>
      </c>
      <c r="C78" s="147"/>
      <c r="D78" s="147"/>
      <c r="E78" s="147"/>
      <c r="F78" s="147"/>
      <c r="G78" s="156">
        <f>100*(1-(G74/G70)^(1/3))</f>
        <v>-2.1889323157624485</v>
      </c>
      <c r="H78" s="156">
        <f t="shared" ref="H78:N78" si="8">100*(1-(H74/H70)^(1/3))</f>
        <v>-5.3411215226561559</v>
      </c>
      <c r="I78" s="156">
        <f t="shared" si="8"/>
        <v>-6.1020249901691859</v>
      </c>
      <c r="J78" s="156">
        <f t="shared" si="8"/>
        <v>-6.0633816388509842</v>
      </c>
      <c r="K78" s="156">
        <f t="shared" si="8"/>
        <v>-6.9244801734853034</v>
      </c>
      <c r="L78" s="156">
        <f t="shared" si="8"/>
        <v>-6.0812181447659874</v>
      </c>
      <c r="M78" s="156">
        <f>100*(1-(M74/M70)^(1/3))</f>
        <v>-7.690233329537266</v>
      </c>
      <c r="N78" s="156">
        <f t="shared" si="8"/>
        <v>-0.32772448978151125</v>
      </c>
    </row>
    <row r="79" spans="1:16" s="148" customFormat="1" ht="11.25">
      <c r="A79" s="91"/>
      <c r="B79" s="91" t="s">
        <v>78</v>
      </c>
      <c r="C79" s="91"/>
      <c r="D79" s="91"/>
      <c r="E79" s="91"/>
      <c r="F79" s="91"/>
      <c r="G79" s="92">
        <f>IF(G78&gt;0,ROUNDDOWN(G78,1),ROUNDUP(G78,1))</f>
        <v>-2.2000000000000002</v>
      </c>
      <c r="H79" s="92">
        <f t="shared" ref="H79:L79" si="9">IF(H78&gt;0,ROUNDDOWN(H78,1),ROUNDUP(H78,1))</f>
        <v>-5.3999999999999995</v>
      </c>
      <c r="I79" s="92">
        <f t="shared" si="9"/>
        <v>-6.1999999999999993</v>
      </c>
      <c r="J79" s="92">
        <f t="shared" si="9"/>
        <v>-6.1</v>
      </c>
      <c r="K79" s="92">
        <f t="shared" si="9"/>
        <v>-7</v>
      </c>
      <c r="L79" s="92">
        <f t="shared" si="9"/>
        <v>-6.1</v>
      </c>
      <c r="M79" s="92">
        <f>IF(M78&gt;0,ROUNDDOWN(M78,1),ROUNDUP(M78,1))</f>
        <v>-7.6999999999999993</v>
      </c>
      <c r="N79" s="93">
        <v>-5</v>
      </c>
    </row>
    <row r="80" spans="1:16" s="41" customFormat="1"/>
    <row r="81" spans="1:26" s="41" customFormat="1"/>
    <row r="82" spans="1:26" s="41" customFormat="1">
      <c r="B82" s="94" t="s">
        <v>87</v>
      </c>
      <c r="C82" s="94"/>
      <c r="D82" s="136" t="s">
        <v>14</v>
      </c>
      <c r="G82" s="155">
        <f>G70*(1-G79/100+$D$15)</f>
        <v>17024005.811793797</v>
      </c>
      <c r="H82" s="155">
        <f t="shared" ref="H82:N82" si="10">H70*(1-H79/100+$D$15)</f>
        <v>65555228.957108945</v>
      </c>
      <c r="I82" s="155">
        <f t="shared" si="10"/>
        <v>32188487.116204564</v>
      </c>
      <c r="J82" s="155">
        <f t="shared" si="10"/>
        <v>857121656.50065756</v>
      </c>
      <c r="K82" s="155">
        <f t="shared" si="10"/>
        <v>871554016.80762541</v>
      </c>
      <c r="L82" s="155">
        <f t="shared" si="10"/>
        <v>10341251.898407428</v>
      </c>
      <c r="M82" s="155">
        <f>M70*(1-M79/100+$D$15)</f>
        <v>616239118.25769866</v>
      </c>
      <c r="N82" s="155">
        <f t="shared" si="10"/>
        <v>42407849.803357236</v>
      </c>
    </row>
    <row r="83" spans="1:26" s="41" customFormat="1">
      <c r="B83" s="94" t="s">
        <v>139</v>
      </c>
      <c r="C83" s="94"/>
      <c r="D83" s="136" t="s">
        <v>15</v>
      </c>
      <c r="G83" s="166">
        <f>G82*(1-G79/100+$D$16)</f>
        <v>17841158.090759899</v>
      </c>
      <c r="H83" s="166">
        <f t="shared" ref="H83:N83" si="11">H82*(1-H79/100+$D$16)</f>
        <v>70799647.273677662</v>
      </c>
      <c r="I83" s="166">
        <f t="shared" si="11"/>
        <v>35021073.98243057</v>
      </c>
      <c r="J83" s="166">
        <f t="shared" si="11"/>
        <v>931691240.61621475</v>
      </c>
      <c r="K83" s="166">
        <f t="shared" si="11"/>
        <v>955223202.42115748</v>
      </c>
      <c r="L83" s="166">
        <f>L82*(1-L79/100+$D$16)</f>
        <v>11240940.813568873</v>
      </c>
      <c r="M83" s="166">
        <f t="shared" si="11"/>
        <v>679711747.4382416</v>
      </c>
      <c r="N83" s="166">
        <f t="shared" si="11"/>
        <v>45630846.388412386</v>
      </c>
    </row>
    <row r="85" spans="1:26" s="140" customFormat="1">
      <c r="B85" s="139" t="s">
        <v>143</v>
      </c>
    </row>
    <row r="88" spans="1:26" s="160" customFormat="1" ht="60">
      <c r="A88" s="157"/>
      <c r="B88" s="158" t="s">
        <v>57</v>
      </c>
      <c r="C88" s="159"/>
      <c r="D88" s="157"/>
      <c r="E88" s="157"/>
      <c r="F88" s="13"/>
      <c r="G88" s="3" t="s">
        <v>2</v>
      </c>
      <c r="H88" s="3" t="s">
        <v>3</v>
      </c>
      <c r="I88" s="3" t="s">
        <v>4</v>
      </c>
      <c r="J88" s="3" t="s">
        <v>5</v>
      </c>
      <c r="K88" s="3" t="s">
        <v>6</v>
      </c>
      <c r="L88" s="3" t="s">
        <v>7</v>
      </c>
      <c r="M88" s="3" t="s">
        <v>8</v>
      </c>
      <c r="N88" s="3" t="s">
        <v>9</v>
      </c>
      <c r="O88" s="13"/>
      <c r="P88" s="13"/>
      <c r="Q88" s="13"/>
      <c r="R88" s="13"/>
      <c r="S88" s="157"/>
      <c r="T88" s="157"/>
      <c r="U88" s="157"/>
      <c r="V88" s="157"/>
      <c r="W88" s="157"/>
      <c r="X88" s="157"/>
      <c r="Y88" s="157"/>
      <c r="Z88" s="157"/>
    </row>
    <row r="89" spans="1:26" s="161" customFormat="1">
      <c r="B89" s="158"/>
      <c r="C89" s="158"/>
      <c r="F89" s="13"/>
      <c r="G89" s="13"/>
      <c r="H89" s="13"/>
      <c r="I89" s="13"/>
      <c r="J89" s="13"/>
      <c r="K89" s="13"/>
      <c r="L89" s="13"/>
      <c r="M89" s="13"/>
      <c r="N89" s="13"/>
      <c r="O89" s="13"/>
      <c r="P89" s="13"/>
      <c r="Q89" s="13"/>
      <c r="R89" s="13"/>
    </row>
    <row r="90" spans="1:26" s="161" customFormat="1">
      <c r="B90" s="136" t="s">
        <v>140</v>
      </c>
      <c r="C90" s="136"/>
      <c r="D90" s="136" t="s">
        <v>15</v>
      </c>
      <c r="E90" s="138"/>
      <c r="F90" s="136"/>
      <c r="G90" s="84">
        <f>G42</f>
        <v>18532296.610216524</v>
      </c>
      <c r="H90" s="84">
        <f t="shared" ref="H90:N90" si="12">H42</f>
        <v>70536322.527988404</v>
      </c>
      <c r="I90" s="84">
        <f t="shared" si="12"/>
        <v>35021073.98243057</v>
      </c>
      <c r="J90" s="84">
        <f t="shared" si="12"/>
        <v>931691240.61621475</v>
      </c>
      <c r="K90" s="84">
        <f t="shared" si="12"/>
        <v>944740455.95172024</v>
      </c>
      <c r="L90" s="84">
        <f>L42</f>
        <v>11324247.478490245</v>
      </c>
      <c r="M90" s="84">
        <f t="shared" si="12"/>
        <v>679711747.4382416</v>
      </c>
      <c r="N90" s="84">
        <f t="shared" si="12"/>
        <v>45630846.388412386</v>
      </c>
      <c r="O90" s="31"/>
      <c r="P90" s="141"/>
      <c r="Q90" s="31"/>
      <c r="R90" s="31"/>
    </row>
    <row r="91" spans="1:26" s="161" customFormat="1">
      <c r="B91" s="162" t="s">
        <v>58</v>
      </c>
      <c r="C91" s="158"/>
      <c r="F91" s="13"/>
      <c r="G91" s="307"/>
      <c r="H91" s="307"/>
      <c r="I91" s="307"/>
      <c r="J91" s="307"/>
      <c r="K91" s="307"/>
      <c r="L91" s="307"/>
      <c r="M91" s="307"/>
      <c r="N91" s="307"/>
      <c r="O91" s="13"/>
      <c r="P91" s="13"/>
      <c r="Q91" s="13"/>
      <c r="R91" s="13"/>
    </row>
    <row r="92" spans="1:26" s="161" customFormat="1">
      <c r="B92" s="158"/>
      <c r="C92" s="158"/>
      <c r="F92" s="13"/>
      <c r="G92" s="307"/>
      <c r="H92" s="307"/>
      <c r="I92" s="307"/>
      <c r="J92" s="307"/>
      <c r="K92" s="307"/>
      <c r="L92" s="307"/>
      <c r="M92" s="307"/>
      <c r="N92" s="307"/>
      <c r="O92" s="13"/>
      <c r="P92" s="13"/>
      <c r="Q92" s="13"/>
      <c r="R92" s="13"/>
    </row>
    <row r="93" spans="1:26">
      <c r="B93" s="136" t="s">
        <v>141</v>
      </c>
      <c r="D93" s="136" t="s">
        <v>15</v>
      </c>
      <c r="E93" s="138"/>
      <c r="G93" s="84">
        <f>G83</f>
        <v>17841158.090759899</v>
      </c>
      <c r="H93" s="84">
        <f t="shared" ref="H93:N93" si="13">H83</f>
        <v>70799647.273677662</v>
      </c>
      <c r="I93" s="84">
        <f t="shared" si="13"/>
        <v>35021073.98243057</v>
      </c>
      <c r="J93" s="84">
        <f t="shared" si="13"/>
        <v>931691240.61621475</v>
      </c>
      <c r="K93" s="84">
        <f t="shared" si="13"/>
        <v>955223202.42115748</v>
      </c>
      <c r="L93" s="84">
        <f>L83</f>
        <v>11240940.813568873</v>
      </c>
      <c r="M93" s="84">
        <f t="shared" si="13"/>
        <v>679711747.4382416</v>
      </c>
      <c r="N93" s="84">
        <f t="shared" si="13"/>
        <v>45630846.388412386</v>
      </c>
      <c r="O93" s="31"/>
      <c r="P93" s="141"/>
      <c r="Q93" s="31"/>
      <c r="R93" s="31"/>
      <c r="S93" s="157"/>
      <c r="T93" s="157"/>
      <c r="U93" s="157"/>
      <c r="V93" s="157"/>
      <c r="W93" s="157"/>
      <c r="X93" s="157"/>
      <c r="Y93" s="157"/>
      <c r="Z93" s="157"/>
    </row>
    <row r="94" spans="1:26">
      <c r="B94" s="162" t="s">
        <v>59</v>
      </c>
      <c r="E94" s="138"/>
      <c r="G94" s="308"/>
      <c r="H94" s="308"/>
      <c r="I94" s="308"/>
      <c r="J94" s="308"/>
      <c r="K94" s="308"/>
      <c r="L94" s="308"/>
      <c r="M94" s="308"/>
      <c r="N94" s="308"/>
    </row>
    <row r="95" spans="1:26">
      <c r="B95" s="158"/>
      <c r="E95" s="138"/>
      <c r="G95" s="308"/>
      <c r="H95" s="308"/>
      <c r="I95" s="308"/>
      <c r="J95" s="308"/>
      <c r="K95" s="308"/>
      <c r="L95" s="308"/>
      <c r="M95" s="308"/>
      <c r="N95" s="308"/>
    </row>
    <row r="96" spans="1:26">
      <c r="B96" s="136" t="s">
        <v>142</v>
      </c>
      <c r="D96" s="136" t="s">
        <v>15</v>
      </c>
      <c r="E96" s="138"/>
      <c r="G96" s="309">
        <f>G93-G90</f>
        <v>-691138.51945662498</v>
      </c>
      <c r="H96" s="309">
        <f t="shared" ref="H96:N96" si="14">H93-H90</f>
        <v>263324.74568925798</v>
      </c>
      <c r="I96" s="309">
        <f t="shared" si="14"/>
        <v>0</v>
      </c>
      <c r="J96" s="309">
        <f t="shared" si="14"/>
        <v>0</v>
      </c>
      <c r="K96" s="309">
        <f t="shared" si="14"/>
        <v>10482746.469437242</v>
      </c>
      <c r="L96" s="309">
        <f t="shared" si="14"/>
        <v>-83306.664921371266</v>
      </c>
      <c r="M96" s="309">
        <f t="shared" si="14"/>
        <v>0</v>
      </c>
      <c r="N96" s="309">
        <f t="shared" si="14"/>
        <v>0</v>
      </c>
      <c r="O96" s="164"/>
      <c r="P96" s="164"/>
      <c r="Q96" s="164"/>
      <c r="R96" s="164"/>
      <c r="S96" s="157"/>
      <c r="T96" s="157"/>
      <c r="U96" s="157"/>
      <c r="V96" s="157"/>
      <c r="W96" s="157"/>
      <c r="X96" s="157"/>
      <c r="Y96" s="157"/>
      <c r="Z96" s="157"/>
    </row>
    <row r="97" spans="5:5">
      <c r="E97" s="138"/>
    </row>
    <row r="98" spans="5:5">
      <c r="E98" s="138"/>
    </row>
    <row r="99" spans="5:5">
      <c r="E99" s="138"/>
    </row>
  </sheetData>
  <pageMargins left="0.74803149606299213" right="0.74803149606299213" top="0.98425196850393704" bottom="0.98425196850393704" header="0.51181102362204722" footer="0.51181102362204722"/>
  <pageSetup paperSize="8" scale="48"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L124"/>
  <sheetViews>
    <sheetView showGridLines="0" zoomScale="85" zoomScaleNormal="85" workbookViewId="0">
      <pane xSplit="4" ySplit="14" topLeftCell="E15" activePane="bottomRight" state="frozen"/>
      <selection activeCell="A52" sqref="A52"/>
      <selection pane="topRight" activeCell="A52" sqref="A52"/>
      <selection pane="bottomLeft" activeCell="A52" sqref="A52"/>
      <selection pane="bottomRight"/>
    </sheetView>
  </sheetViews>
  <sheetFormatPr defaultRowHeight="12.75"/>
  <cols>
    <col min="1" max="1" width="3.42578125" style="169" customWidth="1"/>
    <col min="2" max="2" width="64.28515625" style="169" customWidth="1"/>
    <col min="3" max="3" width="7.140625" style="169" customWidth="1"/>
    <col min="4" max="4" width="18" style="169" customWidth="1"/>
    <col min="5" max="5" width="11.7109375" style="169" customWidth="1"/>
    <col min="6" max="6" width="4.140625" style="169" customWidth="1"/>
    <col min="7" max="8" width="12.5703125" style="169" customWidth="1"/>
    <col min="9" max="9" width="15.140625" style="169" customWidth="1"/>
    <col min="10" max="14" width="12.5703125" style="169" customWidth="1"/>
    <col min="15" max="15" width="16" style="169" customWidth="1"/>
    <col min="16" max="16" width="4.42578125" style="169" customWidth="1"/>
    <col min="17" max="17" width="21.28515625" style="169" customWidth="1"/>
    <col min="18" max="18" width="11.42578125" style="169" bestFit="1" customWidth="1"/>
    <col min="19" max="24" width="9.140625" style="169"/>
    <col min="25" max="25" width="10.28515625" style="169" bestFit="1" customWidth="1"/>
    <col min="26" max="16384" width="9.140625" style="169"/>
  </cols>
  <sheetData>
    <row r="2" spans="1:18" s="167" customFormat="1" ht="15.75">
      <c r="B2" s="168" t="s">
        <v>357</v>
      </c>
    </row>
    <row r="4" spans="1:18" s="140" customFormat="1">
      <c r="B4" s="139" t="s">
        <v>42</v>
      </c>
    </row>
    <row r="5" spans="1:18" s="136" customFormat="1">
      <c r="B5" s="138"/>
    </row>
    <row r="6" spans="1:18" s="136" customFormat="1">
      <c r="B6" s="138" t="s">
        <v>427</v>
      </c>
    </row>
    <row r="7" spans="1:18" s="136" customFormat="1">
      <c r="B7" s="138" t="s">
        <v>432</v>
      </c>
    </row>
    <row r="8" spans="1:18" s="136" customFormat="1">
      <c r="B8" s="138" t="s">
        <v>421</v>
      </c>
    </row>
    <row r="9" spans="1:18" s="136" customFormat="1">
      <c r="B9" s="138" t="s">
        <v>428</v>
      </c>
    </row>
    <row r="10" spans="1:18" s="136" customFormat="1">
      <c r="B10" s="138" t="s">
        <v>429</v>
      </c>
    </row>
    <row r="11" spans="1:18" s="136" customFormat="1">
      <c r="B11" s="138" t="s">
        <v>458</v>
      </c>
    </row>
    <row r="12" spans="1:18" s="136" customFormat="1">
      <c r="B12" s="138" t="s">
        <v>430</v>
      </c>
    </row>
    <row r="14" spans="1:18" ht="60">
      <c r="G14" s="170" t="s">
        <v>2</v>
      </c>
      <c r="H14" s="170" t="s">
        <v>3</v>
      </c>
      <c r="I14" s="170" t="s">
        <v>4</v>
      </c>
      <c r="J14" s="170" t="s">
        <v>5</v>
      </c>
      <c r="K14" s="170" t="s">
        <v>6</v>
      </c>
      <c r="L14" s="170" t="s">
        <v>7</v>
      </c>
      <c r="M14" s="170" t="s">
        <v>8</v>
      </c>
      <c r="N14" s="170" t="s">
        <v>9</v>
      </c>
      <c r="O14" s="170" t="s">
        <v>63</v>
      </c>
      <c r="Q14" s="171" t="s">
        <v>64</v>
      </c>
    </row>
    <row r="15" spans="1:18" s="173" customFormat="1">
      <c r="B15" s="174" t="s">
        <v>144</v>
      </c>
    </row>
    <row r="16" spans="1:18" s="172" customFormat="1">
      <c r="A16" s="175"/>
      <c r="B16" s="175"/>
      <c r="C16" s="175"/>
      <c r="D16" s="175"/>
      <c r="E16" s="175"/>
      <c r="F16" s="175"/>
      <c r="G16" s="175"/>
      <c r="H16" s="175"/>
      <c r="I16" s="175"/>
      <c r="J16" s="175"/>
      <c r="K16" s="175"/>
      <c r="L16" s="175"/>
      <c r="M16" s="176"/>
      <c r="N16" s="176"/>
      <c r="O16" s="176"/>
      <c r="P16" s="176"/>
      <c r="Q16" s="176"/>
      <c r="R16" s="176"/>
    </row>
    <row r="17" spans="1:20">
      <c r="A17" s="175"/>
      <c r="B17" s="177" t="s">
        <v>145</v>
      </c>
      <c r="C17" s="178"/>
      <c r="D17" s="178"/>
      <c r="E17" s="178"/>
      <c r="F17" s="178"/>
      <c r="G17" s="179"/>
      <c r="H17" s="179"/>
      <c r="I17" s="179"/>
      <c r="J17" s="179"/>
      <c r="K17" s="179"/>
      <c r="L17" s="179"/>
      <c r="M17" s="179"/>
      <c r="N17" s="179"/>
      <c r="O17" s="178"/>
      <c r="P17" s="176"/>
      <c r="Q17" s="176"/>
      <c r="R17" s="176"/>
      <c r="S17" s="176"/>
      <c r="T17" s="176"/>
    </row>
    <row r="18" spans="1:20">
      <c r="A18" s="175"/>
      <c r="B18" s="178" t="s">
        <v>146</v>
      </c>
      <c r="D18" s="99" t="s">
        <v>118</v>
      </c>
      <c r="G18" s="180">
        <v>3085000</v>
      </c>
      <c r="H18" s="180">
        <v>4967825.4000000004</v>
      </c>
      <c r="I18" s="180">
        <v>6895106.4800000004</v>
      </c>
      <c r="J18" s="180">
        <v>48162000</v>
      </c>
      <c r="K18" s="180">
        <v>43166399</v>
      </c>
      <c r="L18" s="180">
        <v>2018972</v>
      </c>
      <c r="M18" s="180">
        <v>65280029</v>
      </c>
      <c r="N18" s="180">
        <v>8483206.1799999997</v>
      </c>
      <c r="O18" s="181">
        <f>SUM(G18:N18)</f>
        <v>182058538.06</v>
      </c>
      <c r="P18" s="176"/>
      <c r="Q18" s="176" t="s">
        <v>147</v>
      </c>
      <c r="R18" s="176"/>
      <c r="S18" s="176"/>
      <c r="T18" s="176"/>
    </row>
    <row r="19" spans="1:20">
      <c r="A19" s="175"/>
      <c r="B19" s="178" t="s">
        <v>148</v>
      </c>
      <c r="D19" s="99" t="s">
        <v>118</v>
      </c>
      <c r="G19" s="180">
        <v>3085000</v>
      </c>
      <c r="H19" s="180">
        <v>0</v>
      </c>
      <c r="I19" s="180">
        <v>6895106.4800000004</v>
      </c>
      <c r="J19" s="180">
        <v>4876221.0938360132</v>
      </c>
      <c r="K19" s="180">
        <v>712131</v>
      </c>
      <c r="L19" s="180">
        <v>2018972</v>
      </c>
      <c r="M19" s="180">
        <v>6301678.4865454528</v>
      </c>
      <c r="N19" s="180">
        <v>3552880.88</v>
      </c>
      <c r="O19" s="181">
        <f>SUM(G19:N19)</f>
        <v>27441989.940381464</v>
      </c>
      <c r="P19" s="176"/>
      <c r="Q19" s="176" t="s">
        <v>147</v>
      </c>
      <c r="R19" s="176"/>
      <c r="S19" s="176"/>
      <c r="T19" s="176"/>
    </row>
    <row r="20" spans="1:20">
      <c r="A20" s="175"/>
      <c r="B20" s="182" t="s">
        <v>149</v>
      </c>
      <c r="D20" s="99" t="s">
        <v>118</v>
      </c>
      <c r="G20" s="183">
        <f>G18-G19</f>
        <v>0</v>
      </c>
      <c r="H20" s="183">
        <f t="shared" ref="H20:N20" si="0">H18-H19</f>
        <v>4967825.4000000004</v>
      </c>
      <c r="I20" s="183">
        <f t="shared" si="0"/>
        <v>0</v>
      </c>
      <c r="J20" s="183">
        <f t="shared" si="0"/>
        <v>43285778.90616399</v>
      </c>
      <c r="K20" s="183">
        <f t="shared" si="0"/>
        <v>42454268</v>
      </c>
      <c r="L20" s="183">
        <f t="shared" si="0"/>
        <v>0</v>
      </c>
      <c r="M20" s="183">
        <f t="shared" si="0"/>
        <v>58978350.513454549</v>
      </c>
      <c r="N20" s="183">
        <f t="shared" si="0"/>
        <v>4930325.3</v>
      </c>
      <c r="O20" s="181">
        <f>SUM(G20:N20)</f>
        <v>154616548.11961856</v>
      </c>
      <c r="P20" s="176"/>
      <c r="Q20" s="176"/>
      <c r="R20" s="176"/>
      <c r="S20" s="176"/>
      <c r="T20" s="176"/>
    </row>
    <row r="21" spans="1:20" s="172" customFormat="1">
      <c r="A21" s="175"/>
      <c r="B21" s="184"/>
      <c r="D21" s="105"/>
      <c r="G21" s="185"/>
      <c r="H21" s="185"/>
      <c r="I21" s="185"/>
      <c r="J21" s="185"/>
      <c r="K21" s="185"/>
      <c r="L21" s="185"/>
      <c r="M21" s="185"/>
      <c r="N21" s="185"/>
      <c r="O21" s="186"/>
      <c r="P21" s="175"/>
      <c r="Q21" s="175"/>
      <c r="R21" s="175"/>
      <c r="S21" s="175"/>
      <c r="T21" s="175"/>
    </row>
    <row r="22" spans="1:20">
      <c r="A22" s="175"/>
      <c r="B22" s="175" t="s">
        <v>150</v>
      </c>
      <c r="D22" s="169" t="s">
        <v>65</v>
      </c>
      <c r="E22" s="187">
        <v>0.13</v>
      </c>
      <c r="F22" s="188"/>
      <c r="G22" s="189"/>
      <c r="H22" s="190"/>
      <c r="I22" s="190"/>
      <c r="J22" s="190"/>
      <c r="K22" s="190"/>
      <c r="L22" s="189"/>
      <c r="M22" s="189"/>
      <c r="N22" s="189"/>
      <c r="P22" s="191"/>
      <c r="Q22" s="175" t="s">
        <v>151</v>
      </c>
      <c r="R22" s="176"/>
      <c r="S22" s="176"/>
      <c r="T22" s="176"/>
    </row>
    <row r="23" spans="1:20" s="172" customFormat="1">
      <c r="A23" s="175"/>
      <c r="B23" s="184"/>
      <c r="D23" s="105"/>
      <c r="G23" s="185"/>
      <c r="H23" s="185"/>
      <c r="I23" s="185"/>
      <c r="J23" s="185"/>
      <c r="K23" s="185"/>
      <c r="L23" s="185"/>
      <c r="M23" s="185"/>
      <c r="N23" s="185"/>
      <c r="O23" s="186"/>
      <c r="P23" s="175"/>
      <c r="Q23" s="175"/>
      <c r="R23" s="175"/>
      <c r="S23" s="175"/>
      <c r="T23" s="175"/>
    </row>
    <row r="24" spans="1:20">
      <c r="A24" s="175"/>
      <c r="B24" s="182" t="s">
        <v>152</v>
      </c>
      <c r="D24" s="99" t="s">
        <v>118</v>
      </c>
      <c r="H24" s="180">
        <v>0</v>
      </c>
      <c r="J24" s="180">
        <v>0</v>
      </c>
      <c r="K24" s="180">
        <v>4532471.8949999996</v>
      </c>
      <c r="O24" s="181">
        <f>SUM(G24:N24)</f>
        <v>4532471.8949999996</v>
      </c>
      <c r="P24" s="176"/>
      <c r="Q24" s="176" t="s">
        <v>153</v>
      </c>
      <c r="R24" s="176"/>
      <c r="S24" s="176"/>
      <c r="T24" s="176"/>
    </row>
    <row r="25" spans="1:20">
      <c r="A25" s="175"/>
      <c r="B25" s="178" t="s">
        <v>154</v>
      </c>
      <c r="D25" s="99" t="s">
        <v>118</v>
      </c>
      <c r="F25" s="172"/>
      <c r="H25" s="181">
        <f>(H20-H24)*$E$22</f>
        <v>645817.30200000003</v>
      </c>
      <c r="J25" s="181">
        <f>(J20-J24)*$E$22</f>
        <v>5627151.2578013185</v>
      </c>
      <c r="K25" s="181">
        <f>(K20-K24)*$E$22</f>
        <v>4929833.4936500005</v>
      </c>
      <c r="O25" s="181">
        <f>SUM(G25:N25)</f>
        <v>11202802.053451318</v>
      </c>
      <c r="P25" s="176"/>
      <c r="Q25" s="176"/>
      <c r="R25" s="176"/>
      <c r="S25" s="176"/>
      <c r="T25" s="176"/>
    </row>
    <row r="26" spans="1:20">
      <c r="A26" s="175"/>
      <c r="B26" s="182" t="s">
        <v>155</v>
      </c>
      <c r="D26" s="99" t="s">
        <v>118</v>
      </c>
      <c r="F26" s="172"/>
      <c r="G26" s="183">
        <f t="shared" ref="G26:N26" si="1">G20-G25</f>
        <v>0</v>
      </c>
      <c r="H26" s="183">
        <f t="shared" si="1"/>
        <v>4322008.0980000002</v>
      </c>
      <c r="I26" s="183">
        <f t="shared" si="1"/>
        <v>0</v>
      </c>
      <c r="J26" s="183">
        <f t="shared" si="1"/>
        <v>37658627.648362674</v>
      </c>
      <c r="K26" s="183">
        <f t="shared" si="1"/>
        <v>37524434.506349996</v>
      </c>
      <c r="L26" s="183">
        <f t="shared" si="1"/>
        <v>0</v>
      </c>
      <c r="M26" s="183">
        <f t="shared" si="1"/>
        <v>58978350.513454549</v>
      </c>
      <c r="N26" s="183">
        <f t="shared" si="1"/>
        <v>4930325.3</v>
      </c>
      <c r="O26" s="181">
        <f>SUM(G26:N26)</f>
        <v>143413746.06616724</v>
      </c>
      <c r="P26" s="176"/>
      <c r="Q26" s="176"/>
      <c r="R26" s="176"/>
      <c r="S26" s="176"/>
      <c r="T26" s="176"/>
    </row>
    <row r="27" spans="1:20" s="172" customFormat="1">
      <c r="A27" s="175"/>
      <c r="B27" s="192"/>
      <c r="G27" s="185"/>
      <c r="H27" s="185"/>
      <c r="I27" s="185"/>
      <c r="J27" s="185"/>
      <c r="K27" s="185"/>
      <c r="L27" s="185"/>
      <c r="M27" s="185"/>
      <c r="N27" s="185"/>
      <c r="O27" s="186"/>
      <c r="P27" s="175"/>
      <c r="Q27" s="175"/>
      <c r="R27" s="175"/>
      <c r="S27" s="175"/>
      <c r="T27" s="175"/>
    </row>
    <row r="28" spans="1:20">
      <c r="A28" s="175"/>
      <c r="B28" s="175" t="s">
        <v>156</v>
      </c>
      <c r="D28" s="99" t="s">
        <v>118</v>
      </c>
      <c r="F28" s="172"/>
      <c r="G28" s="180">
        <v>0</v>
      </c>
      <c r="H28" s="180">
        <v>4303380.5299849277</v>
      </c>
      <c r="I28" s="180">
        <v>0</v>
      </c>
      <c r="J28" s="180">
        <v>29569087.381785408</v>
      </c>
      <c r="K28" s="180">
        <v>34194117.295438461</v>
      </c>
      <c r="L28" s="180">
        <v>0</v>
      </c>
      <c r="M28" s="180">
        <v>0</v>
      </c>
      <c r="N28" s="180">
        <v>0</v>
      </c>
      <c r="O28" s="181">
        <f>SUM(G28:N28)</f>
        <v>68066585.207208797</v>
      </c>
      <c r="P28" s="176"/>
      <c r="Q28" s="176" t="s">
        <v>157</v>
      </c>
      <c r="R28" s="176"/>
      <c r="S28" s="176"/>
      <c r="T28" s="176"/>
    </row>
    <row r="29" spans="1:20">
      <c r="A29" s="175"/>
      <c r="B29" s="178" t="s">
        <v>158</v>
      </c>
      <c r="D29" s="99" t="s">
        <v>118</v>
      </c>
      <c r="F29" s="172"/>
      <c r="G29" s="180">
        <v>0</v>
      </c>
      <c r="H29" s="180">
        <v>4248765.8674008604</v>
      </c>
      <c r="I29" s="180">
        <v>0</v>
      </c>
      <c r="J29" s="180">
        <v>38688057</v>
      </c>
      <c r="K29" s="180">
        <v>15893163.836678</v>
      </c>
      <c r="L29" s="180">
        <v>0</v>
      </c>
      <c r="M29" s="180">
        <v>0</v>
      </c>
      <c r="N29" s="180">
        <v>0</v>
      </c>
      <c r="O29" s="181">
        <f>SUM(G29:N29)</f>
        <v>58829986.704078861</v>
      </c>
      <c r="P29" s="193"/>
      <c r="Q29" s="176" t="s">
        <v>159</v>
      </c>
      <c r="R29" s="176"/>
      <c r="S29" s="176"/>
      <c r="T29" s="176"/>
    </row>
    <row r="31" spans="1:20">
      <c r="A31" s="178"/>
      <c r="B31" s="182" t="s">
        <v>160</v>
      </c>
      <c r="D31" s="99" t="s">
        <v>118</v>
      </c>
      <c r="F31" s="172"/>
      <c r="G31" s="189"/>
      <c r="H31" s="190"/>
      <c r="I31" s="190"/>
      <c r="J31" s="190"/>
      <c r="K31" s="190"/>
      <c r="L31" s="189"/>
      <c r="M31" s="189"/>
      <c r="N31" s="189"/>
      <c r="O31" s="181">
        <f>(O28+O29)*(1-E22)</f>
        <v>110400017.56282027</v>
      </c>
      <c r="P31" s="176"/>
      <c r="Q31" s="176"/>
      <c r="R31" s="176"/>
      <c r="S31" s="176"/>
      <c r="T31" s="176"/>
    </row>
    <row r="32" spans="1:20" s="172" customFormat="1">
      <c r="A32" s="175"/>
      <c r="B32" s="184"/>
      <c r="G32" s="194"/>
      <c r="H32" s="195"/>
      <c r="I32" s="195"/>
      <c r="J32" s="195"/>
      <c r="K32" s="195"/>
      <c r="L32" s="194"/>
      <c r="M32" s="194"/>
      <c r="N32" s="194"/>
      <c r="O32" s="186"/>
      <c r="P32" s="175"/>
      <c r="Q32" s="175"/>
      <c r="R32" s="175"/>
      <c r="S32" s="175"/>
      <c r="T32" s="175"/>
    </row>
    <row r="33" spans="1:20">
      <c r="A33" s="175"/>
      <c r="B33" s="182" t="s">
        <v>161</v>
      </c>
      <c r="D33" s="99" t="s">
        <v>118</v>
      </c>
      <c r="F33" s="172"/>
      <c r="G33" s="189"/>
      <c r="H33" s="189"/>
      <c r="I33" s="189"/>
      <c r="J33" s="189"/>
      <c r="K33" s="189"/>
      <c r="L33" s="189"/>
      <c r="M33" s="189"/>
      <c r="N33" s="189"/>
      <c r="O33" s="196">
        <f>O31+O26</f>
        <v>253813763.62898749</v>
      </c>
      <c r="P33" s="176"/>
      <c r="Q33" s="176"/>
      <c r="R33" s="176"/>
      <c r="S33" s="176"/>
      <c r="T33" s="176"/>
    </row>
    <row r="34" spans="1:20">
      <c r="A34" s="178"/>
      <c r="B34" s="189"/>
      <c r="D34" s="178"/>
      <c r="F34" s="172"/>
      <c r="G34" s="189"/>
      <c r="H34" s="189"/>
      <c r="I34" s="189"/>
      <c r="J34" s="189"/>
      <c r="K34" s="189"/>
      <c r="L34" s="189"/>
      <c r="M34" s="189"/>
      <c r="N34" s="189"/>
      <c r="O34" s="176"/>
      <c r="P34" s="176"/>
      <c r="Q34" s="176"/>
      <c r="R34" s="176"/>
      <c r="S34" s="176"/>
      <c r="T34" s="176"/>
    </row>
    <row r="35" spans="1:20">
      <c r="A35" s="178"/>
      <c r="B35" s="177" t="s">
        <v>162</v>
      </c>
      <c r="D35" s="178"/>
      <c r="F35" s="172"/>
      <c r="G35" s="189"/>
      <c r="H35" s="189"/>
      <c r="I35" s="189"/>
      <c r="J35" s="189"/>
      <c r="K35" s="189"/>
      <c r="L35" s="189"/>
      <c r="M35" s="189"/>
      <c r="N35" s="189"/>
      <c r="O35" s="176"/>
      <c r="P35" s="176"/>
      <c r="Q35" s="197"/>
      <c r="R35" s="198"/>
      <c r="S35" s="176"/>
      <c r="T35" s="176"/>
    </row>
    <row r="36" spans="1:20">
      <c r="F36" s="172"/>
      <c r="G36" s="189"/>
      <c r="H36" s="189"/>
      <c r="I36" s="189"/>
      <c r="J36" s="189"/>
      <c r="K36" s="189"/>
      <c r="L36" s="189"/>
      <c r="M36" s="189"/>
      <c r="N36" s="189"/>
    </row>
    <row r="37" spans="1:20">
      <c r="B37" s="169" t="s">
        <v>163</v>
      </c>
      <c r="D37" s="169" t="s">
        <v>65</v>
      </c>
      <c r="E37" s="199">
        <v>2.2750305675137857E-2</v>
      </c>
      <c r="F37" s="200"/>
      <c r="G37" s="189"/>
      <c r="H37" s="189"/>
      <c r="I37" s="189"/>
      <c r="J37" s="189"/>
      <c r="K37" s="189"/>
      <c r="L37" s="189"/>
      <c r="M37" s="189"/>
      <c r="N37" s="189"/>
      <c r="Q37" s="176" t="s">
        <v>164</v>
      </c>
    </row>
    <row r="38" spans="1:20">
      <c r="B38" s="169" t="s">
        <v>165</v>
      </c>
      <c r="D38" s="169" t="s">
        <v>65</v>
      </c>
      <c r="E38" s="201">
        <f>E37</f>
        <v>2.2750305675137857E-2</v>
      </c>
      <c r="F38" s="200"/>
      <c r="G38" s="189"/>
      <c r="H38" s="189"/>
      <c r="I38" s="189"/>
      <c r="J38" s="189"/>
      <c r="K38" s="189"/>
      <c r="L38" s="189"/>
      <c r="M38" s="189"/>
      <c r="N38" s="189"/>
    </row>
    <row r="39" spans="1:20">
      <c r="B39" s="169" t="s">
        <v>166</v>
      </c>
      <c r="D39" s="169" t="s">
        <v>65</v>
      </c>
      <c r="E39" s="201">
        <f>E37</f>
        <v>2.2750305675137857E-2</v>
      </c>
      <c r="F39" s="200"/>
      <c r="G39" s="189"/>
      <c r="H39" s="189"/>
      <c r="I39" s="189"/>
      <c r="J39" s="189"/>
      <c r="K39" s="189"/>
      <c r="L39" s="189"/>
      <c r="M39" s="189"/>
      <c r="N39" s="189"/>
    </row>
    <row r="40" spans="1:20">
      <c r="B40" s="169" t="s">
        <v>167</v>
      </c>
      <c r="D40" s="169" t="s">
        <v>65</v>
      </c>
      <c r="E40" s="201">
        <f>E37</f>
        <v>2.2750305675137857E-2</v>
      </c>
      <c r="F40" s="200"/>
      <c r="G40" s="189"/>
      <c r="H40" s="189"/>
      <c r="I40" s="189"/>
      <c r="J40" s="189"/>
      <c r="K40" s="189"/>
      <c r="L40" s="189"/>
      <c r="M40" s="189"/>
      <c r="N40" s="189"/>
    </row>
    <row r="41" spans="1:20">
      <c r="E41" s="202"/>
      <c r="F41" s="200"/>
      <c r="G41" s="189"/>
      <c r="H41" s="189"/>
      <c r="I41" s="189"/>
      <c r="J41" s="189"/>
      <c r="K41" s="189"/>
      <c r="L41" s="189"/>
      <c r="M41" s="189"/>
      <c r="N41" s="189"/>
    </row>
    <row r="42" spans="1:20">
      <c r="B42" s="169" t="s">
        <v>168</v>
      </c>
      <c r="D42" s="169" t="s">
        <v>65</v>
      </c>
      <c r="E42" s="300">
        <f>CPI!C7</f>
        <v>1.4E-2</v>
      </c>
      <c r="F42" s="203"/>
      <c r="G42" s="189"/>
      <c r="H42" s="189"/>
      <c r="I42" s="189"/>
      <c r="J42" s="189"/>
      <c r="K42" s="189"/>
      <c r="L42" s="189"/>
      <c r="M42" s="189"/>
      <c r="N42" s="189"/>
    </row>
    <row r="43" spans="1:20">
      <c r="B43" s="169" t="s">
        <v>169</v>
      </c>
      <c r="D43" s="169" t="s">
        <v>65</v>
      </c>
      <c r="E43" s="300">
        <f>CPI!C8</f>
        <v>1.0999999999999999E-2</v>
      </c>
      <c r="F43" s="203"/>
      <c r="G43" s="189"/>
      <c r="H43" s="189"/>
      <c r="I43" s="189"/>
      <c r="J43" s="189"/>
      <c r="K43" s="189"/>
      <c r="L43" s="189"/>
      <c r="M43" s="189"/>
      <c r="N43" s="189"/>
    </row>
    <row r="44" spans="1:20">
      <c r="B44" s="169" t="s">
        <v>66</v>
      </c>
      <c r="D44" s="169" t="s">
        <v>65</v>
      </c>
      <c r="E44" s="300">
        <f>CPI!C9</f>
        <v>3.2000000000000001E-2</v>
      </c>
      <c r="F44" s="203"/>
      <c r="G44" s="189"/>
      <c r="H44" s="189"/>
      <c r="I44" s="189"/>
      <c r="J44" s="189"/>
      <c r="K44" s="189"/>
      <c r="L44" s="189"/>
      <c r="M44" s="189"/>
      <c r="N44" s="189"/>
    </row>
    <row r="45" spans="1:20">
      <c r="B45" s="169" t="s">
        <v>67</v>
      </c>
      <c r="D45" s="169" t="s">
        <v>65</v>
      </c>
      <c r="E45" s="300">
        <f>CPI!C10</f>
        <v>3.0000000000000001E-3</v>
      </c>
      <c r="F45" s="203"/>
      <c r="G45" s="189"/>
      <c r="H45" s="189"/>
      <c r="I45" s="189"/>
      <c r="J45" s="189"/>
      <c r="K45" s="189"/>
      <c r="L45" s="189"/>
      <c r="M45" s="189"/>
      <c r="N45" s="189"/>
    </row>
    <row r="46" spans="1:20">
      <c r="A46" s="178"/>
      <c r="B46" s="189"/>
      <c r="D46" s="178"/>
      <c r="E46" s="204"/>
      <c r="F46" s="205"/>
      <c r="G46" s="189"/>
      <c r="H46" s="189"/>
      <c r="I46" s="189"/>
      <c r="J46" s="189"/>
      <c r="K46" s="189"/>
      <c r="L46" s="189"/>
      <c r="M46" s="189"/>
      <c r="N46" s="189"/>
      <c r="O46" s="176"/>
      <c r="P46" s="176"/>
      <c r="Q46" s="176"/>
      <c r="R46" s="176"/>
      <c r="S46" s="176"/>
      <c r="T46" s="176"/>
    </row>
    <row r="47" spans="1:20">
      <c r="B47" s="177" t="s">
        <v>426</v>
      </c>
      <c r="F47" s="172"/>
    </row>
    <row r="48" spans="1:20">
      <c r="F48" s="172"/>
    </row>
    <row r="49" spans="1:17">
      <c r="B49" s="350" t="s">
        <v>422</v>
      </c>
      <c r="D49" s="99" t="s">
        <v>119</v>
      </c>
      <c r="F49" s="172"/>
      <c r="G49" s="189"/>
      <c r="H49" s="189"/>
      <c r="I49" s="189"/>
      <c r="J49" s="176"/>
      <c r="K49" s="189"/>
      <c r="L49" s="189"/>
      <c r="M49" s="189"/>
      <c r="N49" s="189"/>
      <c r="O49" s="181">
        <f>O33*(1-E37+E42)</f>
        <v>251592815.61267668</v>
      </c>
    </row>
    <row r="50" spans="1:17">
      <c r="B50" s="350" t="s">
        <v>423</v>
      </c>
      <c r="D50" s="99" t="s">
        <v>10</v>
      </c>
      <c r="F50" s="172"/>
      <c r="G50" s="189"/>
      <c r="H50" s="189"/>
      <c r="I50" s="189"/>
      <c r="J50" s="176"/>
      <c r="K50" s="189"/>
      <c r="L50" s="189"/>
      <c r="M50" s="189"/>
      <c r="N50" s="189"/>
      <c r="O50" s="181">
        <f>O49*(1-E38+E43)</f>
        <v>248636523.12355915</v>
      </c>
    </row>
    <row r="51" spans="1:17">
      <c r="B51" s="350" t="s">
        <v>424</v>
      </c>
      <c r="D51" s="99" t="s">
        <v>11</v>
      </c>
      <c r="F51" s="172"/>
      <c r="G51" s="189"/>
      <c r="H51" s="189"/>
      <c r="I51" s="189"/>
      <c r="J51" s="176"/>
      <c r="K51" s="189"/>
      <c r="L51" s="189"/>
      <c r="M51" s="189"/>
      <c r="N51" s="189"/>
      <c r="O51" s="181">
        <f>O50*(1-E39+E44)</f>
        <v>250936334.96044859</v>
      </c>
    </row>
    <row r="52" spans="1:17">
      <c r="B52" s="350" t="s">
        <v>425</v>
      </c>
      <c r="D52" s="99" t="s">
        <v>12</v>
      </c>
      <c r="F52" s="172"/>
      <c r="G52" s="189"/>
      <c r="H52" s="189"/>
      <c r="I52" s="189"/>
      <c r="J52" s="176"/>
      <c r="K52" s="189"/>
      <c r="L52" s="189"/>
      <c r="M52" s="189"/>
      <c r="N52" s="189"/>
      <c r="O52" s="181">
        <f>O51*(1-E40+E45)</f>
        <v>245980265.63998097</v>
      </c>
    </row>
    <row r="53" spans="1:17">
      <c r="F53" s="172"/>
    </row>
    <row r="54" spans="1:17">
      <c r="B54" s="177" t="s">
        <v>170</v>
      </c>
      <c r="F54" s="172"/>
    </row>
    <row r="55" spans="1:17">
      <c r="F55" s="172"/>
    </row>
    <row r="56" spans="1:17">
      <c r="B56" s="169" t="s">
        <v>171</v>
      </c>
      <c r="D56" s="169" t="s">
        <v>68</v>
      </c>
      <c r="E56" s="172"/>
      <c r="F56" s="172"/>
      <c r="G56" s="180">
        <v>12218830.300466126</v>
      </c>
      <c r="H56" s="180">
        <v>48085571.657359958</v>
      </c>
      <c r="I56" s="180">
        <v>25259489.354475398</v>
      </c>
      <c r="J56" s="180">
        <v>646265820.92165565</v>
      </c>
      <c r="K56" s="180">
        <v>671024626.01339293</v>
      </c>
      <c r="L56" s="180">
        <v>7533265.326826673</v>
      </c>
      <c r="M56" s="180">
        <v>483277179.60806251</v>
      </c>
      <c r="N56" s="180">
        <v>29412494.152705643</v>
      </c>
      <c r="O56" s="181">
        <f>SUM(G56:N56)</f>
        <v>1923077277.334945</v>
      </c>
      <c r="Q56" s="176" t="s">
        <v>172</v>
      </c>
    </row>
    <row r="57" spans="1:17">
      <c r="B57" s="169" t="s">
        <v>173</v>
      </c>
      <c r="D57" s="169" t="s">
        <v>68</v>
      </c>
      <c r="E57" s="172"/>
      <c r="F57" s="172"/>
      <c r="G57" s="180">
        <v>12383020.931662641</v>
      </c>
      <c r="H57" s="180">
        <v>47225973.358927362</v>
      </c>
      <c r="I57" s="180">
        <v>24835530.849607263</v>
      </c>
      <c r="J57" s="180">
        <v>660180267.80876982</v>
      </c>
      <c r="K57" s="180">
        <v>674058548.48475444</v>
      </c>
      <c r="L57" s="180">
        <v>7443391.7763121808</v>
      </c>
      <c r="M57" s="180">
        <v>488628961.45357007</v>
      </c>
      <c r="N57" s="180">
        <v>30316681.054052033</v>
      </c>
      <c r="O57" s="181">
        <f>SUM(G57:N57)</f>
        <v>1945072375.7176559</v>
      </c>
      <c r="Q57" s="176" t="s">
        <v>174</v>
      </c>
    </row>
    <row r="58" spans="1:17">
      <c r="B58" s="169" t="s">
        <v>175</v>
      </c>
      <c r="D58" s="169" t="s">
        <v>68</v>
      </c>
      <c r="F58" s="172"/>
      <c r="G58" s="180">
        <v>12621700.22048871</v>
      </c>
      <c r="H58" s="180">
        <v>47420867.877035119</v>
      </c>
      <c r="I58" s="180">
        <v>25321807.664057598</v>
      </c>
      <c r="J58" s="180">
        <v>630138676.59687483</v>
      </c>
      <c r="K58" s="180">
        <v>684790079.86605525</v>
      </c>
      <c r="L58" s="180">
        <v>7573507.284201961</v>
      </c>
      <c r="M58" s="180">
        <v>486278066.06343424</v>
      </c>
      <c r="N58" s="180">
        <v>30055260.492796306</v>
      </c>
      <c r="O58" s="181">
        <f>SUM(G58:N58)</f>
        <v>1924199966.0649443</v>
      </c>
      <c r="Q58" s="99" t="s">
        <v>344</v>
      </c>
    </row>
    <row r="59" spans="1:17">
      <c r="B59" s="169" t="s">
        <v>176</v>
      </c>
      <c r="D59" s="169" t="s">
        <v>68</v>
      </c>
      <c r="F59" s="172"/>
      <c r="G59" s="180">
        <v>12580721.961390499</v>
      </c>
      <c r="H59" s="180">
        <v>48925513.956552386</v>
      </c>
      <c r="I59" s="180">
        <v>25393399.807226241</v>
      </c>
      <c r="J59" s="180">
        <v>668840988.48911548</v>
      </c>
      <c r="K59" s="180">
        <v>686440051.74596083</v>
      </c>
      <c r="L59" s="180">
        <v>7680947.8668813026</v>
      </c>
      <c r="M59" s="180">
        <v>482909231.78953439</v>
      </c>
      <c r="N59" s="180">
        <v>29286523.778485943</v>
      </c>
      <c r="O59" s="181">
        <f>SUM(G59:N59)</f>
        <v>1962057379.3951473</v>
      </c>
      <c r="Q59" s="99" t="s">
        <v>344</v>
      </c>
    </row>
    <row r="60" spans="1:17">
      <c r="A60" s="172"/>
      <c r="B60" s="169" t="s">
        <v>69</v>
      </c>
      <c r="D60" s="169" t="s">
        <v>68</v>
      </c>
      <c r="F60" s="172"/>
      <c r="G60" s="180">
        <v>12649080.636285588</v>
      </c>
      <c r="H60" s="180">
        <v>49920443.28087803</v>
      </c>
      <c r="I60" s="180">
        <v>25425206.994209889</v>
      </c>
      <c r="J60" s="180">
        <v>676180470.36896241</v>
      </c>
      <c r="K60" s="180">
        <v>695932783.8265841</v>
      </c>
      <c r="L60" s="180">
        <v>7730379.9636924043</v>
      </c>
      <c r="M60" s="180">
        <v>498263101.98495299</v>
      </c>
      <c r="N60" s="180">
        <v>28633632.584363509</v>
      </c>
      <c r="O60" s="181">
        <f>SUM(G60:N60)</f>
        <v>1994735099.6399288</v>
      </c>
      <c r="Q60" s="176" t="s">
        <v>177</v>
      </c>
    </row>
    <row r="61" spans="1:17">
      <c r="A61" s="172"/>
      <c r="F61" s="172"/>
    </row>
    <row r="62" spans="1:17">
      <c r="A62" s="172"/>
      <c r="B62" s="169" t="s">
        <v>178</v>
      </c>
      <c r="D62" s="169" t="s">
        <v>65</v>
      </c>
      <c r="F62" s="172"/>
      <c r="O62" s="206">
        <f>O57/O56-1</f>
        <v>1.1437449052069448E-2</v>
      </c>
    </row>
    <row r="63" spans="1:17">
      <c r="A63" s="172"/>
      <c r="B63" s="169" t="s">
        <v>179</v>
      </c>
      <c r="D63" s="169" t="s">
        <v>65</v>
      </c>
      <c r="F63" s="172"/>
      <c r="O63" s="206">
        <f>O58/O57-1</f>
        <v>-1.0730916706896632E-2</v>
      </c>
      <c r="Q63" s="172"/>
    </row>
    <row r="64" spans="1:17">
      <c r="A64" s="172"/>
      <c r="B64" s="169" t="s">
        <v>180</v>
      </c>
      <c r="D64" s="169" t="s">
        <v>65</v>
      </c>
      <c r="F64" s="172"/>
      <c r="O64" s="206">
        <f>O59/O58-1</f>
        <v>1.9674365449461551E-2</v>
      </c>
    </row>
    <row r="65" spans="1:20">
      <c r="A65" s="172"/>
      <c r="B65" s="169" t="s">
        <v>181</v>
      </c>
      <c r="D65" s="169" t="s">
        <v>65</v>
      </c>
      <c r="F65" s="172"/>
      <c r="O65" s="206">
        <f>O60/O59-1</f>
        <v>1.6654823955686293E-2</v>
      </c>
    </row>
    <row r="66" spans="1:20">
      <c r="A66" s="172"/>
      <c r="F66" s="172"/>
    </row>
    <row r="67" spans="1:20">
      <c r="A67" s="172"/>
      <c r="B67" s="177" t="s">
        <v>182</v>
      </c>
      <c r="F67" s="172"/>
    </row>
    <row r="68" spans="1:20">
      <c r="A68" s="172"/>
      <c r="F68" s="172"/>
    </row>
    <row r="69" spans="1:20">
      <c r="A69" s="172"/>
      <c r="B69" s="169" t="s">
        <v>183</v>
      </c>
      <c r="C69" s="172"/>
      <c r="D69" s="99" t="s">
        <v>119</v>
      </c>
      <c r="F69" s="172"/>
      <c r="O69" s="181">
        <f>O49*(1+O62)</f>
        <v>254470395.62311336</v>
      </c>
    </row>
    <row r="70" spans="1:20">
      <c r="A70" s="172"/>
      <c r="B70" s="169" t="s">
        <v>184</v>
      </c>
      <c r="C70" s="172"/>
      <c r="D70" s="99" t="s">
        <v>10</v>
      </c>
      <c r="F70" s="172"/>
      <c r="O70" s="196">
        <f>O50*(1+O62)*(1+O63)</f>
        <v>248781676.63645583</v>
      </c>
    </row>
    <row r="71" spans="1:20">
      <c r="A71" s="172"/>
      <c r="B71" s="169" t="s">
        <v>185</v>
      </c>
      <c r="D71" s="99" t="s">
        <v>11</v>
      </c>
      <c r="F71" s="172"/>
      <c r="O71" s="196">
        <f>O51*(1+O62)*(1+O63)*(1+O64)</f>
        <v>256022726.47609633</v>
      </c>
    </row>
    <row r="72" spans="1:20">
      <c r="A72" s="172"/>
      <c r="B72" s="169" t="s">
        <v>186</v>
      </c>
      <c r="D72" s="99" t="s">
        <v>12</v>
      </c>
      <c r="F72" s="172"/>
      <c r="O72" s="196">
        <f>O52*(1+O62)*(1+O63)*(1+O64)*(1+O65)</f>
        <v>255145997.2377198</v>
      </c>
    </row>
    <row r="73" spans="1:20">
      <c r="A73" s="172"/>
      <c r="F73" s="172"/>
    </row>
    <row r="74" spans="1:20">
      <c r="A74" s="178"/>
      <c r="B74" s="178"/>
      <c r="C74" s="178"/>
      <c r="D74" s="178"/>
      <c r="E74" s="178"/>
      <c r="F74" s="175"/>
      <c r="G74" s="178"/>
      <c r="H74" s="178"/>
      <c r="I74" s="178"/>
      <c r="J74" s="178"/>
      <c r="K74" s="178"/>
      <c r="L74" s="178"/>
      <c r="M74" s="178"/>
      <c r="N74" s="178"/>
      <c r="O74" s="178"/>
      <c r="P74" s="176"/>
      <c r="Q74" s="176"/>
      <c r="R74" s="176"/>
      <c r="S74" s="176"/>
      <c r="T74" s="176"/>
    </row>
    <row r="75" spans="1:20" s="173" customFormat="1">
      <c r="B75" s="174" t="s">
        <v>187</v>
      </c>
    </row>
    <row r="76" spans="1:20" s="172" customFormat="1">
      <c r="A76" s="175"/>
      <c r="B76" s="175"/>
      <c r="C76" s="175"/>
      <c r="D76" s="175"/>
      <c r="E76" s="175"/>
      <c r="F76" s="175"/>
      <c r="G76" s="175"/>
      <c r="H76" s="175"/>
      <c r="I76" s="175"/>
      <c r="J76" s="175"/>
      <c r="K76" s="175"/>
      <c r="L76" s="175"/>
      <c r="M76" s="176"/>
      <c r="N76" s="176"/>
      <c r="O76" s="176"/>
      <c r="P76" s="176"/>
      <c r="Q76" s="176"/>
      <c r="R76" s="176"/>
    </row>
    <row r="77" spans="1:20">
      <c r="A77" s="178"/>
      <c r="B77" s="177" t="s">
        <v>188</v>
      </c>
      <c r="C77" s="178"/>
      <c r="D77" s="178"/>
      <c r="E77" s="178"/>
      <c r="F77" s="178"/>
      <c r="G77" s="178"/>
      <c r="H77" s="178"/>
      <c r="I77" s="178"/>
      <c r="J77" s="178"/>
      <c r="K77" s="178"/>
      <c r="L77" s="178"/>
      <c r="M77" s="178"/>
      <c r="N77" s="178"/>
      <c r="O77" s="178"/>
      <c r="P77" s="176"/>
      <c r="Q77" s="176"/>
      <c r="R77" s="176"/>
      <c r="S77" s="176"/>
      <c r="T77" s="176"/>
    </row>
    <row r="78" spans="1:20">
      <c r="A78" s="175"/>
      <c r="B78" s="177"/>
      <c r="C78" s="178"/>
      <c r="D78" s="178"/>
      <c r="E78" s="178"/>
      <c r="F78" s="178"/>
      <c r="G78" s="178"/>
      <c r="H78" s="178"/>
      <c r="I78" s="178"/>
      <c r="J78" s="178"/>
      <c r="K78" s="178"/>
      <c r="L78" s="178"/>
      <c r="M78" s="178"/>
      <c r="N78" s="178"/>
      <c r="O78" s="178"/>
      <c r="P78" s="176"/>
      <c r="Q78" s="176"/>
      <c r="R78" s="176"/>
      <c r="S78" s="176"/>
      <c r="T78" s="176"/>
    </row>
    <row r="79" spans="1:20">
      <c r="A79" s="175"/>
      <c r="B79" s="207" t="s">
        <v>189</v>
      </c>
      <c r="C79" s="178"/>
      <c r="D79" s="178"/>
      <c r="F79" s="172"/>
      <c r="G79" s="178"/>
      <c r="H79" s="178"/>
      <c r="I79" s="178"/>
      <c r="J79" s="178"/>
      <c r="K79" s="178"/>
      <c r="L79" s="178"/>
      <c r="M79" s="178"/>
      <c r="N79" s="178"/>
      <c r="O79" s="178"/>
      <c r="P79" s="176"/>
      <c r="Q79" s="176"/>
      <c r="R79" s="176"/>
      <c r="S79" s="176"/>
      <c r="T79" s="176"/>
    </row>
    <row r="80" spans="1:20">
      <c r="A80" s="175"/>
      <c r="B80" s="208" t="s">
        <v>190</v>
      </c>
      <c r="C80" s="178"/>
      <c r="D80" s="99" t="s">
        <v>10</v>
      </c>
      <c r="G80" s="180">
        <v>0</v>
      </c>
      <c r="H80" s="180">
        <v>3396582.8</v>
      </c>
      <c r="I80" s="180">
        <v>0</v>
      </c>
      <c r="J80" s="180">
        <v>64584000</v>
      </c>
      <c r="K80" s="180">
        <v>57030134.000000007</v>
      </c>
      <c r="L80" s="180">
        <v>0</v>
      </c>
      <c r="M80" s="180">
        <v>62812682.080000006</v>
      </c>
      <c r="N80" s="180">
        <v>6115963</v>
      </c>
      <c r="O80" s="209">
        <f>SUM(G80:N80)</f>
        <v>193939361.88000003</v>
      </c>
      <c r="P80" s="176"/>
      <c r="Q80" s="210" t="s">
        <v>191</v>
      </c>
      <c r="R80" s="176"/>
      <c r="S80" s="176"/>
      <c r="T80" s="176"/>
    </row>
    <row r="81" spans="1:20">
      <c r="A81" s="175"/>
      <c r="B81" s="211" t="s">
        <v>192</v>
      </c>
      <c r="C81" s="178"/>
      <c r="D81" s="99" t="s">
        <v>10</v>
      </c>
      <c r="G81" s="186"/>
      <c r="H81" s="186"/>
      <c r="I81" s="186"/>
      <c r="J81" s="212">
        <f>'Input ITT overgedragen netten'!D29</f>
        <v>21434724.556013331</v>
      </c>
      <c r="K81" s="212">
        <f>'Input ITT overgedragen netten'!E29</f>
        <v>15871314.400000006</v>
      </c>
      <c r="L81" s="186"/>
      <c r="M81" s="186"/>
      <c r="N81" s="186"/>
      <c r="O81" s="209">
        <f>SUM(G81:N81)</f>
        <v>37306038.956013337</v>
      </c>
      <c r="P81" s="176"/>
      <c r="Q81" s="172"/>
      <c r="R81" s="176"/>
      <c r="S81" s="176"/>
      <c r="T81" s="176"/>
    </row>
    <row r="82" spans="1:20">
      <c r="A82" s="175"/>
      <c r="B82" s="211" t="s">
        <v>454</v>
      </c>
      <c r="C82" s="178"/>
      <c r="D82" s="99" t="s">
        <v>11</v>
      </c>
      <c r="M82" s="180">
        <v>8556335</v>
      </c>
      <c r="N82" s="186"/>
      <c r="O82" s="209">
        <f>SUM(G82:N82)</f>
        <v>8556335</v>
      </c>
      <c r="P82" s="176"/>
      <c r="Q82" s="357" t="s">
        <v>455</v>
      </c>
      <c r="R82" s="176"/>
      <c r="S82" s="176"/>
      <c r="T82" s="176"/>
    </row>
    <row r="83" spans="1:20">
      <c r="A83" s="175"/>
      <c r="B83" s="208" t="s">
        <v>193</v>
      </c>
      <c r="C83" s="178"/>
      <c r="D83" s="99" t="s">
        <v>10</v>
      </c>
      <c r="G83" s="186"/>
      <c r="H83" s="186"/>
      <c r="I83" s="186"/>
      <c r="J83" s="186"/>
      <c r="K83" s="186"/>
      <c r="L83" s="186"/>
      <c r="M83" s="186"/>
      <c r="N83" s="186"/>
      <c r="O83" s="209">
        <f>O80+O81-O82</f>
        <v>222689065.83601338</v>
      </c>
      <c r="P83" s="176"/>
      <c r="Q83" s="172"/>
      <c r="R83" s="176"/>
      <c r="S83" s="176"/>
      <c r="T83" s="176"/>
    </row>
    <row r="84" spans="1:20">
      <c r="A84" s="175"/>
      <c r="B84" s="208"/>
      <c r="C84" s="178"/>
      <c r="D84" s="99"/>
      <c r="G84" s="186"/>
      <c r="H84" s="186"/>
      <c r="I84" s="186"/>
      <c r="J84" s="186"/>
      <c r="K84" s="186"/>
      <c r="L84" s="186"/>
      <c r="M84" s="186"/>
      <c r="N84" s="186"/>
      <c r="O84" s="178"/>
      <c r="P84" s="176"/>
      <c r="Q84" s="172"/>
      <c r="R84" s="176"/>
      <c r="S84" s="176"/>
      <c r="T84" s="176"/>
    </row>
    <row r="85" spans="1:20">
      <c r="A85" s="175"/>
      <c r="B85" s="207" t="s">
        <v>194</v>
      </c>
      <c r="D85" s="178"/>
      <c r="F85" s="172"/>
      <c r="G85" s="178"/>
      <c r="H85" s="178"/>
      <c r="I85" s="178"/>
      <c r="J85" s="178"/>
      <c r="K85" s="178"/>
      <c r="L85" s="178"/>
      <c r="M85" s="178"/>
      <c r="N85" s="178"/>
      <c r="O85" s="178"/>
      <c r="P85" s="176"/>
      <c r="Q85" s="176"/>
      <c r="R85" s="176"/>
      <c r="S85" s="176"/>
      <c r="T85" s="176"/>
    </row>
    <row r="86" spans="1:20">
      <c r="A86" s="175"/>
      <c r="B86" s="208" t="s">
        <v>190</v>
      </c>
      <c r="C86" s="178"/>
      <c r="D86" s="99" t="s">
        <v>11</v>
      </c>
      <c r="G86" s="180">
        <v>0</v>
      </c>
      <c r="H86" s="180">
        <v>6923123.1099999985</v>
      </c>
      <c r="I86" s="180">
        <v>0</v>
      </c>
      <c r="J86" s="180">
        <v>103693222.23999999</v>
      </c>
      <c r="K86" s="180">
        <v>75713411</v>
      </c>
      <c r="L86" s="180">
        <v>0</v>
      </c>
      <c r="M86" s="180">
        <v>50878999.719999999</v>
      </c>
      <c r="N86" s="180">
        <v>5401281.5099999998</v>
      </c>
      <c r="O86" s="209">
        <f>SUM(G86:N86)</f>
        <v>242610037.57999998</v>
      </c>
      <c r="P86" s="176"/>
      <c r="Q86" s="210" t="s">
        <v>195</v>
      </c>
      <c r="R86" s="176"/>
      <c r="S86" s="176"/>
      <c r="T86" s="176"/>
    </row>
    <row r="87" spans="1:20">
      <c r="A87" s="175"/>
      <c r="B87" s="208" t="s">
        <v>192</v>
      </c>
      <c r="C87" s="178"/>
      <c r="D87" s="99" t="s">
        <v>11</v>
      </c>
      <c r="G87" s="186"/>
      <c r="H87" s="186"/>
      <c r="I87" s="186"/>
      <c r="J87" s="186"/>
      <c r="K87" s="212">
        <f>'Input ITT overgedragen netten'!F29</f>
        <v>12926270.858333334</v>
      </c>
      <c r="L87" s="186"/>
      <c r="M87" s="186"/>
      <c r="N87" s="186"/>
      <c r="O87" s="209">
        <f>SUM(G87:N87)</f>
        <v>12926270.858333334</v>
      </c>
      <c r="P87" s="176"/>
      <c r="Q87" s="172"/>
      <c r="R87" s="176"/>
      <c r="S87" s="176"/>
      <c r="T87" s="176"/>
    </row>
    <row r="88" spans="1:20">
      <c r="A88" s="175"/>
      <c r="B88" s="211" t="s">
        <v>453</v>
      </c>
      <c r="C88" s="178"/>
      <c r="D88" s="99" t="s">
        <v>11</v>
      </c>
      <c r="G88" s="179"/>
      <c r="H88" s="179"/>
      <c r="I88" s="179"/>
      <c r="J88" s="179"/>
      <c r="K88" s="180">
        <v>4318000</v>
      </c>
      <c r="L88" s="179"/>
      <c r="M88" s="180">
        <f>655993+477793</f>
        <v>1133786</v>
      </c>
      <c r="N88" s="179"/>
      <c r="O88" s="209">
        <f>SUM(G88:N88)</f>
        <v>5451786</v>
      </c>
      <c r="P88" s="176"/>
      <c r="Q88" s="357" t="s">
        <v>456</v>
      </c>
      <c r="R88" s="176"/>
      <c r="S88" s="176"/>
      <c r="T88" s="176"/>
    </row>
    <row r="89" spans="1:20">
      <c r="A89" s="175"/>
      <c r="B89" s="208" t="s">
        <v>193</v>
      </c>
      <c r="D89" s="99" t="s">
        <v>11</v>
      </c>
      <c r="G89" s="179"/>
      <c r="H89" s="179"/>
      <c r="I89" s="179"/>
      <c r="J89" s="179"/>
      <c r="K89" s="179"/>
      <c r="L89" s="179"/>
      <c r="M89" s="179"/>
      <c r="N89" s="179"/>
      <c r="O89" s="209">
        <f>O86+O87-O88</f>
        <v>250084522.43833333</v>
      </c>
      <c r="P89" s="176"/>
      <c r="Q89" s="175"/>
      <c r="R89" s="176"/>
      <c r="S89" s="176"/>
      <c r="T89" s="176"/>
    </row>
    <row r="90" spans="1:20">
      <c r="A90" s="175"/>
      <c r="B90" s="178"/>
      <c r="D90" s="178"/>
      <c r="F90" s="172"/>
      <c r="G90" s="186"/>
      <c r="H90" s="186"/>
      <c r="I90" s="186"/>
      <c r="J90" s="186"/>
      <c r="K90" s="186"/>
      <c r="L90" s="186"/>
      <c r="M90" s="186"/>
      <c r="N90" s="186"/>
      <c r="O90" s="186"/>
      <c r="P90" s="176"/>
      <c r="Q90" s="176"/>
      <c r="R90" s="176"/>
      <c r="S90" s="176"/>
      <c r="T90" s="176"/>
    </row>
    <row r="91" spans="1:20">
      <c r="A91" s="175"/>
      <c r="B91" s="207" t="s">
        <v>197</v>
      </c>
      <c r="D91" s="178"/>
      <c r="F91" s="172"/>
      <c r="G91" s="178"/>
      <c r="H91" s="178"/>
      <c r="I91" s="178"/>
      <c r="J91" s="178"/>
      <c r="K91" s="178"/>
      <c r="L91" s="178"/>
      <c r="M91" s="178"/>
      <c r="N91" s="178"/>
      <c r="O91" s="178"/>
      <c r="P91" s="176"/>
      <c r="Q91" s="176"/>
      <c r="R91" s="176"/>
      <c r="S91" s="176"/>
      <c r="T91" s="176"/>
    </row>
    <row r="92" spans="1:20">
      <c r="A92" s="175"/>
      <c r="B92" s="208" t="s">
        <v>190</v>
      </c>
      <c r="C92" s="178"/>
      <c r="D92" s="99" t="s">
        <v>12</v>
      </c>
      <c r="G92" s="180">
        <v>0</v>
      </c>
      <c r="H92" s="180">
        <v>9918649.5800000001</v>
      </c>
      <c r="I92" s="180">
        <v>0</v>
      </c>
      <c r="J92" s="180">
        <v>129166000</v>
      </c>
      <c r="K92" s="180">
        <v>122348259.47</v>
      </c>
      <c r="L92" s="180">
        <v>0</v>
      </c>
      <c r="M92" s="180">
        <v>69792172.060000002</v>
      </c>
      <c r="N92" s="180">
        <v>5598000</v>
      </c>
      <c r="O92" s="209">
        <f>SUM(G92:N92)</f>
        <v>336823081.11000001</v>
      </c>
      <c r="P92" s="176"/>
      <c r="Q92" s="169" t="s">
        <v>198</v>
      </c>
      <c r="R92" s="176"/>
      <c r="S92" s="176"/>
      <c r="T92" s="176"/>
    </row>
    <row r="93" spans="1:20">
      <c r="A93" s="175"/>
      <c r="B93" s="208" t="s">
        <v>196</v>
      </c>
      <c r="D93" s="99" t="s">
        <v>12</v>
      </c>
      <c r="G93" s="179"/>
      <c r="H93" s="179"/>
      <c r="I93" s="179"/>
      <c r="J93" s="179"/>
      <c r="K93" s="180">
        <v>8641000</v>
      </c>
      <c r="L93" s="179"/>
      <c r="M93" s="180">
        <f>494980+158340</f>
        <v>653320</v>
      </c>
      <c r="N93" s="179"/>
      <c r="O93" s="209">
        <f>SUM(G93:N93)</f>
        <v>9294320</v>
      </c>
      <c r="P93" s="176"/>
      <c r="Q93" s="357" t="s">
        <v>457</v>
      </c>
      <c r="R93" s="176"/>
      <c r="S93" s="176"/>
      <c r="T93" s="176"/>
    </row>
    <row r="94" spans="1:20">
      <c r="A94" s="175"/>
      <c r="B94" s="208" t="s">
        <v>193</v>
      </c>
      <c r="D94" s="99" t="s">
        <v>12</v>
      </c>
      <c r="G94" s="179"/>
      <c r="H94" s="179"/>
      <c r="I94" s="179"/>
      <c r="J94" s="179"/>
      <c r="K94" s="179"/>
      <c r="L94" s="179"/>
      <c r="M94" s="179"/>
      <c r="N94" s="179"/>
      <c r="O94" s="209">
        <f>O92-O93</f>
        <v>327528761.11000001</v>
      </c>
      <c r="P94" s="176"/>
      <c r="Q94" s="175"/>
      <c r="R94" s="176"/>
      <c r="S94" s="176"/>
      <c r="T94" s="176"/>
    </row>
    <row r="95" spans="1:20" s="172" customFormat="1">
      <c r="A95" s="175"/>
      <c r="B95" s="175"/>
      <c r="C95" s="175"/>
      <c r="D95" s="175"/>
      <c r="E95" s="175"/>
      <c r="F95" s="175"/>
      <c r="G95" s="179"/>
      <c r="H95" s="179"/>
      <c r="I95" s="179"/>
      <c r="J95" s="179"/>
      <c r="K95" s="179"/>
      <c r="L95" s="179"/>
      <c r="M95" s="179"/>
      <c r="N95" s="179"/>
      <c r="O95" s="176"/>
      <c r="P95" s="176"/>
      <c r="Q95" s="176"/>
      <c r="R95" s="176"/>
    </row>
    <row r="96" spans="1:20">
      <c r="A96" s="175"/>
      <c r="B96" s="178"/>
      <c r="C96" s="178"/>
      <c r="D96" s="178"/>
      <c r="E96" s="178"/>
      <c r="F96" s="178"/>
      <c r="G96" s="179"/>
      <c r="H96" s="179"/>
      <c r="I96" s="179"/>
      <c r="J96" s="179"/>
      <c r="K96" s="179"/>
      <c r="L96" s="179"/>
      <c r="M96" s="179"/>
      <c r="N96" s="179"/>
      <c r="O96" s="178"/>
      <c r="P96" s="176"/>
      <c r="Q96" s="176"/>
      <c r="R96" s="176"/>
      <c r="S96" s="176"/>
      <c r="T96" s="176"/>
    </row>
    <row r="97" spans="1:38" s="173" customFormat="1">
      <c r="B97" s="174" t="s">
        <v>199</v>
      </c>
    </row>
    <row r="98" spans="1:38">
      <c r="A98" s="175"/>
      <c r="C98" s="178"/>
      <c r="D98" s="178"/>
      <c r="E98" s="178"/>
      <c r="F98" s="175"/>
      <c r="G98" s="178"/>
      <c r="H98" s="178"/>
      <c r="I98" s="178"/>
      <c r="J98" s="178"/>
      <c r="K98" s="178"/>
      <c r="L98" s="178"/>
      <c r="M98" s="178"/>
      <c r="N98" s="178"/>
      <c r="O98" s="178"/>
      <c r="P98" s="176"/>
      <c r="Q98" s="176"/>
      <c r="R98" s="176"/>
      <c r="S98" s="176"/>
      <c r="T98" s="176"/>
    </row>
    <row r="99" spans="1:38">
      <c r="A99" s="175"/>
      <c r="B99" s="177" t="s">
        <v>200</v>
      </c>
      <c r="C99" s="178"/>
      <c r="D99" s="178"/>
      <c r="E99" s="178"/>
      <c r="F99" s="175"/>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4"/>
      <c r="AE99" s="214"/>
      <c r="AF99" s="214"/>
      <c r="AG99" s="214"/>
      <c r="AH99" s="214"/>
      <c r="AI99" s="214"/>
      <c r="AJ99" s="214"/>
      <c r="AK99" s="214"/>
      <c r="AL99" s="214"/>
    </row>
    <row r="100" spans="1:38">
      <c r="A100" s="175"/>
      <c r="B100" s="177"/>
      <c r="C100" s="178"/>
      <c r="D100" s="178"/>
      <c r="E100" s="178"/>
      <c r="F100" s="175"/>
      <c r="J100" s="178"/>
      <c r="K100" s="178"/>
      <c r="L100" s="178"/>
      <c r="N100" s="178"/>
      <c r="O100" s="178"/>
      <c r="P100" s="176"/>
      <c r="Q100" s="176"/>
      <c r="R100" s="176"/>
      <c r="S100" s="176"/>
      <c r="T100" s="176"/>
    </row>
    <row r="101" spans="1:38">
      <c r="A101" s="175"/>
      <c r="B101" s="207" t="s">
        <v>189</v>
      </c>
      <c r="C101" s="178"/>
      <c r="D101" s="178"/>
      <c r="F101" s="172"/>
      <c r="G101" s="178"/>
      <c r="H101" s="178"/>
      <c r="I101" s="178"/>
      <c r="J101" s="178"/>
      <c r="K101" s="178"/>
      <c r="L101" s="178"/>
      <c r="M101" s="178"/>
      <c r="N101" s="178"/>
      <c r="O101" s="178"/>
      <c r="P101" s="176"/>
      <c r="Q101" s="176"/>
      <c r="R101" s="176"/>
      <c r="S101" s="176"/>
      <c r="T101" s="176"/>
    </row>
    <row r="102" spans="1:38">
      <c r="A102" s="175"/>
      <c r="B102" s="178" t="s">
        <v>201</v>
      </c>
      <c r="D102" s="99" t="s">
        <v>10</v>
      </c>
      <c r="F102" s="172"/>
      <c r="G102" s="178"/>
      <c r="H102" s="178"/>
      <c r="I102" s="178"/>
      <c r="J102" s="178"/>
      <c r="K102" s="178"/>
      <c r="L102" s="178"/>
      <c r="M102" s="178"/>
      <c r="N102" s="178"/>
      <c r="O102" s="181">
        <f>O83-O70</f>
        <v>-26092610.800442457</v>
      </c>
      <c r="P102" s="176"/>
      <c r="Q102" s="176"/>
      <c r="R102" s="176"/>
      <c r="S102" s="176"/>
      <c r="T102" s="176"/>
    </row>
    <row r="103" spans="1:38">
      <c r="A103" s="175"/>
      <c r="B103" s="178" t="s">
        <v>202</v>
      </c>
      <c r="D103" s="169" t="s">
        <v>68</v>
      </c>
      <c r="F103" s="172"/>
      <c r="G103" s="180">
        <v>13122203.887099909</v>
      </c>
      <c r="H103" s="180">
        <v>48613500.302282266</v>
      </c>
      <c r="I103" s="180">
        <v>25626901.870794561</v>
      </c>
      <c r="J103" s="180">
        <v>701348179.35775077</v>
      </c>
      <c r="K103" s="180">
        <v>708562931.64252663</v>
      </c>
      <c r="L103" s="180">
        <v>7612449.8869677354</v>
      </c>
      <c r="M103" s="180">
        <v>486827879.16888857</v>
      </c>
      <c r="N103" s="180">
        <v>31387894.83478507</v>
      </c>
      <c r="O103" s="181">
        <f>SUM(G103:N103)</f>
        <v>2023101940.9510953</v>
      </c>
      <c r="P103" s="176"/>
      <c r="Q103" s="176" t="s">
        <v>203</v>
      </c>
      <c r="R103" s="176"/>
      <c r="S103" s="176"/>
      <c r="T103" s="176"/>
      <c r="W103" s="178"/>
      <c r="X103" s="176"/>
    </row>
    <row r="104" spans="1:38">
      <c r="A104" s="175"/>
      <c r="B104" s="178" t="s">
        <v>204</v>
      </c>
      <c r="D104" s="178" t="s">
        <v>65</v>
      </c>
      <c r="F104" s="172"/>
      <c r="G104" s="215">
        <f t="shared" ref="G104:N104" si="2">G103/$O$103</f>
        <v>6.4861802667891925E-3</v>
      </c>
      <c r="H104" s="215">
        <f t="shared" si="2"/>
        <v>2.4029189690475121E-2</v>
      </c>
      <c r="I104" s="215">
        <f t="shared" si="2"/>
        <v>1.2667133253179971E-2</v>
      </c>
      <c r="J104" s="215">
        <f t="shared" si="2"/>
        <v>0.34666971800147395</v>
      </c>
      <c r="K104" s="215">
        <f t="shared" si="2"/>
        <v>0.35023590126625992</v>
      </c>
      <c r="L104" s="215">
        <f t="shared" si="2"/>
        <v>3.7627613976728186E-3</v>
      </c>
      <c r="M104" s="215">
        <f t="shared" si="2"/>
        <v>0.24063437897747372</v>
      </c>
      <c r="N104" s="215">
        <f t="shared" si="2"/>
        <v>1.5514737146675405E-2</v>
      </c>
      <c r="O104" s="206">
        <f>SUM(G104:N104)</f>
        <v>1.0000000000000002</v>
      </c>
      <c r="P104" s="176"/>
      <c r="R104" s="176"/>
      <c r="S104" s="176"/>
      <c r="T104" s="176"/>
      <c r="W104" s="178"/>
      <c r="X104" s="176"/>
    </row>
    <row r="105" spans="1:38">
      <c r="A105" s="175"/>
      <c r="B105" s="178" t="s">
        <v>205</v>
      </c>
      <c r="D105" s="99" t="s">
        <v>10</v>
      </c>
      <c r="F105" s="172"/>
      <c r="G105" s="196">
        <f t="shared" ref="G105:N105" si="3">G104*$O$102</f>
        <v>-169241.37728284043</v>
      </c>
      <c r="H105" s="196">
        <f t="shared" si="3"/>
        <v>-626984.29444357171</v>
      </c>
      <c r="I105" s="196">
        <f t="shared" si="3"/>
        <v>-330518.57793256751</v>
      </c>
      <c r="J105" s="196">
        <f t="shared" si="3"/>
        <v>-9045518.0281115994</v>
      </c>
      <c r="K105" s="196">
        <f t="shared" si="3"/>
        <v>-9138569.0600827113</v>
      </c>
      <c r="L105" s="196">
        <f t="shared" si="3"/>
        <v>-98180.268684405746</v>
      </c>
      <c r="M105" s="196">
        <f t="shared" si="3"/>
        <v>-6278779.1958653945</v>
      </c>
      <c r="N105" s="196">
        <f t="shared" si="3"/>
        <v>-404819.99803936848</v>
      </c>
      <c r="O105" s="181">
        <f>SUM(G105:N105)</f>
        <v>-26092610.800442461</v>
      </c>
      <c r="P105" s="176"/>
      <c r="R105" s="176"/>
      <c r="S105" s="176"/>
    </row>
    <row r="106" spans="1:38">
      <c r="A106" s="175"/>
      <c r="B106" s="178"/>
      <c r="D106" s="178"/>
      <c r="F106" s="172"/>
      <c r="G106" s="178"/>
      <c r="H106" s="178"/>
      <c r="I106" s="178"/>
      <c r="J106" s="178"/>
      <c r="K106" s="178"/>
      <c r="L106" s="178"/>
      <c r="M106" s="178"/>
      <c r="N106" s="178"/>
      <c r="O106" s="178"/>
      <c r="P106" s="176"/>
      <c r="Q106" s="176"/>
      <c r="R106" s="176"/>
      <c r="S106" s="176"/>
      <c r="T106" s="176"/>
    </row>
    <row r="107" spans="1:38">
      <c r="A107" s="175"/>
      <c r="B107" s="207" t="s">
        <v>194</v>
      </c>
      <c r="D107" s="178"/>
      <c r="F107" s="172"/>
      <c r="G107" s="178"/>
      <c r="H107" s="178"/>
      <c r="I107" s="178"/>
      <c r="J107" s="178"/>
      <c r="K107" s="178"/>
      <c r="L107" s="178"/>
      <c r="M107" s="178"/>
      <c r="N107" s="178"/>
      <c r="O107" s="178"/>
      <c r="P107" s="176"/>
      <c r="Q107" s="176"/>
      <c r="R107" s="176"/>
      <c r="S107" s="176"/>
      <c r="T107" s="176"/>
    </row>
    <row r="108" spans="1:38">
      <c r="A108" s="175"/>
      <c r="B108" s="178" t="s">
        <v>206</v>
      </c>
      <c r="D108" s="99" t="s">
        <v>11</v>
      </c>
      <c r="F108" s="172"/>
      <c r="G108" s="178"/>
      <c r="H108" s="178"/>
      <c r="I108" s="178"/>
      <c r="J108" s="178"/>
      <c r="K108" s="178"/>
      <c r="L108" s="178"/>
      <c r="M108" s="178"/>
      <c r="N108" s="178"/>
      <c r="O108" s="181">
        <f>O89-O71</f>
        <v>-5938204.0377629995</v>
      </c>
      <c r="P108" s="176"/>
      <c r="Q108" s="176"/>
      <c r="R108" s="176"/>
      <c r="S108" s="176"/>
      <c r="T108" s="176"/>
    </row>
    <row r="109" spans="1:38">
      <c r="A109" s="175"/>
      <c r="B109" s="178" t="s">
        <v>204</v>
      </c>
      <c r="D109" s="178" t="s">
        <v>65</v>
      </c>
      <c r="F109" s="172"/>
      <c r="G109" s="216">
        <f t="shared" ref="G109:N109" si="4">G104</f>
        <v>6.4861802667891925E-3</v>
      </c>
      <c r="H109" s="216">
        <f t="shared" si="4"/>
        <v>2.4029189690475121E-2</v>
      </c>
      <c r="I109" s="216">
        <f t="shared" si="4"/>
        <v>1.2667133253179971E-2</v>
      </c>
      <c r="J109" s="216">
        <f t="shared" si="4"/>
        <v>0.34666971800147395</v>
      </c>
      <c r="K109" s="216">
        <f t="shared" si="4"/>
        <v>0.35023590126625992</v>
      </c>
      <c r="L109" s="216">
        <f t="shared" si="4"/>
        <v>3.7627613976728186E-3</v>
      </c>
      <c r="M109" s="216">
        <f t="shared" si="4"/>
        <v>0.24063437897747372</v>
      </c>
      <c r="N109" s="216">
        <f t="shared" si="4"/>
        <v>1.5514737146675405E-2</v>
      </c>
      <c r="O109" s="206">
        <f>SUM(G109:N109)</f>
        <v>1.0000000000000002</v>
      </c>
      <c r="P109" s="176"/>
      <c r="Q109" s="176"/>
      <c r="R109" s="176"/>
      <c r="S109" s="176"/>
      <c r="T109" s="176"/>
    </row>
    <row r="110" spans="1:38">
      <c r="A110" s="175"/>
      <c r="B110" s="178" t="s">
        <v>207</v>
      </c>
      <c r="D110" s="99" t="s">
        <v>11</v>
      </c>
      <c r="F110" s="172"/>
      <c r="G110" s="196">
        <f t="shared" ref="G110:N110" si="5">G109*$O$108</f>
        <v>-38516.261849906274</v>
      </c>
      <c r="H110" s="196">
        <f t="shared" si="5"/>
        <v>-142690.23124415241</v>
      </c>
      <c r="I110" s="196">
        <f t="shared" si="5"/>
        <v>-75220.021830915255</v>
      </c>
      <c r="J110" s="196">
        <f t="shared" si="5"/>
        <v>-2058595.519206513</v>
      </c>
      <c r="K110" s="196">
        <f t="shared" si="5"/>
        <v>-2079772.2430688678</v>
      </c>
      <c r="L110" s="196">
        <f t="shared" si="5"/>
        <v>-22344.04492479948</v>
      </c>
      <c r="M110" s="196">
        <f t="shared" si="5"/>
        <v>-1428936.0408686262</v>
      </c>
      <c r="N110" s="196">
        <f t="shared" si="5"/>
        <v>-92129.674769219491</v>
      </c>
      <c r="O110" s="181">
        <f>SUM(G110:N110)</f>
        <v>-5938204.0377629995</v>
      </c>
      <c r="P110" s="176"/>
      <c r="R110" s="176"/>
      <c r="S110" s="176"/>
    </row>
    <row r="111" spans="1:38">
      <c r="A111" s="175"/>
      <c r="B111" s="178"/>
      <c r="D111" s="178"/>
      <c r="F111" s="172"/>
      <c r="G111" s="186"/>
      <c r="H111" s="186"/>
      <c r="I111" s="186"/>
      <c r="J111" s="186"/>
      <c r="K111" s="186"/>
      <c r="L111" s="186"/>
      <c r="M111" s="186"/>
      <c r="N111" s="186"/>
      <c r="O111" s="186"/>
      <c r="P111" s="176"/>
      <c r="Q111" s="176"/>
      <c r="R111" s="176"/>
      <c r="S111" s="176"/>
      <c r="T111" s="176"/>
    </row>
    <row r="112" spans="1:38">
      <c r="A112" s="175"/>
      <c r="B112" s="207" t="s">
        <v>197</v>
      </c>
      <c r="D112" s="178"/>
      <c r="F112" s="172"/>
      <c r="G112" s="178"/>
      <c r="H112" s="178"/>
      <c r="I112" s="178"/>
      <c r="J112" s="178"/>
      <c r="K112" s="178"/>
      <c r="L112" s="178"/>
      <c r="M112" s="178"/>
      <c r="N112" s="178"/>
      <c r="O112" s="178"/>
      <c r="P112" s="176"/>
      <c r="Q112" s="176"/>
      <c r="R112" s="176"/>
      <c r="S112" s="176"/>
      <c r="T112" s="176"/>
    </row>
    <row r="113" spans="1:23">
      <c r="A113" s="175"/>
      <c r="B113" s="178" t="s">
        <v>208</v>
      </c>
      <c r="D113" s="99" t="s">
        <v>12</v>
      </c>
      <c r="F113" s="172"/>
      <c r="G113" s="178"/>
      <c r="H113" s="178"/>
      <c r="I113" s="178"/>
      <c r="J113" s="178"/>
      <c r="K113" s="178"/>
      <c r="L113" s="178"/>
      <c r="M113" s="178"/>
      <c r="N113" s="178"/>
      <c r="O113" s="181">
        <f>O94-O72</f>
        <v>72382763.87228021</v>
      </c>
      <c r="P113" s="176"/>
      <c r="Q113" s="176"/>
      <c r="R113" s="176"/>
      <c r="S113" s="176"/>
      <c r="T113" s="176"/>
    </row>
    <row r="114" spans="1:23">
      <c r="A114" s="175"/>
      <c r="B114" s="178" t="s">
        <v>204</v>
      </c>
      <c r="D114" s="178" t="s">
        <v>65</v>
      </c>
      <c r="F114" s="172"/>
      <c r="G114" s="216">
        <f t="shared" ref="G114:N114" si="6">G104</f>
        <v>6.4861802667891925E-3</v>
      </c>
      <c r="H114" s="216">
        <f t="shared" si="6"/>
        <v>2.4029189690475121E-2</v>
      </c>
      <c r="I114" s="216">
        <f t="shared" si="6"/>
        <v>1.2667133253179971E-2</v>
      </c>
      <c r="J114" s="216">
        <f t="shared" si="6"/>
        <v>0.34666971800147395</v>
      </c>
      <c r="K114" s="216">
        <f t="shared" si="6"/>
        <v>0.35023590126625992</v>
      </c>
      <c r="L114" s="216">
        <f t="shared" si="6"/>
        <v>3.7627613976728186E-3</v>
      </c>
      <c r="M114" s="216">
        <f t="shared" si="6"/>
        <v>0.24063437897747372</v>
      </c>
      <c r="N114" s="216">
        <f t="shared" si="6"/>
        <v>1.5514737146675405E-2</v>
      </c>
      <c r="O114" s="206">
        <f>SUM(G114:N114)</f>
        <v>1.0000000000000002</v>
      </c>
      <c r="P114" s="176"/>
      <c r="Q114" s="176"/>
      <c r="R114" s="176"/>
      <c r="S114" s="176"/>
      <c r="T114" s="176"/>
    </row>
    <row r="115" spans="1:23">
      <c r="A115" s="175"/>
      <c r="B115" s="178" t="s">
        <v>209</v>
      </c>
      <c r="D115" s="99" t="s">
        <v>12</v>
      </c>
      <c r="F115" s="172"/>
      <c r="G115" s="196">
        <f t="shared" ref="G115:N115" si="7">G114*$O$113</f>
        <v>469487.65468404558</v>
      </c>
      <c r="H115" s="196">
        <f t="shared" si="7"/>
        <v>1739299.1634078906</v>
      </c>
      <c r="I115" s="196">
        <f t="shared" si="7"/>
        <v>916882.11520363449</v>
      </c>
      <c r="J115" s="196">
        <f t="shared" si="7"/>
        <v>25092912.339770656</v>
      </c>
      <c r="K115" s="196">
        <f t="shared" si="7"/>
        <v>25351042.540950939</v>
      </c>
      <c r="L115" s="196">
        <f t="shared" si="7"/>
        <v>272359.06975548266</v>
      </c>
      <c r="M115" s="196">
        <f t="shared" si="7"/>
        <v>17417781.433079269</v>
      </c>
      <c r="N115" s="196">
        <f t="shared" si="7"/>
        <v>1122999.5554283003</v>
      </c>
      <c r="O115" s="181">
        <f>SUM(G115:N115)</f>
        <v>72382763.87228021</v>
      </c>
      <c r="P115" s="176"/>
      <c r="R115" s="176"/>
      <c r="S115" s="176"/>
    </row>
    <row r="116" spans="1:23">
      <c r="A116" s="172"/>
      <c r="F116" s="172"/>
      <c r="Q116" s="172"/>
      <c r="R116" s="175"/>
      <c r="S116" s="172"/>
      <c r="T116" s="172"/>
      <c r="U116" s="172"/>
      <c r="V116" s="172"/>
      <c r="W116" s="172"/>
    </row>
    <row r="117" spans="1:23">
      <c r="A117" s="176"/>
      <c r="B117" s="176"/>
      <c r="C117" s="176"/>
      <c r="D117" s="176"/>
      <c r="E117" s="176"/>
      <c r="F117" s="175"/>
      <c r="G117" s="176"/>
      <c r="H117" s="176"/>
      <c r="I117" s="176"/>
      <c r="J117" s="176"/>
      <c r="K117" s="176"/>
      <c r="L117" s="176"/>
      <c r="M117" s="176"/>
      <c r="N117" s="176"/>
      <c r="O117" s="176"/>
      <c r="P117" s="176"/>
      <c r="Q117" s="175"/>
      <c r="R117" s="175"/>
      <c r="S117" s="172"/>
      <c r="T117" s="172"/>
      <c r="U117" s="172"/>
      <c r="V117" s="172"/>
      <c r="W117" s="172"/>
    </row>
    <row r="118" spans="1:23">
      <c r="A118" s="176"/>
      <c r="B118" s="176"/>
      <c r="C118" s="176"/>
      <c r="D118" s="176"/>
      <c r="E118" s="176"/>
      <c r="F118" s="175"/>
      <c r="G118" s="176"/>
      <c r="H118" s="176"/>
      <c r="I118" s="176"/>
      <c r="J118" s="176"/>
      <c r="K118" s="176"/>
      <c r="L118" s="176"/>
      <c r="M118" s="176"/>
      <c r="N118" s="176"/>
      <c r="O118" s="176"/>
      <c r="P118" s="176"/>
      <c r="Q118" s="176"/>
      <c r="R118" s="176"/>
    </row>
    <row r="119" spans="1:23">
      <c r="F119" s="172"/>
    </row>
    <row r="120" spans="1:23">
      <c r="F120" s="172"/>
    </row>
    <row r="121" spans="1:23">
      <c r="F121" s="172"/>
    </row>
    <row r="122" spans="1:23">
      <c r="F122" s="172"/>
    </row>
    <row r="123" spans="1:23">
      <c r="F123" s="172"/>
    </row>
    <row r="124" spans="1:23">
      <c r="F124" s="172"/>
    </row>
  </sheetData>
  <pageMargins left="0.75" right="0.75" top="1" bottom="1" header="0.5" footer="0.5"/>
  <pageSetup paperSize="8" scale="5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W85"/>
  <sheetViews>
    <sheetView showGridLines="0" zoomScale="85" workbookViewId="0">
      <pane xSplit="5" ySplit="15" topLeftCell="F16" activePane="bottomRight" state="frozen"/>
      <selection pane="topRight" activeCell="F1" sqref="F1"/>
      <selection pane="bottomLeft" activeCell="A8" sqref="A8"/>
      <selection pane="bottomRight"/>
    </sheetView>
  </sheetViews>
  <sheetFormatPr defaultRowHeight="12.75"/>
  <cols>
    <col min="1" max="1" width="3.42578125" style="99" customWidth="1"/>
    <col min="2" max="2" width="44.28515625" style="99" customWidth="1"/>
    <col min="3" max="3" width="5.5703125" style="99" customWidth="1"/>
    <col min="4" max="4" width="17.7109375" style="99" customWidth="1"/>
    <col min="5" max="5" width="3.5703125" style="99" customWidth="1"/>
    <col min="6" max="6" width="18" style="99" customWidth="1"/>
    <col min="7" max="8" width="12.5703125" style="99" customWidth="1"/>
    <col min="9" max="9" width="15.140625" style="99" customWidth="1"/>
    <col min="10" max="14" width="12.5703125" style="99" customWidth="1"/>
    <col min="15" max="15" width="16" style="99" customWidth="1"/>
    <col min="16" max="16" width="7.5703125" style="99" customWidth="1"/>
    <col min="17" max="17" width="21.28515625" style="99" customWidth="1"/>
    <col min="18" max="255" width="9.140625" style="99"/>
    <col min="256" max="256" width="3.42578125" style="99" customWidth="1"/>
    <col min="257" max="257" width="44.28515625" style="99" customWidth="1"/>
    <col min="258" max="258" width="5.5703125" style="99" customWidth="1"/>
    <col min="259" max="259" width="17.7109375" style="99" customWidth="1"/>
    <col min="260" max="260" width="3.5703125" style="99" customWidth="1"/>
    <col min="261" max="261" width="18" style="99" customWidth="1"/>
    <col min="262" max="262" width="3.28515625" style="99" customWidth="1"/>
    <col min="263" max="264" width="12.5703125" style="99" customWidth="1"/>
    <col min="265" max="265" width="15.140625" style="99" customWidth="1"/>
    <col min="266" max="270" width="12.5703125" style="99" customWidth="1"/>
    <col min="271" max="271" width="16" style="99" customWidth="1"/>
    <col min="272" max="272" width="7.5703125" style="99" customWidth="1"/>
    <col min="273" max="273" width="21.28515625" style="99" customWidth="1"/>
    <col min="274" max="511" width="9.140625" style="99"/>
    <col min="512" max="512" width="3.42578125" style="99" customWidth="1"/>
    <col min="513" max="513" width="44.28515625" style="99" customWidth="1"/>
    <col min="514" max="514" width="5.5703125" style="99" customWidth="1"/>
    <col min="515" max="515" width="17.7109375" style="99" customWidth="1"/>
    <col min="516" max="516" width="3.5703125" style="99" customWidth="1"/>
    <col min="517" max="517" width="18" style="99" customWidth="1"/>
    <col min="518" max="518" width="3.28515625" style="99" customWidth="1"/>
    <col min="519" max="520" width="12.5703125" style="99" customWidth="1"/>
    <col min="521" max="521" width="15.140625" style="99" customWidth="1"/>
    <col min="522" max="526" width="12.5703125" style="99" customWidth="1"/>
    <col min="527" max="527" width="16" style="99" customWidth="1"/>
    <col min="528" max="528" width="7.5703125" style="99" customWidth="1"/>
    <col min="529" max="529" width="21.28515625" style="99" customWidth="1"/>
    <col min="530" max="767" width="9.140625" style="99"/>
    <col min="768" max="768" width="3.42578125" style="99" customWidth="1"/>
    <col min="769" max="769" width="44.28515625" style="99" customWidth="1"/>
    <col min="770" max="770" width="5.5703125" style="99" customWidth="1"/>
    <col min="771" max="771" width="17.7109375" style="99" customWidth="1"/>
    <col min="772" max="772" width="3.5703125" style="99" customWidth="1"/>
    <col min="773" max="773" width="18" style="99" customWidth="1"/>
    <col min="774" max="774" width="3.28515625" style="99" customWidth="1"/>
    <col min="775" max="776" width="12.5703125" style="99" customWidth="1"/>
    <col min="777" max="777" width="15.140625" style="99" customWidth="1"/>
    <col min="778" max="782" width="12.5703125" style="99" customWidth="1"/>
    <col min="783" max="783" width="16" style="99" customWidth="1"/>
    <col min="784" max="784" width="7.5703125" style="99" customWidth="1"/>
    <col min="785" max="785" width="21.28515625" style="99" customWidth="1"/>
    <col min="786" max="1023" width="9.140625" style="99"/>
    <col min="1024" max="1024" width="3.42578125" style="99" customWidth="1"/>
    <col min="1025" max="1025" width="44.28515625" style="99" customWidth="1"/>
    <col min="1026" max="1026" width="5.5703125" style="99" customWidth="1"/>
    <col min="1027" max="1027" width="17.7109375" style="99" customWidth="1"/>
    <col min="1028" max="1028" width="3.5703125" style="99" customWidth="1"/>
    <col min="1029" max="1029" width="18" style="99" customWidth="1"/>
    <col min="1030" max="1030" width="3.28515625" style="99" customWidth="1"/>
    <col min="1031" max="1032" width="12.5703125" style="99" customWidth="1"/>
    <col min="1033" max="1033" width="15.140625" style="99" customWidth="1"/>
    <col min="1034" max="1038" width="12.5703125" style="99" customWidth="1"/>
    <col min="1039" max="1039" width="16" style="99" customWidth="1"/>
    <col min="1040" max="1040" width="7.5703125" style="99" customWidth="1"/>
    <col min="1041" max="1041" width="21.28515625" style="99" customWidth="1"/>
    <col min="1042" max="1279" width="9.140625" style="99"/>
    <col min="1280" max="1280" width="3.42578125" style="99" customWidth="1"/>
    <col min="1281" max="1281" width="44.28515625" style="99" customWidth="1"/>
    <col min="1282" max="1282" width="5.5703125" style="99" customWidth="1"/>
    <col min="1283" max="1283" width="17.7109375" style="99" customWidth="1"/>
    <col min="1284" max="1284" width="3.5703125" style="99" customWidth="1"/>
    <col min="1285" max="1285" width="18" style="99" customWidth="1"/>
    <col min="1286" max="1286" width="3.28515625" style="99" customWidth="1"/>
    <col min="1287" max="1288" width="12.5703125" style="99" customWidth="1"/>
    <col min="1289" max="1289" width="15.140625" style="99" customWidth="1"/>
    <col min="1290" max="1294" width="12.5703125" style="99" customWidth="1"/>
    <col min="1295" max="1295" width="16" style="99" customWidth="1"/>
    <col min="1296" max="1296" width="7.5703125" style="99" customWidth="1"/>
    <col min="1297" max="1297" width="21.28515625" style="99" customWidth="1"/>
    <col min="1298" max="1535" width="9.140625" style="99"/>
    <col min="1536" max="1536" width="3.42578125" style="99" customWidth="1"/>
    <col min="1537" max="1537" width="44.28515625" style="99" customWidth="1"/>
    <col min="1538" max="1538" width="5.5703125" style="99" customWidth="1"/>
    <col min="1539" max="1539" width="17.7109375" style="99" customWidth="1"/>
    <col min="1540" max="1540" width="3.5703125" style="99" customWidth="1"/>
    <col min="1541" max="1541" width="18" style="99" customWidth="1"/>
    <col min="1542" max="1542" width="3.28515625" style="99" customWidth="1"/>
    <col min="1543" max="1544" width="12.5703125" style="99" customWidth="1"/>
    <col min="1545" max="1545" width="15.140625" style="99" customWidth="1"/>
    <col min="1546" max="1550" width="12.5703125" style="99" customWidth="1"/>
    <col min="1551" max="1551" width="16" style="99" customWidth="1"/>
    <col min="1552" max="1552" width="7.5703125" style="99" customWidth="1"/>
    <col min="1553" max="1553" width="21.28515625" style="99" customWidth="1"/>
    <col min="1554" max="1791" width="9.140625" style="99"/>
    <col min="1792" max="1792" width="3.42578125" style="99" customWidth="1"/>
    <col min="1793" max="1793" width="44.28515625" style="99" customWidth="1"/>
    <col min="1794" max="1794" width="5.5703125" style="99" customWidth="1"/>
    <col min="1795" max="1795" width="17.7109375" style="99" customWidth="1"/>
    <col min="1796" max="1796" width="3.5703125" style="99" customWidth="1"/>
    <col min="1797" max="1797" width="18" style="99" customWidth="1"/>
    <col min="1798" max="1798" width="3.28515625" style="99" customWidth="1"/>
    <col min="1799" max="1800" width="12.5703125" style="99" customWidth="1"/>
    <col min="1801" max="1801" width="15.140625" style="99" customWidth="1"/>
    <col min="1802" max="1806" width="12.5703125" style="99" customWidth="1"/>
    <col min="1807" max="1807" width="16" style="99" customWidth="1"/>
    <col min="1808" max="1808" width="7.5703125" style="99" customWidth="1"/>
    <col min="1809" max="1809" width="21.28515625" style="99" customWidth="1"/>
    <col min="1810" max="2047" width="9.140625" style="99"/>
    <col min="2048" max="2048" width="3.42578125" style="99" customWidth="1"/>
    <col min="2049" max="2049" width="44.28515625" style="99" customWidth="1"/>
    <col min="2050" max="2050" width="5.5703125" style="99" customWidth="1"/>
    <col min="2051" max="2051" width="17.7109375" style="99" customWidth="1"/>
    <col min="2052" max="2052" width="3.5703125" style="99" customWidth="1"/>
    <col min="2053" max="2053" width="18" style="99" customWidth="1"/>
    <col min="2054" max="2054" width="3.28515625" style="99" customWidth="1"/>
    <col min="2055" max="2056" width="12.5703125" style="99" customWidth="1"/>
    <col min="2057" max="2057" width="15.140625" style="99" customWidth="1"/>
    <col min="2058" max="2062" width="12.5703125" style="99" customWidth="1"/>
    <col min="2063" max="2063" width="16" style="99" customWidth="1"/>
    <col min="2064" max="2064" width="7.5703125" style="99" customWidth="1"/>
    <col min="2065" max="2065" width="21.28515625" style="99" customWidth="1"/>
    <col min="2066" max="2303" width="9.140625" style="99"/>
    <col min="2304" max="2304" width="3.42578125" style="99" customWidth="1"/>
    <col min="2305" max="2305" width="44.28515625" style="99" customWidth="1"/>
    <col min="2306" max="2306" width="5.5703125" style="99" customWidth="1"/>
    <col min="2307" max="2307" width="17.7109375" style="99" customWidth="1"/>
    <col min="2308" max="2308" width="3.5703125" style="99" customWidth="1"/>
    <col min="2309" max="2309" width="18" style="99" customWidth="1"/>
    <col min="2310" max="2310" width="3.28515625" style="99" customWidth="1"/>
    <col min="2311" max="2312" width="12.5703125" style="99" customWidth="1"/>
    <col min="2313" max="2313" width="15.140625" style="99" customWidth="1"/>
    <col min="2314" max="2318" width="12.5703125" style="99" customWidth="1"/>
    <col min="2319" max="2319" width="16" style="99" customWidth="1"/>
    <col min="2320" max="2320" width="7.5703125" style="99" customWidth="1"/>
    <col min="2321" max="2321" width="21.28515625" style="99" customWidth="1"/>
    <col min="2322" max="2559" width="9.140625" style="99"/>
    <col min="2560" max="2560" width="3.42578125" style="99" customWidth="1"/>
    <col min="2561" max="2561" width="44.28515625" style="99" customWidth="1"/>
    <col min="2562" max="2562" width="5.5703125" style="99" customWidth="1"/>
    <col min="2563" max="2563" width="17.7109375" style="99" customWidth="1"/>
    <col min="2564" max="2564" width="3.5703125" style="99" customWidth="1"/>
    <col min="2565" max="2565" width="18" style="99" customWidth="1"/>
    <col min="2566" max="2566" width="3.28515625" style="99" customWidth="1"/>
    <col min="2567" max="2568" width="12.5703125" style="99" customWidth="1"/>
    <col min="2569" max="2569" width="15.140625" style="99" customWidth="1"/>
    <col min="2570" max="2574" width="12.5703125" style="99" customWidth="1"/>
    <col min="2575" max="2575" width="16" style="99" customWidth="1"/>
    <col min="2576" max="2576" width="7.5703125" style="99" customWidth="1"/>
    <col min="2577" max="2577" width="21.28515625" style="99" customWidth="1"/>
    <col min="2578" max="2815" width="9.140625" style="99"/>
    <col min="2816" max="2816" width="3.42578125" style="99" customWidth="1"/>
    <col min="2817" max="2817" width="44.28515625" style="99" customWidth="1"/>
    <col min="2818" max="2818" width="5.5703125" style="99" customWidth="1"/>
    <col min="2819" max="2819" width="17.7109375" style="99" customWidth="1"/>
    <col min="2820" max="2820" width="3.5703125" style="99" customWidth="1"/>
    <col min="2821" max="2821" width="18" style="99" customWidth="1"/>
    <col min="2822" max="2822" width="3.28515625" style="99" customWidth="1"/>
    <col min="2823" max="2824" width="12.5703125" style="99" customWidth="1"/>
    <col min="2825" max="2825" width="15.140625" style="99" customWidth="1"/>
    <col min="2826" max="2830" width="12.5703125" style="99" customWidth="1"/>
    <col min="2831" max="2831" width="16" style="99" customWidth="1"/>
    <col min="2832" max="2832" width="7.5703125" style="99" customWidth="1"/>
    <col min="2833" max="2833" width="21.28515625" style="99" customWidth="1"/>
    <col min="2834" max="3071" width="9.140625" style="99"/>
    <col min="3072" max="3072" width="3.42578125" style="99" customWidth="1"/>
    <col min="3073" max="3073" width="44.28515625" style="99" customWidth="1"/>
    <col min="3074" max="3074" width="5.5703125" style="99" customWidth="1"/>
    <col min="3075" max="3075" width="17.7109375" style="99" customWidth="1"/>
    <col min="3076" max="3076" width="3.5703125" style="99" customWidth="1"/>
    <col min="3077" max="3077" width="18" style="99" customWidth="1"/>
    <col min="3078" max="3078" width="3.28515625" style="99" customWidth="1"/>
    <col min="3079" max="3080" width="12.5703125" style="99" customWidth="1"/>
    <col min="3081" max="3081" width="15.140625" style="99" customWidth="1"/>
    <col min="3082" max="3086" width="12.5703125" style="99" customWidth="1"/>
    <col min="3087" max="3087" width="16" style="99" customWidth="1"/>
    <col min="3088" max="3088" width="7.5703125" style="99" customWidth="1"/>
    <col min="3089" max="3089" width="21.28515625" style="99" customWidth="1"/>
    <col min="3090" max="3327" width="9.140625" style="99"/>
    <col min="3328" max="3328" width="3.42578125" style="99" customWidth="1"/>
    <col min="3329" max="3329" width="44.28515625" style="99" customWidth="1"/>
    <col min="3330" max="3330" width="5.5703125" style="99" customWidth="1"/>
    <col min="3331" max="3331" width="17.7109375" style="99" customWidth="1"/>
    <col min="3332" max="3332" width="3.5703125" style="99" customWidth="1"/>
    <col min="3333" max="3333" width="18" style="99" customWidth="1"/>
    <col min="3334" max="3334" width="3.28515625" style="99" customWidth="1"/>
    <col min="3335" max="3336" width="12.5703125" style="99" customWidth="1"/>
    <col min="3337" max="3337" width="15.140625" style="99" customWidth="1"/>
    <col min="3338" max="3342" width="12.5703125" style="99" customWidth="1"/>
    <col min="3343" max="3343" width="16" style="99" customWidth="1"/>
    <col min="3344" max="3344" width="7.5703125" style="99" customWidth="1"/>
    <col min="3345" max="3345" width="21.28515625" style="99" customWidth="1"/>
    <col min="3346" max="3583" width="9.140625" style="99"/>
    <col min="3584" max="3584" width="3.42578125" style="99" customWidth="1"/>
    <col min="3585" max="3585" width="44.28515625" style="99" customWidth="1"/>
    <col min="3586" max="3586" width="5.5703125" style="99" customWidth="1"/>
    <col min="3587" max="3587" width="17.7109375" style="99" customWidth="1"/>
    <col min="3588" max="3588" width="3.5703125" style="99" customWidth="1"/>
    <col min="3589" max="3589" width="18" style="99" customWidth="1"/>
    <col min="3590" max="3590" width="3.28515625" style="99" customWidth="1"/>
    <col min="3591" max="3592" width="12.5703125" style="99" customWidth="1"/>
    <col min="3593" max="3593" width="15.140625" style="99" customWidth="1"/>
    <col min="3594" max="3598" width="12.5703125" style="99" customWidth="1"/>
    <col min="3599" max="3599" width="16" style="99" customWidth="1"/>
    <col min="3600" max="3600" width="7.5703125" style="99" customWidth="1"/>
    <col min="3601" max="3601" width="21.28515625" style="99" customWidth="1"/>
    <col min="3602" max="3839" width="9.140625" style="99"/>
    <col min="3840" max="3840" width="3.42578125" style="99" customWidth="1"/>
    <col min="3841" max="3841" width="44.28515625" style="99" customWidth="1"/>
    <col min="3842" max="3842" width="5.5703125" style="99" customWidth="1"/>
    <col min="3843" max="3843" width="17.7109375" style="99" customWidth="1"/>
    <col min="3844" max="3844" width="3.5703125" style="99" customWidth="1"/>
    <col min="3845" max="3845" width="18" style="99" customWidth="1"/>
    <col min="3846" max="3846" width="3.28515625" style="99" customWidth="1"/>
    <col min="3847" max="3848" width="12.5703125" style="99" customWidth="1"/>
    <col min="3849" max="3849" width="15.140625" style="99" customWidth="1"/>
    <col min="3850" max="3854" width="12.5703125" style="99" customWidth="1"/>
    <col min="3855" max="3855" width="16" style="99" customWidth="1"/>
    <col min="3856" max="3856" width="7.5703125" style="99" customWidth="1"/>
    <col min="3857" max="3857" width="21.28515625" style="99" customWidth="1"/>
    <col min="3858" max="4095" width="9.140625" style="99"/>
    <col min="4096" max="4096" width="3.42578125" style="99" customWidth="1"/>
    <col min="4097" max="4097" width="44.28515625" style="99" customWidth="1"/>
    <col min="4098" max="4098" width="5.5703125" style="99" customWidth="1"/>
    <col min="4099" max="4099" width="17.7109375" style="99" customWidth="1"/>
    <col min="4100" max="4100" width="3.5703125" style="99" customWidth="1"/>
    <col min="4101" max="4101" width="18" style="99" customWidth="1"/>
    <col min="4102" max="4102" width="3.28515625" style="99" customWidth="1"/>
    <col min="4103" max="4104" width="12.5703125" style="99" customWidth="1"/>
    <col min="4105" max="4105" width="15.140625" style="99" customWidth="1"/>
    <col min="4106" max="4110" width="12.5703125" style="99" customWidth="1"/>
    <col min="4111" max="4111" width="16" style="99" customWidth="1"/>
    <col min="4112" max="4112" width="7.5703125" style="99" customWidth="1"/>
    <col min="4113" max="4113" width="21.28515625" style="99" customWidth="1"/>
    <col min="4114" max="4351" width="9.140625" style="99"/>
    <col min="4352" max="4352" width="3.42578125" style="99" customWidth="1"/>
    <col min="4353" max="4353" width="44.28515625" style="99" customWidth="1"/>
    <col min="4354" max="4354" width="5.5703125" style="99" customWidth="1"/>
    <col min="4355" max="4355" width="17.7109375" style="99" customWidth="1"/>
    <col min="4356" max="4356" width="3.5703125" style="99" customWidth="1"/>
    <col min="4357" max="4357" width="18" style="99" customWidth="1"/>
    <col min="4358" max="4358" width="3.28515625" style="99" customWidth="1"/>
    <col min="4359" max="4360" width="12.5703125" style="99" customWidth="1"/>
    <col min="4361" max="4361" width="15.140625" style="99" customWidth="1"/>
    <col min="4362" max="4366" width="12.5703125" style="99" customWidth="1"/>
    <col min="4367" max="4367" width="16" style="99" customWidth="1"/>
    <col min="4368" max="4368" width="7.5703125" style="99" customWidth="1"/>
    <col min="4369" max="4369" width="21.28515625" style="99" customWidth="1"/>
    <col min="4370" max="4607" width="9.140625" style="99"/>
    <col min="4608" max="4608" width="3.42578125" style="99" customWidth="1"/>
    <col min="4609" max="4609" width="44.28515625" style="99" customWidth="1"/>
    <col min="4610" max="4610" width="5.5703125" style="99" customWidth="1"/>
    <col min="4611" max="4611" width="17.7109375" style="99" customWidth="1"/>
    <col min="4612" max="4612" width="3.5703125" style="99" customWidth="1"/>
    <col min="4613" max="4613" width="18" style="99" customWidth="1"/>
    <col min="4614" max="4614" width="3.28515625" style="99" customWidth="1"/>
    <col min="4615" max="4616" width="12.5703125" style="99" customWidth="1"/>
    <col min="4617" max="4617" width="15.140625" style="99" customWidth="1"/>
    <col min="4618" max="4622" width="12.5703125" style="99" customWidth="1"/>
    <col min="4623" max="4623" width="16" style="99" customWidth="1"/>
    <col min="4624" max="4624" width="7.5703125" style="99" customWidth="1"/>
    <col min="4625" max="4625" width="21.28515625" style="99" customWidth="1"/>
    <col min="4626" max="4863" width="9.140625" style="99"/>
    <col min="4864" max="4864" width="3.42578125" style="99" customWidth="1"/>
    <col min="4865" max="4865" width="44.28515625" style="99" customWidth="1"/>
    <col min="4866" max="4866" width="5.5703125" style="99" customWidth="1"/>
    <col min="4867" max="4867" width="17.7109375" style="99" customWidth="1"/>
    <col min="4868" max="4868" width="3.5703125" style="99" customWidth="1"/>
    <col min="4869" max="4869" width="18" style="99" customWidth="1"/>
    <col min="4870" max="4870" width="3.28515625" style="99" customWidth="1"/>
    <col min="4871" max="4872" width="12.5703125" style="99" customWidth="1"/>
    <col min="4873" max="4873" width="15.140625" style="99" customWidth="1"/>
    <col min="4874" max="4878" width="12.5703125" style="99" customWidth="1"/>
    <col min="4879" max="4879" width="16" style="99" customWidth="1"/>
    <col min="4880" max="4880" width="7.5703125" style="99" customWidth="1"/>
    <col min="4881" max="4881" width="21.28515625" style="99" customWidth="1"/>
    <col min="4882" max="5119" width="9.140625" style="99"/>
    <col min="5120" max="5120" width="3.42578125" style="99" customWidth="1"/>
    <col min="5121" max="5121" width="44.28515625" style="99" customWidth="1"/>
    <col min="5122" max="5122" width="5.5703125" style="99" customWidth="1"/>
    <col min="5123" max="5123" width="17.7109375" style="99" customWidth="1"/>
    <col min="5124" max="5124" width="3.5703125" style="99" customWidth="1"/>
    <col min="5125" max="5125" width="18" style="99" customWidth="1"/>
    <col min="5126" max="5126" width="3.28515625" style="99" customWidth="1"/>
    <col min="5127" max="5128" width="12.5703125" style="99" customWidth="1"/>
    <col min="5129" max="5129" width="15.140625" style="99" customWidth="1"/>
    <col min="5130" max="5134" width="12.5703125" style="99" customWidth="1"/>
    <col min="5135" max="5135" width="16" style="99" customWidth="1"/>
    <col min="5136" max="5136" width="7.5703125" style="99" customWidth="1"/>
    <col min="5137" max="5137" width="21.28515625" style="99" customWidth="1"/>
    <col min="5138" max="5375" width="9.140625" style="99"/>
    <col min="5376" max="5376" width="3.42578125" style="99" customWidth="1"/>
    <col min="5377" max="5377" width="44.28515625" style="99" customWidth="1"/>
    <col min="5378" max="5378" width="5.5703125" style="99" customWidth="1"/>
    <col min="5379" max="5379" width="17.7109375" style="99" customWidth="1"/>
    <col min="5380" max="5380" width="3.5703125" style="99" customWidth="1"/>
    <col min="5381" max="5381" width="18" style="99" customWidth="1"/>
    <col min="5382" max="5382" width="3.28515625" style="99" customWidth="1"/>
    <col min="5383" max="5384" width="12.5703125" style="99" customWidth="1"/>
    <col min="5385" max="5385" width="15.140625" style="99" customWidth="1"/>
    <col min="5386" max="5390" width="12.5703125" style="99" customWidth="1"/>
    <col min="5391" max="5391" width="16" style="99" customWidth="1"/>
    <col min="5392" max="5392" width="7.5703125" style="99" customWidth="1"/>
    <col min="5393" max="5393" width="21.28515625" style="99" customWidth="1"/>
    <col min="5394" max="5631" width="9.140625" style="99"/>
    <col min="5632" max="5632" width="3.42578125" style="99" customWidth="1"/>
    <col min="5633" max="5633" width="44.28515625" style="99" customWidth="1"/>
    <col min="5634" max="5634" width="5.5703125" style="99" customWidth="1"/>
    <col min="5635" max="5635" width="17.7109375" style="99" customWidth="1"/>
    <col min="5636" max="5636" width="3.5703125" style="99" customWidth="1"/>
    <col min="5637" max="5637" width="18" style="99" customWidth="1"/>
    <col min="5638" max="5638" width="3.28515625" style="99" customWidth="1"/>
    <col min="5639" max="5640" width="12.5703125" style="99" customWidth="1"/>
    <col min="5641" max="5641" width="15.140625" style="99" customWidth="1"/>
    <col min="5642" max="5646" width="12.5703125" style="99" customWidth="1"/>
    <col min="5647" max="5647" width="16" style="99" customWidth="1"/>
    <col min="5648" max="5648" width="7.5703125" style="99" customWidth="1"/>
    <col min="5649" max="5649" width="21.28515625" style="99" customWidth="1"/>
    <col min="5650" max="5887" width="9.140625" style="99"/>
    <col min="5888" max="5888" width="3.42578125" style="99" customWidth="1"/>
    <col min="5889" max="5889" width="44.28515625" style="99" customWidth="1"/>
    <col min="5890" max="5890" width="5.5703125" style="99" customWidth="1"/>
    <col min="5891" max="5891" width="17.7109375" style="99" customWidth="1"/>
    <col min="5892" max="5892" width="3.5703125" style="99" customWidth="1"/>
    <col min="5893" max="5893" width="18" style="99" customWidth="1"/>
    <col min="5894" max="5894" width="3.28515625" style="99" customWidth="1"/>
    <col min="5895" max="5896" width="12.5703125" style="99" customWidth="1"/>
    <col min="5897" max="5897" width="15.140625" style="99" customWidth="1"/>
    <col min="5898" max="5902" width="12.5703125" style="99" customWidth="1"/>
    <col min="5903" max="5903" width="16" style="99" customWidth="1"/>
    <col min="5904" max="5904" width="7.5703125" style="99" customWidth="1"/>
    <col min="5905" max="5905" width="21.28515625" style="99" customWidth="1"/>
    <col min="5906" max="6143" width="9.140625" style="99"/>
    <col min="6144" max="6144" width="3.42578125" style="99" customWidth="1"/>
    <col min="6145" max="6145" width="44.28515625" style="99" customWidth="1"/>
    <col min="6146" max="6146" width="5.5703125" style="99" customWidth="1"/>
    <col min="6147" max="6147" width="17.7109375" style="99" customWidth="1"/>
    <col min="6148" max="6148" width="3.5703125" style="99" customWidth="1"/>
    <col min="6149" max="6149" width="18" style="99" customWidth="1"/>
    <col min="6150" max="6150" width="3.28515625" style="99" customWidth="1"/>
    <col min="6151" max="6152" width="12.5703125" style="99" customWidth="1"/>
    <col min="6153" max="6153" width="15.140625" style="99" customWidth="1"/>
    <col min="6154" max="6158" width="12.5703125" style="99" customWidth="1"/>
    <col min="6159" max="6159" width="16" style="99" customWidth="1"/>
    <col min="6160" max="6160" width="7.5703125" style="99" customWidth="1"/>
    <col min="6161" max="6161" width="21.28515625" style="99" customWidth="1"/>
    <col min="6162" max="6399" width="9.140625" style="99"/>
    <col min="6400" max="6400" width="3.42578125" style="99" customWidth="1"/>
    <col min="6401" max="6401" width="44.28515625" style="99" customWidth="1"/>
    <col min="6402" max="6402" width="5.5703125" style="99" customWidth="1"/>
    <col min="6403" max="6403" width="17.7109375" style="99" customWidth="1"/>
    <col min="6404" max="6404" width="3.5703125" style="99" customWidth="1"/>
    <col min="6405" max="6405" width="18" style="99" customWidth="1"/>
    <col min="6406" max="6406" width="3.28515625" style="99" customWidth="1"/>
    <col min="6407" max="6408" width="12.5703125" style="99" customWidth="1"/>
    <col min="6409" max="6409" width="15.140625" style="99" customWidth="1"/>
    <col min="6410" max="6414" width="12.5703125" style="99" customWidth="1"/>
    <col min="6415" max="6415" width="16" style="99" customWidth="1"/>
    <col min="6416" max="6416" width="7.5703125" style="99" customWidth="1"/>
    <col min="6417" max="6417" width="21.28515625" style="99" customWidth="1"/>
    <col min="6418" max="6655" width="9.140625" style="99"/>
    <col min="6656" max="6656" width="3.42578125" style="99" customWidth="1"/>
    <col min="6657" max="6657" width="44.28515625" style="99" customWidth="1"/>
    <col min="6658" max="6658" width="5.5703125" style="99" customWidth="1"/>
    <col min="6659" max="6659" width="17.7109375" style="99" customWidth="1"/>
    <col min="6660" max="6660" width="3.5703125" style="99" customWidth="1"/>
    <col min="6661" max="6661" width="18" style="99" customWidth="1"/>
    <col min="6662" max="6662" width="3.28515625" style="99" customWidth="1"/>
    <col min="6663" max="6664" width="12.5703125" style="99" customWidth="1"/>
    <col min="6665" max="6665" width="15.140625" style="99" customWidth="1"/>
    <col min="6666" max="6670" width="12.5703125" style="99" customWidth="1"/>
    <col min="6671" max="6671" width="16" style="99" customWidth="1"/>
    <col min="6672" max="6672" width="7.5703125" style="99" customWidth="1"/>
    <col min="6673" max="6673" width="21.28515625" style="99" customWidth="1"/>
    <col min="6674" max="6911" width="9.140625" style="99"/>
    <col min="6912" max="6912" width="3.42578125" style="99" customWidth="1"/>
    <col min="6913" max="6913" width="44.28515625" style="99" customWidth="1"/>
    <col min="6914" max="6914" width="5.5703125" style="99" customWidth="1"/>
    <col min="6915" max="6915" width="17.7109375" style="99" customWidth="1"/>
    <col min="6916" max="6916" width="3.5703125" style="99" customWidth="1"/>
    <col min="6917" max="6917" width="18" style="99" customWidth="1"/>
    <col min="6918" max="6918" width="3.28515625" style="99" customWidth="1"/>
    <col min="6919" max="6920" width="12.5703125" style="99" customWidth="1"/>
    <col min="6921" max="6921" width="15.140625" style="99" customWidth="1"/>
    <col min="6922" max="6926" width="12.5703125" style="99" customWidth="1"/>
    <col min="6927" max="6927" width="16" style="99" customWidth="1"/>
    <col min="6928" max="6928" width="7.5703125" style="99" customWidth="1"/>
    <col min="6929" max="6929" width="21.28515625" style="99" customWidth="1"/>
    <col min="6930" max="7167" width="9.140625" style="99"/>
    <col min="7168" max="7168" width="3.42578125" style="99" customWidth="1"/>
    <col min="7169" max="7169" width="44.28515625" style="99" customWidth="1"/>
    <col min="7170" max="7170" width="5.5703125" style="99" customWidth="1"/>
    <col min="7171" max="7171" width="17.7109375" style="99" customWidth="1"/>
    <col min="7172" max="7172" width="3.5703125" style="99" customWidth="1"/>
    <col min="7173" max="7173" width="18" style="99" customWidth="1"/>
    <col min="7174" max="7174" width="3.28515625" style="99" customWidth="1"/>
    <col min="7175" max="7176" width="12.5703125" style="99" customWidth="1"/>
    <col min="7177" max="7177" width="15.140625" style="99" customWidth="1"/>
    <col min="7178" max="7182" width="12.5703125" style="99" customWidth="1"/>
    <col min="7183" max="7183" width="16" style="99" customWidth="1"/>
    <col min="7184" max="7184" width="7.5703125" style="99" customWidth="1"/>
    <col min="7185" max="7185" width="21.28515625" style="99" customWidth="1"/>
    <col min="7186" max="7423" width="9.140625" style="99"/>
    <col min="7424" max="7424" width="3.42578125" style="99" customWidth="1"/>
    <col min="7425" max="7425" width="44.28515625" style="99" customWidth="1"/>
    <col min="7426" max="7426" width="5.5703125" style="99" customWidth="1"/>
    <col min="7427" max="7427" width="17.7109375" style="99" customWidth="1"/>
    <col min="7428" max="7428" width="3.5703125" style="99" customWidth="1"/>
    <col min="7429" max="7429" width="18" style="99" customWidth="1"/>
    <col min="7430" max="7430" width="3.28515625" style="99" customWidth="1"/>
    <col min="7431" max="7432" width="12.5703125" style="99" customWidth="1"/>
    <col min="7433" max="7433" width="15.140625" style="99" customWidth="1"/>
    <col min="7434" max="7438" width="12.5703125" style="99" customWidth="1"/>
    <col min="7439" max="7439" width="16" style="99" customWidth="1"/>
    <col min="7440" max="7440" width="7.5703125" style="99" customWidth="1"/>
    <col min="7441" max="7441" width="21.28515625" style="99" customWidth="1"/>
    <col min="7442" max="7679" width="9.140625" style="99"/>
    <col min="7680" max="7680" width="3.42578125" style="99" customWidth="1"/>
    <col min="7681" max="7681" width="44.28515625" style="99" customWidth="1"/>
    <col min="7682" max="7682" width="5.5703125" style="99" customWidth="1"/>
    <col min="7683" max="7683" width="17.7109375" style="99" customWidth="1"/>
    <col min="7684" max="7684" width="3.5703125" style="99" customWidth="1"/>
    <col min="7685" max="7685" width="18" style="99" customWidth="1"/>
    <col min="7686" max="7686" width="3.28515625" style="99" customWidth="1"/>
    <col min="7687" max="7688" width="12.5703125" style="99" customWidth="1"/>
    <col min="7689" max="7689" width="15.140625" style="99" customWidth="1"/>
    <col min="7690" max="7694" width="12.5703125" style="99" customWidth="1"/>
    <col min="7695" max="7695" width="16" style="99" customWidth="1"/>
    <col min="7696" max="7696" width="7.5703125" style="99" customWidth="1"/>
    <col min="7697" max="7697" width="21.28515625" style="99" customWidth="1"/>
    <col min="7698" max="7935" width="9.140625" style="99"/>
    <col min="7936" max="7936" width="3.42578125" style="99" customWidth="1"/>
    <col min="7937" max="7937" width="44.28515625" style="99" customWidth="1"/>
    <col min="7938" max="7938" width="5.5703125" style="99" customWidth="1"/>
    <col min="7939" max="7939" width="17.7109375" style="99" customWidth="1"/>
    <col min="7940" max="7940" width="3.5703125" style="99" customWidth="1"/>
    <col min="7941" max="7941" width="18" style="99" customWidth="1"/>
    <col min="7942" max="7942" width="3.28515625" style="99" customWidth="1"/>
    <col min="7943" max="7944" width="12.5703125" style="99" customWidth="1"/>
    <col min="7945" max="7945" width="15.140625" style="99" customWidth="1"/>
    <col min="7946" max="7950" width="12.5703125" style="99" customWidth="1"/>
    <col min="7951" max="7951" width="16" style="99" customWidth="1"/>
    <col min="7952" max="7952" width="7.5703125" style="99" customWidth="1"/>
    <col min="7953" max="7953" width="21.28515625" style="99" customWidth="1"/>
    <col min="7954" max="8191" width="9.140625" style="99"/>
    <col min="8192" max="8192" width="3.42578125" style="99" customWidth="1"/>
    <col min="8193" max="8193" width="44.28515625" style="99" customWidth="1"/>
    <col min="8194" max="8194" width="5.5703125" style="99" customWidth="1"/>
    <col min="8195" max="8195" width="17.7109375" style="99" customWidth="1"/>
    <col min="8196" max="8196" width="3.5703125" style="99" customWidth="1"/>
    <col min="8197" max="8197" width="18" style="99" customWidth="1"/>
    <col min="8198" max="8198" width="3.28515625" style="99" customWidth="1"/>
    <col min="8199" max="8200" width="12.5703125" style="99" customWidth="1"/>
    <col min="8201" max="8201" width="15.140625" style="99" customWidth="1"/>
    <col min="8202" max="8206" width="12.5703125" style="99" customWidth="1"/>
    <col min="8207" max="8207" width="16" style="99" customWidth="1"/>
    <col min="8208" max="8208" width="7.5703125" style="99" customWidth="1"/>
    <col min="8209" max="8209" width="21.28515625" style="99" customWidth="1"/>
    <col min="8210" max="8447" width="9.140625" style="99"/>
    <col min="8448" max="8448" width="3.42578125" style="99" customWidth="1"/>
    <col min="8449" max="8449" width="44.28515625" style="99" customWidth="1"/>
    <col min="8450" max="8450" width="5.5703125" style="99" customWidth="1"/>
    <col min="8451" max="8451" width="17.7109375" style="99" customWidth="1"/>
    <col min="8452" max="8452" width="3.5703125" style="99" customWidth="1"/>
    <col min="8453" max="8453" width="18" style="99" customWidth="1"/>
    <col min="8454" max="8454" width="3.28515625" style="99" customWidth="1"/>
    <col min="8455" max="8456" width="12.5703125" style="99" customWidth="1"/>
    <col min="8457" max="8457" width="15.140625" style="99" customWidth="1"/>
    <col min="8458" max="8462" width="12.5703125" style="99" customWidth="1"/>
    <col min="8463" max="8463" width="16" style="99" customWidth="1"/>
    <col min="8464" max="8464" width="7.5703125" style="99" customWidth="1"/>
    <col min="8465" max="8465" width="21.28515625" style="99" customWidth="1"/>
    <col min="8466" max="8703" width="9.140625" style="99"/>
    <col min="8704" max="8704" width="3.42578125" style="99" customWidth="1"/>
    <col min="8705" max="8705" width="44.28515625" style="99" customWidth="1"/>
    <col min="8706" max="8706" width="5.5703125" style="99" customWidth="1"/>
    <col min="8707" max="8707" width="17.7109375" style="99" customWidth="1"/>
    <col min="8708" max="8708" width="3.5703125" style="99" customWidth="1"/>
    <col min="8709" max="8709" width="18" style="99" customWidth="1"/>
    <col min="8710" max="8710" width="3.28515625" style="99" customWidth="1"/>
    <col min="8711" max="8712" width="12.5703125" style="99" customWidth="1"/>
    <col min="8713" max="8713" width="15.140625" style="99" customWidth="1"/>
    <col min="8714" max="8718" width="12.5703125" style="99" customWidth="1"/>
    <col min="8719" max="8719" width="16" style="99" customWidth="1"/>
    <col min="8720" max="8720" width="7.5703125" style="99" customWidth="1"/>
    <col min="8721" max="8721" width="21.28515625" style="99" customWidth="1"/>
    <col min="8722" max="8959" width="9.140625" style="99"/>
    <col min="8960" max="8960" width="3.42578125" style="99" customWidth="1"/>
    <col min="8961" max="8961" width="44.28515625" style="99" customWidth="1"/>
    <col min="8962" max="8962" width="5.5703125" style="99" customWidth="1"/>
    <col min="8963" max="8963" width="17.7109375" style="99" customWidth="1"/>
    <col min="8964" max="8964" width="3.5703125" style="99" customWidth="1"/>
    <col min="8965" max="8965" width="18" style="99" customWidth="1"/>
    <col min="8966" max="8966" width="3.28515625" style="99" customWidth="1"/>
    <col min="8967" max="8968" width="12.5703125" style="99" customWidth="1"/>
    <col min="8969" max="8969" width="15.140625" style="99" customWidth="1"/>
    <col min="8970" max="8974" width="12.5703125" style="99" customWidth="1"/>
    <col min="8975" max="8975" width="16" style="99" customWidth="1"/>
    <col min="8976" max="8976" width="7.5703125" style="99" customWidth="1"/>
    <col min="8977" max="8977" width="21.28515625" style="99" customWidth="1"/>
    <col min="8978" max="9215" width="9.140625" style="99"/>
    <col min="9216" max="9216" width="3.42578125" style="99" customWidth="1"/>
    <col min="9217" max="9217" width="44.28515625" style="99" customWidth="1"/>
    <col min="9218" max="9218" width="5.5703125" style="99" customWidth="1"/>
    <col min="9219" max="9219" width="17.7109375" style="99" customWidth="1"/>
    <col min="9220" max="9220" width="3.5703125" style="99" customWidth="1"/>
    <col min="9221" max="9221" width="18" style="99" customWidth="1"/>
    <col min="9222" max="9222" width="3.28515625" style="99" customWidth="1"/>
    <col min="9223" max="9224" width="12.5703125" style="99" customWidth="1"/>
    <col min="9225" max="9225" width="15.140625" style="99" customWidth="1"/>
    <col min="9226" max="9230" width="12.5703125" style="99" customWidth="1"/>
    <col min="9231" max="9231" width="16" style="99" customWidth="1"/>
    <col min="9232" max="9232" width="7.5703125" style="99" customWidth="1"/>
    <col min="9233" max="9233" width="21.28515625" style="99" customWidth="1"/>
    <col min="9234" max="9471" width="9.140625" style="99"/>
    <col min="9472" max="9472" width="3.42578125" style="99" customWidth="1"/>
    <col min="9473" max="9473" width="44.28515625" style="99" customWidth="1"/>
    <col min="9474" max="9474" width="5.5703125" style="99" customWidth="1"/>
    <col min="9475" max="9475" width="17.7109375" style="99" customWidth="1"/>
    <col min="9476" max="9476" width="3.5703125" style="99" customWidth="1"/>
    <col min="9477" max="9477" width="18" style="99" customWidth="1"/>
    <col min="9478" max="9478" width="3.28515625" style="99" customWidth="1"/>
    <col min="9479" max="9480" width="12.5703125" style="99" customWidth="1"/>
    <col min="9481" max="9481" width="15.140625" style="99" customWidth="1"/>
    <col min="9482" max="9486" width="12.5703125" style="99" customWidth="1"/>
    <col min="9487" max="9487" width="16" style="99" customWidth="1"/>
    <col min="9488" max="9488" width="7.5703125" style="99" customWidth="1"/>
    <col min="9489" max="9489" width="21.28515625" style="99" customWidth="1"/>
    <col min="9490" max="9727" width="9.140625" style="99"/>
    <col min="9728" max="9728" width="3.42578125" style="99" customWidth="1"/>
    <col min="9729" max="9729" width="44.28515625" style="99" customWidth="1"/>
    <col min="9730" max="9730" width="5.5703125" style="99" customWidth="1"/>
    <col min="9731" max="9731" width="17.7109375" style="99" customWidth="1"/>
    <col min="9732" max="9732" width="3.5703125" style="99" customWidth="1"/>
    <col min="9733" max="9733" width="18" style="99" customWidth="1"/>
    <col min="9734" max="9734" width="3.28515625" style="99" customWidth="1"/>
    <col min="9735" max="9736" width="12.5703125" style="99" customWidth="1"/>
    <col min="9737" max="9737" width="15.140625" style="99" customWidth="1"/>
    <col min="9738" max="9742" width="12.5703125" style="99" customWidth="1"/>
    <col min="9743" max="9743" width="16" style="99" customWidth="1"/>
    <col min="9744" max="9744" width="7.5703125" style="99" customWidth="1"/>
    <col min="9745" max="9745" width="21.28515625" style="99" customWidth="1"/>
    <col min="9746" max="9983" width="9.140625" style="99"/>
    <col min="9984" max="9984" width="3.42578125" style="99" customWidth="1"/>
    <col min="9985" max="9985" width="44.28515625" style="99" customWidth="1"/>
    <col min="9986" max="9986" width="5.5703125" style="99" customWidth="1"/>
    <col min="9987" max="9987" width="17.7109375" style="99" customWidth="1"/>
    <col min="9988" max="9988" width="3.5703125" style="99" customWidth="1"/>
    <col min="9989" max="9989" width="18" style="99" customWidth="1"/>
    <col min="9990" max="9990" width="3.28515625" style="99" customWidth="1"/>
    <col min="9991" max="9992" width="12.5703125" style="99" customWidth="1"/>
    <col min="9993" max="9993" width="15.140625" style="99" customWidth="1"/>
    <col min="9994" max="9998" width="12.5703125" style="99" customWidth="1"/>
    <col min="9999" max="9999" width="16" style="99" customWidth="1"/>
    <col min="10000" max="10000" width="7.5703125" style="99" customWidth="1"/>
    <col min="10001" max="10001" width="21.28515625" style="99" customWidth="1"/>
    <col min="10002" max="10239" width="9.140625" style="99"/>
    <col min="10240" max="10240" width="3.42578125" style="99" customWidth="1"/>
    <col min="10241" max="10241" width="44.28515625" style="99" customWidth="1"/>
    <col min="10242" max="10242" width="5.5703125" style="99" customWidth="1"/>
    <col min="10243" max="10243" width="17.7109375" style="99" customWidth="1"/>
    <col min="10244" max="10244" width="3.5703125" style="99" customWidth="1"/>
    <col min="10245" max="10245" width="18" style="99" customWidth="1"/>
    <col min="10246" max="10246" width="3.28515625" style="99" customWidth="1"/>
    <col min="10247" max="10248" width="12.5703125" style="99" customWidth="1"/>
    <col min="10249" max="10249" width="15.140625" style="99" customWidth="1"/>
    <col min="10250" max="10254" width="12.5703125" style="99" customWidth="1"/>
    <col min="10255" max="10255" width="16" style="99" customWidth="1"/>
    <col min="10256" max="10256" width="7.5703125" style="99" customWidth="1"/>
    <col min="10257" max="10257" width="21.28515625" style="99" customWidth="1"/>
    <col min="10258" max="10495" width="9.140625" style="99"/>
    <col min="10496" max="10496" width="3.42578125" style="99" customWidth="1"/>
    <col min="10497" max="10497" width="44.28515625" style="99" customWidth="1"/>
    <col min="10498" max="10498" width="5.5703125" style="99" customWidth="1"/>
    <col min="10499" max="10499" width="17.7109375" style="99" customWidth="1"/>
    <col min="10500" max="10500" width="3.5703125" style="99" customWidth="1"/>
    <col min="10501" max="10501" width="18" style="99" customWidth="1"/>
    <col min="10502" max="10502" width="3.28515625" style="99" customWidth="1"/>
    <col min="10503" max="10504" width="12.5703125" style="99" customWidth="1"/>
    <col min="10505" max="10505" width="15.140625" style="99" customWidth="1"/>
    <col min="10506" max="10510" width="12.5703125" style="99" customWidth="1"/>
    <col min="10511" max="10511" width="16" style="99" customWidth="1"/>
    <col min="10512" max="10512" width="7.5703125" style="99" customWidth="1"/>
    <col min="10513" max="10513" width="21.28515625" style="99" customWidth="1"/>
    <col min="10514" max="10751" width="9.140625" style="99"/>
    <col min="10752" max="10752" width="3.42578125" style="99" customWidth="1"/>
    <col min="10753" max="10753" width="44.28515625" style="99" customWidth="1"/>
    <col min="10754" max="10754" width="5.5703125" style="99" customWidth="1"/>
    <col min="10755" max="10755" width="17.7109375" style="99" customWidth="1"/>
    <col min="10756" max="10756" width="3.5703125" style="99" customWidth="1"/>
    <col min="10757" max="10757" width="18" style="99" customWidth="1"/>
    <col min="10758" max="10758" width="3.28515625" style="99" customWidth="1"/>
    <col min="10759" max="10760" width="12.5703125" style="99" customWidth="1"/>
    <col min="10761" max="10761" width="15.140625" style="99" customWidth="1"/>
    <col min="10762" max="10766" width="12.5703125" style="99" customWidth="1"/>
    <col min="10767" max="10767" width="16" style="99" customWidth="1"/>
    <col min="10768" max="10768" width="7.5703125" style="99" customWidth="1"/>
    <col min="10769" max="10769" width="21.28515625" style="99" customWidth="1"/>
    <col min="10770" max="11007" width="9.140625" style="99"/>
    <col min="11008" max="11008" width="3.42578125" style="99" customWidth="1"/>
    <col min="11009" max="11009" width="44.28515625" style="99" customWidth="1"/>
    <col min="11010" max="11010" width="5.5703125" style="99" customWidth="1"/>
    <col min="11011" max="11011" width="17.7109375" style="99" customWidth="1"/>
    <col min="11012" max="11012" width="3.5703125" style="99" customWidth="1"/>
    <col min="11013" max="11013" width="18" style="99" customWidth="1"/>
    <col min="11014" max="11014" width="3.28515625" style="99" customWidth="1"/>
    <col min="11015" max="11016" width="12.5703125" style="99" customWidth="1"/>
    <col min="11017" max="11017" width="15.140625" style="99" customWidth="1"/>
    <col min="11018" max="11022" width="12.5703125" style="99" customWidth="1"/>
    <col min="11023" max="11023" width="16" style="99" customWidth="1"/>
    <col min="11024" max="11024" width="7.5703125" style="99" customWidth="1"/>
    <col min="11025" max="11025" width="21.28515625" style="99" customWidth="1"/>
    <col min="11026" max="11263" width="9.140625" style="99"/>
    <col min="11264" max="11264" width="3.42578125" style="99" customWidth="1"/>
    <col min="11265" max="11265" width="44.28515625" style="99" customWidth="1"/>
    <col min="11266" max="11266" width="5.5703125" style="99" customWidth="1"/>
    <col min="11267" max="11267" width="17.7109375" style="99" customWidth="1"/>
    <col min="11268" max="11268" width="3.5703125" style="99" customWidth="1"/>
    <col min="11269" max="11269" width="18" style="99" customWidth="1"/>
    <col min="11270" max="11270" width="3.28515625" style="99" customWidth="1"/>
    <col min="11271" max="11272" width="12.5703125" style="99" customWidth="1"/>
    <col min="11273" max="11273" width="15.140625" style="99" customWidth="1"/>
    <col min="11274" max="11278" width="12.5703125" style="99" customWidth="1"/>
    <col min="11279" max="11279" width="16" style="99" customWidth="1"/>
    <col min="11280" max="11280" width="7.5703125" style="99" customWidth="1"/>
    <col min="11281" max="11281" width="21.28515625" style="99" customWidth="1"/>
    <col min="11282" max="11519" width="9.140625" style="99"/>
    <col min="11520" max="11520" width="3.42578125" style="99" customWidth="1"/>
    <col min="11521" max="11521" width="44.28515625" style="99" customWidth="1"/>
    <col min="11522" max="11522" width="5.5703125" style="99" customWidth="1"/>
    <col min="11523" max="11523" width="17.7109375" style="99" customWidth="1"/>
    <col min="11524" max="11524" width="3.5703125" style="99" customWidth="1"/>
    <col min="11525" max="11525" width="18" style="99" customWidth="1"/>
    <col min="11526" max="11526" width="3.28515625" style="99" customWidth="1"/>
    <col min="11527" max="11528" width="12.5703125" style="99" customWidth="1"/>
    <col min="11529" max="11529" width="15.140625" style="99" customWidth="1"/>
    <col min="11530" max="11534" width="12.5703125" style="99" customWidth="1"/>
    <col min="11535" max="11535" width="16" style="99" customWidth="1"/>
    <col min="11536" max="11536" width="7.5703125" style="99" customWidth="1"/>
    <col min="11537" max="11537" width="21.28515625" style="99" customWidth="1"/>
    <col min="11538" max="11775" width="9.140625" style="99"/>
    <col min="11776" max="11776" width="3.42578125" style="99" customWidth="1"/>
    <col min="11777" max="11777" width="44.28515625" style="99" customWidth="1"/>
    <col min="11778" max="11778" width="5.5703125" style="99" customWidth="1"/>
    <col min="11779" max="11779" width="17.7109375" style="99" customWidth="1"/>
    <col min="11780" max="11780" width="3.5703125" style="99" customWidth="1"/>
    <col min="11781" max="11781" width="18" style="99" customWidth="1"/>
    <col min="11782" max="11782" width="3.28515625" style="99" customWidth="1"/>
    <col min="11783" max="11784" width="12.5703125" style="99" customWidth="1"/>
    <col min="11785" max="11785" width="15.140625" style="99" customWidth="1"/>
    <col min="11786" max="11790" width="12.5703125" style="99" customWidth="1"/>
    <col min="11791" max="11791" width="16" style="99" customWidth="1"/>
    <col min="11792" max="11792" width="7.5703125" style="99" customWidth="1"/>
    <col min="11793" max="11793" width="21.28515625" style="99" customWidth="1"/>
    <col min="11794" max="12031" width="9.140625" style="99"/>
    <col min="12032" max="12032" width="3.42578125" style="99" customWidth="1"/>
    <col min="12033" max="12033" width="44.28515625" style="99" customWidth="1"/>
    <col min="12034" max="12034" width="5.5703125" style="99" customWidth="1"/>
    <col min="12035" max="12035" width="17.7109375" style="99" customWidth="1"/>
    <col min="12036" max="12036" width="3.5703125" style="99" customWidth="1"/>
    <col min="12037" max="12037" width="18" style="99" customWidth="1"/>
    <col min="12038" max="12038" width="3.28515625" style="99" customWidth="1"/>
    <col min="12039" max="12040" width="12.5703125" style="99" customWidth="1"/>
    <col min="12041" max="12041" width="15.140625" style="99" customWidth="1"/>
    <col min="12042" max="12046" width="12.5703125" style="99" customWidth="1"/>
    <col min="12047" max="12047" width="16" style="99" customWidth="1"/>
    <col min="12048" max="12048" width="7.5703125" style="99" customWidth="1"/>
    <col min="12049" max="12049" width="21.28515625" style="99" customWidth="1"/>
    <col min="12050" max="12287" width="9.140625" style="99"/>
    <col min="12288" max="12288" width="3.42578125" style="99" customWidth="1"/>
    <col min="12289" max="12289" width="44.28515625" style="99" customWidth="1"/>
    <col min="12290" max="12290" width="5.5703125" style="99" customWidth="1"/>
    <col min="12291" max="12291" width="17.7109375" style="99" customWidth="1"/>
    <col min="12292" max="12292" width="3.5703125" style="99" customWidth="1"/>
    <col min="12293" max="12293" width="18" style="99" customWidth="1"/>
    <col min="12294" max="12294" width="3.28515625" style="99" customWidth="1"/>
    <col min="12295" max="12296" width="12.5703125" style="99" customWidth="1"/>
    <col min="12297" max="12297" width="15.140625" style="99" customWidth="1"/>
    <col min="12298" max="12302" width="12.5703125" style="99" customWidth="1"/>
    <col min="12303" max="12303" width="16" style="99" customWidth="1"/>
    <col min="12304" max="12304" width="7.5703125" style="99" customWidth="1"/>
    <col min="12305" max="12305" width="21.28515625" style="99" customWidth="1"/>
    <col min="12306" max="12543" width="9.140625" style="99"/>
    <col min="12544" max="12544" width="3.42578125" style="99" customWidth="1"/>
    <col min="12545" max="12545" width="44.28515625" style="99" customWidth="1"/>
    <col min="12546" max="12546" width="5.5703125" style="99" customWidth="1"/>
    <col min="12547" max="12547" width="17.7109375" style="99" customWidth="1"/>
    <col min="12548" max="12548" width="3.5703125" style="99" customWidth="1"/>
    <col min="12549" max="12549" width="18" style="99" customWidth="1"/>
    <col min="12550" max="12550" width="3.28515625" style="99" customWidth="1"/>
    <col min="12551" max="12552" width="12.5703125" style="99" customWidth="1"/>
    <col min="12553" max="12553" width="15.140625" style="99" customWidth="1"/>
    <col min="12554" max="12558" width="12.5703125" style="99" customWidth="1"/>
    <col min="12559" max="12559" width="16" style="99" customWidth="1"/>
    <col min="12560" max="12560" width="7.5703125" style="99" customWidth="1"/>
    <col min="12561" max="12561" width="21.28515625" style="99" customWidth="1"/>
    <col min="12562" max="12799" width="9.140625" style="99"/>
    <col min="12800" max="12800" width="3.42578125" style="99" customWidth="1"/>
    <col min="12801" max="12801" width="44.28515625" style="99" customWidth="1"/>
    <col min="12802" max="12802" width="5.5703125" style="99" customWidth="1"/>
    <col min="12803" max="12803" width="17.7109375" style="99" customWidth="1"/>
    <col min="12804" max="12804" width="3.5703125" style="99" customWidth="1"/>
    <col min="12805" max="12805" width="18" style="99" customWidth="1"/>
    <col min="12806" max="12806" width="3.28515625" style="99" customWidth="1"/>
    <col min="12807" max="12808" width="12.5703125" style="99" customWidth="1"/>
    <col min="12809" max="12809" width="15.140625" style="99" customWidth="1"/>
    <col min="12810" max="12814" width="12.5703125" style="99" customWidth="1"/>
    <col min="12815" max="12815" width="16" style="99" customWidth="1"/>
    <col min="12816" max="12816" width="7.5703125" style="99" customWidth="1"/>
    <col min="12817" max="12817" width="21.28515625" style="99" customWidth="1"/>
    <col min="12818" max="13055" width="9.140625" style="99"/>
    <col min="13056" max="13056" width="3.42578125" style="99" customWidth="1"/>
    <col min="13057" max="13057" width="44.28515625" style="99" customWidth="1"/>
    <col min="13058" max="13058" width="5.5703125" style="99" customWidth="1"/>
    <col min="13059" max="13059" width="17.7109375" style="99" customWidth="1"/>
    <col min="13060" max="13060" width="3.5703125" style="99" customWidth="1"/>
    <col min="13061" max="13061" width="18" style="99" customWidth="1"/>
    <col min="13062" max="13062" width="3.28515625" style="99" customWidth="1"/>
    <col min="13063" max="13064" width="12.5703125" style="99" customWidth="1"/>
    <col min="13065" max="13065" width="15.140625" style="99" customWidth="1"/>
    <col min="13066" max="13070" width="12.5703125" style="99" customWidth="1"/>
    <col min="13071" max="13071" width="16" style="99" customWidth="1"/>
    <col min="13072" max="13072" width="7.5703125" style="99" customWidth="1"/>
    <col min="13073" max="13073" width="21.28515625" style="99" customWidth="1"/>
    <col min="13074" max="13311" width="9.140625" style="99"/>
    <col min="13312" max="13312" width="3.42578125" style="99" customWidth="1"/>
    <col min="13313" max="13313" width="44.28515625" style="99" customWidth="1"/>
    <col min="13314" max="13314" width="5.5703125" style="99" customWidth="1"/>
    <col min="13315" max="13315" width="17.7109375" style="99" customWidth="1"/>
    <col min="13316" max="13316" width="3.5703125" style="99" customWidth="1"/>
    <col min="13317" max="13317" width="18" style="99" customWidth="1"/>
    <col min="13318" max="13318" width="3.28515625" style="99" customWidth="1"/>
    <col min="13319" max="13320" width="12.5703125" style="99" customWidth="1"/>
    <col min="13321" max="13321" width="15.140625" style="99" customWidth="1"/>
    <col min="13322" max="13326" width="12.5703125" style="99" customWidth="1"/>
    <col min="13327" max="13327" width="16" style="99" customWidth="1"/>
    <col min="13328" max="13328" width="7.5703125" style="99" customWidth="1"/>
    <col min="13329" max="13329" width="21.28515625" style="99" customWidth="1"/>
    <col min="13330" max="13567" width="9.140625" style="99"/>
    <col min="13568" max="13568" width="3.42578125" style="99" customWidth="1"/>
    <col min="13569" max="13569" width="44.28515625" style="99" customWidth="1"/>
    <col min="13570" max="13570" width="5.5703125" style="99" customWidth="1"/>
    <col min="13571" max="13571" width="17.7109375" style="99" customWidth="1"/>
    <col min="13572" max="13572" width="3.5703125" style="99" customWidth="1"/>
    <col min="13573" max="13573" width="18" style="99" customWidth="1"/>
    <col min="13574" max="13574" width="3.28515625" style="99" customWidth="1"/>
    <col min="13575" max="13576" width="12.5703125" style="99" customWidth="1"/>
    <col min="13577" max="13577" width="15.140625" style="99" customWidth="1"/>
    <col min="13578" max="13582" width="12.5703125" style="99" customWidth="1"/>
    <col min="13583" max="13583" width="16" style="99" customWidth="1"/>
    <col min="13584" max="13584" width="7.5703125" style="99" customWidth="1"/>
    <col min="13585" max="13585" width="21.28515625" style="99" customWidth="1"/>
    <col min="13586" max="13823" width="9.140625" style="99"/>
    <col min="13824" max="13824" width="3.42578125" style="99" customWidth="1"/>
    <col min="13825" max="13825" width="44.28515625" style="99" customWidth="1"/>
    <col min="13826" max="13826" width="5.5703125" style="99" customWidth="1"/>
    <col min="13827" max="13827" width="17.7109375" style="99" customWidth="1"/>
    <col min="13828" max="13828" width="3.5703125" style="99" customWidth="1"/>
    <col min="13829" max="13829" width="18" style="99" customWidth="1"/>
    <col min="13830" max="13830" width="3.28515625" style="99" customWidth="1"/>
    <col min="13831" max="13832" width="12.5703125" style="99" customWidth="1"/>
    <col min="13833" max="13833" width="15.140625" style="99" customWidth="1"/>
    <col min="13834" max="13838" width="12.5703125" style="99" customWidth="1"/>
    <col min="13839" max="13839" width="16" style="99" customWidth="1"/>
    <col min="13840" max="13840" width="7.5703125" style="99" customWidth="1"/>
    <col min="13841" max="13841" width="21.28515625" style="99" customWidth="1"/>
    <col min="13842" max="14079" width="9.140625" style="99"/>
    <col min="14080" max="14080" width="3.42578125" style="99" customWidth="1"/>
    <col min="14081" max="14081" width="44.28515625" style="99" customWidth="1"/>
    <col min="14082" max="14082" width="5.5703125" style="99" customWidth="1"/>
    <col min="14083" max="14083" width="17.7109375" style="99" customWidth="1"/>
    <col min="14084" max="14084" width="3.5703125" style="99" customWidth="1"/>
    <col min="14085" max="14085" width="18" style="99" customWidth="1"/>
    <col min="14086" max="14086" width="3.28515625" style="99" customWidth="1"/>
    <col min="14087" max="14088" width="12.5703125" style="99" customWidth="1"/>
    <col min="14089" max="14089" width="15.140625" style="99" customWidth="1"/>
    <col min="14090" max="14094" width="12.5703125" style="99" customWidth="1"/>
    <col min="14095" max="14095" width="16" style="99" customWidth="1"/>
    <col min="14096" max="14096" width="7.5703125" style="99" customWidth="1"/>
    <col min="14097" max="14097" width="21.28515625" style="99" customWidth="1"/>
    <col min="14098" max="14335" width="9.140625" style="99"/>
    <col min="14336" max="14336" width="3.42578125" style="99" customWidth="1"/>
    <col min="14337" max="14337" width="44.28515625" style="99" customWidth="1"/>
    <col min="14338" max="14338" width="5.5703125" style="99" customWidth="1"/>
    <col min="14339" max="14339" width="17.7109375" style="99" customWidth="1"/>
    <col min="14340" max="14340" width="3.5703125" style="99" customWidth="1"/>
    <col min="14341" max="14341" width="18" style="99" customWidth="1"/>
    <col min="14342" max="14342" width="3.28515625" style="99" customWidth="1"/>
    <col min="14343" max="14344" width="12.5703125" style="99" customWidth="1"/>
    <col min="14345" max="14345" width="15.140625" style="99" customWidth="1"/>
    <col min="14346" max="14350" width="12.5703125" style="99" customWidth="1"/>
    <col min="14351" max="14351" width="16" style="99" customWidth="1"/>
    <col min="14352" max="14352" width="7.5703125" style="99" customWidth="1"/>
    <col min="14353" max="14353" width="21.28515625" style="99" customWidth="1"/>
    <col min="14354" max="14591" width="9.140625" style="99"/>
    <col min="14592" max="14592" width="3.42578125" style="99" customWidth="1"/>
    <col min="14593" max="14593" width="44.28515625" style="99" customWidth="1"/>
    <col min="14594" max="14594" width="5.5703125" style="99" customWidth="1"/>
    <col min="14595" max="14595" width="17.7109375" style="99" customWidth="1"/>
    <col min="14596" max="14596" width="3.5703125" style="99" customWidth="1"/>
    <col min="14597" max="14597" width="18" style="99" customWidth="1"/>
    <col min="14598" max="14598" width="3.28515625" style="99" customWidth="1"/>
    <col min="14599" max="14600" width="12.5703125" style="99" customWidth="1"/>
    <col min="14601" max="14601" width="15.140625" style="99" customWidth="1"/>
    <col min="14602" max="14606" width="12.5703125" style="99" customWidth="1"/>
    <col min="14607" max="14607" width="16" style="99" customWidth="1"/>
    <col min="14608" max="14608" width="7.5703125" style="99" customWidth="1"/>
    <col min="14609" max="14609" width="21.28515625" style="99" customWidth="1"/>
    <col min="14610" max="14847" width="9.140625" style="99"/>
    <col min="14848" max="14848" width="3.42578125" style="99" customWidth="1"/>
    <col min="14849" max="14849" width="44.28515625" style="99" customWidth="1"/>
    <col min="14850" max="14850" width="5.5703125" style="99" customWidth="1"/>
    <col min="14851" max="14851" width="17.7109375" style="99" customWidth="1"/>
    <col min="14852" max="14852" width="3.5703125" style="99" customWidth="1"/>
    <col min="14853" max="14853" width="18" style="99" customWidth="1"/>
    <col min="14854" max="14854" width="3.28515625" style="99" customWidth="1"/>
    <col min="14855" max="14856" width="12.5703125" style="99" customWidth="1"/>
    <col min="14857" max="14857" width="15.140625" style="99" customWidth="1"/>
    <col min="14858" max="14862" width="12.5703125" style="99" customWidth="1"/>
    <col min="14863" max="14863" width="16" style="99" customWidth="1"/>
    <col min="14864" max="14864" width="7.5703125" style="99" customWidth="1"/>
    <col min="14865" max="14865" width="21.28515625" style="99" customWidth="1"/>
    <col min="14866" max="15103" width="9.140625" style="99"/>
    <col min="15104" max="15104" width="3.42578125" style="99" customWidth="1"/>
    <col min="15105" max="15105" width="44.28515625" style="99" customWidth="1"/>
    <col min="15106" max="15106" width="5.5703125" style="99" customWidth="1"/>
    <col min="15107" max="15107" width="17.7109375" style="99" customWidth="1"/>
    <col min="15108" max="15108" width="3.5703125" style="99" customWidth="1"/>
    <col min="15109" max="15109" width="18" style="99" customWidth="1"/>
    <col min="15110" max="15110" width="3.28515625" style="99" customWidth="1"/>
    <col min="15111" max="15112" width="12.5703125" style="99" customWidth="1"/>
    <col min="15113" max="15113" width="15.140625" style="99" customWidth="1"/>
    <col min="15114" max="15118" width="12.5703125" style="99" customWidth="1"/>
    <col min="15119" max="15119" width="16" style="99" customWidth="1"/>
    <col min="15120" max="15120" width="7.5703125" style="99" customWidth="1"/>
    <col min="15121" max="15121" width="21.28515625" style="99" customWidth="1"/>
    <col min="15122" max="15359" width="9.140625" style="99"/>
    <col min="15360" max="15360" width="3.42578125" style="99" customWidth="1"/>
    <col min="15361" max="15361" width="44.28515625" style="99" customWidth="1"/>
    <col min="15362" max="15362" width="5.5703125" style="99" customWidth="1"/>
    <col min="15363" max="15363" width="17.7109375" style="99" customWidth="1"/>
    <col min="15364" max="15364" width="3.5703125" style="99" customWidth="1"/>
    <col min="15365" max="15365" width="18" style="99" customWidth="1"/>
    <col min="15366" max="15366" width="3.28515625" style="99" customWidth="1"/>
    <col min="15367" max="15368" width="12.5703125" style="99" customWidth="1"/>
    <col min="15369" max="15369" width="15.140625" style="99" customWidth="1"/>
    <col min="15370" max="15374" width="12.5703125" style="99" customWidth="1"/>
    <col min="15375" max="15375" width="16" style="99" customWidth="1"/>
    <col min="15376" max="15376" width="7.5703125" style="99" customWidth="1"/>
    <col min="15377" max="15377" width="21.28515625" style="99" customWidth="1"/>
    <col min="15378" max="15615" width="9.140625" style="99"/>
    <col min="15616" max="15616" width="3.42578125" style="99" customWidth="1"/>
    <col min="15617" max="15617" width="44.28515625" style="99" customWidth="1"/>
    <col min="15618" max="15618" width="5.5703125" style="99" customWidth="1"/>
    <col min="15619" max="15619" width="17.7109375" style="99" customWidth="1"/>
    <col min="15620" max="15620" width="3.5703125" style="99" customWidth="1"/>
    <col min="15621" max="15621" width="18" style="99" customWidth="1"/>
    <col min="15622" max="15622" width="3.28515625" style="99" customWidth="1"/>
    <col min="15623" max="15624" width="12.5703125" style="99" customWidth="1"/>
    <col min="15625" max="15625" width="15.140625" style="99" customWidth="1"/>
    <col min="15626" max="15630" width="12.5703125" style="99" customWidth="1"/>
    <col min="15631" max="15631" width="16" style="99" customWidth="1"/>
    <col min="15632" max="15632" width="7.5703125" style="99" customWidth="1"/>
    <col min="15633" max="15633" width="21.28515625" style="99" customWidth="1"/>
    <col min="15634" max="15871" width="9.140625" style="99"/>
    <col min="15872" max="15872" width="3.42578125" style="99" customWidth="1"/>
    <col min="15873" max="15873" width="44.28515625" style="99" customWidth="1"/>
    <col min="15874" max="15874" width="5.5703125" style="99" customWidth="1"/>
    <col min="15875" max="15875" width="17.7109375" style="99" customWidth="1"/>
    <col min="15876" max="15876" width="3.5703125" style="99" customWidth="1"/>
    <col min="15877" max="15877" width="18" style="99" customWidth="1"/>
    <col min="15878" max="15878" width="3.28515625" style="99" customWidth="1"/>
    <col min="15879" max="15880" width="12.5703125" style="99" customWidth="1"/>
    <col min="15881" max="15881" width="15.140625" style="99" customWidth="1"/>
    <col min="15882" max="15886" width="12.5703125" style="99" customWidth="1"/>
    <col min="15887" max="15887" width="16" style="99" customWidth="1"/>
    <col min="15888" max="15888" width="7.5703125" style="99" customWidth="1"/>
    <col min="15889" max="15889" width="21.28515625" style="99" customWidth="1"/>
    <col min="15890" max="16127" width="9.140625" style="99"/>
    <col min="16128" max="16128" width="3.42578125" style="99" customWidth="1"/>
    <col min="16129" max="16129" width="44.28515625" style="99" customWidth="1"/>
    <col min="16130" max="16130" width="5.5703125" style="99" customWidth="1"/>
    <col min="16131" max="16131" width="17.7109375" style="99" customWidth="1"/>
    <col min="16132" max="16132" width="3.5703125" style="99" customWidth="1"/>
    <col min="16133" max="16133" width="18" style="99" customWidth="1"/>
    <col min="16134" max="16134" width="3.28515625" style="99" customWidth="1"/>
    <col min="16135" max="16136" width="12.5703125" style="99" customWidth="1"/>
    <col min="16137" max="16137" width="15.140625" style="99" customWidth="1"/>
    <col min="16138" max="16142" width="12.5703125" style="99" customWidth="1"/>
    <col min="16143" max="16143" width="16" style="99" customWidth="1"/>
    <col min="16144" max="16144" width="7.5703125" style="99" customWidth="1"/>
    <col min="16145" max="16145" width="21.28515625" style="99" customWidth="1"/>
    <col min="16146" max="16384" width="9.140625" style="99"/>
  </cols>
  <sheetData>
    <row r="2" spans="2:17" s="274" customFormat="1" ht="15.75">
      <c r="B2" s="273" t="s">
        <v>356</v>
      </c>
    </row>
    <row r="3" spans="2:17" s="136" customFormat="1">
      <c r="B3" s="138"/>
    </row>
    <row r="4" spans="2:17" s="140" customFormat="1">
      <c r="B4" s="139" t="s">
        <v>42</v>
      </c>
    </row>
    <row r="5" spans="2:17" s="136" customFormat="1">
      <c r="B5" s="138"/>
    </row>
    <row r="6" spans="2:17" s="136" customFormat="1">
      <c r="B6" s="138" t="s">
        <v>427</v>
      </c>
    </row>
    <row r="7" spans="2:17" s="136" customFormat="1">
      <c r="B7" s="138" t="s">
        <v>431</v>
      </c>
    </row>
    <row r="8" spans="2:17" s="136" customFormat="1">
      <c r="B8" s="138" t="s">
        <v>433</v>
      </c>
    </row>
    <row r="9" spans="2:17" s="136" customFormat="1">
      <c r="B9" s="138" t="s">
        <v>434</v>
      </c>
    </row>
    <row r="10" spans="2:17" s="136" customFormat="1">
      <c r="B10" s="138" t="s">
        <v>440</v>
      </c>
    </row>
    <row r="11" spans="2:17" s="136" customFormat="1">
      <c r="B11" s="138" t="s">
        <v>441</v>
      </c>
    </row>
    <row r="12" spans="2:17" s="136" customFormat="1">
      <c r="B12" s="138" t="s">
        <v>442</v>
      </c>
    </row>
    <row r="13" spans="2:17" s="136" customFormat="1">
      <c r="B13" s="138" t="s">
        <v>443</v>
      </c>
    </row>
    <row r="15" spans="2:17" ht="60">
      <c r="G15" s="275" t="s">
        <v>2</v>
      </c>
      <c r="H15" s="275" t="s">
        <v>3</v>
      </c>
      <c r="I15" s="275" t="s">
        <v>4</v>
      </c>
      <c r="J15" s="275" t="s">
        <v>5</v>
      </c>
      <c r="K15" s="275" t="s">
        <v>6</v>
      </c>
      <c r="L15" s="275" t="s">
        <v>7</v>
      </c>
      <c r="M15" s="275" t="s">
        <v>8</v>
      </c>
      <c r="N15" s="275" t="s">
        <v>9</v>
      </c>
      <c r="O15" s="275" t="s">
        <v>63</v>
      </c>
      <c r="Q15" s="276" t="s">
        <v>64</v>
      </c>
    </row>
    <row r="16" spans="2:17" s="280" customFormat="1">
      <c r="B16" s="279" t="s">
        <v>343</v>
      </c>
    </row>
    <row r="17" spans="2:17" s="277" customFormat="1">
      <c r="G17" s="278"/>
      <c r="H17" s="278"/>
      <c r="I17" s="278"/>
      <c r="J17" s="278"/>
      <c r="K17" s="278"/>
      <c r="L17" s="278"/>
      <c r="M17" s="278"/>
      <c r="N17" s="278"/>
      <c r="O17" s="278"/>
      <c r="Q17" s="276"/>
    </row>
    <row r="18" spans="2:17">
      <c r="B18" s="281" t="s">
        <v>322</v>
      </c>
    </row>
    <row r="19" spans="2:17">
      <c r="B19" s="281"/>
    </row>
    <row r="20" spans="2:17">
      <c r="B20" s="99" t="s">
        <v>323</v>
      </c>
      <c r="D20" s="99" t="s">
        <v>345</v>
      </c>
      <c r="G20" s="295">
        <v>0</v>
      </c>
      <c r="H20" s="295">
        <v>6923123.1099999985</v>
      </c>
      <c r="I20" s="295">
        <v>0</v>
      </c>
      <c r="J20" s="295">
        <v>103693222.23999999</v>
      </c>
      <c r="K20" s="295">
        <v>83589634.416666672</v>
      </c>
      <c r="L20" s="295">
        <v>0</v>
      </c>
      <c r="M20" s="295">
        <v>50878999.719999999</v>
      </c>
      <c r="N20" s="295">
        <v>5401281.5099999998</v>
      </c>
      <c r="O20" s="282">
        <f>SUM(G20:N20)</f>
        <v>250486260.99666664</v>
      </c>
      <c r="Q20" s="99" t="s">
        <v>344</v>
      </c>
    </row>
    <row r="21" spans="2:17">
      <c r="B21" s="99" t="s">
        <v>324</v>
      </c>
      <c r="D21" s="99" t="s">
        <v>345</v>
      </c>
      <c r="G21" s="295">
        <v>3138000</v>
      </c>
      <c r="H21" s="295">
        <v>0</v>
      </c>
      <c r="I21" s="295">
        <v>6938607.8400000008</v>
      </c>
      <c r="J21" s="295">
        <v>367793.61999999988</v>
      </c>
      <c r="K21" s="295">
        <v>695851.63000000012</v>
      </c>
      <c r="L21" s="295">
        <v>2044465</v>
      </c>
      <c r="M21" s="295">
        <v>5781257.5599999996</v>
      </c>
      <c r="N21" s="295">
        <v>926718.49000000011</v>
      </c>
      <c r="O21" s="282">
        <f>SUM(G21:N21)</f>
        <v>19892694.139999997</v>
      </c>
      <c r="Q21" s="99" t="s">
        <v>344</v>
      </c>
    </row>
    <row r="22" spans="2:17">
      <c r="B22" s="99" t="s">
        <v>325</v>
      </c>
      <c r="D22" s="99" t="s">
        <v>345</v>
      </c>
      <c r="G22" s="282">
        <f>G20+G21</f>
        <v>3138000</v>
      </c>
      <c r="H22" s="282">
        <f t="shared" ref="H22:N22" si="0">H20+H21</f>
        <v>6923123.1099999985</v>
      </c>
      <c r="I22" s="282">
        <f t="shared" si="0"/>
        <v>6938607.8400000008</v>
      </c>
      <c r="J22" s="282">
        <f t="shared" si="0"/>
        <v>104061015.86</v>
      </c>
      <c r="K22" s="282">
        <f t="shared" si="0"/>
        <v>84285486.046666667</v>
      </c>
      <c r="L22" s="282">
        <f t="shared" si="0"/>
        <v>2044465</v>
      </c>
      <c r="M22" s="282">
        <f t="shared" si="0"/>
        <v>56660257.280000001</v>
      </c>
      <c r="N22" s="282">
        <f t="shared" si="0"/>
        <v>6328000</v>
      </c>
      <c r="O22" s="282">
        <f>SUM(G22:N22)</f>
        <v>270378955.13666666</v>
      </c>
    </row>
    <row r="23" spans="2:17">
      <c r="G23" s="283"/>
      <c r="H23" s="283"/>
      <c r="I23" s="283"/>
      <c r="J23" s="283"/>
      <c r="K23" s="283"/>
      <c r="L23" s="283"/>
      <c r="M23" s="283"/>
      <c r="N23" s="283"/>
      <c r="O23" s="283"/>
    </row>
    <row r="24" spans="2:17">
      <c r="G24" s="283"/>
      <c r="H24" s="283"/>
      <c r="I24" s="283"/>
      <c r="J24" s="283"/>
      <c r="K24" s="283"/>
      <c r="L24" s="283"/>
      <c r="M24" s="283"/>
      <c r="N24" s="283"/>
      <c r="O24" s="283"/>
    </row>
    <row r="25" spans="2:17">
      <c r="B25" s="281" t="s">
        <v>162</v>
      </c>
      <c r="G25" s="283"/>
      <c r="H25" s="283"/>
      <c r="I25" s="283"/>
      <c r="J25" s="283"/>
      <c r="K25" s="283"/>
      <c r="L25" s="283"/>
      <c r="M25" s="283"/>
      <c r="N25" s="283"/>
      <c r="O25" s="283"/>
    </row>
    <row r="26" spans="2:17">
      <c r="G26" s="283"/>
      <c r="H26" s="283"/>
      <c r="I26" s="283"/>
      <c r="J26" s="283"/>
      <c r="K26" s="283"/>
      <c r="L26" s="283"/>
      <c r="M26" s="283"/>
      <c r="N26" s="283"/>
      <c r="O26" s="283"/>
    </row>
    <row r="27" spans="2:17">
      <c r="B27" s="99" t="s">
        <v>167</v>
      </c>
      <c r="D27" s="99" t="s">
        <v>65</v>
      </c>
      <c r="F27" s="284">
        <v>-1.21684693984193E-2</v>
      </c>
      <c r="G27" s="285"/>
      <c r="H27" s="285"/>
      <c r="I27" s="285"/>
      <c r="J27" s="285"/>
      <c r="K27" s="285"/>
      <c r="L27" s="285"/>
      <c r="M27" s="285"/>
      <c r="N27" s="285"/>
      <c r="O27" s="286"/>
      <c r="Q27" s="99" t="s">
        <v>344</v>
      </c>
    </row>
    <row r="28" spans="2:17">
      <c r="B28" s="99" t="s">
        <v>326</v>
      </c>
      <c r="D28" s="99" t="s">
        <v>65</v>
      </c>
      <c r="F28" s="287">
        <f>F27</f>
        <v>-1.21684693984193E-2</v>
      </c>
      <c r="G28" s="285"/>
      <c r="H28" s="285"/>
      <c r="I28" s="285"/>
      <c r="J28" s="285"/>
      <c r="K28" s="285"/>
      <c r="L28" s="285"/>
      <c r="M28" s="285"/>
      <c r="N28" s="285"/>
      <c r="O28" s="286"/>
    </row>
    <row r="29" spans="2:17">
      <c r="B29" s="99" t="s">
        <v>327</v>
      </c>
      <c r="D29" s="99" t="s">
        <v>65</v>
      </c>
      <c r="F29" s="287">
        <f>F27</f>
        <v>-1.21684693984193E-2</v>
      </c>
      <c r="G29" s="285"/>
      <c r="H29" s="285"/>
      <c r="I29" s="285"/>
      <c r="J29" s="285"/>
      <c r="K29" s="285"/>
      <c r="L29" s="285"/>
      <c r="M29" s="285"/>
      <c r="N29" s="285"/>
      <c r="O29" s="286"/>
    </row>
    <row r="30" spans="2:17">
      <c r="B30" s="99" t="s">
        <v>328</v>
      </c>
      <c r="D30" s="99" t="s">
        <v>65</v>
      </c>
      <c r="F30" s="287">
        <f>F27</f>
        <v>-1.21684693984193E-2</v>
      </c>
      <c r="G30" s="285"/>
      <c r="H30" s="285"/>
      <c r="I30" s="285"/>
      <c r="J30" s="285"/>
      <c r="K30" s="285"/>
      <c r="L30" s="285"/>
      <c r="M30" s="285"/>
      <c r="N30" s="285"/>
      <c r="O30" s="286"/>
    </row>
    <row r="31" spans="2:17">
      <c r="F31" s="288"/>
      <c r="G31" s="286"/>
      <c r="H31" s="286"/>
      <c r="I31" s="286"/>
      <c r="J31" s="286"/>
      <c r="K31" s="286"/>
      <c r="L31" s="286"/>
      <c r="M31" s="286"/>
      <c r="N31" s="286"/>
      <c r="O31" s="286"/>
    </row>
    <row r="32" spans="2:17">
      <c r="B32" s="99" t="s">
        <v>67</v>
      </c>
      <c r="D32" s="99" t="s">
        <v>65</v>
      </c>
      <c r="F32" s="296">
        <f>CPI!C10</f>
        <v>3.0000000000000001E-3</v>
      </c>
      <c r="G32" s="289"/>
      <c r="H32" s="289"/>
      <c r="I32" s="289"/>
      <c r="J32" s="289"/>
      <c r="K32" s="289"/>
      <c r="L32" s="289"/>
      <c r="M32" s="289"/>
      <c r="N32" s="289"/>
      <c r="O32" s="286"/>
    </row>
    <row r="33" spans="2:17">
      <c r="B33" s="99" t="s">
        <v>75</v>
      </c>
      <c r="D33" s="99" t="s">
        <v>65</v>
      </c>
      <c r="F33" s="296">
        <f>CPI!C11</f>
        <v>1.4999999999999999E-2</v>
      </c>
      <c r="G33" s="289"/>
      <c r="H33" s="289"/>
      <c r="I33" s="289"/>
      <c r="J33" s="289"/>
      <c r="K33" s="289"/>
      <c r="L33" s="289"/>
      <c r="M33" s="289"/>
      <c r="N33" s="289"/>
      <c r="O33" s="286"/>
    </row>
    <row r="34" spans="2:17">
      <c r="B34" s="99" t="s">
        <v>128</v>
      </c>
      <c r="D34" s="99" t="s">
        <v>65</v>
      </c>
      <c r="E34" s="277"/>
      <c r="F34" s="296">
        <f>CPI!C12</f>
        <v>2.5999999999999999E-2</v>
      </c>
      <c r="G34" s="289"/>
      <c r="H34" s="289"/>
      <c r="I34" s="289"/>
      <c r="J34" s="289"/>
      <c r="K34" s="289"/>
      <c r="L34" s="289"/>
      <c r="M34" s="289"/>
      <c r="N34" s="289"/>
      <c r="O34" s="286"/>
    </row>
    <row r="35" spans="2:17">
      <c r="B35" s="99" t="s">
        <v>129</v>
      </c>
      <c r="D35" s="99" t="s">
        <v>65</v>
      </c>
      <c r="E35" s="277"/>
      <c r="F35" s="296">
        <f>CPI!C13</f>
        <v>2.3E-2</v>
      </c>
      <c r="G35" s="290"/>
      <c r="H35" s="290"/>
      <c r="I35" s="290"/>
      <c r="J35" s="290"/>
      <c r="K35" s="290"/>
      <c r="L35" s="290"/>
      <c r="M35" s="290"/>
      <c r="N35" s="290"/>
      <c r="O35" s="286"/>
      <c r="Q35" s="291"/>
    </row>
    <row r="36" spans="2:17">
      <c r="E36" s="277"/>
      <c r="G36" s="283"/>
      <c r="H36" s="283"/>
      <c r="I36" s="283"/>
      <c r="J36" s="283"/>
      <c r="K36" s="283"/>
      <c r="L36" s="283"/>
      <c r="M36" s="283"/>
      <c r="N36" s="283"/>
      <c r="O36" s="283"/>
    </row>
    <row r="37" spans="2:17">
      <c r="B37" s="281" t="s">
        <v>435</v>
      </c>
      <c r="E37" s="277"/>
      <c r="G37" s="283"/>
      <c r="H37" s="283"/>
      <c r="I37" s="283"/>
      <c r="J37" s="283"/>
      <c r="K37" s="283"/>
      <c r="L37" s="283"/>
      <c r="M37" s="283"/>
      <c r="N37" s="283"/>
      <c r="O37" s="283"/>
    </row>
    <row r="38" spans="2:17">
      <c r="E38" s="277"/>
      <c r="G38" s="283"/>
      <c r="H38" s="283"/>
      <c r="I38" s="283"/>
      <c r="J38" s="283"/>
      <c r="K38" s="283"/>
      <c r="L38" s="283"/>
      <c r="M38" s="283"/>
      <c r="N38" s="283"/>
      <c r="O38" s="283"/>
    </row>
    <row r="39" spans="2:17">
      <c r="B39" s="99" t="s">
        <v>436</v>
      </c>
      <c r="D39" s="99" t="s">
        <v>346</v>
      </c>
      <c r="E39" s="277"/>
      <c r="G39" s="282">
        <f>G22*(1-$F$27+$F$32)</f>
        <v>3185598.6569722393</v>
      </c>
      <c r="H39" s="282">
        <f t="shared" ref="H39:N39" si="1">H22*(1-$F$27+$F$32)</f>
        <v>7028136.2910355218</v>
      </c>
      <c r="I39" s="282">
        <f t="shared" si="1"/>
        <v>7043855.9006886715</v>
      </c>
      <c r="J39" s="282">
        <f t="shared" si="1"/>
        <v>105639462.19464082</v>
      </c>
      <c r="K39" s="282">
        <f t="shared" si="1"/>
        <v>85563967.862496406</v>
      </c>
      <c r="L39" s="282">
        <f t="shared" si="1"/>
        <v>2075476.4047886389</v>
      </c>
      <c r="M39" s="282">
        <f t="shared" si="1"/>
        <v>57519706.658658236</v>
      </c>
      <c r="N39" s="282">
        <f t="shared" si="1"/>
        <v>6423986.0743531957</v>
      </c>
      <c r="O39" s="282">
        <f>SUM(G39:N39)</f>
        <v>274480190.04363376</v>
      </c>
    </row>
    <row r="40" spans="2:17">
      <c r="B40" s="99" t="s">
        <v>437</v>
      </c>
      <c r="D40" s="99" t="s">
        <v>347</v>
      </c>
      <c r="E40" s="277"/>
      <c r="G40" s="282">
        <f>G39*(1-$F$28+$F$33)</f>
        <v>3272146.4965998344</v>
      </c>
      <c r="H40" s="282">
        <f t="shared" ref="H40:N40" si="2">H39*(1-$F$28+$F$33)</f>
        <v>7219079.9967864389</v>
      </c>
      <c r="I40" s="282">
        <f t="shared" si="2"/>
        <v>7235226.6841734052</v>
      </c>
      <c r="J40" s="282">
        <f t="shared" si="2"/>
        <v>108509524.69054137</v>
      </c>
      <c r="K40" s="282">
        <f t="shared" si="2"/>
        <v>87888609.904975951</v>
      </c>
      <c r="L40" s="282">
        <f t="shared" si="2"/>
        <v>2131863.9219792802</v>
      </c>
      <c r="M40" s="282">
        <f t="shared" si="2"/>
        <v>59082429.048820034</v>
      </c>
      <c r="N40" s="282">
        <f t="shared" si="2"/>
        <v>6598515.9434301313</v>
      </c>
      <c r="O40" s="282">
        <f>SUM(G40:N40)</f>
        <v>281937396.68730646</v>
      </c>
    </row>
    <row r="41" spans="2:17">
      <c r="B41" s="99" t="s">
        <v>438</v>
      </c>
      <c r="D41" s="99" t="s">
        <v>351</v>
      </c>
      <c r="E41" s="277"/>
      <c r="G41" s="282">
        <f>G40*(1-$F$29+$F$34)</f>
        <v>3397039.3200224498</v>
      </c>
      <c r="H41" s="282">
        <f t="shared" ref="H41:N41" si="3">H40*(1-$F$29+$F$34)</f>
        <v>7494621.2307285219</v>
      </c>
      <c r="I41" s="282">
        <f t="shared" si="3"/>
        <v>7511384.2124589039</v>
      </c>
      <c r="J41" s="282">
        <f t="shared" si="3"/>
        <v>112651167.16312931</v>
      </c>
      <c r="K41" s="282">
        <f t="shared" si="3"/>
        <v>91243183.622603625</v>
      </c>
      <c r="L41" s="282">
        <f t="shared" si="3"/>
        <v>2213233.9048469402</v>
      </c>
      <c r="M41" s="282">
        <f t="shared" si="3"/>
        <v>61337514.933954194</v>
      </c>
      <c r="N41" s="282">
        <f t="shared" si="3"/>
        <v>6850371.1972919255</v>
      </c>
      <c r="O41" s="282">
        <f>SUM(G41:N41)</f>
        <v>292698515.58503586</v>
      </c>
    </row>
    <row r="42" spans="2:17">
      <c r="B42" s="99" t="s">
        <v>439</v>
      </c>
      <c r="D42" s="99" t="s">
        <v>352</v>
      </c>
      <c r="E42" s="277"/>
      <c r="G42" s="297">
        <f>G41*(1-$F$30+$F$35)</f>
        <v>3516507.9933938859</v>
      </c>
      <c r="H42" s="297">
        <f t="shared" ref="H42:N42" si="4">H41*(1-$F$30+$F$35)</f>
        <v>7758195.5881341398</v>
      </c>
      <c r="I42" s="297">
        <f t="shared" si="4"/>
        <v>7775548.0982745336</v>
      </c>
      <c r="J42" s="297">
        <f t="shared" si="4"/>
        <v>116612936.28820202</v>
      </c>
      <c r="K42" s="297">
        <f t="shared" si="4"/>
        <v>94452066.733649492</v>
      </c>
      <c r="L42" s="297">
        <f t="shared" si="4"/>
        <v>2291069.9537010933</v>
      </c>
      <c r="M42" s="297">
        <f t="shared" si="4"/>
        <v>63494661.450884037</v>
      </c>
      <c r="N42" s="297">
        <f t="shared" si="4"/>
        <v>7091288.2671116982</v>
      </c>
      <c r="O42" s="297">
        <f>SUM(G42:N42)</f>
        <v>302992274.37335092</v>
      </c>
    </row>
    <row r="43" spans="2:17">
      <c r="E43" s="277"/>
      <c r="G43" s="283"/>
      <c r="H43" s="283"/>
      <c r="I43" s="283"/>
      <c r="J43" s="283"/>
      <c r="K43" s="283"/>
      <c r="L43" s="283"/>
      <c r="M43" s="283"/>
      <c r="N43" s="283"/>
      <c r="O43" s="283"/>
    </row>
    <row r="44" spans="2:17">
      <c r="E44" s="277"/>
      <c r="G44" s="283"/>
      <c r="H44" s="283"/>
      <c r="I44" s="283"/>
      <c r="J44" s="283"/>
      <c r="K44" s="283"/>
      <c r="L44" s="283"/>
      <c r="M44" s="283"/>
      <c r="N44" s="283"/>
      <c r="O44" s="283"/>
    </row>
    <row r="45" spans="2:17">
      <c r="B45" s="281" t="s">
        <v>170</v>
      </c>
      <c r="E45" s="277"/>
      <c r="G45" s="283"/>
      <c r="H45" s="283"/>
      <c r="I45" s="283"/>
      <c r="J45" s="283"/>
      <c r="K45" s="283"/>
      <c r="L45" s="283"/>
      <c r="M45" s="283"/>
      <c r="N45" s="283"/>
      <c r="O45" s="283"/>
    </row>
    <row r="46" spans="2:17">
      <c r="E46" s="277"/>
      <c r="G46" s="283"/>
      <c r="H46" s="283"/>
      <c r="I46" s="283"/>
      <c r="J46" s="283"/>
      <c r="K46" s="283"/>
      <c r="L46" s="283"/>
      <c r="M46" s="283"/>
      <c r="N46" s="283"/>
      <c r="O46" s="283"/>
    </row>
    <row r="47" spans="2:17">
      <c r="B47" s="99" t="s">
        <v>176</v>
      </c>
      <c r="D47" s="99" t="s">
        <v>68</v>
      </c>
      <c r="E47" s="277"/>
      <c r="G47" s="360">
        <v>15558334.051989807</v>
      </c>
      <c r="H47" s="360">
        <v>60119043.993491039</v>
      </c>
      <c r="I47" s="360">
        <v>31123546.462382492</v>
      </c>
      <c r="J47" s="360">
        <v>822175506.55967414</v>
      </c>
      <c r="K47" s="360">
        <v>843605201.08581209</v>
      </c>
      <c r="L47" s="360">
        <v>9486158.2567436863</v>
      </c>
      <c r="M47" s="360">
        <v>592583780.06946647</v>
      </c>
      <c r="N47" s="360">
        <v>36127450.055875197</v>
      </c>
      <c r="O47" s="282">
        <f>SUM(G47:N47)</f>
        <v>2410779020.5354352</v>
      </c>
      <c r="Q47" s="125" t="s">
        <v>472</v>
      </c>
    </row>
    <row r="48" spans="2:17">
      <c r="B48" s="99" t="s">
        <v>69</v>
      </c>
      <c r="D48" s="99" t="s">
        <v>68</v>
      </c>
      <c r="E48" s="277"/>
      <c r="G48" s="360">
        <v>15603641.532051809</v>
      </c>
      <c r="H48" s="360">
        <v>61323464.674790129</v>
      </c>
      <c r="I48" s="360">
        <v>31193004.703785233</v>
      </c>
      <c r="J48" s="360">
        <v>830992780.12463045</v>
      </c>
      <c r="K48" s="360">
        <v>855700297.10442567</v>
      </c>
      <c r="L48" s="360">
        <v>9530802.5839327648</v>
      </c>
      <c r="M48" s="360">
        <v>611619571.14135754</v>
      </c>
      <c r="N48" s="360">
        <v>35253061.278693102</v>
      </c>
      <c r="O48" s="297">
        <f>SUM(G48:N48)</f>
        <v>2451216623.1436667</v>
      </c>
      <c r="Q48" s="125" t="s">
        <v>472</v>
      </c>
    </row>
    <row r="49" spans="1:23">
      <c r="B49" s="99" t="s">
        <v>329</v>
      </c>
      <c r="D49" s="99" t="s">
        <v>68</v>
      </c>
      <c r="E49" s="277"/>
      <c r="G49" s="360">
        <v>15817688.186468221</v>
      </c>
      <c r="H49" s="360">
        <v>62092498.611049503</v>
      </c>
      <c r="I49" s="360">
        <v>31444944.506415658</v>
      </c>
      <c r="J49" s="360">
        <v>837398510.82814896</v>
      </c>
      <c r="K49" s="360">
        <v>875678273.03641152</v>
      </c>
      <c r="L49" s="360">
        <v>9596163.6948572472</v>
      </c>
      <c r="M49" s="360">
        <v>613815269.97675788</v>
      </c>
      <c r="N49" s="360">
        <v>35091493.621052578</v>
      </c>
      <c r="O49" s="297">
        <f>SUM(G49:N49)</f>
        <v>2480934842.4611616</v>
      </c>
      <c r="Q49" s="125" t="s">
        <v>472</v>
      </c>
    </row>
    <row r="50" spans="1:23">
      <c r="B50" s="99" t="s">
        <v>330</v>
      </c>
      <c r="D50" s="99" t="s">
        <v>68</v>
      </c>
      <c r="E50" s="277"/>
      <c r="G50" s="360">
        <v>15999362.782714196</v>
      </c>
      <c r="H50" s="360">
        <v>63616151.297911532</v>
      </c>
      <c r="I50" s="360">
        <v>31662864.736701082</v>
      </c>
      <c r="J50" s="360">
        <v>846103643.51608551</v>
      </c>
      <c r="K50" s="360">
        <v>882812439.76073062</v>
      </c>
      <c r="L50" s="360">
        <v>9789192.0083788838</v>
      </c>
      <c r="M50" s="360">
        <v>616434458.18455851</v>
      </c>
      <c r="N50" s="360">
        <v>36094442.036007866</v>
      </c>
      <c r="O50" s="297">
        <f>SUM(G50:N50)</f>
        <v>2502512554.3230882</v>
      </c>
      <c r="Q50" s="125" t="s">
        <v>472</v>
      </c>
    </row>
    <row r="51" spans="1:23">
      <c r="E51" s="277"/>
      <c r="O51" s="283"/>
    </row>
    <row r="52" spans="1:23">
      <c r="B52" s="99" t="s">
        <v>181</v>
      </c>
      <c r="D52" s="99" t="s">
        <v>65</v>
      </c>
      <c r="E52" s="277"/>
      <c r="O52" s="298">
        <f>O48/O47-1</f>
        <v>1.6773666214852989E-2</v>
      </c>
    </row>
    <row r="53" spans="1:23">
      <c r="B53" s="99" t="s">
        <v>331</v>
      </c>
      <c r="D53" s="99" t="s">
        <v>65</v>
      </c>
      <c r="E53" s="277"/>
      <c r="O53" s="298">
        <f>O49/O48-1</f>
        <v>1.212386495624429E-2</v>
      </c>
    </row>
    <row r="54" spans="1:23">
      <c r="B54" s="99" t="s">
        <v>332</v>
      </c>
      <c r="D54" s="99" t="s">
        <v>65</v>
      </c>
      <c r="E54" s="277"/>
      <c r="O54" s="298">
        <f>O50/O49-1</f>
        <v>8.6974117548854757E-3</v>
      </c>
    </row>
    <row r="55" spans="1:23">
      <c r="E55" s="277"/>
      <c r="G55" s="283"/>
      <c r="H55" s="283"/>
      <c r="I55" s="283"/>
      <c r="J55" s="283"/>
      <c r="K55" s="283"/>
      <c r="L55" s="283"/>
      <c r="M55" s="283"/>
      <c r="N55" s="283"/>
      <c r="O55" s="283"/>
    </row>
    <row r="56" spans="1:23">
      <c r="B56" s="281" t="s">
        <v>349</v>
      </c>
      <c r="E56" s="277"/>
      <c r="G56" s="292"/>
      <c r="H56" s="292"/>
      <c r="I56" s="292"/>
      <c r="J56" s="292"/>
      <c r="K56" s="292"/>
      <c r="L56" s="292"/>
      <c r="M56" s="292"/>
      <c r="N56" s="292"/>
      <c r="O56" s="283"/>
    </row>
    <row r="57" spans="1:23">
      <c r="E57" s="277"/>
      <c r="O57" s="283"/>
    </row>
    <row r="58" spans="1:23">
      <c r="B58" s="99" t="s">
        <v>333</v>
      </c>
      <c r="C58" s="277"/>
      <c r="D58" s="99" t="s">
        <v>346</v>
      </c>
      <c r="E58" s="277"/>
      <c r="O58" s="282">
        <f>O39*(1+O52)</f>
        <v>279084229.13401508</v>
      </c>
    </row>
    <row r="59" spans="1:23">
      <c r="B59" s="99" t="s">
        <v>334</v>
      </c>
      <c r="C59" s="277"/>
      <c r="D59" s="99" t="s">
        <v>347</v>
      </c>
      <c r="E59" s="277"/>
      <c r="O59" s="297">
        <f>O40*(1+O52)*(1+O53)</f>
        <v>290142026.65451288</v>
      </c>
    </row>
    <row r="60" spans="1:23">
      <c r="B60" s="99" t="s">
        <v>335</v>
      </c>
      <c r="D60" s="99" t="s">
        <v>351</v>
      </c>
      <c r="E60" s="277"/>
      <c r="O60" s="297">
        <f>O41*(1+O52)*(1+O53)*(1+O54)</f>
        <v>303836105.94080907</v>
      </c>
    </row>
    <row r="61" spans="1:23">
      <c r="G61" s="283"/>
      <c r="H61" s="283"/>
      <c r="I61" s="283"/>
      <c r="J61" s="283"/>
      <c r="K61" s="283"/>
      <c r="L61" s="283"/>
      <c r="M61" s="283"/>
      <c r="N61" s="283"/>
      <c r="O61" s="283"/>
    </row>
    <row r="62" spans="1:23">
      <c r="B62" s="281" t="s">
        <v>350</v>
      </c>
      <c r="E62" s="277"/>
      <c r="G62" s="292"/>
      <c r="H62" s="292"/>
      <c r="I62" s="292"/>
      <c r="J62" s="292"/>
      <c r="K62" s="292"/>
      <c r="L62" s="292"/>
      <c r="M62" s="292"/>
      <c r="N62" s="292"/>
      <c r="O62" s="283"/>
    </row>
    <row r="63" spans="1:23">
      <c r="E63" s="277"/>
      <c r="O63" s="283"/>
    </row>
    <row r="64" spans="1:23" s="169" customFormat="1">
      <c r="A64" s="99"/>
      <c r="B64" s="182" t="s">
        <v>418</v>
      </c>
      <c r="D64" s="178" t="s">
        <v>65</v>
      </c>
      <c r="F64" s="172"/>
      <c r="G64" s="215">
        <f>G22/$O$22</f>
        <v>1.1605932859729618E-2</v>
      </c>
      <c r="H64" s="215">
        <f t="shared" ref="H64:O64" si="5">H22/$O$22</f>
        <v>2.5605258761728009E-2</v>
      </c>
      <c r="I64" s="215">
        <f t="shared" si="5"/>
        <v>2.5662529232324271E-2</v>
      </c>
      <c r="J64" s="215">
        <f t="shared" si="5"/>
        <v>0.38487098896954081</v>
      </c>
      <c r="K64" s="215">
        <f t="shared" si="5"/>
        <v>0.31173094076076829</v>
      </c>
      <c r="L64" s="215">
        <f t="shared" si="5"/>
        <v>7.5614797718505785E-3</v>
      </c>
      <c r="M64" s="215">
        <f t="shared" si="5"/>
        <v>0.20955868126408106</v>
      </c>
      <c r="N64" s="215">
        <f t="shared" si="5"/>
        <v>2.3404188379977382E-2</v>
      </c>
      <c r="O64" s="215">
        <f t="shared" si="5"/>
        <v>1</v>
      </c>
      <c r="P64" s="176"/>
      <c r="R64" s="176"/>
      <c r="S64" s="176"/>
      <c r="V64" s="178"/>
      <c r="W64" s="176"/>
    </row>
    <row r="65" spans="1:23" s="169" customFormat="1">
      <c r="A65" s="99"/>
      <c r="B65" s="178"/>
      <c r="D65" s="178"/>
      <c r="F65" s="172"/>
      <c r="G65" s="172"/>
      <c r="H65" s="172"/>
      <c r="I65" s="172"/>
      <c r="J65" s="172"/>
      <c r="K65" s="172"/>
      <c r="L65" s="172"/>
      <c r="M65" s="172"/>
      <c r="N65" s="172"/>
      <c r="O65" s="172"/>
      <c r="P65" s="172"/>
      <c r="Q65" s="172"/>
      <c r="R65" s="172"/>
      <c r="S65" s="172"/>
      <c r="V65" s="178"/>
      <c r="W65" s="176"/>
    </row>
    <row r="66" spans="1:23">
      <c r="B66" s="99" t="s">
        <v>333</v>
      </c>
      <c r="C66" s="277"/>
      <c r="D66" s="99" t="s">
        <v>346</v>
      </c>
      <c r="E66" s="277"/>
      <c r="G66" s="282">
        <f>G$64*$O58</f>
        <v>3239032.8255387759</v>
      </c>
      <c r="H66" s="282">
        <f t="shared" ref="G66:N68" si="6">H$64*$O58</f>
        <v>7146023.9032938471</v>
      </c>
      <c r="I66" s="282">
        <f t="shared" si="6"/>
        <v>7162007.188432347</v>
      </c>
      <c r="J66" s="282">
        <f t="shared" si="6"/>
        <v>107411423.27261032</v>
      </c>
      <c r="K66" s="282">
        <f t="shared" si="6"/>
        <v>86999189.299440339</v>
      </c>
      <c r="L66" s="282">
        <f t="shared" si="6"/>
        <v>2110289.7532393672</v>
      </c>
      <c r="M66" s="282">
        <f t="shared" si="6"/>
        <v>58484523.018926829</v>
      </c>
      <c r="N66" s="282">
        <f t="shared" si="6"/>
        <v>6531739.8725332608</v>
      </c>
      <c r="O66" s="304">
        <f t="shared" ref="O66:O68" si="7">SUM(G66:N66)</f>
        <v>279084229.13401508</v>
      </c>
    </row>
    <row r="67" spans="1:23">
      <c r="B67" s="99" t="s">
        <v>334</v>
      </c>
      <c r="C67" s="277"/>
      <c r="D67" s="99" t="s">
        <v>347</v>
      </c>
      <c r="E67" s="277"/>
      <c r="G67" s="282">
        <f t="shared" si="6"/>
        <v>3367368.881138158</v>
      </c>
      <c r="H67" s="282">
        <f t="shared" si="6"/>
        <v>7429161.6701409873</v>
      </c>
      <c r="I67" s="282">
        <f t="shared" si="6"/>
        <v>7445778.2405472444</v>
      </c>
      <c r="J67" s="282">
        <f t="shared" si="6"/>
        <v>111667248.74014924</v>
      </c>
      <c r="K67" s="282">
        <f t="shared" si="6"/>
        <v>90446246.923247203</v>
      </c>
      <c r="L67" s="282">
        <f t="shared" si="6"/>
        <v>2193903.0655118306</v>
      </c>
      <c r="M67" s="282">
        <f t="shared" si="6"/>
        <v>60801780.485007577</v>
      </c>
      <c r="N67" s="282">
        <f t="shared" si="6"/>
        <v>6790538.6487706387</v>
      </c>
      <c r="O67" s="304">
        <f t="shared" si="7"/>
        <v>290142026.65451288</v>
      </c>
    </row>
    <row r="68" spans="1:23">
      <c r="B68" s="99" t="s">
        <v>335</v>
      </c>
      <c r="D68" s="99" t="s">
        <v>351</v>
      </c>
      <c r="E68" s="277"/>
      <c r="G68" s="305">
        <f>G$64*$O60</f>
        <v>3526301.4459107257</v>
      </c>
      <c r="H68" s="305">
        <f t="shared" si="6"/>
        <v>7779802.1137702214</v>
      </c>
      <c r="I68" s="305">
        <f t="shared" si="6"/>
        <v>7797202.9505415866</v>
      </c>
      <c r="J68" s="305">
        <f t="shared" si="6"/>
        <v>116937702.57809336</v>
      </c>
      <c r="K68" s="305">
        <f t="shared" si="6"/>
        <v>94715115.142016873</v>
      </c>
      <c r="L68" s="305">
        <f t="shared" si="6"/>
        <v>2297450.5690292772</v>
      </c>
      <c r="M68" s="305">
        <f t="shared" si="6"/>
        <v>63671493.681369573</v>
      </c>
      <c r="N68" s="305">
        <f t="shared" si="6"/>
        <v>7111037.4600774609</v>
      </c>
      <c r="O68" s="304">
        <f t="shared" si="7"/>
        <v>303836105.94080907</v>
      </c>
    </row>
    <row r="69" spans="1:23">
      <c r="G69" s="351"/>
      <c r="H69" s="351"/>
      <c r="I69" s="351"/>
      <c r="J69" s="351"/>
      <c r="K69" s="351"/>
      <c r="L69" s="351"/>
      <c r="M69" s="351"/>
      <c r="N69" s="351"/>
      <c r="O69" s="283"/>
    </row>
    <row r="70" spans="1:23">
      <c r="G70" s="292"/>
      <c r="H70" s="292"/>
      <c r="I70" s="292"/>
      <c r="J70" s="292"/>
      <c r="K70" s="292"/>
      <c r="L70" s="292"/>
      <c r="M70" s="292"/>
      <c r="N70" s="292"/>
      <c r="O70" s="292"/>
    </row>
    <row r="71" spans="1:23" s="280" customFormat="1">
      <c r="B71" s="279" t="s">
        <v>336</v>
      </c>
      <c r="G71" s="293"/>
      <c r="H71" s="293"/>
      <c r="I71" s="293"/>
      <c r="J71" s="293"/>
      <c r="K71" s="293"/>
      <c r="L71" s="293"/>
      <c r="M71" s="293"/>
      <c r="N71" s="293"/>
      <c r="O71" s="293"/>
    </row>
    <row r="72" spans="1:23" s="277" customFormat="1">
      <c r="G72" s="294"/>
      <c r="H72" s="294"/>
      <c r="I72" s="294"/>
      <c r="J72" s="294"/>
      <c r="K72" s="294"/>
      <c r="L72" s="294"/>
      <c r="M72" s="294"/>
      <c r="N72" s="294"/>
      <c r="O72" s="294"/>
      <c r="Q72" s="276"/>
    </row>
    <row r="73" spans="1:23">
      <c r="B73" s="281" t="s">
        <v>188</v>
      </c>
      <c r="G73" s="283"/>
      <c r="H73" s="283"/>
      <c r="I73" s="283"/>
      <c r="J73" s="283"/>
      <c r="K73" s="283"/>
      <c r="L73" s="283"/>
      <c r="M73" s="283"/>
      <c r="N73" s="283"/>
      <c r="O73" s="283"/>
    </row>
    <row r="74" spans="1:23">
      <c r="B74" s="281"/>
      <c r="G74" s="283"/>
      <c r="H74" s="283"/>
      <c r="I74" s="283"/>
      <c r="J74" s="283"/>
      <c r="K74" s="283"/>
      <c r="L74" s="283"/>
      <c r="M74" s="283"/>
      <c r="N74" s="283"/>
      <c r="O74" s="283"/>
    </row>
    <row r="75" spans="1:23">
      <c r="B75" s="281" t="s">
        <v>337</v>
      </c>
      <c r="G75" s="283"/>
      <c r="H75" s="283"/>
      <c r="I75" s="283"/>
      <c r="J75" s="283"/>
      <c r="K75" s="283"/>
      <c r="L75" s="283"/>
      <c r="M75" s="283"/>
      <c r="N75" s="283"/>
      <c r="O75" s="283"/>
    </row>
    <row r="76" spans="1:23">
      <c r="B76" s="99" t="s">
        <v>338</v>
      </c>
      <c r="D76" s="99" t="s">
        <v>351</v>
      </c>
      <c r="G76" s="301">
        <v>0</v>
      </c>
      <c r="H76" s="301">
        <v>8880192.4545788374</v>
      </c>
      <c r="I76" s="301">
        <v>0</v>
      </c>
      <c r="J76" s="301">
        <v>141855339.68000001</v>
      </c>
      <c r="K76" s="301">
        <v>117005254.50000001</v>
      </c>
      <c r="L76" s="301">
        <v>0</v>
      </c>
      <c r="M76" s="301">
        <v>82955235.159999996</v>
      </c>
      <c r="N76" s="301">
        <v>7327621.8893671352</v>
      </c>
      <c r="O76" s="297">
        <f>SUM(G76:N76)</f>
        <v>358023643.68394607</v>
      </c>
      <c r="Q76" s="125" t="s">
        <v>348</v>
      </c>
    </row>
    <row r="77" spans="1:23">
      <c r="B77" s="99" t="s">
        <v>339</v>
      </c>
      <c r="D77" s="99" t="s">
        <v>351</v>
      </c>
      <c r="G77" s="301">
        <v>3258198</v>
      </c>
      <c r="H77" s="301">
        <v>0</v>
      </c>
      <c r="I77" s="301">
        <v>6890933.9199999999</v>
      </c>
      <c r="J77" s="301">
        <v>701040.53364000004</v>
      </c>
      <c r="K77" s="301">
        <v>757117.24166666681</v>
      </c>
      <c r="L77" s="301">
        <v>2116603.44</v>
      </c>
      <c r="M77" s="301">
        <v>6004607.2448727274</v>
      </c>
      <c r="N77" s="301">
        <v>172155.22599999933</v>
      </c>
      <c r="O77" s="297">
        <f>SUM(G77:N77)</f>
        <v>19900655.606179394</v>
      </c>
      <c r="Q77" s="125" t="s">
        <v>348</v>
      </c>
    </row>
    <row r="78" spans="1:23">
      <c r="B78" s="99" t="s">
        <v>340</v>
      </c>
      <c r="G78" s="299">
        <f t="shared" ref="G78:N78" si="8">G76+G77</f>
        <v>3258198</v>
      </c>
      <c r="H78" s="299">
        <f t="shared" si="8"/>
        <v>8880192.4545788374</v>
      </c>
      <c r="I78" s="299">
        <f t="shared" si="8"/>
        <v>6890933.9199999999</v>
      </c>
      <c r="J78" s="299">
        <f t="shared" si="8"/>
        <v>142556380.21364</v>
      </c>
      <c r="K78" s="299">
        <f t="shared" si="8"/>
        <v>117762371.74166667</v>
      </c>
      <c r="L78" s="299">
        <f t="shared" si="8"/>
        <v>2116603.44</v>
      </c>
      <c r="M78" s="299">
        <f t="shared" si="8"/>
        <v>88959842.40487273</v>
      </c>
      <c r="N78" s="299">
        <f t="shared" si="8"/>
        <v>7499777.115367135</v>
      </c>
      <c r="O78" s="297">
        <f>SUM(G78:N78)</f>
        <v>377924299.29012531</v>
      </c>
    </row>
    <row r="79" spans="1:23">
      <c r="B79" s="277"/>
      <c r="G79" s="306"/>
      <c r="H79" s="306"/>
      <c r="I79" s="306"/>
      <c r="J79" s="306"/>
      <c r="K79" s="306"/>
      <c r="L79" s="306"/>
      <c r="M79" s="306"/>
      <c r="N79" s="306"/>
      <c r="O79" s="306"/>
    </row>
    <row r="80" spans="1:23">
      <c r="G80" s="283"/>
      <c r="H80" s="283"/>
      <c r="I80" s="283"/>
      <c r="J80" s="283"/>
      <c r="K80" s="283"/>
      <c r="L80" s="283"/>
      <c r="M80" s="283"/>
      <c r="N80" s="283"/>
      <c r="O80" s="283"/>
    </row>
    <row r="81" spans="2:17" s="280" customFormat="1">
      <c r="B81" s="279" t="s">
        <v>341</v>
      </c>
      <c r="G81" s="293"/>
      <c r="H81" s="293"/>
      <c r="I81" s="293"/>
      <c r="J81" s="293"/>
      <c r="K81" s="293"/>
      <c r="L81" s="293"/>
      <c r="M81" s="293"/>
      <c r="N81" s="293"/>
      <c r="O81" s="293"/>
    </row>
    <row r="82" spans="2:17" s="277" customFormat="1">
      <c r="G82" s="294"/>
      <c r="H82" s="294"/>
      <c r="I82" s="294"/>
      <c r="J82" s="294"/>
      <c r="K82" s="294"/>
      <c r="L82" s="294"/>
      <c r="M82" s="294"/>
      <c r="N82" s="294"/>
      <c r="O82" s="294"/>
      <c r="Q82" s="276"/>
    </row>
    <row r="83" spans="2:17">
      <c r="B83" s="281" t="s">
        <v>200</v>
      </c>
      <c r="G83" s="283"/>
      <c r="H83" s="283"/>
      <c r="I83" s="283"/>
      <c r="J83" s="283"/>
      <c r="K83" s="283"/>
      <c r="L83" s="283"/>
      <c r="M83" s="283"/>
      <c r="N83" s="283"/>
      <c r="O83" s="283"/>
    </row>
    <row r="84" spans="2:17">
      <c r="B84" s="281"/>
      <c r="G84" s="283"/>
      <c r="H84" s="283"/>
      <c r="I84" s="283"/>
      <c r="J84" s="283"/>
      <c r="K84" s="283"/>
      <c r="L84" s="283"/>
      <c r="M84" s="283"/>
      <c r="N84" s="283"/>
      <c r="O84" s="283"/>
    </row>
    <row r="85" spans="2:17">
      <c r="B85" s="99" t="s">
        <v>342</v>
      </c>
      <c r="D85" s="99" t="s">
        <v>351</v>
      </c>
      <c r="G85" s="299">
        <f t="shared" ref="G85:N85" si="9">G78-G68</f>
        <v>-268103.44591072574</v>
      </c>
      <c r="H85" s="299">
        <f t="shared" si="9"/>
        <v>1100390.340808616</v>
      </c>
      <c r="I85" s="299">
        <f t="shared" si="9"/>
        <v>-906269.03054158669</v>
      </c>
      <c r="J85" s="299">
        <f t="shared" si="9"/>
        <v>25618677.63554664</v>
      </c>
      <c r="K85" s="299">
        <f t="shared" si="9"/>
        <v>23047256.599649802</v>
      </c>
      <c r="L85" s="299">
        <f t="shared" si="9"/>
        <v>-180847.12902927725</v>
      </c>
      <c r="M85" s="299">
        <f t="shared" si="9"/>
        <v>25288348.723503157</v>
      </c>
      <c r="N85" s="299">
        <f t="shared" si="9"/>
        <v>388739.65528967418</v>
      </c>
      <c r="O85" s="297">
        <f>SUM(G85:N85)</f>
        <v>74088193.349316299</v>
      </c>
    </row>
  </sheetData>
  <pageMargins left="0.75" right="0.75" top="1" bottom="1" header="0.5" footer="0.5"/>
  <pageSetup paperSize="8" scale="5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
  <sheetViews>
    <sheetView showGridLines="0" workbookViewId="0"/>
  </sheetViews>
  <sheetFormatPr defaultRowHeight="12.75"/>
  <cols>
    <col min="1" max="16384" width="9.140625" style="115"/>
  </cols>
  <sheetData/>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pageSetUpPr fitToPage="1"/>
  </sheetPr>
  <dimension ref="B2:F65"/>
  <sheetViews>
    <sheetView showGridLines="0" zoomScale="85" workbookViewId="0"/>
  </sheetViews>
  <sheetFormatPr defaultRowHeight="12.75"/>
  <cols>
    <col min="1" max="1" width="4.140625" customWidth="1"/>
    <col min="2" max="2" width="24.85546875" customWidth="1"/>
    <col min="3" max="3" width="5.5703125" customWidth="1"/>
    <col min="4" max="4" width="17" customWidth="1"/>
  </cols>
  <sheetData>
    <row r="2" spans="2:6" s="2" customFormat="1" ht="30" customHeight="1">
      <c r="B2" s="18" t="s">
        <v>16</v>
      </c>
      <c r="C2" s="18"/>
    </row>
    <row r="4" spans="2:6" s="5" customFormat="1">
      <c r="B4" s="4" t="s">
        <v>17</v>
      </c>
      <c r="C4" s="4"/>
    </row>
    <row r="6" spans="2:6">
      <c r="B6" s="16" t="s">
        <v>483</v>
      </c>
    </row>
    <row r="7" spans="2:6">
      <c r="B7" s="16"/>
    </row>
    <row r="8" spans="2:6">
      <c r="B8" s="111" t="s">
        <v>18</v>
      </c>
      <c r="D8">
        <v>2014</v>
      </c>
    </row>
    <row r="9" spans="2:6">
      <c r="D9" s="10"/>
    </row>
    <row r="10" spans="2:6">
      <c r="B10" t="s">
        <v>19</v>
      </c>
      <c r="D10" s="110">
        <f>(1+D11)*(1+D22)-1</f>
        <v>0.25832783976472284</v>
      </c>
      <c r="F10" s="108"/>
    </row>
    <row r="11" spans="2:6">
      <c r="B11" t="s">
        <v>20</v>
      </c>
      <c r="D11" s="110">
        <f t="shared" ref="D11:D14" si="0">(1+D12)*(1+D23)-1</f>
        <v>0.19641686317933105</v>
      </c>
      <c r="F11" s="108"/>
    </row>
    <row r="12" spans="2:6">
      <c r="B12" t="s">
        <v>21</v>
      </c>
      <c r="D12" s="110">
        <f t="shared" si="0"/>
        <v>0.14219328051740776</v>
      </c>
      <c r="F12" s="108"/>
    </row>
    <row r="13" spans="2:6">
      <c r="B13" t="s">
        <v>22</v>
      </c>
      <c r="D13" s="110">
        <f t="shared" si="0"/>
        <v>0.11365646920737382</v>
      </c>
      <c r="F13" s="108"/>
    </row>
    <row r="14" spans="2:6">
      <c r="B14" t="s">
        <v>23</v>
      </c>
      <c r="D14" s="110">
        <f t="shared" si="0"/>
        <v>8.6494116299876689E-2</v>
      </c>
      <c r="F14" s="108"/>
    </row>
    <row r="15" spans="2:6">
      <c r="B15" t="s">
        <v>55</v>
      </c>
      <c r="D15" s="110">
        <f>(1+D16)*(1+D27)-1</f>
        <v>5.7675958108891923E-2</v>
      </c>
      <c r="F15" s="108"/>
    </row>
    <row r="16" spans="2:6" s="99" customFormat="1">
      <c r="B16" s="99" t="s">
        <v>253</v>
      </c>
      <c r="D16" s="346">
        <f>D28</f>
        <v>2.9999999999999583E-2</v>
      </c>
      <c r="F16" s="108"/>
    </row>
    <row r="19" spans="2:6" s="5" customFormat="1">
      <c r="B19" s="4" t="s">
        <v>70</v>
      </c>
      <c r="C19" s="4"/>
    </row>
    <row r="22" spans="2:6">
      <c r="B22" s="21" t="s">
        <v>24</v>
      </c>
      <c r="C22" s="21"/>
      <c r="D22" s="19">
        <f>(1+D41)^0.25*(1+D40)^0.25*(1+D39)^0.25*(1+D38)^0.25-1</f>
        <v>5.174699428832108E-2</v>
      </c>
      <c r="F22" s="108"/>
    </row>
    <row r="23" spans="2:6">
      <c r="B23" t="s">
        <v>25</v>
      </c>
      <c r="D23" s="22">
        <f>(1+D45)^0.25*(1+D44)^0.25*(1+D43)^0.25*(1+D42)^0.25-1</f>
        <v>4.7473211046523023E-2</v>
      </c>
      <c r="F23" s="108"/>
    </row>
    <row r="24" spans="2:6">
      <c r="B24" t="s">
        <v>26</v>
      </c>
      <c r="D24" s="22">
        <f>(1+D46)^0.25*(1+D47)^0.25*(1+D48)^0.25*(1+D49)^0.25-1</f>
        <v>2.5624429165615581E-2</v>
      </c>
      <c r="F24" s="108"/>
    </row>
    <row r="25" spans="2:6">
      <c r="B25" t="s">
        <v>27</v>
      </c>
      <c r="D25" s="22">
        <f>(1+D50)^0.25*(1+D51)^0.25*(1+D52)^0.25*(1+D53)^0.25-1</f>
        <v>2.5000000000000133E-2</v>
      </c>
      <c r="F25" s="108"/>
    </row>
    <row r="26" spans="2:6">
      <c r="B26" t="s">
        <v>28</v>
      </c>
      <c r="C26" s="80"/>
      <c r="D26" s="22">
        <f>(1+D54)^0.25*(1+D55)^0.25*(1+D56)^0.25*(1+D57)^0.25-1</f>
        <v>2.7246679826693931E-2</v>
      </c>
      <c r="F26" s="108"/>
    </row>
    <row r="27" spans="2:6">
      <c r="B27" t="s">
        <v>56</v>
      </c>
      <c r="C27" s="80"/>
      <c r="D27" s="347">
        <f>(1+D58)^0.25*(1+D59)^0.25*(1+D60)^0.25*(1+D61)^0.25-1</f>
        <v>2.6869862241643006E-2</v>
      </c>
      <c r="F27" s="108"/>
    </row>
    <row r="28" spans="2:6" s="99" customFormat="1">
      <c r="B28" s="99" t="s">
        <v>121</v>
      </c>
      <c r="C28" s="80"/>
      <c r="D28" s="347">
        <f>(1+D62)^0.25*(1+D63)^0.25*(1+D64)^0.25*(1+D65)^0.25-1</f>
        <v>2.9999999999999583E-2</v>
      </c>
      <c r="F28" s="108"/>
    </row>
    <row r="31" spans="2:6" s="5" customFormat="1">
      <c r="B31" s="4" t="s">
        <v>52</v>
      </c>
      <c r="C31" s="4"/>
    </row>
    <row r="33" spans="2:4">
      <c r="B33" s="125" t="s">
        <v>419</v>
      </c>
    </row>
    <row r="34" spans="2:4">
      <c r="B34" s="79" t="s">
        <v>71</v>
      </c>
    </row>
    <row r="35" spans="2:4">
      <c r="B35" s="79" t="s">
        <v>72</v>
      </c>
    </row>
    <row r="37" spans="2:4">
      <c r="B37" s="116"/>
    </row>
    <row r="38" spans="2:4">
      <c r="B38" s="349">
        <v>39264</v>
      </c>
      <c r="C38" s="24"/>
      <c r="D38" s="26">
        <v>5.2499999999999998E-2</v>
      </c>
    </row>
    <row r="39" spans="2:4">
      <c r="B39" s="24">
        <v>39356</v>
      </c>
      <c r="C39" s="24"/>
      <c r="D39" s="26">
        <v>5.3999999999999999E-2</v>
      </c>
    </row>
    <row r="40" spans="2:4">
      <c r="B40" s="24">
        <v>39448</v>
      </c>
      <c r="C40" s="24"/>
      <c r="D40" s="26">
        <v>5.2999999999999999E-2</v>
      </c>
    </row>
    <row r="41" spans="2:4">
      <c r="B41" s="24">
        <v>39539</v>
      </c>
      <c r="C41" s="24"/>
      <c r="D41" s="26">
        <v>4.7500000000000001E-2</v>
      </c>
    </row>
    <row r="42" spans="2:4">
      <c r="B42" s="24">
        <v>39630</v>
      </c>
      <c r="C42" s="24"/>
      <c r="D42" s="26">
        <v>5.1499999999999997E-2</v>
      </c>
    </row>
    <row r="43" spans="2:4">
      <c r="B43" s="24">
        <v>39722</v>
      </c>
      <c r="C43" s="24"/>
      <c r="D43" s="26">
        <v>5.45E-2</v>
      </c>
    </row>
    <row r="44" spans="2:4">
      <c r="B44" s="24">
        <v>39814</v>
      </c>
      <c r="C44" s="24"/>
      <c r="D44" s="26">
        <v>4.9000000000000002E-2</v>
      </c>
    </row>
    <row r="45" spans="2:4">
      <c r="B45" s="24">
        <v>39904</v>
      </c>
      <c r="C45" s="24"/>
      <c r="D45" s="26">
        <v>3.5000000000000003E-2</v>
      </c>
    </row>
    <row r="46" spans="2:4">
      <c r="B46" s="24">
        <v>39995</v>
      </c>
      <c r="C46" s="24"/>
      <c r="D46" s="26">
        <v>2.75E-2</v>
      </c>
    </row>
    <row r="47" spans="2:4">
      <c r="B47" s="24">
        <v>40087</v>
      </c>
      <c r="C47" s="24"/>
      <c r="D47" s="26">
        <v>2.5000000000000001E-2</v>
      </c>
    </row>
    <row r="48" spans="2:4">
      <c r="B48" s="24">
        <v>40179</v>
      </c>
      <c r="C48" s="24"/>
      <c r="D48" s="26">
        <v>2.5000000000000001E-2</v>
      </c>
    </row>
    <row r="49" spans="2:4">
      <c r="B49" s="24">
        <v>40269</v>
      </c>
      <c r="C49" s="24"/>
      <c r="D49" s="26">
        <v>2.5000000000000001E-2</v>
      </c>
    </row>
    <row r="50" spans="2:4">
      <c r="B50" s="24">
        <v>40360</v>
      </c>
      <c r="C50" s="24"/>
      <c r="D50" s="26">
        <v>2.5000000000000001E-2</v>
      </c>
    </row>
    <row r="51" spans="2:4">
      <c r="B51" s="24">
        <v>40452</v>
      </c>
      <c r="C51" s="24"/>
      <c r="D51" s="26">
        <v>2.5000000000000001E-2</v>
      </c>
    </row>
    <row r="52" spans="2:4">
      <c r="B52" s="24">
        <v>40544</v>
      </c>
      <c r="C52" s="24"/>
      <c r="D52" s="26">
        <v>2.5000000000000001E-2</v>
      </c>
    </row>
    <row r="53" spans="2:4">
      <c r="B53" s="24">
        <v>40634</v>
      </c>
      <c r="C53" s="24"/>
      <c r="D53" s="26">
        <v>2.5000000000000001E-2</v>
      </c>
    </row>
    <row r="54" spans="2:4">
      <c r="B54" s="24">
        <v>40725</v>
      </c>
      <c r="C54" s="24"/>
      <c r="D54" s="26">
        <v>2.75E-2</v>
      </c>
    </row>
    <row r="55" spans="2:4">
      <c r="B55" s="24">
        <v>40817</v>
      </c>
      <c r="C55" s="24"/>
      <c r="D55" s="25">
        <v>0.03</v>
      </c>
    </row>
    <row r="56" spans="2:4">
      <c r="B56" s="24">
        <v>40909</v>
      </c>
      <c r="C56" s="80"/>
      <c r="D56" s="26">
        <v>2.8500000000000001E-2</v>
      </c>
    </row>
    <row r="57" spans="2:4">
      <c r="B57" s="24">
        <v>41000</v>
      </c>
      <c r="C57" s="80"/>
      <c r="D57" s="26">
        <v>2.3E-2</v>
      </c>
    </row>
    <row r="58" spans="2:4">
      <c r="B58" s="24">
        <v>41091</v>
      </c>
      <c r="C58" s="80"/>
      <c r="D58" s="26">
        <v>2.5000000000000001E-2</v>
      </c>
    </row>
    <row r="59" spans="2:4">
      <c r="B59" s="24">
        <v>41183</v>
      </c>
      <c r="C59" s="80"/>
      <c r="D59" s="119">
        <v>2.2499999999999999E-2</v>
      </c>
    </row>
    <row r="60" spans="2:4">
      <c r="B60" s="24">
        <v>41275</v>
      </c>
      <c r="C60" s="80"/>
      <c r="D60" s="348">
        <v>0.03</v>
      </c>
    </row>
    <row r="61" spans="2:4">
      <c r="B61" s="24">
        <v>41365</v>
      </c>
      <c r="C61" s="80"/>
      <c r="D61" s="348">
        <v>0.03</v>
      </c>
    </row>
    <row r="62" spans="2:4">
      <c r="B62" s="24">
        <v>41456</v>
      </c>
      <c r="D62" s="348">
        <v>0.03</v>
      </c>
    </row>
    <row r="63" spans="2:4">
      <c r="B63" s="24">
        <v>41548</v>
      </c>
      <c r="D63" s="348">
        <v>0.03</v>
      </c>
    </row>
    <row r="64" spans="2:4">
      <c r="B64" s="24">
        <v>41640</v>
      </c>
      <c r="D64" s="109">
        <v>0.03</v>
      </c>
    </row>
    <row r="65" spans="2:4">
      <c r="B65" s="24">
        <v>41730</v>
      </c>
      <c r="D65" s="109">
        <v>0.03</v>
      </c>
    </row>
  </sheetData>
  <phoneticPr fontId="3" type="noConversion"/>
  <pageMargins left="0.75" right="0.75" top="1" bottom="1" header="0.5" footer="0.5"/>
  <pageSetup paperSize="9" scale="51"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pageSetUpPr fitToPage="1"/>
  </sheetPr>
  <dimension ref="B2:K33"/>
  <sheetViews>
    <sheetView showGridLines="0" zoomScale="85" workbookViewId="0"/>
  </sheetViews>
  <sheetFormatPr defaultRowHeight="12.75"/>
  <cols>
    <col min="1" max="1" width="4.28515625" customWidth="1"/>
    <col min="2" max="2" width="13.85546875" customWidth="1"/>
    <col min="3" max="3" width="12.7109375" customWidth="1"/>
  </cols>
  <sheetData>
    <row r="2" spans="2:3" s="2" customFormat="1" ht="18">
      <c r="B2" s="18" t="s">
        <v>29</v>
      </c>
    </row>
    <row r="4" spans="2:3" s="5" customFormat="1">
      <c r="B4" s="4" t="s">
        <v>30</v>
      </c>
    </row>
    <row r="6" spans="2:3">
      <c r="C6" t="s">
        <v>29</v>
      </c>
    </row>
    <row r="7" spans="2:3">
      <c r="B7">
        <v>2007</v>
      </c>
      <c r="C7" s="25">
        <v>1.4E-2</v>
      </c>
    </row>
    <row r="8" spans="2:3">
      <c r="B8">
        <v>2008</v>
      </c>
      <c r="C8" s="25">
        <v>1.0999999999999999E-2</v>
      </c>
    </row>
    <row r="9" spans="2:3">
      <c r="B9">
        <v>2009</v>
      </c>
      <c r="C9" s="25">
        <v>3.2000000000000001E-2</v>
      </c>
    </row>
    <row r="10" spans="2:3">
      <c r="B10">
        <v>2010</v>
      </c>
      <c r="C10" s="25">
        <v>3.0000000000000001E-3</v>
      </c>
    </row>
    <row r="11" spans="2:3">
      <c r="B11">
        <v>2011</v>
      </c>
      <c r="C11" s="25">
        <v>1.4999999999999999E-2</v>
      </c>
    </row>
    <row r="12" spans="2:3">
      <c r="B12">
        <v>2012</v>
      </c>
      <c r="C12" s="25">
        <v>2.5999999999999999E-2</v>
      </c>
    </row>
    <row r="13" spans="2:3">
      <c r="B13">
        <v>2013</v>
      </c>
      <c r="C13" s="25">
        <v>2.3E-2</v>
      </c>
    </row>
    <row r="14" spans="2:3" s="99" customFormat="1">
      <c r="B14" s="99">
        <v>2014</v>
      </c>
      <c r="C14" s="25">
        <v>2.8000000000000001E-2</v>
      </c>
    </row>
    <row r="16" spans="2:3" s="5" customFormat="1">
      <c r="B16" s="4" t="s">
        <v>31</v>
      </c>
    </row>
    <row r="19" spans="2:11">
      <c r="C19" t="s">
        <v>32</v>
      </c>
      <c r="D19">
        <v>2006</v>
      </c>
      <c r="E19">
        <v>2007</v>
      </c>
      <c r="F19">
        <v>2008</v>
      </c>
      <c r="G19">
        <v>2009</v>
      </c>
      <c r="H19">
        <v>2010</v>
      </c>
      <c r="I19">
        <v>2011</v>
      </c>
      <c r="J19">
        <v>2012</v>
      </c>
      <c r="K19" s="99">
        <v>2013</v>
      </c>
    </row>
    <row r="20" spans="2:11">
      <c r="B20" t="s">
        <v>33</v>
      </c>
    </row>
    <row r="21" spans="2:11">
      <c r="B21">
        <v>2007</v>
      </c>
      <c r="C21" s="10"/>
      <c r="D21" s="20">
        <f>C7</f>
        <v>1.4E-2</v>
      </c>
      <c r="E21" s="17"/>
      <c r="F21" s="17"/>
      <c r="G21" s="17"/>
      <c r="H21" s="17"/>
      <c r="I21" s="17"/>
      <c r="J21" s="17"/>
      <c r="K21" s="17"/>
    </row>
    <row r="22" spans="2:11">
      <c r="B22">
        <v>2008</v>
      </c>
      <c r="C22" s="10"/>
      <c r="D22" s="20">
        <f>(1+D21)*(1+C8)-1</f>
        <v>2.5153999999999899E-2</v>
      </c>
      <c r="E22" s="20">
        <f>C8</f>
        <v>1.0999999999999999E-2</v>
      </c>
      <c r="F22" s="17"/>
      <c r="G22" s="17"/>
      <c r="H22" s="17"/>
      <c r="I22" s="17"/>
      <c r="J22" s="17"/>
      <c r="K22" s="17"/>
    </row>
    <row r="23" spans="2:11">
      <c r="B23">
        <v>2009</v>
      </c>
      <c r="C23" s="10"/>
      <c r="D23" s="20">
        <f>(1+D22)*(1+C9)-1</f>
        <v>5.795892799999991E-2</v>
      </c>
      <c r="E23" s="20">
        <f t="shared" ref="E23:E28" si="0">(1+E22)*(1+C9)-1</f>
        <v>4.3351999999999835E-2</v>
      </c>
      <c r="F23" s="20">
        <f>C9</f>
        <v>3.2000000000000001E-2</v>
      </c>
      <c r="G23" s="17"/>
      <c r="H23" s="17"/>
      <c r="I23" s="17"/>
      <c r="J23" s="17"/>
      <c r="K23" s="17"/>
    </row>
    <row r="24" spans="2:11">
      <c r="B24">
        <v>2010</v>
      </c>
      <c r="C24" s="10"/>
      <c r="D24" s="20">
        <f>(1+D23)*(1+C10)-1</f>
        <v>6.113280478399985E-2</v>
      </c>
      <c r="E24" s="20">
        <f t="shared" si="0"/>
        <v>4.6482055999999661E-2</v>
      </c>
      <c r="F24" s="20">
        <f>(1+F23)*(1+C10)-1</f>
        <v>3.5096000000000016E-2</v>
      </c>
      <c r="G24" s="20">
        <f>C10</f>
        <v>3.0000000000000001E-3</v>
      </c>
      <c r="H24" s="17"/>
      <c r="I24" s="17"/>
      <c r="J24" s="17"/>
      <c r="K24" s="17"/>
    </row>
    <row r="25" spans="2:11">
      <c r="B25">
        <v>2011</v>
      </c>
      <c r="C25" s="10"/>
      <c r="D25" s="20">
        <f>(1+D24)*(1+C11)-1</f>
        <v>7.7049796855759745E-2</v>
      </c>
      <c r="E25" s="20">
        <f t="shared" si="0"/>
        <v>6.2179286839999515E-2</v>
      </c>
      <c r="F25" s="20">
        <f>(1+F24)*(1+C11)-1</f>
        <v>5.0622439999999935E-2</v>
      </c>
      <c r="G25" s="20">
        <f>(1+G24)*(1+C11)-1</f>
        <v>1.8044999999999867E-2</v>
      </c>
      <c r="H25" s="20">
        <f>C11</f>
        <v>1.4999999999999999E-2</v>
      </c>
      <c r="I25" s="17"/>
      <c r="J25" s="17"/>
      <c r="K25" s="17"/>
    </row>
    <row r="26" spans="2:11">
      <c r="B26">
        <v>2012</v>
      </c>
      <c r="C26" s="10"/>
      <c r="D26" s="20">
        <f>(1+D25)*(1+C12)-1</f>
        <v>0.10505309157400955</v>
      </c>
      <c r="E26" s="20">
        <f t="shared" si="0"/>
        <v>8.9795948297839434E-2</v>
      </c>
      <c r="F26" s="20">
        <f>(1+F25)*(1+C12)-1</f>
        <v>7.793862343999991E-2</v>
      </c>
      <c r="G26" s="20">
        <f>(1+G25)*(1+C12)-1</f>
        <v>4.4514169999999798E-2</v>
      </c>
      <c r="H26" s="20">
        <f>(1+H25)*(1+C12)-1</f>
        <v>4.1389999999999816E-2</v>
      </c>
      <c r="I26" s="20">
        <f>C12</f>
        <v>2.5999999999999999E-2</v>
      </c>
      <c r="J26" s="64"/>
      <c r="K26" s="64"/>
    </row>
    <row r="27" spans="2:11">
      <c r="B27">
        <v>2013</v>
      </c>
      <c r="C27" s="80"/>
      <c r="D27" s="20">
        <f t="shared" ref="D27" si="1">(1+D26)*(1+C13)-1</f>
        <v>0.13046931268021167</v>
      </c>
      <c r="E27" s="20">
        <f t="shared" si="0"/>
        <v>0.11486125510868961</v>
      </c>
      <c r="F27" s="20">
        <f>(1+F26)*(1+C13)-1</f>
        <v>0.1027312117791197</v>
      </c>
      <c r="G27" s="20">
        <f>(1+G26)*(1+C13)-1</f>
        <v>6.8537995909999649E-2</v>
      </c>
      <c r="H27" s="20">
        <f>(1+H26)*(1+C13)-1</f>
        <v>6.5341969999999749E-2</v>
      </c>
      <c r="I27" s="20">
        <f>(1+I26)*(1+C13)-1</f>
        <v>4.9598000000000031E-2</v>
      </c>
      <c r="J27" s="20">
        <f>C13</f>
        <v>2.3E-2</v>
      </c>
      <c r="K27" s="64"/>
    </row>
    <row r="28" spans="2:11">
      <c r="B28" s="99">
        <v>2014</v>
      </c>
      <c r="D28" s="20">
        <f>(1+D27)*(1+C14)-1</f>
        <v>0.16212245343525766</v>
      </c>
      <c r="E28" s="20">
        <f t="shared" si="0"/>
        <v>0.14607737025173284</v>
      </c>
      <c r="F28" s="20">
        <f>(1+F27)*(1+C14)-1</f>
        <v>0.133607685708935</v>
      </c>
      <c r="G28" s="20">
        <f>(1+G27)*(1+C14)-1</f>
        <v>9.8457059795479696E-2</v>
      </c>
      <c r="H28" s="20">
        <f>(1+H27)*(1+C14)-1</f>
        <v>9.5171545159999704E-2</v>
      </c>
      <c r="I28" s="20">
        <f>(1+I27)*(1+C14)-1</f>
        <v>7.8986744000000053E-2</v>
      </c>
      <c r="J28" s="20">
        <f>(1+J27)*(1+C14)-1</f>
        <v>5.1644000000000023E-2</v>
      </c>
      <c r="K28" s="20">
        <f>C14</f>
        <v>2.8000000000000001E-2</v>
      </c>
    </row>
    <row r="29" spans="2:11">
      <c r="D29" s="10"/>
      <c r="E29" s="10"/>
      <c r="F29" s="10"/>
      <c r="G29" s="10"/>
      <c r="H29" s="10"/>
      <c r="I29" s="10"/>
    </row>
    <row r="30" spans="2:11">
      <c r="D30" s="10"/>
      <c r="E30" s="10"/>
      <c r="F30" s="10"/>
      <c r="G30" s="10"/>
      <c r="H30" s="10"/>
      <c r="I30" s="10"/>
    </row>
    <row r="31" spans="2:11">
      <c r="D31" s="10"/>
      <c r="E31" s="10"/>
      <c r="F31" s="10"/>
      <c r="G31" s="10"/>
      <c r="H31" s="10"/>
      <c r="I31" s="10"/>
    </row>
    <row r="32" spans="2:11">
      <c r="D32" s="10"/>
      <c r="E32" s="10"/>
      <c r="F32" s="10"/>
      <c r="G32" s="10"/>
      <c r="H32" s="10"/>
      <c r="I32" s="10"/>
    </row>
    <row r="33" spans="4:9">
      <c r="D33" s="10"/>
      <c r="E33" s="10"/>
      <c r="F33" s="10"/>
      <c r="G33" s="10"/>
      <c r="H33" s="10"/>
      <c r="I33" s="10"/>
    </row>
  </sheetData>
  <phoneticPr fontId="3" type="noConversion"/>
  <pageMargins left="0.75" right="0.75" top="1" bottom="1" header="0.5" footer="0.5"/>
  <pageSetup paperSize="8" scale="9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J90"/>
  <sheetViews>
    <sheetView showGridLines="0" zoomScaleNormal="100" workbookViewId="0"/>
  </sheetViews>
  <sheetFormatPr defaultRowHeight="12.75"/>
  <cols>
    <col min="1" max="1" width="3.140625" style="99" customWidth="1"/>
    <col min="2" max="2" width="57.5703125" style="99" customWidth="1"/>
    <col min="3" max="3" width="9.140625" style="99" customWidth="1"/>
    <col min="4" max="8" width="15.7109375" style="99" customWidth="1"/>
    <col min="9" max="16384" width="9.140625" style="99"/>
  </cols>
  <sheetData>
    <row r="1" spans="1:6">
      <c r="A1" s="137"/>
      <c r="B1" s="136"/>
    </row>
    <row r="2" spans="1:6" s="167" customFormat="1" ht="15.75">
      <c r="B2" s="168" t="s">
        <v>210</v>
      </c>
    </row>
    <row r="3" spans="1:6">
      <c r="B3" s="217" t="s">
        <v>211</v>
      </c>
      <c r="C3" s="136"/>
    </row>
    <row r="5" spans="1:6">
      <c r="B5" s="218"/>
    </row>
    <row r="6" spans="1:6">
      <c r="B6" s="104" t="s">
        <v>212</v>
      </c>
      <c r="D6" s="219" t="s">
        <v>213</v>
      </c>
      <c r="E6" s="219" t="s">
        <v>214</v>
      </c>
      <c r="F6" s="219" t="s">
        <v>214</v>
      </c>
    </row>
    <row r="7" spans="1:6">
      <c r="B7" s="137" t="s">
        <v>215</v>
      </c>
      <c r="D7" s="220">
        <v>2008</v>
      </c>
      <c r="E7" s="220">
        <v>2008</v>
      </c>
      <c r="F7" s="220">
        <v>2009</v>
      </c>
    </row>
    <row r="8" spans="1:6">
      <c r="B8" s="99" t="s">
        <v>216</v>
      </c>
      <c r="D8" s="111" t="s">
        <v>217</v>
      </c>
      <c r="E8" s="111" t="s">
        <v>218</v>
      </c>
      <c r="F8" s="111" t="s">
        <v>219</v>
      </c>
    </row>
    <row r="10" spans="1:6">
      <c r="B10" s="137" t="s">
        <v>220</v>
      </c>
      <c r="D10" s="136"/>
      <c r="E10" s="136"/>
      <c r="F10" s="136"/>
    </row>
    <row r="11" spans="1:6">
      <c r="B11" s="136" t="s">
        <v>221</v>
      </c>
      <c r="D11" s="221">
        <f>G41*(10/12)</f>
        <v>90094571.039346665</v>
      </c>
      <c r="E11" s="221">
        <f>G60</f>
        <v>70949746.719999999</v>
      </c>
      <c r="F11" s="221">
        <f>G80*(5/12)</f>
        <v>42579239.408333331</v>
      </c>
    </row>
    <row r="12" spans="1:6">
      <c r="B12" s="136" t="s">
        <v>222</v>
      </c>
      <c r="D12" s="221">
        <f>G49*(10/12)</f>
        <v>1554153.5166666666</v>
      </c>
      <c r="E12" s="221">
        <f>G69</f>
        <v>221287.67999999999</v>
      </c>
      <c r="F12" s="221">
        <f>G89*(5/12)</f>
        <v>262372.28333333333</v>
      </c>
    </row>
    <row r="13" spans="1:6" ht="13.5" thickBot="1">
      <c r="B13" s="136" t="s">
        <v>223</v>
      </c>
      <c r="D13" s="222">
        <f>D12+D11</f>
        <v>91648724.556013331</v>
      </c>
      <c r="E13" s="222">
        <f t="shared" ref="E13:F13" si="0">E12+E11</f>
        <v>71171034.400000006</v>
      </c>
      <c r="F13" s="222">
        <f t="shared" si="0"/>
        <v>42841611.691666663</v>
      </c>
    </row>
    <row r="14" spans="1:6">
      <c r="B14" s="141" t="s">
        <v>224</v>
      </c>
      <c r="D14" s="136"/>
      <c r="E14" s="136"/>
      <c r="F14" s="136"/>
    </row>
    <row r="16" spans="1:6">
      <c r="B16" s="137" t="s">
        <v>225</v>
      </c>
      <c r="D16" s="136"/>
      <c r="E16" s="136"/>
      <c r="F16" s="136"/>
    </row>
    <row r="17" spans="2:8">
      <c r="B17" s="136" t="s">
        <v>226</v>
      </c>
      <c r="D17" s="223">
        <v>16394000</v>
      </c>
      <c r="E17" s="223">
        <v>12046000</v>
      </c>
      <c r="F17" s="223">
        <v>5137000</v>
      </c>
    </row>
    <row r="18" spans="2:8">
      <c r="B18" s="141" t="s">
        <v>227</v>
      </c>
      <c r="D18" s="136"/>
      <c r="E18" s="136"/>
      <c r="F18" s="136"/>
    </row>
    <row r="20" spans="2:8">
      <c r="B20" s="137" t="s">
        <v>420</v>
      </c>
      <c r="D20" s="136"/>
      <c r="E20" s="136"/>
      <c r="F20" s="136"/>
    </row>
    <row r="21" spans="2:8">
      <c r="B21" s="136" t="s">
        <v>228</v>
      </c>
      <c r="D21" s="224">
        <f>D13-D17+D24*(2/12)</f>
        <v>86018724.556013331</v>
      </c>
      <c r="E21" s="224">
        <f t="shared" ref="E21" si="1">E13-E17</f>
        <v>59125034.400000006</v>
      </c>
      <c r="F21" s="224">
        <f>F13-F17+F24*(7/12)</f>
        <v>72394288.858333334</v>
      </c>
    </row>
    <row r="23" spans="2:8">
      <c r="B23" s="137" t="s">
        <v>229</v>
      </c>
      <c r="D23" s="136"/>
      <c r="H23" s="225"/>
    </row>
    <row r="24" spans="2:8">
      <c r="B24" s="136" t="s">
        <v>230</v>
      </c>
      <c r="D24" s="223">
        <v>64584000</v>
      </c>
      <c r="E24" s="226">
        <v>43253720</v>
      </c>
      <c r="F24" s="226">
        <v>59468018</v>
      </c>
    </row>
    <row r="25" spans="2:8">
      <c r="B25" s="125" t="s">
        <v>462</v>
      </c>
    </row>
    <row r="26" spans="2:8">
      <c r="B26" s="141" t="s">
        <v>452</v>
      </c>
      <c r="D26" s="136"/>
      <c r="E26" s="353"/>
    </row>
    <row r="27" spans="2:8">
      <c r="B27" s="141"/>
      <c r="D27" s="136"/>
      <c r="E27" s="136"/>
    </row>
    <row r="28" spans="2:8">
      <c r="B28" s="137" t="s">
        <v>231</v>
      </c>
      <c r="D28" s="136"/>
      <c r="E28" s="136"/>
    </row>
    <row r="29" spans="2:8">
      <c r="B29" s="227" t="s">
        <v>232</v>
      </c>
      <c r="D29" s="228">
        <f>D21-D24</f>
        <v>21434724.556013331</v>
      </c>
      <c r="E29" s="228">
        <f>E21-E24</f>
        <v>15871314.400000006</v>
      </c>
      <c r="F29" s="228">
        <f>F21-F24</f>
        <v>12926270.858333334</v>
      </c>
    </row>
    <row r="30" spans="2:8">
      <c r="B30" s="227"/>
    </row>
    <row r="31" spans="2:8" s="229" customFormat="1"/>
    <row r="33" spans="1:9" s="232" customFormat="1" ht="15.75" customHeight="1">
      <c r="A33" s="368" t="s">
        <v>233</v>
      </c>
      <c r="B33" s="369"/>
      <c r="C33" s="369"/>
      <c r="D33" s="369"/>
      <c r="E33" s="230"/>
      <c r="F33" s="370"/>
      <c r="G33" s="371"/>
      <c r="H33" s="372"/>
      <c r="I33" s="231"/>
    </row>
    <row r="34" spans="1:9" ht="13.5" customHeight="1">
      <c r="A34" s="233"/>
      <c r="B34" s="234"/>
      <c r="C34" s="234"/>
      <c r="D34" s="235"/>
      <c r="E34" s="234"/>
      <c r="F34" s="234"/>
      <c r="G34" s="234"/>
      <c r="H34" s="235"/>
      <c r="I34" s="235"/>
    </row>
    <row r="35" spans="1:9" ht="24.75" customHeight="1">
      <c r="A35" s="236"/>
      <c r="B35" s="373" t="s">
        <v>234</v>
      </c>
      <c r="C35" s="374"/>
      <c r="D35" s="237" t="s">
        <v>235</v>
      </c>
      <c r="E35" s="237" t="s">
        <v>236</v>
      </c>
      <c r="F35" s="237" t="s">
        <v>237</v>
      </c>
      <c r="G35" s="237" t="s">
        <v>238</v>
      </c>
      <c r="H35" s="238"/>
      <c r="I35" s="238"/>
    </row>
    <row r="36" spans="1:9" ht="12.75" customHeight="1">
      <c r="A36" s="236"/>
      <c r="B36" s="239" t="s">
        <v>239</v>
      </c>
      <c r="C36" s="240"/>
      <c r="D36" s="241">
        <v>12</v>
      </c>
      <c r="E36" s="256">
        <v>8</v>
      </c>
      <c r="F36" s="242">
        <v>2760</v>
      </c>
      <c r="G36" s="243">
        <f>D36*F36+E36*F36</f>
        <v>55200</v>
      </c>
    </row>
    <row r="37" spans="1:9" ht="12.75" customHeight="1">
      <c r="A37" s="236"/>
      <c r="B37" s="244" t="s">
        <v>240</v>
      </c>
      <c r="C37" s="238"/>
      <c r="D37" s="245">
        <v>620893</v>
      </c>
      <c r="E37" s="256">
        <v>4959737.6184</v>
      </c>
      <c r="F37" s="246">
        <v>8.84</v>
      </c>
      <c r="G37" s="247">
        <f t="shared" ref="G37:G39" si="2">D37*F37+E37*F37</f>
        <v>49332774.666655995</v>
      </c>
    </row>
    <row r="38" spans="1:9" ht="12.75" customHeight="1">
      <c r="A38" s="236"/>
      <c r="B38" s="244" t="s">
        <v>241</v>
      </c>
      <c r="C38" s="238"/>
      <c r="D38" s="245">
        <v>5472280</v>
      </c>
      <c r="E38" s="256">
        <v>55709310.084799998</v>
      </c>
      <c r="F38" s="246">
        <v>0.95</v>
      </c>
      <c r="G38" s="247">
        <f t="shared" si="2"/>
        <v>58122510.580559999</v>
      </c>
    </row>
    <row r="39" spans="1:9">
      <c r="A39" s="236"/>
      <c r="B39" s="244" t="s">
        <v>242</v>
      </c>
      <c r="C39" s="238"/>
      <c r="D39" s="256">
        <v>0</v>
      </c>
      <c r="E39" s="256">
        <v>0</v>
      </c>
      <c r="F39" s="257">
        <v>0</v>
      </c>
      <c r="G39" s="247">
        <f t="shared" si="2"/>
        <v>0</v>
      </c>
    </row>
    <row r="40" spans="1:9" ht="13.5" thickBot="1">
      <c r="A40" s="236"/>
      <c r="B40" s="354" t="s">
        <v>465</v>
      </c>
      <c r="C40" s="238"/>
      <c r="D40" s="257"/>
      <c r="E40" s="257"/>
      <c r="F40" s="257"/>
      <c r="G40" s="352">
        <f>502500/10*12</f>
        <v>603000</v>
      </c>
    </row>
    <row r="41" spans="1:9" ht="12.75" customHeight="1" thickTop="1">
      <c r="A41" s="236"/>
      <c r="B41" s="248" t="s">
        <v>1</v>
      </c>
      <c r="C41" s="249"/>
      <c r="D41" s="250"/>
      <c r="E41" s="250"/>
      <c r="F41" s="251"/>
      <c r="G41" s="252">
        <f>SUM(G36:G40)</f>
        <v>108113485.24721599</v>
      </c>
    </row>
    <row r="42" spans="1:9" ht="12.75" customHeight="1">
      <c r="A42" s="236"/>
      <c r="B42" s="234"/>
      <c r="C42" s="253"/>
      <c r="D42" s="238"/>
      <c r="E42" s="238"/>
      <c r="F42" s="238"/>
      <c r="G42" s="238"/>
      <c r="H42" s="238"/>
      <c r="I42" s="238"/>
    </row>
    <row r="43" spans="1:9" ht="25.5" customHeight="1">
      <c r="A43" s="236"/>
      <c r="B43" s="366" t="s">
        <v>243</v>
      </c>
      <c r="C43" s="367"/>
      <c r="D43" s="237" t="s">
        <v>235</v>
      </c>
      <c r="E43" s="237" t="s">
        <v>236</v>
      </c>
      <c r="F43" s="237" t="s">
        <v>237</v>
      </c>
      <c r="G43" s="237" t="s">
        <v>238</v>
      </c>
      <c r="H43" s="238"/>
      <c r="I43" s="238"/>
    </row>
    <row r="44" spans="1:9" ht="12.75" customHeight="1">
      <c r="A44" s="236"/>
      <c r="B44" s="239" t="s">
        <v>239</v>
      </c>
      <c r="C44" s="240"/>
      <c r="D44" s="241">
        <v>19</v>
      </c>
      <c r="E44" s="241">
        <v>0</v>
      </c>
      <c r="F44" s="242">
        <v>2760</v>
      </c>
      <c r="G44" s="243">
        <f>D44*F44+E44*F44</f>
        <v>52440</v>
      </c>
    </row>
    <row r="45" spans="1:9" ht="12.75" customHeight="1">
      <c r="A45" s="236"/>
      <c r="B45" s="244" t="s">
        <v>240</v>
      </c>
      <c r="C45" s="238"/>
      <c r="D45" s="245">
        <v>230201</v>
      </c>
      <c r="E45" s="245">
        <v>0</v>
      </c>
      <c r="F45" s="246">
        <v>4.42</v>
      </c>
      <c r="G45" s="247">
        <f t="shared" ref="G45:G47" si="3">D45*F45+E45*F45</f>
        <v>1017488.4199999999</v>
      </c>
    </row>
    <row r="46" spans="1:9" ht="12.75" customHeight="1">
      <c r="A46" s="236"/>
      <c r="B46" s="244" t="s">
        <v>244</v>
      </c>
      <c r="C46" s="238"/>
      <c r="D46" s="245">
        <v>2409260</v>
      </c>
      <c r="E46" s="245">
        <v>0</v>
      </c>
      <c r="F46" s="246">
        <v>0.33</v>
      </c>
      <c r="G46" s="247">
        <f t="shared" si="3"/>
        <v>795055.8</v>
      </c>
    </row>
    <row r="47" spans="1:9">
      <c r="A47" s="236"/>
      <c r="B47" s="244" t="s">
        <v>242</v>
      </c>
      <c r="C47" s="238"/>
      <c r="D47" s="256">
        <v>0</v>
      </c>
      <c r="E47" s="256">
        <v>0</v>
      </c>
      <c r="F47" s="257">
        <v>0</v>
      </c>
      <c r="G47" s="247">
        <f t="shared" si="3"/>
        <v>0</v>
      </c>
    </row>
    <row r="48" spans="1:9" ht="13.5" thickBot="1">
      <c r="A48" s="236"/>
      <c r="B48" s="354" t="s">
        <v>465</v>
      </c>
      <c r="C48" s="238"/>
      <c r="D48" s="257"/>
      <c r="E48" s="257"/>
      <c r="F48" s="257"/>
      <c r="G48" s="352">
        <v>0</v>
      </c>
    </row>
    <row r="49" spans="1:10" ht="12.75" customHeight="1" thickTop="1">
      <c r="A49" s="236"/>
      <c r="B49" s="248" t="s">
        <v>1</v>
      </c>
      <c r="C49" s="249"/>
      <c r="D49" s="250"/>
      <c r="E49" s="250"/>
      <c r="F49" s="251"/>
      <c r="G49" s="252">
        <f>SUM(G44:G48)</f>
        <v>1864984.22</v>
      </c>
    </row>
    <row r="50" spans="1:10">
      <c r="A50" s="236"/>
      <c r="B50" s="355" t="s">
        <v>447</v>
      </c>
      <c r="C50" s="356"/>
      <c r="D50" s="255"/>
      <c r="E50" s="255"/>
      <c r="F50" s="255"/>
      <c r="G50" s="255"/>
      <c r="H50" s="255"/>
    </row>
    <row r="52" spans="1:10" ht="15.75">
      <c r="A52" s="368" t="s">
        <v>245</v>
      </c>
      <c r="B52" s="369"/>
      <c r="C52" s="369"/>
      <c r="D52" s="369"/>
      <c r="E52" s="230"/>
      <c r="F52" s="375"/>
      <c r="G52" s="376"/>
      <c r="H52" s="377"/>
      <c r="I52" s="231"/>
    </row>
    <row r="53" spans="1:10">
      <c r="A53" s="233"/>
      <c r="B53" s="234"/>
      <c r="C53" s="234"/>
      <c r="D53" s="235"/>
      <c r="E53" s="234"/>
      <c r="F53" s="234"/>
      <c r="G53" s="234"/>
      <c r="H53" s="235"/>
      <c r="I53" s="235"/>
    </row>
    <row r="54" spans="1:10" ht="25.5">
      <c r="A54" s="236"/>
      <c r="B54" s="373" t="s">
        <v>246</v>
      </c>
      <c r="C54" s="374"/>
      <c r="D54" s="237" t="s">
        <v>235</v>
      </c>
      <c r="E54" s="237" t="s">
        <v>247</v>
      </c>
      <c r="F54" s="237" t="s">
        <v>237</v>
      </c>
      <c r="G54" s="237" t="s">
        <v>238</v>
      </c>
      <c r="H54" s="238"/>
      <c r="I54" s="238"/>
      <c r="J54" s="125"/>
    </row>
    <row r="55" spans="1:10">
      <c r="A55" s="236"/>
      <c r="B55" s="239" t="s">
        <v>239</v>
      </c>
      <c r="C55" s="240"/>
      <c r="D55" s="241">
        <v>24</v>
      </c>
      <c r="E55" s="241">
        <v>8</v>
      </c>
      <c r="F55" s="242">
        <v>2760</v>
      </c>
      <c r="G55" s="243">
        <f>D55*F55+E55*F55</f>
        <v>88320</v>
      </c>
    </row>
    <row r="56" spans="1:10">
      <c r="A56" s="236"/>
      <c r="B56" s="244" t="s">
        <v>240</v>
      </c>
      <c r="C56" s="238"/>
      <c r="D56" s="245">
        <v>701363</v>
      </c>
      <c r="E56" s="245">
        <v>4022515</v>
      </c>
      <c r="F56" s="246">
        <v>7.44</v>
      </c>
      <c r="G56" s="247">
        <f t="shared" ref="G56:G58" si="4">D56*F56+E56*F56</f>
        <v>35145652.32</v>
      </c>
    </row>
    <row r="57" spans="1:10">
      <c r="A57" s="236"/>
      <c r="B57" s="244" t="s">
        <v>241</v>
      </c>
      <c r="C57" s="238"/>
      <c r="D57" s="245">
        <v>7019804</v>
      </c>
      <c r="E57" s="245">
        <v>44120401</v>
      </c>
      <c r="F57" s="246">
        <v>0.68</v>
      </c>
      <c r="G57" s="247">
        <f t="shared" si="4"/>
        <v>34775339.400000006</v>
      </c>
    </row>
    <row r="58" spans="1:10">
      <c r="A58" s="236"/>
      <c r="B58" s="244" t="s">
        <v>242</v>
      </c>
      <c r="C58" s="238"/>
      <c r="D58" s="256">
        <v>0</v>
      </c>
      <c r="E58" s="256">
        <v>0</v>
      </c>
      <c r="F58" s="257">
        <v>0</v>
      </c>
      <c r="G58" s="247">
        <f t="shared" si="4"/>
        <v>0</v>
      </c>
    </row>
    <row r="59" spans="1:10" ht="13.5" thickBot="1">
      <c r="A59" s="236"/>
      <c r="B59" s="244" t="s">
        <v>464</v>
      </c>
      <c r="C59" s="238"/>
      <c r="D59" s="257"/>
      <c r="E59" s="257"/>
      <c r="F59" s="257"/>
      <c r="G59" s="352">
        <v>940435</v>
      </c>
    </row>
    <row r="60" spans="1:10" ht="13.5" thickTop="1">
      <c r="A60" s="236"/>
      <c r="B60" s="248" t="s">
        <v>1</v>
      </c>
      <c r="C60" s="249"/>
      <c r="D60" s="250"/>
      <c r="E60" s="250"/>
      <c r="F60" s="251"/>
      <c r="G60" s="252">
        <f>SUM(G55:G59)</f>
        <v>70949746.719999999</v>
      </c>
    </row>
    <row r="61" spans="1:10">
      <c r="A61" s="236"/>
      <c r="B61" s="103" t="s">
        <v>449</v>
      </c>
      <c r="C61" s="253"/>
      <c r="D61" s="238"/>
      <c r="E61" s="238"/>
      <c r="F61" s="238"/>
      <c r="G61" s="238"/>
      <c r="H61" s="238"/>
      <c r="I61" s="238"/>
    </row>
    <row r="62" spans="1:10">
      <c r="A62" s="236"/>
      <c r="B62" s="234"/>
      <c r="C62" s="253"/>
      <c r="D62" s="238"/>
      <c r="E62" s="238"/>
      <c r="F62" s="238"/>
      <c r="G62" s="238"/>
      <c r="H62" s="238"/>
      <c r="I62" s="238"/>
    </row>
    <row r="63" spans="1:10" ht="25.5">
      <c r="A63" s="236"/>
      <c r="B63" s="366" t="s">
        <v>248</v>
      </c>
      <c r="C63" s="367"/>
      <c r="D63" s="237" t="s">
        <v>235</v>
      </c>
      <c r="E63" s="237" t="s">
        <v>247</v>
      </c>
      <c r="F63" s="237" t="s">
        <v>237</v>
      </c>
      <c r="G63" s="237" t="s">
        <v>238</v>
      </c>
      <c r="H63" s="238"/>
      <c r="I63" s="238"/>
    </row>
    <row r="64" spans="1:10">
      <c r="A64" s="236"/>
      <c r="B64" s="239" t="s">
        <v>239</v>
      </c>
      <c r="C64" s="240"/>
      <c r="D64" s="245">
        <v>7</v>
      </c>
      <c r="E64" s="245">
        <v>0</v>
      </c>
      <c r="F64" s="242">
        <v>2760</v>
      </c>
      <c r="G64" s="243">
        <f>D64*F64+E64*F64</f>
        <v>19320</v>
      </c>
    </row>
    <row r="65" spans="1:10">
      <c r="A65" s="236"/>
      <c r="B65" s="244" t="s">
        <v>240</v>
      </c>
      <c r="C65" s="238"/>
      <c r="D65" s="245">
        <v>39320</v>
      </c>
      <c r="E65" s="245">
        <v>0</v>
      </c>
      <c r="F65" s="246">
        <v>3.72</v>
      </c>
      <c r="G65" s="247">
        <f t="shared" ref="G65:G67" si="5">D65*F65+E65*F65</f>
        <v>146270.39999999999</v>
      </c>
    </row>
    <row r="66" spans="1:10">
      <c r="A66" s="236"/>
      <c r="B66" s="244" t="s">
        <v>244</v>
      </c>
      <c r="C66" s="238"/>
      <c r="D66" s="245">
        <v>232072</v>
      </c>
      <c r="E66" s="245">
        <v>0</v>
      </c>
      <c r="F66" s="246">
        <v>0.24</v>
      </c>
      <c r="G66" s="247">
        <f t="shared" si="5"/>
        <v>55697.279999999999</v>
      </c>
    </row>
    <row r="67" spans="1:10">
      <c r="A67" s="236"/>
      <c r="B67" s="244" t="s">
        <v>242</v>
      </c>
      <c r="C67" s="238"/>
      <c r="D67" s="256">
        <v>0</v>
      </c>
      <c r="E67" s="256">
        <v>0</v>
      </c>
      <c r="F67" s="257">
        <v>0</v>
      </c>
      <c r="G67" s="247">
        <f t="shared" si="5"/>
        <v>0</v>
      </c>
    </row>
    <row r="68" spans="1:10" ht="13.5" thickBot="1">
      <c r="A68" s="236"/>
      <c r="B68" s="244" t="s">
        <v>464</v>
      </c>
      <c r="C68" s="238"/>
      <c r="D68" s="257"/>
      <c r="E68" s="257"/>
      <c r="F68" s="257"/>
      <c r="G68" s="352">
        <v>0</v>
      </c>
    </row>
    <row r="69" spans="1:10" ht="13.5" thickTop="1">
      <c r="A69" s="236"/>
      <c r="B69" s="248" t="s">
        <v>1</v>
      </c>
      <c r="C69" s="249"/>
      <c r="D69" s="250"/>
      <c r="E69" s="250"/>
      <c r="F69" s="251"/>
      <c r="G69" s="252">
        <f>SUM(G64:G68)</f>
        <v>221287.67999999999</v>
      </c>
    </row>
    <row r="70" spans="1:10">
      <c r="A70" s="236"/>
      <c r="B70" s="254" t="s">
        <v>450</v>
      </c>
      <c r="C70" s="238"/>
      <c r="D70" s="255"/>
      <c r="E70" s="255"/>
      <c r="F70" s="255"/>
      <c r="G70" s="255"/>
      <c r="H70" s="255"/>
    </row>
    <row r="72" spans="1:10" ht="15.75">
      <c r="A72" s="368" t="s">
        <v>249</v>
      </c>
      <c r="B72" s="369"/>
      <c r="C72" s="369"/>
      <c r="D72" s="369"/>
      <c r="E72" s="230"/>
      <c r="F72" s="375"/>
      <c r="G72" s="376"/>
      <c r="H72" s="377"/>
      <c r="I72" s="231"/>
    </row>
    <row r="73" spans="1:10">
      <c r="A73" s="233"/>
      <c r="B73" s="234"/>
      <c r="C73" s="234"/>
      <c r="D73" s="235"/>
      <c r="E73" s="234"/>
      <c r="F73" s="234"/>
      <c r="G73" s="234"/>
      <c r="H73" s="235"/>
      <c r="I73" s="235"/>
    </row>
    <row r="74" spans="1:10" ht="25.5">
      <c r="A74" s="236"/>
      <c r="B74" s="373" t="s">
        <v>246</v>
      </c>
      <c r="C74" s="374"/>
      <c r="D74" s="237" t="s">
        <v>235</v>
      </c>
      <c r="E74" s="237" t="s">
        <v>247</v>
      </c>
      <c r="F74" s="237" t="s">
        <v>237</v>
      </c>
      <c r="G74" s="237" t="s">
        <v>238</v>
      </c>
      <c r="H74" s="238"/>
      <c r="I74" s="238"/>
      <c r="J74" s="125"/>
    </row>
    <row r="75" spans="1:10">
      <c r="A75" s="236"/>
      <c r="B75" s="239" t="s">
        <v>239</v>
      </c>
      <c r="C75" s="240"/>
      <c r="D75" s="241">
        <v>24</v>
      </c>
      <c r="E75" s="241">
        <v>8</v>
      </c>
      <c r="F75" s="242">
        <v>2760</v>
      </c>
      <c r="G75" s="243">
        <f>D75*F75+E75*F75</f>
        <v>88320</v>
      </c>
    </row>
    <row r="76" spans="1:10">
      <c r="A76" s="236"/>
      <c r="B76" s="244" t="s">
        <v>240</v>
      </c>
      <c r="C76" s="238"/>
      <c r="D76" s="245">
        <v>613378</v>
      </c>
      <c r="E76" s="245">
        <v>4345012</v>
      </c>
      <c r="F76" s="246">
        <v>10.130000000000001</v>
      </c>
      <c r="G76" s="247">
        <f t="shared" ref="G76:G78" si="6">D76*F76+E76*F76</f>
        <v>50228490.700000003</v>
      </c>
    </row>
    <row r="77" spans="1:10">
      <c r="A77" s="236"/>
      <c r="B77" s="244" t="s">
        <v>241</v>
      </c>
      <c r="C77" s="238"/>
      <c r="D77" s="245">
        <v>6090292</v>
      </c>
      <c r="E77" s="245">
        <v>43843952</v>
      </c>
      <c r="F77" s="246">
        <v>1.02</v>
      </c>
      <c r="G77" s="247">
        <f t="shared" si="6"/>
        <v>50932928.879999995</v>
      </c>
    </row>
    <row r="78" spans="1:10">
      <c r="A78" s="236"/>
      <c r="B78" s="244" t="s">
        <v>242</v>
      </c>
      <c r="C78" s="238"/>
      <c r="D78" s="256">
        <v>0</v>
      </c>
      <c r="E78" s="256">
        <v>0</v>
      </c>
      <c r="F78" s="257">
        <v>0</v>
      </c>
      <c r="G78" s="247">
        <f t="shared" si="6"/>
        <v>0</v>
      </c>
    </row>
    <row r="79" spans="1:10" ht="13.5" thickBot="1">
      <c r="A79" s="236"/>
      <c r="B79" s="244" t="s">
        <v>464</v>
      </c>
      <c r="C79" s="238"/>
      <c r="D79" s="257"/>
      <c r="E79" s="257"/>
      <c r="F79" s="257"/>
      <c r="G79" s="352">
        <v>940435</v>
      </c>
    </row>
    <row r="80" spans="1:10" ht="13.5" thickTop="1">
      <c r="A80" s="236"/>
      <c r="B80" s="248" t="s">
        <v>1</v>
      </c>
      <c r="C80" s="249"/>
      <c r="D80" s="250"/>
      <c r="E80" s="250"/>
      <c r="F80" s="251"/>
      <c r="G80" s="252">
        <f>SUM(G75:G79)</f>
        <v>102190174.58</v>
      </c>
    </row>
    <row r="81" spans="1:10">
      <c r="A81" s="236"/>
      <c r="B81" s="103" t="s">
        <v>449</v>
      </c>
      <c r="C81" s="253"/>
      <c r="D81" s="238"/>
      <c r="E81" s="238"/>
      <c r="F81" s="238"/>
      <c r="G81" s="238"/>
      <c r="H81" s="238"/>
      <c r="I81" s="238"/>
      <c r="J81" s="238"/>
    </row>
    <row r="82" spans="1:10">
      <c r="A82" s="236"/>
      <c r="B82" s="103"/>
      <c r="C82" s="253"/>
      <c r="D82" s="238"/>
      <c r="E82" s="238"/>
      <c r="F82" s="238"/>
      <c r="G82" s="238"/>
      <c r="H82" s="238"/>
      <c r="I82" s="238"/>
      <c r="J82" s="238"/>
    </row>
    <row r="83" spans="1:10" ht="25.5">
      <c r="A83" s="236"/>
      <c r="B83" s="366" t="s">
        <v>248</v>
      </c>
      <c r="C83" s="367"/>
      <c r="D83" s="237" t="s">
        <v>235</v>
      </c>
      <c r="E83" s="237" t="s">
        <v>247</v>
      </c>
      <c r="F83" s="237" t="s">
        <v>237</v>
      </c>
      <c r="G83" s="237" t="s">
        <v>238</v>
      </c>
      <c r="H83" s="238"/>
      <c r="I83" s="238"/>
      <c r="J83" s="238"/>
    </row>
    <row r="84" spans="1:10">
      <c r="A84" s="236"/>
      <c r="B84" s="239" t="s">
        <v>239</v>
      </c>
      <c r="C84" s="240"/>
      <c r="D84" s="245">
        <v>7</v>
      </c>
      <c r="E84" s="245">
        <v>0</v>
      </c>
      <c r="F84" s="242">
        <v>2760</v>
      </c>
      <c r="G84" s="243">
        <f>D84*F84+E84*F84</f>
        <v>19320</v>
      </c>
    </row>
    <row r="85" spans="1:10">
      <c r="A85" s="236"/>
      <c r="B85" s="244" t="s">
        <v>240</v>
      </c>
      <c r="C85" s="238"/>
      <c r="D85" s="256">
        <v>63684</v>
      </c>
      <c r="E85" s="256">
        <v>0</v>
      </c>
      <c r="F85" s="246">
        <v>5.07</v>
      </c>
      <c r="G85" s="247">
        <f t="shared" ref="G85:G87" si="7">D85*F85+E85*F85</f>
        <v>322877.88</v>
      </c>
    </row>
    <row r="86" spans="1:10">
      <c r="A86" s="236"/>
      <c r="B86" s="244" t="s">
        <v>244</v>
      </c>
      <c r="C86" s="238"/>
      <c r="D86" s="256">
        <v>821416</v>
      </c>
      <c r="E86" s="256">
        <v>0</v>
      </c>
      <c r="F86" s="246">
        <v>0.35</v>
      </c>
      <c r="G86" s="247">
        <f t="shared" si="7"/>
        <v>287495.59999999998</v>
      </c>
    </row>
    <row r="87" spans="1:10">
      <c r="A87" s="236"/>
      <c r="B87" s="244" t="s">
        <v>242</v>
      </c>
      <c r="C87" s="238"/>
      <c r="D87" s="256">
        <v>0</v>
      </c>
      <c r="E87" s="256">
        <v>0</v>
      </c>
      <c r="F87" s="257">
        <v>0</v>
      </c>
      <c r="G87" s="247">
        <f t="shared" si="7"/>
        <v>0</v>
      </c>
    </row>
    <row r="88" spans="1:10" ht="13.5" thickBot="1">
      <c r="A88" s="236"/>
      <c r="B88" s="244" t="s">
        <v>464</v>
      </c>
      <c r="C88" s="238"/>
      <c r="D88" s="257"/>
      <c r="E88" s="257"/>
      <c r="F88" s="257"/>
      <c r="G88" s="352">
        <v>0</v>
      </c>
    </row>
    <row r="89" spans="1:10" ht="13.5" thickTop="1">
      <c r="A89" s="236"/>
      <c r="B89" s="248" t="s">
        <v>1</v>
      </c>
      <c r="C89" s="249"/>
      <c r="D89" s="250"/>
      <c r="E89" s="250"/>
      <c r="F89" s="251"/>
      <c r="G89" s="252">
        <f>SUM(G84:G88)</f>
        <v>629693.48</v>
      </c>
    </row>
    <row r="90" spans="1:10">
      <c r="A90" s="236"/>
      <c r="B90" s="254" t="s">
        <v>451</v>
      </c>
      <c r="C90" s="238"/>
      <c r="D90" s="255"/>
      <c r="E90" s="255"/>
      <c r="F90" s="255"/>
      <c r="G90" s="255"/>
      <c r="H90" s="255"/>
    </row>
  </sheetData>
  <mergeCells count="12">
    <mergeCell ref="B83:C83"/>
    <mergeCell ref="A33:D33"/>
    <mergeCell ref="F33:H33"/>
    <mergeCell ref="B35:C35"/>
    <mergeCell ref="B43:C43"/>
    <mergeCell ref="A52:D52"/>
    <mergeCell ref="F52:H52"/>
    <mergeCell ref="B54:C54"/>
    <mergeCell ref="B63:C63"/>
    <mergeCell ref="A72:D72"/>
    <mergeCell ref="F72:H72"/>
    <mergeCell ref="B74:C74"/>
  </mergeCells>
  <pageMargins left="0.70866141732283472" right="0.70866141732283472" top="0.74803149606299213" bottom="0.74803149606299213" header="0.31496062992125984" footer="0.31496062992125984"/>
  <pageSetup paperSize="8"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2:B16"/>
  <sheetViews>
    <sheetView showGridLines="0" zoomScaleNormal="100" workbookViewId="0"/>
  </sheetViews>
  <sheetFormatPr defaultRowHeight="12.75"/>
  <cols>
    <col min="1" max="16384" width="9.140625" style="99"/>
  </cols>
  <sheetData>
    <row r="2" spans="2:2" s="167" customFormat="1" ht="15.75">
      <c r="B2" s="168" t="s">
        <v>250</v>
      </c>
    </row>
    <row r="15" spans="2:2">
      <c r="B15" s="258" t="s">
        <v>251</v>
      </c>
    </row>
    <row r="16" spans="2:2">
      <c r="B16" s="258" t="s">
        <v>252</v>
      </c>
    </row>
  </sheetData>
  <pageMargins left="0.7" right="0.7" top="0.75" bottom="0.75" header="0.3" footer="0.3"/>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A2:T69"/>
  <sheetViews>
    <sheetView showGridLines="0" zoomScale="85" workbookViewId="0">
      <pane xSplit="4" ySplit="2" topLeftCell="F3" activePane="bottomRight" state="frozen"/>
      <selection pane="topRight" activeCell="E1" sqref="E1"/>
      <selection pane="bottomLeft" activeCell="A4" sqref="A4"/>
      <selection pane="bottomRight"/>
    </sheetView>
  </sheetViews>
  <sheetFormatPr defaultRowHeight="12.75"/>
  <cols>
    <col min="1" max="1" width="3.42578125" customWidth="1"/>
    <col min="2" max="2" width="52.28515625" customWidth="1"/>
    <col min="3" max="3" width="13.28515625" customWidth="1"/>
    <col min="4" max="4" width="12.5703125" customWidth="1"/>
    <col min="5" max="5" width="13" customWidth="1"/>
    <col min="6" max="6" width="5.28515625" customWidth="1"/>
    <col min="7" max="14" width="14.42578125" customWidth="1"/>
    <col min="15" max="18" width="11.85546875" customWidth="1"/>
    <col min="19" max="19" width="16.7109375" bestFit="1" customWidth="1"/>
  </cols>
  <sheetData>
    <row r="2" spans="2:20" s="2" customFormat="1" ht="60">
      <c r="B2" s="1" t="s">
        <v>100</v>
      </c>
      <c r="C2" s="1"/>
      <c r="E2" s="3"/>
      <c r="F2" s="3"/>
      <c r="G2" s="3" t="s">
        <v>2</v>
      </c>
      <c r="H2" s="3" t="s">
        <v>3</v>
      </c>
      <c r="I2" s="3" t="s">
        <v>4</v>
      </c>
      <c r="J2" s="3" t="s">
        <v>5</v>
      </c>
      <c r="K2" s="3" t="s">
        <v>6</v>
      </c>
      <c r="L2" s="3" t="s">
        <v>7</v>
      </c>
      <c r="M2" s="3" t="s">
        <v>8</v>
      </c>
      <c r="N2" s="3" t="s">
        <v>9</v>
      </c>
      <c r="O2" s="3"/>
      <c r="P2" s="3"/>
      <c r="Q2" s="3"/>
      <c r="R2" s="3"/>
    </row>
    <row r="4" spans="2:20" s="5" customFormat="1">
      <c r="B4" s="81" t="s">
        <v>399</v>
      </c>
      <c r="C4" s="4"/>
      <c r="D4" s="4"/>
    </row>
    <row r="5" spans="2:20">
      <c r="G5" s="7"/>
      <c r="H5" s="7"/>
      <c r="I5" s="7"/>
      <c r="J5" s="7"/>
      <c r="K5" s="7"/>
      <c r="L5" s="7"/>
      <c r="M5" s="7"/>
      <c r="N5" s="7"/>
      <c r="O5" s="7"/>
      <c r="P5" s="7"/>
      <c r="Q5" s="7"/>
      <c r="R5" s="7"/>
    </row>
    <row r="6" spans="2:20">
      <c r="B6" s="125" t="s">
        <v>466</v>
      </c>
      <c r="C6" s="10"/>
      <c r="D6" t="s">
        <v>54</v>
      </c>
      <c r="G6" s="334">
        <v>16195488.047473121</v>
      </c>
      <c r="H6" s="334">
        <v>70587106.900509402</v>
      </c>
      <c r="I6" s="334">
        <v>32848889.023521647</v>
      </c>
      <c r="J6" s="334">
        <v>900367017.96159196</v>
      </c>
      <c r="K6" s="334">
        <v>967830840.26899898</v>
      </c>
      <c r="L6" s="334">
        <v>11054560.041128442</v>
      </c>
      <c r="M6" s="334">
        <v>660884143.05459905</v>
      </c>
      <c r="N6" s="334">
        <v>47242761.215536408</v>
      </c>
      <c r="O6" s="8"/>
      <c r="P6" s="125" t="s">
        <v>467</v>
      </c>
      <c r="Q6" s="8"/>
      <c r="R6" s="8"/>
    </row>
    <row r="7" spans="2:20" s="99" customFormat="1">
      <c r="B7" s="99" t="s">
        <v>397</v>
      </c>
      <c r="D7" s="125" t="s">
        <v>54</v>
      </c>
      <c r="F7" s="118"/>
      <c r="G7" s="337">
        <v>3313999.1784239993</v>
      </c>
      <c r="H7" s="337">
        <v>9411091.1641945187</v>
      </c>
      <c r="I7" s="337">
        <v>7076465.3530574366</v>
      </c>
      <c r="J7" s="337">
        <v>146052066.31004247</v>
      </c>
      <c r="K7" s="337">
        <v>122472725.78122026</v>
      </c>
      <c r="L7" s="337">
        <v>2064671.53827561</v>
      </c>
      <c r="M7" s="337">
        <v>83752058.552296177</v>
      </c>
      <c r="N7" s="337">
        <v>7289906.8673159992</v>
      </c>
      <c r="P7" s="125" t="s">
        <v>468</v>
      </c>
    </row>
    <row r="8" spans="2:20" s="99" customFormat="1">
      <c r="B8" s="125" t="s">
        <v>398</v>
      </c>
      <c r="C8" s="105"/>
      <c r="D8" s="99" t="s">
        <v>54</v>
      </c>
      <c r="G8" s="339">
        <f>G6-G7</f>
        <v>12881488.869049123</v>
      </c>
      <c r="H8" s="339">
        <f t="shared" ref="H8:N8" si="0">H6-H7</f>
        <v>61176015.736314885</v>
      </c>
      <c r="I8" s="339">
        <f t="shared" si="0"/>
        <v>25772423.67046421</v>
      </c>
      <c r="J8" s="339">
        <f t="shared" si="0"/>
        <v>754314951.65154946</v>
      </c>
      <c r="K8" s="339">
        <f t="shared" si="0"/>
        <v>845358114.48777866</v>
      </c>
      <c r="L8" s="339">
        <f>L6-L7</f>
        <v>8989888.502852831</v>
      </c>
      <c r="M8" s="339">
        <f t="shared" si="0"/>
        <v>577132084.50230289</v>
      </c>
      <c r="N8" s="339">
        <f t="shared" si="0"/>
        <v>39952854.348220408</v>
      </c>
      <c r="O8" s="8"/>
      <c r="P8" s="125"/>
      <c r="Q8" s="8"/>
      <c r="R8" s="8"/>
    </row>
    <row r="9" spans="2:20">
      <c r="B9" t="s">
        <v>104</v>
      </c>
      <c r="E9" s="10"/>
      <c r="F9" s="9"/>
      <c r="G9" s="335">
        <v>5.08</v>
      </c>
      <c r="H9" s="335">
        <v>4.6900000000000004</v>
      </c>
      <c r="I9" s="335">
        <v>5.27</v>
      </c>
      <c r="J9" s="335">
        <v>4.91</v>
      </c>
      <c r="K9" s="335">
        <v>4.59</v>
      </c>
      <c r="L9" s="335">
        <v>5.12</v>
      </c>
      <c r="M9" s="335">
        <v>4.58</v>
      </c>
      <c r="N9" s="335">
        <v>4.87</v>
      </c>
      <c r="O9" s="9"/>
      <c r="P9" s="125" t="s">
        <v>469</v>
      </c>
      <c r="Q9" s="9"/>
      <c r="R9" s="9"/>
    </row>
    <row r="10" spans="2:20">
      <c r="B10" t="s">
        <v>105</v>
      </c>
      <c r="E10" s="10"/>
      <c r="F10" s="10"/>
      <c r="G10" s="335">
        <v>2.0999999999999996</v>
      </c>
      <c r="H10" s="335">
        <v>0.02</v>
      </c>
      <c r="I10" s="335">
        <v>0.99</v>
      </c>
      <c r="J10" s="335">
        <v>0.04</v>
      </c>
      <c r="K10" s="335">
        <v>-0.18</v>
      </c>
      <c r="L10" s="335">
        <v>1.26</v>
      </c>
      <c r="M10" s="335">
        <v>9.9999999999999992E-2</v>
      </c>
      <c r="N10" s="335">
        <v>0.02</v>
      </c>
      <c r="P10" s="125" t="s">
        <v>470</v>
      </c>
    </row>
    <row r="11" spans="2:20">
      <c r="B11" s="123" t="s">
        <v>101</v>
      </c>
      <c r="E11" s="336">
        <f>CPI!C14</f>
        <v>2.8000000000000001E-2</v>
      </c>
      <c r="F11" s="63"/>
      <c r="O11" s="10"/>
      <c r="P11" s="10"/>
      <c r="Q11" s="10"/>
      <c r="R11" s="10"/>
    </row>
    <row r="12" spans="2:20" s="99" customFormat="1">
      <c r="B12" s="125" t="s">
        <v>415</v>
      </c>
      <c r="D12" s="99" t="s">
        <v>103</v>
      </c>
      <c r="F12" s="118"/>
      <c r="G12" s="338">
        <f>G7*(1+$E$11)</f>
        <v>3406791.1554198712</v>
      </c>
      <c r="H12" s="338">
        <f t="shared" ref="H12:N12" si="1">H7*(1+$E$11)</f>
        <v>9674601.7167919651</v>
      </c>
      <c r="I12" s="338">
        <f t="shared" si="1"/>
        <v>7274606.3829430453</v>
      </c>
      <c r="J12" s="338">
        <f t="shared" si="1"/>
        <v>150141524.16672367</v>
      </c>
      <c r="K12" s="338">
        <f>K7*(1+$E$11)</f>
        <v>125901962.10309443</v>
      </c>
      <c r="L12" s="338">
        <f t="shared" si="1"/>
        <v>2122482.341347327</v>
      </c>
      <c r="M12" s="338">
        <f t="shared" si="1"/>
        <v>86097116.191760466</v>
      </c>
      <c r="N12" s="338">
        <f t="shared" si="1"/>
        <v>7494024.259600847</v>
      </c>
      <c r="P12" s="125"/>
    </row>
    <row r="13" spans="2:20">
      <c r="B13" s="123" t="s">
        <v>102</v>
      </c>
      <c r="C13" s="10"/>
      <c r="D13" t="s">
        <v>103</v>
      </c>
      <c r="E13" s="11"/>
      <c r="F13" s="11"/>
      <c r="G13" s="12">
        <f>G8*(1-G9/100+G10/100+$E$11)+G12</f>
        <v>16265093.344504707</v>
      </c>
      <c r="H13" s="12">
        <f t="shared" ref="H13:N13" si="2">H8*(1-H9/100+H10/100+$E$11)+H12</f>
        <v>69706625.958837762</v>
      </c>
      <c r="I13" s="12">
        <f t="shared" si="2"/>
        <v>32665598.183084387</v>
      </c>
      <c r="J13" s="12">
        <f t="shared" si="2"/>
        <v>888842156.31908607</v>
      </c>
      <c r="K13" s="12">
        <f>K8*(1-K9/100+K10/100+$E$11)+K12</f>
        <v>954606521.73546386</v>
      </c>
      <c r="L13" s="12">
        <f t="shared" si="2"/>
        <v>11017078.026069919</v>
      </c>
      <c r="M13" s="12">
        <f t="shared" si="2"/>
        <v>653533381.67442465</v>
      </c>
      <c r="N13" s="12">
        <f t="shared" si="2"/>
        <v>46627845.093682736</v>
      </c>
      <c r="O13" s="8"/>
      <c r="P13" s="8"/>
      <c r="Q13" s="8"/>
      <c r="R13" s="8"/>
    </row>
    <row r="14" spans="2:20">
      <c r="B14" s="82"/>
      <c r="C14" s="10"/>
      <c r="E14" s="11"/>
      <c r="F14" s="11"/>
      <c r="G14" s="34"/>
      <c r="H14" s="34"/>
      <c r="I14" s="34"/>
      <c r="J14" s="34"/>
      <c r="K14" s="34"/>
      <c r="L14" s="34"/>
      <c r="M14" s="34"/>
      <c r="N14" s="34"/>
      <c r="O14" s="8"/>
      <c r="P14" s="8"/>
      <c r="Q14" s="8"/>
      <c r="R14" s="8"/>
    </row>
    <row r="15" spans="2:20">
      <c r="F15" s="10"/>
      <c r="G15" s="143"/>
      <c r="H15" s="143"/>
      <c r="I15" s="143"/>
      <c r="J15" s="143"/>
      <c r="K15" s="143"/>
      <c r="L15" s="143"/>
      <c r="M15" s="143"/>
      <c r="N15" s="143"/>
      <c r="O15" s="143"/>
      <c r="P15" s="143"/>
      <c r="Q15" s="143"/>
      <c r="R15" s="143"/>
      <c r="S15" s="143"/>
      <c r="T15" s="143"/>
    </row>
    <row r="16" spans="2:20" s="5" customFormat="1">
      <c r="B16" s="4" t="s">
        <v>106</v>
      </c>
      <c r="C16" s="4"/>
      <c r="D16" s="4"/>
    </row>
    <row r="18" spans="2:14" s="99" customFormat="1">
      <c r="B18" s="127" t="s">
        <v>402</v>
      </c>
      <c r="C18" s="126"/>
      <c r="D18" s="125" t="s">
        <v>103</v>
      </c>
      <c r="G18" s="14">
        <f>'Nacalculaties en correcties'!G40</f>
        <v>0</v>
      </c>
      <c r="H18" s="14">
        <f>'Nacalculaties en correcties'!H40</f>
        <v>0</v>
      </c>
      <c r="I18" s="14">
        <f>'Nacalculaties en correcties'!I40</f>
        <v>0</v>
      </c>
      <c r="J18" s="14">
        <f>'Nacalculaties en correcties'!J40</f>
        <v>0</v>
      </c>
      <c r="K18" s="14">
        <f>'Nacalculaties en correcties'!K40</f>
        <v>0</v>
      </c>
      <c r="L18" s="14">
        <f>'Nacalculaties en correcties'!L40</f>
        <v>0</v>
      </c>
      <c r="M18" s="14">
        <f>'Nacalculaties en correcties'!M40</f>
        <v>0</v>
      </c>
      <c r="N18" s="14">
        <f>'Nacalculaties en correcties'!N40</f>
        <v>0</v>
      </c>
    </row>
    <row r="19" spans="2:14" s="99" customFormat="1">
      <c r="B19" s="127" t="s">
        <v>401</v>
      </c>
      <c r="C19" s="126"/>
      <c r="D19" s="125" t="s">
        <v>103</v>
      </c>
      <c r="G19" s="14">
        <f>'Nacalculaties en correcties'!G41</f>
        <v>0</v>
      </c>
      <c r="H19" s="14">
        <f>'Nacalculaties en correcties'!H41</f>
        <v>0</v>
      </c>
      <c r="I19" s="14">
        <f>'Nacalculaties en correcties'!I41</f>
        <v>0</v>
      </c>
      <c r="J19" s="14">
        <f>'Nacalculaties en correcties'!J41</f>
        <v>0</v>
      </c>
      <c r="K19" s="14">
        <f>'Nacalculaties en correcties'!K41</f>
        <v>0</v>
      </c>
      <c r="L19" s="14">
        <f>'Nacalculaties en correcties'!L41</f>
        <v>0</v>
      </c>
      <c r="M19" s="14">
        <f>'Nacalculaties en correcties'!M41</f>
        <v>0</v>
      </c>
      <c r="N19" s="14">
        <f>'Nacalculaties en correcties'!N41</f>
        <v>0</v>
      </c>
    </row>
    <row r="20" spans="2:14" s="99" customFormat="1">
      <c r="B20" s="127" t="s">
        <v>400</v>
      </c>
      <c r="C20" s="126"/>
      <c r="D20" s="125" t="s">
        <v>103</v>
      </c>
      <c r="G20" s="14">
        <f>'Nacalculaties en correcties'!G42</f>
        <v>0</v>
      </c>
      <c r="H20" s="14">
        <f>'Nacalculaties en correcties'!H42</f>
        <v>0</v>
      </c>
      <c r="I20" s="14">
        <f>'Nacalculaties en correcties'!I42</f>
        <v>0</v>
      </c>
      <c r="J20" s="14">
        <f>'Nacalculaties en correcties'!J42</f>
        <v>0</v>
      </c>
      <c r="K20" s="14">
        <f>'Nacalculaties en correcties'!K42</f>
        <v>0</v>
      </c>
      <c r="L20" s="14">
        <f>'Nacalculaties en correcties'!L42</f>
        <v>0</v>
      </c>
      <c r="M20" s="14">
        <f>'Nacalculaties en correcties'!M42</f>
        <v>0</v>
      </c>
      <c r="N20" s="14">
        <f>'Nacalculaties en correcties'!N42</f>
        <v>0</v>
      </c>
    </row>
    <row r="21" spans="2:14" s="99" customFormat="1">
      <c r="B21" s="30" t="s">
        <v>116</v>
      </c>
      <c r="C21" s="126"/>
      <c r="D21" s="125" t="s">
        <v>103</v>
      </c>
      <c r="G21" s="14">
        <f>'Nacalculaties en correcties'!G43</f>
        <v>0</v>
      </c>
      <c r="H21" s="14">
        <f>'Nacalculaties en correcties'!H43</f>
        <v>-70064.034417545306</v>
      </c>
      <c r="I21" s="14">
        <f>'Nacalculaties en correcties'!I43</f>
        <v>-34374.897183048146</v>
      </c>
      <c r="J21" s="14">
        <f>'Nacalculaties en correcties'!J43</f>
        <v>0</v>
      </c>
      <c r="K21" s="14">
        <f>'Nacalculaties en correcties'!K43</f>
        <v>-953337.72684164124</v>
      </c>
      <c r="L21" s="14">
        <f>'Nacalculaties en correcties'!L43</f>
        <v>-11460.948760039251</v>
      </c>
      <c r="M21" s="14">
        <f>'Nacalculaties en correcties'!M43</f>
        <v>0</v>
      </c>
      <c r="N21" s="14">
        <f>'Nacalculaties en correcties'!N43</f>
        <v>0</v>
      </c>
    </row>
    <row r="22" spans="2:14" s="99" customFormat="1">
      <c r="B22" s="30" t="s">
        <v>117</v>
      </c>
      <c r="C22" s="131"/>
      <c r="D22" s="125" t="s">
        <v>103</v>
      </c>
      <c r="G22" s="14">
        <f>'Nacalculaties en correcties'!G44</f>
        <v>0</v>
      </c>
      <c r="H22" s="14">
        <f>'Nacalculaties en correcties'!H44</f>
        <v>-128426.14461450865</v>
      </c>
      <c r="I22" s="14">
        <f>'Nacalculaties en correcties'!I44</f>
        <v>-64058.725887864726</v>
      </c>
      <c r="J22" s="14">
        <f>'Nacalculaties en correcties'!J44</f>
        <v>0</v>
      </c>
      <c r="K22" s="14">
        <f>'Nacalculaties en correcties'!K44</f>
        <v>-1783856.5463100332</v>
      </c>
      <c r="L22" s="14">
        <f>'Nacalculaties en correcties'!L44</f>
        <v>-21314.080349845535</v>
      </c>
      <c r="M22" s="14">
        <f>'Nacalculaties en correcties'!M44</f>
        <v>0</v>
      </c>
      <c r="N22" s="14">
        <f>'Nacalculaties en correcties'!N44</f>
        <v>0</v>
      </c>
    </row>
    <row r="23" spans="2:14" s="99" customFormat="1">
      <c r="B23" s="30" t="s">
        <v>115</v>
      </c>
      <c r="C23" s="132"/>
      <c r="D23" s="125" t="s">
        <v>103</v>
      </c>
      <c r="G23" s="14">
        <f>'Nacalculaties en correcties'!G45</f>
        <v>0</v>
      </c>
      <c r="H23" s="14">
        <f>'Nacalculaties en correcties'!H45</f>
        <v>-177989.52679995412</v>
      </c>
      <c r="I23" s="14">
        <f>'Nacalculaties en correcties'!I45</f>
        <v>-90279.907314130527</v>
      </c>
      <c r="J23" s="14">
        <f>'Nacalculaties en correcties'!J45</f>
        <v>0</v>
      </c>
      <c r="K23" s="14">
        <f>'Nacalculaties en correcties'!K45</f>
        <v>-2524479.3210293199</v>
      </c>
      <c r="L23" s="14">
        <f>'Nacalculaties en correcties'!L45</f>
        <v>-29976.233466377278</v>
      </c>
      <c r="M23" s="14">
        <f>'Nacalculaties en correcties'!M45</f>
        <v>0</v>
      </c>
      <c r="N23" s="14">
        <f>'Nacalculaties en correcties'!N45</f>
        <v>0</v>
      </c>
    </row>
    <row r="24" spans="2:14" s="99" customFormat="1">
      <c r="B24" s="65" t="s">
        <v>403</v>
      </c>
      <c r="C24" s="132"/>
      <c r="D24" s="125" t="s">
        <v>103</v>
      </c>
      <c r="G24" s="14">
        <f>'Nacalculaties en correcties'!G46</f>
        <v>-24404.79963787584</v>
      </c>
      <c r="H24" s="14">
        <f>'Nacalculaties en correcties'!H46</f>
        <v>-99275.536325574358</v>
      </c>
      <c r="I24" s="14">
        <f>'Nacalculaties en correcties'!I46</f>
        <v>-49097.752990401495</v>
      </c>
      <c r="J24" s="14">
        <f>'Nacalculaties en correcties'!J46</f>
        <v>-1288117.1082760848</v>
      </c>
      <c r="K24" s="14">
        <f>'Nacalculaties en correcties'!K46</f>
        <v>-1384814.6821434977</v>
      </c>
      <c r="L24" s="14">
        <f>'Nacalculaties en correcties'!L46</f>
        <v>-15149.012680354152</v>
      </c>
      <c r="M24" s="14">
        <f>'Nacalculaties en correcties'!M46</f>
        <v>-917907.11008794862</v>
      </c>
      <c r="N24" s="14">
        <f>'Nacalculaties en correcties'!N46</f>
        <v>-29186.377693825394</v>
      </c>
    </row>
    <row r="25" spans="2:14" s="99" customFormat="1">
      <c r="B25" s="65" t="s">
        <v>404</v>
      </c>
      <c r="C25" s="126"/>
      <c r="D25" s="125" t="s">
        <v>103</v>
      </c>
      <c r="G25" s="14">
        <f>'Nacalculaties en correcties'!G47</f>
        <v>-24375.181658104728</v>
      </c>
      <c r="H25" s="14">
        <f>'Nacalculaties en correcties'!H47</f>
        <v>-99155.054253593175</v>
      </c>
      <c r="I25" s="14">
        <f>'Nacalculaties en correcties'!I47</f>
        <v>-49038.16732379271</v>
      </c>
      <c r="J25" s="14">
        <f>'Nacalculaties en correcties'!J47</f>
        <v>-1286553.8327310344</v>
      </c>
      <c r="K25" s="14">
        <f>'Nacalculaties en correcties'!K47</f>
        <v>-1383134.0531749725</v>
      </c>
      <c r="L25" s="14">
        <f>'Nacalculaties en correcties'!L47</f>
        <v>-15130.627643075555</v>
      </c>
      <c r="M25" s="14">
        <f>'Nacalculaties en correcties'!M47</f>
        <v>-916793.1261740569</v>
      </c>
      <c r="N25" s="14">
        <f>'Nacalculaties en correcties'!N47</f>
        <v>-29150.956729221933</v>
      </c>
    </row>
    <row r="26" spans="2:14" s="99" customFormat="1">
      <c r="B26" s="65" t="s">
        <v>405</v>
      </c>
      <c r="C26" s="126"/>
      <c r="D26" s="125" t="s">
        <v>103</v>
      </c>
      <c r="G26" s="14">
        <f>'Nacalculaties en correcties'!G48</f>
        <v>-24283.321337142563</v>
      </c>
      <c r="H26" s="14">
        <f>'Nacalculaties en correcties'!H48</f>
        <v>-98781.378469899995</v>
      </c>
      <c r="I26" s="14">
        <f>'Nacalculaties en correcties'!I48</f>
        <v>-48853.362063551205</v>
      </c>
      <c r="J26" s="14">
        <f>'Nacalculaties en correcties'!J48</f>
        <v>-1281705.3253571219</v>
      </c>
      <c r="K26" s="14">
        <f>'Nacalculaties en correcties'!K48</f>
        <v>-1377921.5735372626</v>
      </c>
      <c r="L26" s="14">
        <f>'Nacalculaties en correcties'!L48</f>
        <v>-15073.606352684892</v>
      </c>
      <c r="M26" s="14">
        <f>'Nacalculaties en correcties'!M48</f>
        <v>-913338.09917128365</v>
      </c>
      <c r="N26" s="14">
        <f>'Nacalculaties en correcties'!N48</f>
        <v>-29041.098420099952</v>
      </c>
    </row>
    <row r="27" spans="2:14" s="99" customFormat="1">
      <c r="B27" s="127" t="s">
        <v>413</v>
      </c>
      <c r="C27" s="126"/>
      <c r="D27" s="125" t="s">
        <v>103</v>
      </c>
      <c r="G27" s="14">
        <f>'Nacalculaties en correcties'!G49</f>
        <v>0</v>
      </c>
      <c r="H27" s="14">
        <f>'Nacalculaties en correcties'!H49</f>
        <v>0</v>
      </c>
      <c r="I27" s="14">
        <f>'Nacalculaties en correcties'!I49</f>
        <v>15297.759680665446</v>
      </c>
      <c r="J27" s="14">
        <f>'Nacalculaties en correcties'!J49</f>
        <v>282438.9321283116</v>
      </c>
      <c r="K27" s="14">
        <f>'Nacalculaties en correcties'!K49</f>
        <v>75283.259346274703</v>
      </c>
      <c r="L27" s="14">
        <f>'Nacalculaties en correcties'!L49</f>
        <v>4420.2922479265862</v>
      </c>
      <c r="M27" s="14">
        <f>'Nacalculaties en correcties'!M49</f>
        <v>136017.12821280351</v>
      </c>
      <c r="N27" s="14">
        <f>'Nacalculaties en correcties'!N49</f>
        <v>19003.010097112518</v>
      </c>
    </row>
    <row r="28" spans="2:14" s="99" customFormat="1">
      <c r="B28" s="127" t="s">
        <v>406</v>
      </c>
      <c r="C28" s="126"/>
      <c r="D28" s="125" t="s">
        <v>103</v>
      </c>
      <c r="G28" s="14">
        <f>'Nacalculaties en correcties'!G50</f>
        <v>30795.273671848794</v>
      </c>
      <c r="H28" s="14">
        <f>'Nacalculaties en correcties'!H50</f>
        <v>114462.03723981034</v>
      </c>
      <c r="I28" s="14">
        <f>'Nacalculaties en correcties'!I50</f>
        <v>57683.511286350724</v>
      </c>
      <c r="J28" s="14">
        <f>'Nacalculaties en correcties'!J50</f>
        <v>1470968.3733253437</v>
      </c>
      <c r="K28" s="14">
        <f>'Nacalculaties en correcties'!K50</f>
        <v>1601726.8918614597</v>
      </c>
      <c r="L28" s="14">
        <f>'Nacalculaties en correcties'!L50</f>
        <v>19384.756917693412</v>
      </c>
      <c r="M28" s="14">
        <f>'Nacalculaties en correcties'!M50</f>
        <v>1079492.3647763275</v>
      </c>
      <c r="N28" s="14">
        <f>'Nacalculaties en correcties'!N50</f>
        <v>37725.188619283545</v>
      </c>
    </row>
    <row r="29" spans="2:14" s="99" customFormat="1">
      <c r="B29" s="127" t="s">
        <v>111</v>
      </c>
      <c r="C29" s="126"/>
      <c r="D29" s="125" t="s">
        <v>103</v>
      </c>
      <c r="G29" s="14">
        <f>'Nacalculaties en correcties'!G51</f>
        <v>134347.63799999995</v>
      </c>
      <c r="H29" s="14">
        <f>'Nacalculaties en correcties'!H51</f>
        <v>215666.1791999999</v>
      </c>
      <c r="I29" s="14">
        <f>'Nacalculaties en correcties'!I51</f>
        <v>15645.535199999995</v>
      </c>
      <c r="J29" s="14">
        <f>'Nacalculaties en correcties'!J51</f>
        <v>342642.53979999991</v>
      </c>
      <c r="K29" s="14">
        <f>'Nacalculaties en correcties'!K51</f>
        <v>158749.36799999996</v>
      </c>
      <c r="L29" s="14">
        <f>'Nacalculaties en correcties'!L51</f>
        <v>59328.823999999979</v>
      </c>
      <c r="M29" s="14">
        <f>'Nacalculaties en correcties'!M51</f>
        <v>2528272.6079999991</v>
      </c>
      <c r="N29" s="14">
        <f>'Nacalculaties en correcties'!N51</f>
        <v>110743.74599999996</v>
      </c>
    </row>
    <row r="30" spans="2:14" s="99" customFormat="1">
      <c r="B30" s="127" t="s">
        <v>110</v>
      </c>
      <c r="C30" s="126"/>
      <c r="D30" s="125" t="s">
        <v>103</v>
      </c>
      <c r="G30" s="14">
        <f>'Nacalculaties en correcties'!G52</f>
        <v>-731000.59575224691</v>
      </c>
      <c r="H30" s="14">
        <f>'Nacalculaties en correcties'!H52</f>
        <v>278512.25269066624</v>
      </c>
      <c r="I30" s="14">
        <f>'Nacalculaties en correcties'!I52</f>
        <v>0</v>
      </c>
      <c r="J30" s="14">
        <f>'Nacalculaties en correcties'!J52</f>
        <v>0</v>
      </c>
      <c r="K30" s="14">
        <f>'Nacalculaties en correcties'!K52</f>
        <v>11087348.915674638</v>
      </c>
      <c r="L30" s="14">
        <f>'Nacalculaties en correcties'!L52</f>
        <v>-88111.456637567768</v>
      </c>
      <c r="M30" s="14">
        <f>'Nacalculaties en correcties'!M52</f>
        <v>0</v>
      </c>
      <c r="N30" s="14">
        <f>'Nacalculaties en correcties'!N52</f>
        <v>0</v>
      </c>
    </row>
    <row r="31" spans="2:14" s="99" customFormat="1">
      <c r="B31" s="74" t="s">
        <v>112</v>
      </c>
      <c r="C31" s="62"/>
      <c r="D31" s="125" t="s">
        <v>103</v>
      </c>
      <c r="G31" s="14">
        <f>'Nacalculaties en correcties'!G53</f>
        <v>-202483.23772888564</v>
      </c>
      <c r="H31" s="14">
        <f>'Nacalculaties en correcties'!H53</f>
        <v>-750134.58282088418</v>
      </c>
      <c r="I31" s="14">
        <f>'Nacalculaties en correcties'!I53</f>
        <v>-395438.00023257569</v>
      </c>
      <c r="J31" s="14">
        <f>'Nacalculaties en correcties'!J53</f>
        <v>-10822210.305025367</v>
      </c>
      <c r="K31" s="14">
        <f>'Nacalculaties en correcties'!K53</f>
        <v>-10933538.128811846</v>
      </c>
      <c r="L31" s="14">
        <f>'Nacalculaties en correcties'!L53</f>
        <v>-117464.52908550063</v>
      </c>
      <c r="M31" s="14">
        <f>'Nacalculaties en correcties'!M53</f>
        <v>-7512037.3101129178</v>
      </c>
      <c r="N31" s="14">
        <f>'Nacalculaties en correcties'!N53</f>
        <v>-484333.47220652417</v>
      </c>
    </row>
    <row r="32" spans="2:14" s="99" customFormat="1">
      <c r="B32" s="74" t="s">
        <v>113</v>
      </c>
      <c r="C32" s="62"/>
      <c r="D32" s="125" t="s">
        <v>103</v>
      </c>
      <c r="G32" s="14">
        <f>'Nacalculaties en correcties'!G54</f>
        <v>-43993.01547561193</v>
      </c>
      <c r="H32" s="14">
        <f>'Nacalculaties en correcties'!H54</f>
        <v>-162979.82332254597</v>
      </c>
      <c r="I32" s="14">
        <f>'Nacalculaties en correcties'!I54</f>
        <v>-85915.803495644126</v>
      </c>
      <c r="J32" s="14">
        <f>'Nacalculaties en correcties'!J54</f>
        <v>-2351313.9693409232</v>
      </c>
      <c r="K32" s="14">
        <f>'Nacalculaties en correcties'!K54</f>
        <v>-2375501.8810398779</v>
      </c>
      <c r="L32" s="14">
        <f>'Nacalculaties en correcties'!L54</f>
        <v>-25521.217972685055</v>
      </c>
      <c r="M32" s="14">
        <f>'Nacalculaties en correcties'!M54</f>
        <v>-1632121.1441692929</v>
      </c>
      <c r="N32" s="14">
        <f>'Nacalculaties en correcties'!N54</f>
        <v>-105229.89545765666</v>
      </c>
    </row>
    <row r="33" spans="1:16" s="99" customFormat="1">
      <c r="B33" s="74" t="s">
        <v>114</v>
      </c>
      <c r="C33" s="62"/>
      <c r="D33" s="125" t="s">
        <v>103</v>
      </c>
      <c r="G33" s="14">
        <f>'Nacalculaties en correcties'!G55</f>
        <v>522847.96385188494</v>
      </c>
      <c r="H33" s="14">
        <f>'Nacalculaties en correcties'!H55</f>
        <v>1936981.7652161706</v>
      </c>
      <c r="I33" s="14">
        <f>'Nacalculaties en correcties'!I55</f>
        <v>1021091.6990970682</v>
      </c>
      <c r="J33" s="14">
        <f>'Nacalculaties en correcties'!J55</f>
        <v>27944884.15843913</v>
      </c>
      <c r="K33" s="14">
        <f>'Nacalculaties en correcties'!K55</f>
        <v>28232352.526881352</v>
      </c>
      <c r="L33" s="14">
        <f>'Nacalculaties en correcties'!L55</f>
        <v>303314.43998049566</v>
      </c>
      <c r="M33" s="14">
        <f>'Nacalculaties en correcties'!M55</f>
        <v>19397424.972188812</v>
      </c>
      <c r="N33" s="14">
        <f>'Nacalculaties en correcties'!N55</f>
        <v>1250635.7198197313</v>
      </c>
    </row>
    <row r="34" spans="1:16" s="99" customFormat="1">
      <c r="A34" s="50"/>
      <c r="B34" s="340" t="s">
        <v>408</v>
      </c>
      <c r="C34" s="62"/>
      <c r="D34" s="125" t="s">
        <v>103</v>
      </c>
      <c r="G34" s="14">
        <f>'Nacalculaties en correcties'!G56</f>
        <v>-283566.56902592233</v>
      </c>
      <c r="H34" s="14">
        <f>'Nacalculaties en correcties'!H56</f>
        <v>1163856.4080085231</v>
      </c>
      <c r="I34" s="14">
        <f>'Nacalculaties en correcties'!I56</f>
        <v>-958538.96518248937</v>
      </c>
      <c r="J34" s="14">
        <f>'Nacalculaties en correcties'!J56</f>
        <v>27096259.413659632</v>
      </c>
      <c r="K34" s="14">
        <f>'Nacalculaties en correcties'!K56</f>
        <v>24376529.205816086</v>
      </c>
      <c r="L34" s="14">
        <f>'Nacalculaties en correcties'!L56</f>
        <v>-191277.66046728322</v>
      </c>
      <c r="M34" s="14">
        <f>'Nacalculaties en correcties'!M56</f>
        <v>26746878.465122975</v>
      </c>
      <c r="N34" s="14">
        <f>'Nacalculaties en correcties'!N56</f>
        <v>411160.58736342652</v>
      </c>
    </row>
    <row r="35" spans="1:16" s="99" customFormat="1">
      <c r="A35" s="50"/>
      <c r="B35" s="127" t="s">
        <v>126</v>
      </c>
      <c r="C35" s="62"/>
      <c r="D35" s="125" t="s">
        <v>103</v>
      </c>
      <c r="N35" s="14">
        <f>'Nacalculaties en correcties'!N57</f>
        <v>-1038329.6742822874</v>
      </c>
    </row>
    <row r="36" spans="1:16" s="99" customFormat="1">
      <c r="A36" s="50"/>
      <c r="B36" s="127" t="s">
        <v>127</v>
      </c>
      <c r="C36" s="62"/>
      <c r="D36" s="125" t="s">
        <v>103</v>
      </c>
      <c r="N36" s="14">
        <f>'Nacalculaties en correcties'!N58</f>
        <v>-2212010.7115680501</v>
      </c>
    </row>
    <row r="37" spans="1:16" s="99" customFormat="1">
      <c r="A37" s="50"/>
      <c r="B37" s="341" t="s">
        <v>92</v>
      </c>
      <c r="C37" s="62"/>
      <c r="D37" s="125" t="s">
        <v>103</v>
      </c>
      <c r="J37" s="14">
        <f>'Nacalculaties en correcties'!J59</f>
        <v>-1499488.2764251602</v>
      </c>
    </row>
    <row r="38" spans="1:16">
      <c r="B38" s="342" t="s">
        <v>409</v>
      </c>
      <c r="C38" s="36"/>
      <c r="D38" s="125" t="s">
        <v>103</v>
      </c>
      <c r="G38" s="99"/>
      <c r="H38" s="99"/>
      <c r="I38" s="99"/>
      <c r="J38" s="14">
        <f>'Nacalculaties en correcties'!J60</f>
        <v>0</v>
      </c>
      <c r="K38" s="99"/>
      <c r="L38" s="99"/>
      <c r="M38" s="99"/>
      <c r="N38" s="99"/>
    </row>
    <row r="39" spans="1:16" s="99" customFormat="1">
      <c r="B39" s="342"/>
      <c r="C39" s="36"/>
      <c r="D39" s="125"/>
    </row>
    <row r="40" spans="1:16">
      <c r="B40" s="35" t="s">
        <v>109</v>
      </c>
      <c r="D40" s="124" t="s">
        <v>103</v>
      </c>
      <c r="G40" s="40">
        <f>SUM(G18:G38)</f>
        <v>-646115.8450920562</v>
      </c>
      <c r="H40" s="102">
        <f t="shared" ref="H40:M40" si="3">SUM(H18:H38)</f>
        <v>2122672.5613306644</v>
      </c>
      <c r="I40" s="102">
        <f t="shared" si="3"/>
        <v>-665877.07640941371</v>
      </c>
      <c r="J40" s="102">
        <f>SUM(J18:J38)</f>
        <v>38607804.600196727</v>
      </c>
      <c r="K40" s="102">
        <f t="shared" si="3"/>
        <v>42815406.254691362</v>
      </c>
      <c r="L40" s="102">
        <f t="shared" si="3"/>
        <v>-144031.06026929771</v>
      </c>
      <c r="M40" s="102">
        <f t="shared" si="3"/>
        <v>37995888.748585418</v>
      </c>
      <c r="N40" s="102">
        <f>SUM(N18:N38)</f>
        <v>-2098013.9344581119</v>
      </c>
    </row>
    <row r="42" spans="1:16" s="5" customFormat="1">
      <c r="B42" s="81" t="s">
        <v>108</v>
      </c>
      <c r="C42" s="4"/>
      <c r="D42" s="4"/>
    </row>
    <row r="44" spans="1:16">
      <c r="B44" s="124" t="s">
        <v>107</v>
      </c>
      <c r="D44" s="124" t="s">
        <v>103</v>
      </c>
      <c r="G44" s="32">
        <f>G13+G40</f>
        <v>15618977.49941265</v>
      </c>
      <c r="H44" s="32">
        <f t="shared" ref="H44:N44" si="4">H13+H40</f>
        <v>71829298.520168424</v>
      </c>
      <c r="I44" s="32">
        <f t="shared" si="4"/>
        <v>31999721.106674973</v>
      </c>
      <c r="J44" s="32">
        <f t="shared" si="4"/>
        <v>927449960.91928279</v>
      </c>
      <c r="K44" s="32">
        <f t="shared" si="4"/>
        <v>997421927.99015522</v>
      </c>
      <c r="L44" s="32">
        <f t="shared" si="4"/>
        <v>10873046.965800621</v>
      </c>
      <c r="M44" s="32">
        <f t="shared" si="4"/>
        <v>691529270.42301011</v>
      </c>
      <c r="N44" s="32">
        <f t="shared" si="4"/>
        <v>44529831.159224622</v>
      </c>
      <c r="P44" s="53"/>
    </row>
    <row r="46" spans="1:16">
      <c r="E46" s="10"/>
      <c r="F46" s="10"/>
      <c r="G46" s="117"/>
      <c r="H46" s="117"/>
      <c r="I46" s="117"/>
      <c r="J46" s="117"/>
      <c r="K46" s="117"/>
      <c r="L46" s="117"/>
      <c r="M46" s="117"/>
      <c r="N46" s="117"/>
      <c r="O46" s="10"/>
      <c r="P46" s="54"/>
    </row>
    <row r="47" spans="1:16">
      <c r="E47" s="10"/>
      <c r="F47" s="10"/>
      <c r="G47" s="118"/>
      <c r="H47" s="10"/>
      <c r="I47" s="10"/>
      <c r="J47" s="10"/>
      <c r="K47" s="10"/>
      <c r="L47" s="10"/>
      <c r="M47" s="10"/>
      <c r="N47" s="10"/>
      <c r="O47" s="10"/>
      <c r="P47" s="10"/>
    </row>
    <row r="48" spans="1:16">
      <c r="E48" s="10"/>
      <c r="F48" s="10"/>
      <c r="G48" s="117"/>
      <c r="H48" s="55"/>
      <c r="I48" s="55"/>
      <c r="J48" s="55"/>
      <c r="K48" s="55"/>
      <c r="L48" s="55"/>
      <c r="M48" s="55"/>
      <c r="N48" s="55"/>
      <c r="O48" s="10"/>
      <c r="P48" s="56"/>
    </row>
    <row r="49" spans="5:16">
      <c r="E49" s="10"/>
      <c r="F49" s="10"/>
      <c r="G49" s="10"/>
      <c r="H49" s="10"/>
      <c r="I49" s="10"/>
      <c r="J49" s="10"/>
      <c r="K49" s="10"/>
      <c r="L49" s="10"/>
      <c r="M49" s="10"/>
      <c r="N49" s="10"/>
      <c r="O49" s="10"/>
      <c r="P49" s="10"/>
    </row>
    <row r="50" spans="5:16">
      <c r="E50" s="10"/>
      <c r="F50" s="10"/>
      <c r="G50" s="55"/>
      <c r="H50" s="55"/>
      <c r="I50" s="55"/>
      <c r="J50" s="55"/>
      <c r="K50" s="55"/>
      <c r="L50" s="55"/>
      <c r="M50" s="55"/>
      <c r="N50" s="55"/>
      <c r="O50" s="10"/>
      <c r="P50" s="56"/>
    </row>
    <row r="51" spans="5:16">
      <c r="E51" s="10"/>
      <c r="F51" s="10"/>
      <c r="G51" s="10"/>
      <c r="H51" s="10"/>
      <c r="I51" s="10"/>
      <c r="J51" s="10"/>
      <c r="K51" s="10"/>
      <c r="L51" s="10"/>
      <c r="M51" s="10"/>
      <c r="N51" s="10"/>
      <c r="O51" s="10"/>
      <c r="P51" s="10"/>
    </row>
    <row r="52" spans="5:16">
      <c r="E52" s="10"/>
      <c r="F52" s="10"/>
      <c r="G52" s="57"/>
      <c r="H52" s="57"/>
      <c r="I52" s="57"/>
      <c r="J52" s="57"/>
      <c r="K52" s="57"/>
      <c r="L52" s="57"/>
      <c r="M52" s="57"/>
      <c r="N52" s="57"/>
      <c r="O52" s="10"/>
      <c r="P52" s="56"/>
    </row>
    <row r="53" spans="5:16">
      <c r="E53" s="10"/>
      <c r="F53" s="10"/>
      <c r="G53" s="10"/>
      <c r="H53" s="10"/>
      <c r="I53" s="10"/>
      <c r="J53" s="10"/>
      <c r="K53" s="10"/>
      <c r="L53" s="10"/>
      <c r="M53" s="10"/>
      <c r="N53" s="10"/>
      <c r="O53" s="10"/>
      <c r="P53" s="10"/>
    </row>
    <row r="54" spans="5:16">
      <c r="E54" s="10"/>
      <c r="F54" s="10"/>
      <c r="G54" s="55"/>
      <c r="H54" s="55"/>
      <c r="I54" s="55"/>
      <c r="J54" s="55"/>
      <c r="K54" s="55"/>
      <c r="L54" s="55"/>
      <c r="M54" s="55"/>
      <c r="N54" s="55"/>
      <c r="O54" s="10"/>
      <c r="P54" s="56"/>
    </row>
    <row r="55" spans="5:16">
      <c r="E55" s="10"/>
      <c r="F55" s="10"/>
      <c r="G55" s="10"/>
      <c r="H55" s="10"/>
      <c r="I55" s="10"/>
      <c r="J55" s="10"/>
      <c r="K55" s="10"/>
      <c r="L55" s="10"/>
      <c r="M55" s="10"/>
      <c r="N55" s="10"/>
      <c r="O55" s="10"/>
      <c r="P55" s="10"/>
    </row>
    <row r="56" spans="5:16">
      <c r="E56" s="10"/>
      <c r="F56" s="10"/>
      <c r="G56" s="10"/>
      <c r="H56" s="10"/>
      <c r="I56" s="10"/>
      <c r="J56" s="10"/>
      <c r="K56" s="10"/>
      <c r="L56" s="10"/>
      <c r="M56" s="10"/>
      <c r="N56" s="10"/>
      <c r="O56" s="10"/>
      <c r="P56" s="10"/>
    </row>
    <row r="57" spans="5:16">
      <c r="E57" s="10"/>
      <c r="F57" s="10"/>
      <c r="G57" s="10"/>
      <c r="H57" s="10"/>
      <c r="I57" s="10"/>
      <c r="J57" s="10"/>
      <c r="K57" s="10"/>
      <c r="L57" s="10"/>
      <c r="M57" s="10"/>
      <c r="N57" s="10"/>
      <c r="O57" s="10"/>
      <c r="P57" s="10"/>
    </row>
    <row r="58" spans="5:16">
      <c r="E58" s="10"/>
      <c r="F58" s="10"/>
      <c r="G58" s="10"/>
      <c r="H58" s="10"/>
      <c r="I58" s="10"/>
      <c r="J58" s="10"/>
      <c r="K58" s="10"/>
      <c r="L58" s="10"/>
      <c r="M58" s="10"/>
      <c r="N58" s="10"/>
      <c r="O58" s="10"/>
      <c r="P58" s="10"/>
    </row>
    <row r="59" spans="5:16">
      <c r="E59" s="10"/>
      <c r="F59" s="10"/>
      <c r="G59" s="10"/>
      <c r="H59" s="58"/>
      <c r="I59" s="58"/>
      <c r="J59" s="58"/>
      <c r="K59" s="58"/>
      <c r="L59" s="58"/>
      <c r="M59" s="10"/>
      <c r="N59" s="10"/>
      <c r="O59" s="10"/>
      <c r="P59" s="10"/>
    </row>
    <row r="60" spans="5:16">
      <c r="E60" s="10"/>
      <c r="F60" s="10"/>
      <c r="G60" s="10"/>
      <c r="H60" s="59"/>
      <c r="I60" s="60"/>
      <c r="J60" s="60"/>
      <c r="K60" s="60"/>
      <c r="L60" s="60"/>
      <c r="M60" s="10"/>
      <c r="N60" s="10"/>
      <c r="O60" s="10"/>
      <c r="P60" s="10"/>
    </row>
    <row r="61" spans="5:16">
      <c r="E61" s="10"/>
      <c r="F61" s="10"/>
      <c r="G61" s="10"/>
      <c r="H61" s="59"/>
      <c r="I61" s="60"/>
      <c r="J61" s="60"/>
      <c r="K61" s="60"/>
      <c r="L61" s="60"/>
      <c r="M61" s="10"/>
      <c r="N61" s="10"/>
      <c r="O61" s="10"/>
      <c r="P61" s="10"/>
    </row>
    <row r="62" spans="5:16">
      <c r="E62" s="10"/>
      <c r="F62" s="10"/>
      <c r="G62" s="10"/>
      <c r="H62" s="59"/>
      <c r="I62" s="60"/>
      <c r="J62" s="60"/>
      <c r="K62" s="60"/>
      <c r="L62" s="60"/>
      <c r="M62" s="10"/>
      <c r="N62" s="10"/>
      <c r="O62" s="10"/>
      <c r="P62" s="10"/>
    </row>
    <row r="63" spans="5:16">
      <c r="E63" s="10"/>
      <c r="F63" s="10"/>
      <c r="G63" s="10"/>
      <c r="H63" s="59"/>
      <c r="I63" s="60"/>
      <c r="J63" s="60"/>
      <c r="K63" s="60"/>
      <c r="L63" s="60"/>
      <c r="M63" s="10"/>
      <c r="N63" s="10"/>
      <c r="O63" s="10"/>
      <c r="P63" s="10"/>
    </row>
    <row r="64" spans="5:16">
      <c r="E64" s="10"/>
      <c r="F64" s="10"/>
      <c r="G64" s="10"/>
      <c r="H64" s="59"/>
      <c r="I64" s="60"/>
      <c r="J64" s="60"/>
      <c r="K64" s="60"/>
      <c r="L64" s="60"/>
      <c r="M64" s="10"/>
      <c r="N64" s="10"/>
      <c r="O64" s="10"/>
      <c r="P64" s="10"/>
    </row>
    <row r="65" spans="5:16">
      <c r="E65" s="10"/>
      <c r="F65" s="10"/>
      <c r="G65" s="10"/>
      <c r="H65" s="59"/>
      <c r="I65" s="60"/>
      <c r="J65" s="60"/>
      <c r="K65" s="60"/>
      <c r="L65" s="60"/>
      <c r="M65" s="10"/>
      <c r="N65" s="10"/>
      <c r="O65" s="10"/>
      <c r="P65" s="10"/>
    </row>
    <row r="66" spans="5:16">
      <c r="E66" s="10"/>
      <c r="F66" s="10"/>
      <c r="G66" s="10"/>
      <c r="H66" s="59"/>
      <c r="I66" s="60"/>
      <c r="J66" s="60"/>
      <c r="K66" s="60"/>
      <c r="L66" s="60"/>
      <c r="M66" s="10"/>
      <c r="N66" s="10"/>
      <c r="O66" s="10"/>
      <c r="P66" s="10"/>
    </row>
    <row r="67" spans="5:16">
      <c r="E67" s="10"/>
      <c r="F67" s="10"/>
      <c r="G67" s="10"/>
      <c r="H67" s="59"/>
      <c r="I67" s="60"/>
      <c r="J67" s="60"/>
      <c r="K67" s="60"/>
      <c r="L67" s="60"/>
      <c r="M67" s="10"/>
      <c r="N67" s="10"/>
      <c r="O67" s="10"/>
      <c r="P67" s="10"/>
    </row>
    <row r="68" spans="5:16">
      <c r="E68" s="10"/>
      <c r="F68" s="10"/>
      <c r="G68" s="10"/>
      <c r="H68" s="10"/>
      <c r="I68" s="10"/>
      <c r="J68" s="10"/>
      <c r="K68" s="10"/>
      <c r="L68" s="10"/>
      <c r="M68" s="10"/>
      <c r="N68" s="10"/>
      <c r="O68" s="10"/>
      <c r="P68" s="10"/>
    </row>
    <row r="69" spans="5:16">
      <c r="K69" s="52"/>
      <c r="L69" s="52"/>
    </row>
  </sheetData>
  <phoneticPr fontId="3" type="noConversion"/>
  <pageMargins left="0.75" right="0.75" top="1" bottom="1" header="0.5" footer="0.5"/>
  <pageSetup paperSize="9" scale="5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2:R74"/>
  <sheetViews>
    <sheetView showGridLines="0" zoomScale="70" zoomScaleNormal="70" workbookViewId="0">
      <pane xSplit="4" ySplit="3" topLeftCell="E4" activePane="bottomRight" state="frozen"/>
      <selection activeCell="G15" sqref="G15"/>
      <selection pane="topRight" activeCell="G15" sqref="G15"/>
      <selection pane="bottomLeft" activeCell="G15" sqref="G15"/>
      <selection pane="bottomRight"/>
    </sheetView>
  </sheetViews>
  <sheetFormatPr defaultRowHeight="12.75"/>
  <cols>
    <col min="1" max="1" width="4" customWidth="1"/>
    <col min="2" max="2" width="71.28515625" customWidth="1"/>
    <col min="3" max="3" width="19.7109375" customWidth="1"/>
    <col min="4" max="4" width="12" customWidth="1"/>
    <col min="5" max="5" width="5" customWidth="1"/>
    <col min="6" max="6" width="11.85546875" customWidth="1"/>
    <col min="7" max="9" width="13.5703125" customWidth="1"/>
    <col min="10" max="13" width="14.85546875" customWidth="1"/>
    <col min="14" max="14" width="13.5703125" customWidth="1"/>
    <col min="15" max="15" width="5.28515625" customWidth="1"/>
    <col min="16" max="18" width="13.5703125" customWidth="1"/>
  </cols>
  <sheetData>
    <row r="2" spans="1:18" s="2" customFormat="1" ht="60">
      <c r="B2" s="1" t="s">
        <v>41</v>
      </c>
      <c r="C2" s="1"/>
      <c r="F2" s="3" t="s">
        <v>1</v>
      </c>
      <c r="G2" s="3" t="s">
        <v>2</v>
      </c>
      <c r="H2" s="3" t="s">
        <v>3</v>
      </c>
      <c r="I2" s="3" t="s">
        <v>4</v>
      </c>
      <c r="J2" s="3" t="s">
        <v>5</v>
      </c>
      <c r="K2" s="3" t="s">
        <v>6</v>
      </c>
      <c r="L2" s="3" t="s">
        <v>7</v>
      </c>
      <c r="M2" s="3" t="s">
        <v>8</v>
      </c>
      <c r="N2" s="3" t="s">
        <v>9</v>
      </c>
      <c r="O2" s="3"/>
      <c r="P2" s="3"/>
      <c r="Q2" s="3"/>
      <c r="R2" s="3"/>
    </row>
    <row r="3" spans="1:18" ht="13.5" customHeight="1">
      <c r="B3" s="129"/>
    </row>
    <row r="5" spans="1:18" s="5" customFormat="1">
      <c r="B5" s="4" t="s">
        <v>91</v>
      </c>
      <c r="C5" s="61"/>
      <c r="P5" s="4" t="s">
        <v>0</v>
      </c>
    </row>
    <row r="7" spans="1:18">
      <c r="A7" s="99"/>
      <c r="B7" s="127" t="s">
        <v>402</v>
      </c>
      <c r="C7" s="126"/>
      <c r="D7" s="125" t="s">
        <v>15</v>
      </c>
      <c r="G7" s="14">
        <f>'Overname private netten'!G38</f>
        <v>0</v>
      </c>
      <c r="H7" s="14">
        <f>'Overname private netten'!H38</f>
        <v>0</v>
      </c>
      <c r="I7" s="14">
        <f>'Overname private netten'!I38</f>
        <v>0</v>
      </c>
      <c r="J7" s="14">
        <f>'Overname private netten'!J38</f>
        <v>0</v>
      </c>
      <c r="K7" s="14">
        <f>'Overname private netten'!K38</f>
        <v>0</v>
      </c>
      <c r="L7" s="14">
        <f>'Overname private netten'!L38</f>
        <v>0</v>
      </c>
      <c r="M7" s="14">
        <f>'Overname private netten'!M38</f>
        <v>0</v>
      </c>
      <c r="N7" s="14">
        <f>'Overname private netten'!N38</f>
        <v>0</v>
      </c>
    </row>
    <row r="8" spans="1:18">
      <c r="A8" s="99"/>
      <c r="B8" s="127" t="s">
        <v>401</v>
      </c>
      <c r="C8" s="126"/>
      <c r="D8" s="125" t="s">
        <v>54</v>
      </c>
      <c r="G8" s="14">
        <f>'Overname private netten'!G64</f>
        <v>0</v>
      </c>
      <c r="H8" s="14">
        <f>'Overname private netten'!H64</f>
        <v>0</v>
      </c>
      <c r="I8" s="14">
        <f>'Overname private netten'!I64</f>
        <v>0</v>
      </c>
      <c r="J8" s="14">
        <f>'Overname private netten'!J64</f>
        <v>0</v>
      </c>
      <c r="K8" s="14">
        <f>'Overname private netten'!K64</f>
        <v>0</v>
      </c>
      <c r="L8" s="14">
        <f>'Overname private netten'!L64</f>
        <v>0</v>
      </c>
      <c r="M8" s="14">
        <f>'Overname private netten'!M64</f>
        <v>0</v>
      </c>
      <c r="N8" s="14">
        <f>'Overname private netten'!N64</f>
        <v>0</v>
      </c>
    </row>
    <row r="9" spans="1:18" s="99" customFormat="1">
      <c r="B9" s="127" t="s">
        <v>400</v>
      </c>
      <c r="C9" s="126"/>
      <c r="D9" s="125" t="s">
        <v>54</v>
      </c>
      <c r="G9" s="14">
        <f>'Overname private netten'!G88</f>
        <v>0</v>
      </c>
      <c r="H9" s="14">
        <f>'Overname private netten'!H88</f>
        <v>0</v>
      </c>
      <c r="I9" s="14">
        <f>'Overname private netten'!I88</f>
        <v>0</v>
      </c>
      <c r="J9" s="14">
        <f>'Overname private netten'!J88</f>
        <v>0</v>
      </c>
      <c r="K9" s="14">
        <f>'Overname private netten'!K88</f>
        <v>0</v>
      </c>
      <c r="L9" s="14">
        <f>'Overname private netten'!L88</f>
        <v>0</v>
      </c>
      <c r="M9" s="14">
        <f>'Overname private netten'!M88</f>
        <v>0</v>
      </c>
      <c r="N9" s="14">
        <f>'Overname private netten'!N88</f>
        <v>0</v>
      </c>
    </row>
    <row r="10" spans="1:18" s="99" customFormat="1">
      <c r="B10" s="30" t="s">
        <v>116</v>
      </c>
      <c r="C10" s="62"/>
      <c r="D10" s="125" t="s">
        <v>10</v>
      </c>
      <c r="G10" s="14">
        <f>'Verr. niet gecontr. verbruik '!G89</f>
        <v>0</v>
      </c>
      <c r="H10" s="14">
        <f>'Verr. niet gecontr. verbruik '!H89</f>
        <v>-58561.557074144483</v>
      </c>
      <c r="I10" s="14">
        <f>'Verr. niet gecontr. verbruik '!I89</f>
        <v>-28731.53851384297</v>
      </c>
      <c r="J10" s="14">
        <f>'Verr. niet gecontr. verbruik '!J89</f>
        <v>0</v>
      </c>
      <c r="K10" s="14">
        <f>'Verr. niet gecontr. verbruik '!K89</f>
        <v>-796827.39033639431</v>
      </c>
      <c r="L10" s="14">
        <f>'Verr. niet gecontr. verbruik '!L89</f>
        <v>-9579.3942000977695</v>
      </c>
      <c r="M10" s="14">
        <f>'Verr. niet gecontr. verbruik '!M89</f>
        <v>0</v>
      </c>
      <c r="N10" s="14">
        <f>'Verr. niet gecontr. verbruik '!N89</f>
        <v>0</v>
      </c>
    </row>
    <row r="11" spans="1:18" s="99" customFormat="1">
      <c r="B11" s="30" t="s">
        <v>117</v>
      </c>
      <c r="C11" s="62"/>
      <c r="D11" s="125" t="s">
        <v>11</v>
      </c>
      <c r="G11" s="14">
        <f>'Verr. niet gecontr. verbruik '!G93</f>
        <v>0</v>
      </c>
      <c r="H11" s="14">
        <f>'Verr. niet gecontr. verbruik '!H93</f>
        <v>-112438.18958235532</v>
      </c>
      <c r="I11" s="14">
        <f>'Verr. niet gecontr. verbruik '!I93</f>
        <v>-56083.963179022074</v>
      </c>
      <c r="J11" s="14">
        <f>'Verr. niet gecontr. verbruik '!J93</f>
        <v>0</v>
      </c>
      <c r="K11" s="14">
        <f>'Verr. niet gecontr. verbruik '!K93</f>
        <v>-1561781.6850594282</v>
      </c>
      <c r="L11" s="14">
        <f>'Verr. niet gecontr. verbruik '!L93</f>
        <v>-18660.659901790321</v>
      </c>
      <c r="M11" s="14">
        <f>'Verr. niet gecontr. verbruik '!M93</f>
        <v>0</v>
      </c>
      <c r="N11" s="14">
        <f>'Verr. niet gecontr. verbruik '!N93</f>
        <v>0</v>
      </c>
    </row>
    <row r="12" spans="1:18">
      <c r="A12" s="99"/>
      <c r="B12" s="30" t="s">
        <v>115</v>
      </c>
      <c r="C12" s="62"/>
      <c r="D12" s="125" t="s">
        <v>12</v>
      </c>
      <c r="G12" s="14">
        <f>'Verr. niet gecontr. verbruik '!G97</f>
        <v>0</v>
      </c>
      <c r="H12" s="14">
        <f>'Verr. niet gecontr. verbruik '!H97</f>
        <v>-159824.44472004473</v>
      </c>
      <c r="I12" s="14">
        <f>'Verr. niet gecontr. verbruik '!I97</f>
        <v>-81066.20830603689</v>
      </c>
      <c r="J12" s="14">
        <f>'Verr. niet gecontr. verbruik '!J97</f>
        <v>0</v>
      </c>
      <c r="K12" s="14">
        <f>'Verr. niet gecontr. verbruik '!K97</f>
        <v>-2266838.4648509026</v>
      </c>
      <c r="L12" s="14">
        <f>'Verr. niet gecontr. verbruik '!L97</f>
        <v>-26916.948174972087</v>
      </c>
      <c r="M12" s="14">
        <f>'Verr. niet gecontr. verbruik '!M97</f>
        <v>0</v>
      </c>
      <c r="N12" s="14">
        <f>'Verr. niet gecontr. verbruik '!N97</f>
        <v>0</v>
      </c>
    </row>
    <row r="13" spans="1:18">
      <c r="A13" s="99"/>
      <c r="B13" s="65" t="s">
        <v>403</v>
      </c>
      <c r="C13" s="126"/>
      <c r="D13" s="125" t="s">
        <v>14</v>
      </c>
      <c r="G13" s="14">
        <f>'Besp. Captar 11-13'!G36</f>
        <v>-22461.971281526956</v>
      </c>
      <c r="H13" s="14">
        <f>'Besp. Captar 11-13'!H36</f>
        <v>-91372.364411565679</v>
      </c>
      <c r="I13" s="14">
        <f>'Besp. Captar 11-13'!I36</f>
        <v>-45189.156806119623</v>
      </c>
      <c r="J13" s="14">
        <f>'Besp. Captar 11-13'!J36</f>
        <v>-1185572.0974015465</v>
      </c>
      <c r="K13" s="14">
        <f>'Besp. Captar 11-13'!K36</f>
        <v>-1274571.7269593417</v>
      </c>
      <c r="L13" s="14">
        <f>'Besp. Captar 11-13'!L36</f>
        <v>-13943.023209315717</v>
      </c>
      <c r="M13" s="14">
        <f>'Besp. Captar 11-13'!M36</f>
        <v>-844833.94462727359</v>
      </c>
      <c r="N13" s="14">
        <f>'Besp. Captar 11-13'!N36</f>
        <v>-26862.895303309528</v>
      </c>
      <c r="P13" s="6"/>
    </row>
    <row r="14" spans="1:18">
      <c r="A14" s="99"/>
      <c r="B14" s="65" t="s">
        <v>404</v>
      </c>
      <c r="C14" s="126"/>
      <c r="D14" s="125" t="s">
        <v>15</v>
      </c>
      <c r="G14" s="14">
        <f>'Besp. Captar 11-13'!G41</f>
        <v>-23045.982534846658</v>
      </c>
      <c r="H14" s="14">
        <f>'Besp. Captar 11-13'!H41</f>
        <v>-93748.045886266395</v>
      </c>
      <c r="I14" s="14">
        <f>'Besp. Captar 11-13'!I41</f>
        <v>-46364.074883078734</v>
      </c>
      <c r="J14" s="14">
        <f>'Besp. Captar 11-13'!J41</f>
        <v>-1216396.9719339868</v>
      </c>
      <c r="K14" s="14">
        <f>'Besp. Captar 11-13'!K41</f>
        <v>-1307710.5918602846</v>
      </c>
      <c r="L14" s="14">
        <f>'Besp. Captar 11-13'!L41</f>
        <v>-14305.541812757927</v>
      </c>
      <c r="M14" s="14">
        <f>'Besp. Captar 11-13'!M41</f>
        <v>-866799.62718758278</v>
      </c>
      <c r="N14" s="14">
        <f>'Besp. Captar 11-13'!N41</f>
        <v>-27561.330581195576</v>
      </c>
      <c r="P14" s="6"/>
    </row>
    <row r="15" spans="1:18">
      <c r="A15" s="99"/>
      <c r="B15" s="65" t="s">
        <v>405</v>
      </c>
      <c r="C15" s="126"/>
      <c r="D15" s="125" t="s">
        <v>54</v>
      </c>
      <c r="G15" s="14">
        <f>'Besp. Captar 11-13'!G46</f>
        <v>-23576.04013314813</v>
      </c>
      <c r="H15" s="14">
        <f>'Besp. Captar 11-13'!H46</f>
        <v>-95904.25094165052</v>
      </c>
      <c r="I15" s="14">
        <f>'Besp. Captar 11-13'!I46</f>
        <v>-47430.448605389538</v>
      </c>
      <c r="J15" s="14">
        <f>'Besp. Captar 11-13'!J46</f>
        <v>-1244374.1022884683</v>
      </c>
      <c r="K15" s="14">
        <f>'Besp. Captar 11-13'!K46</f>
        <v>-1337787.9354730709</v>
      </c>
      <c r="L15" s="14">
        <f>'Besp. Captar 11-13'!L46</f>
        <v>-14634.569274451358</v>
      </c>
      <c r="M15" s="14">
        <f>'Besp. Captar 11-13'!M46</f>
        <v>-886736.01861289714</v>
      </c>
      <c r="N15" s="14">
        <f>'Besp. Captar 11-13'!N46</f>
        <v>-28195.24118456307</v>
      </c>
      <c r="P15" s="6"/>
    </row>
    <row r="16" spans="1:18">
      <c r="A16" s="99"/>
      <c r="B16" s="127" t="s">
        <v>413</v>
      </c>
      <c r="C16" s="126"/>
      <c r="D16" s="125" t="s">
        <v>15</v>
      </c>
      <c r="G16" s="14">
        <f>'Faillis. Orro en Trianel'!G20</f>
        <v>0</v>
      </c>
      <c r="H16" s="14">
        <f>'Faillis. Orro en Trianel'!H20</f>
        <v>0</v>
      </c>
      <c r="I16" s="14">
        <f>'Faillis. Orro en Trianel'!I20</f>
        <v>14463.560000000001</v>
      </c>
      <c r="J16" s="14">
        <f>'Faillis. Orro en Trianel'!J20</f>
        <v>267037.3</v>
      </c>
      <c r="K16" s="14">
        <f>'Faillis. Orro en Trianel'!K20</f>
        <v>71178</v>
      </c>
      <c r="L16" s="14">
        <f>'Faillis. Orro en Trianel'!L20</f>
        <v>4179.25</v>
      </c>
      <c r="M16" s="14">
        <f>'Faillis. Orro en Trianel'!M20</f>
        <v>128600</v>
      </c>
      <c r="N16" s="14">
        <f>'Faillis. Orro en Trianel'!N20</f>
        <v>17966.760000000002</v>
      </c>
      <c r="P16" s="6"/>
    </row>
    <row r="17" spans="1:16">
      <c r="A17" s="99"/>
      <c r="B17" s="127" t="s">
        <v>406</v>
      </c>
      <c r="C17" s="126"/>
      <c r="D17" s="125" t="s">
        <v>54</v>
      </c>
      <c r="G17" s="14">
        <f>corrDUBDEB2013!G24</f>
        <v>29898.323953251267</v>
      </c>
      <c r="H17" s="14">
        <f>corrDUBDEB2013!H24</f>
        <v>111128.19149496153</v>
      </c>
      <c r="I17" s="14">
        <f>corrDUBDEB2013!I24</f>
        <v>56003.409015874509</v>
      </c>
      <c r="J17" s="14">
        <f>corrDUBDEB2013!J24</f>
        <v>1428124.6342964508</v>
      </c>
      <c r="K17" s="14">
        <f>corrDUBDEB2013!K24</f>
        <v>1555074.65229268</v>
      </c>
      <c r="L17" s="14">
        <f>corrDUBDEB2013!L24</f>
        <v>18820.152347275165</v>
      </c>
      <c r="M17" s="14">
        <f>corrDUBDEB2013!M24</f>
        <v>1048050.839588668</v>
      </c>
      <c r="N17" s="14">
        <f>corrDUBDEB2013!N24</f>
        <v>36626.396717751028</v>
      </c>
      <c r="P17" s="6"/>
    </row>
    <row r="18" spans="1:16">
      <c r="A18" s="99"/>
      <c r="B18" s="127" t="s">
        <v>111</v>
      </c>
      <c r="C18" s="126"/>
      <c r="D18" s="125" t="s">
        <v>54</v>
      </c>
      <c r="G18" s="14">
        <f>VVCOU2013!G43</f>
        <v>130434.6</v>
      </c>
      <c r="H18" s="14">
        <f>VVCOU2013!H43</f>
        <v>209384.63999999998</v>
      </c>
      <c r="I18" s="14">
        <f>VVCOU2013!I43</f>
        <v>15189.840000000002</v>
      </c>
      <c r="J18" s="14">
        <f>VVCOU2013!J43</f>
        <v>332662.66000000003</v>
      </c>
      <c r="K18" s="14">
        <f>VVCOU2013!K43</f>
        <v>154125.60000000003</v>
      </c>
      <c r="L18" s="14">
        <f>VVCOU2013!L43</f>
        <v>57600.800000000003</v>
      </c>
      <c r="M18" s="14">
        <f>VVCOU2013!M43</f>
        <v>2454633.6</v>
      </c>
      <c r="N18" s="14">
        <f>VVCOU2013!N43</f>
        <v>107518.2</v>
      </c>
    </row>
    <row r="19" spans="1:16">
      <c r="A19" s="99"/>
      <c r="B19" s="127" t="s">
        <v>110</v>
      </c>
      <c r="C19" s="126"/>
      <c r="D19" s="125" t="s">
        <v>15</v>
      </c>
      <c r="G19" s="14">
        <f>'LH2012'!G96</f>
        <v>-691138.51945662498</v>
      </c>
      <c r="H19" s="14">
        <f>'LH2012'!H96</f>
        <v>263324.74568925798</v>
      </c>
      <c r="I19" s="14">
        <f>'LH2012'!I96</f>
        <v>0</v>
      </c>
      <c r="J19" s="14">
        <f>'LH2012'!J96</f>
        <v>0</v>
      </c>
      <c r="K19" s="14">
        <f>'LH2012'!K96</f>
        <v>10482746.469437242</v>
      </c>
      <c r="L19" s="14">
        <f>'LH2012'!L96</f>
        <v>-83306.664921371266</v>
      </c>
      <c r="M19" s="14">
        <f>'LH2012'!M96</f>
        <v>0</v>
      </c>
      <c r="N19" s="14">
        <f>'LH2012'!N96</f>
        <v>0</v>
      </c>
    </row>
    <row r="20" spans="1:16">
      <c r="A20" s="99"/>
      <c r="B20" s="74" t="s">
        <v>112</v>
      </c>
      <c r="C20" s="126"/>
      <c r="D20" s="125" t="s">
        <v>10</v>
      </c>
      <c r="G20" s="14">
        <f>'ITT2008-2010'!G105</f>
        <v>-169241.37728284043</v>
      </c>
      <c r="H20" s="14">
        <f>'ITT2008-2010'!H105</f>
        <v>-626984.29444357171</v>
      </c>
      <c r="I20" s="14">
        <f>'ITT2008-2010'!I105</f>
        <v>-330518.57793256751</v>
      </c>
      <c r="J20" s="14">
        <f>'ITT2008-2010'!J105</f>
        <v>-9045518.0281115994</v>
      </c>
      <c r="K20" s="14">
        <f>'ITT2008-2010'!K105</f>
        <v>-9138569.0600827113</v>
      </c>
      <c r="L20" s="14">
        <f>'ITT2008-2010'!L105</f>
        <v>-98180.268684405746</v>
      </c>
      <c r="M20" s="14">
        <f>'ITT2008-2010'!M105</f>
        <v>-6278779.1958653945</v>
      </c>
      <c r="N20" s="14">
        <f>'ITT2008-2010'!N105</f>
        <v>-404819.99803936848</v>
      </c>
    </row>
    <row r="21" spans="1:16">
      <c r="A21" s="99"/>
      <c r="B21" s="74" t="s">
        <v>113</v>
      </c>
      <c r="C21" s="126"/>
      <c r="D21" s="125" t="s">
        <v>11</v>
      </c>
      <c r="G21" s="14">
        <f>'ITT2008-2010'!G110</f>
        <v>-38516.261849906274</v>
      </c>
      <c r="H21" s="14">
        <f>'ITT2008-2010'!H110</f>
        <v>-142690.23124415241</v>
      </c>
      <c r="I21" s="14">
        <f>'ITT2008-2010'!I110</f>
        <v>-75220.021830915255</v>
      </c>
      <c r="J21" s="14">
        <f>'ITT2008-2010'!J110</f>
        <v>-2058595.519206513</v>
      </c>
      <c r="K21" s="14">
        <f>'ITT2008-2010'!K110</f>
        <v>-2079772.2430688678</v>
      </c>
      <c r="L21" s="14">
        <f>'ITT2008-2010'!L110</f>
        <v>-22344.04492479948</v>
      </c>
      <c r="M21" s="14">
        <f>'ITT2008-2010'!M110</f>
        <v>-1428936.0408686262</v>
      </c>
      <c r="N21" s="14">
        <f>'ITT2008-2010'!N110</f>
        <v>-92129.674769219491</v>
      </c>
    </row>
    <row r="22" spans="1:16">
      <c r="A22" s="99"/>
      <c r="B22" s="74" t="s">
        <v>114</v>
      </c>
      <c r="C22" s="62"/>
      <c r="D22" s="125" t="s">
        <v>12</v>
      </c>
      <c r="G22" s="14">
        <f>'ITT2008-2010'!G115</f>
        <v>469487.65468404558</v>
      </c>
      <c r="H22" s="14">
        <f>'ITT2008-2010'!H115</f>
        <v>1739299.1634078906</v>
      </c>
      <c r="I22" s="14">
        <f>'ITT2008-2010'!I115</f>
        <v>916882.11520363449</v>
      </c>
      <c r="J22" s="14">
        <f>'ITT2008-2010'!J115</f>
        <v>25092912.339770656</v>
      </c>
      <c r="K22" s="14">
        <f>'ITT2008-2010'!K115</f>
        <v>25351042.540950939</v>
      </c>
      <c r="L22" s="14">
        <f>'ITT2008-2010'!L115</f>
        <v>272359.06975548266</v>
      </c>
      <c r="M22" s="14">
        <f>'ITT2008-2010'!M115</f>
        <v>17417781.433079269</v>
      </c>
      <c r="N22" s="14">
        <f>'ITT2008-2010'!N115</f>
        <v>1122999.5554283003</v>
      </c>
    </row>
    <row r="23" spans="1:16">
      <c r="A23" s="99"/>
      <c r="B23" s="340" t="s">
        <v>408</v>
      </c>
      <c r="C23" s="62"/>
      <c r="D23" s="99" t="s">
        <v>15</v>
      </c>
      <c r="G23" s="14">
        <f>'IT 2012'!G85</f>
        <v>-268103.44591072574</v>
      </c>
      <c r="H23" s="14">
        <f>'IT 2012'!H85</f>
        <v>1100390.340808616</v>
      </c>
      <c r="I23" s="14">
        <f>'IT 2012'!I85</f>
        <v>-906269.03054158669</v>
      </c>
      <c r="J23" s="14">
        <f>'IT 2012'!J85</f>
        <v>25618677.63554664</v>
      </c>
      <c r="K23" s="14">
        <f>'IT 2012'!K85</f>
        <v>23047256.599649802</v>
      </c>
      <c r="L23" s="14">
        <f>'IT 2012'!L85</f>
        <v>-180847.12902927725</v>
      </c>
      <c r="M23" s="14">
        <f>'IT 2012'!M85</f>
        <v>25288348.723503157</v>
      </c>
      <c r="N23" s="14">
        <f>'IT 2012'!N85</f>
        <v>388739.65528967418</v>
      </c>
    </row>
    <row r="24" spans="1:16">
      <c r="A24" s="99"/>
      <c r="B24" s="127" t="s">
        <v>126</v>
      </c>
      <c r="C24" s="130"/>
      <c r="D24" t="s">
        <v>14</v>
      </c>
      <c r="G24" s="15"/>
      <c r="H24" s="15"/>
      <c r="I24" s="15"/>
      <c r="J24" s="15"/>
      <c r="K24" s="15"/>
      <c r="L24" s="15"/>
      <c r="M24" s="15"/>
      <c r="N24" s="144">
        <v>-955669.85472354293</v>
      </c>
      <c r="P24" s="125" t="s">
        <v>407</v>
      </c>
    </row>
    <row r="25" spans="1:16">
      <c r="A25" s="99"/>
      <c r="B25" s="127" t="s">
        <v>127</v>
      </c>
      <c r="C25" s="130"/>
      <c r="D25" t="s">
        <v>15</v>
      </c>
      <c r="G25" s="15"/>
      <c r="H25" s="15"/>
      <c r="I25" s="15"/>
      <c r="J25" s="15"/>
      <c r="K25" s="15"/>
      <c r="L25" s="15"/>
      <c r="M25" s="15"/>
      <c r="N25" s="144">
        <v>-2091387.9100770056</v>
      </c>
      <c r="P25" s="125" t="s">
        <v>407</v>
      </c>
    </row>
    <row r="26" spans="1:16">
      <c r="A26" s="99"/>
      <c r="B26" s="342" t="s">
        <v>92</v>
      </c>
      <c r="C26" s="62"/>
      <c r="D26" t="s">
        <v>15</v>
      </c>
      <c r="G26" s="15"/>
      <c r="H26" s="15"/>
      <c r="I26" s="15"/>
      <c r="J26" s="343">
        <f>IF(J7+J14+J16+J19+J23&gt;0,0,-J7-J14-J16-J19-J23)-1417719.9216159</f>
        <v>-1417719.9216159</v>
      </c>
      <c r="K26" s="15"/>
      <c r="L26" s="15"/>
      <c r="M26" s="15"/>
      <c r="N26" s="15"/>
      <c r="P26" s="125" t="s">
        <v>407</v>
      </c>
    </row>
    <row r="27" spans="1:16" s="99" customFormat="1">
      <c r="B27" s="342" t="s">
        <v>409</v>
      </c>
      <c r="C27" s="62"/>
      <c r="D27" s="125" t="s">
        <v>54</v>
      </c>
      <c r="G27" s="15"/>
      <c r="H27" s="15"/>
      <c r="I27" s="15"/>
      <c r="J27" s="343">
        <f>IF(J8+J9+J15+J17+J18&gt;0,0,-J8-J9-J15-J17-J18)</f>
        <v>0</v>
      </c>
      <c r="K27" s="15"/>
      <c r="L27" s="15"/>
      <c r="M27" s="15"/>
      <c r="N27" s="15"/>
    </row>
    <row r="28" spans="1:16">
      <c r="C28" s="62"/>
      <c r="G28" s="15"/>
      <c r="H28" s="15"/>
      <c r="I28" s="15"/>
      <c r="J28" s="15"/>
      <c r="K28" s="15"/>
      <c r="L28" s="15"/>
      <c r="M28" s="15"/>
      <c r="N28" s="15"/>
    </row>
    <row r="29" spans="1:16" s="5" customFormat="1">
      <c r="B29" s="4" t="s">
        <v>16</v>
      </c>
      <c r="G29" s="37"/>
      <c r="H29" s="37"/>
      <c r="I29" s="37"/>
      <c r="J29" s="37"/>
      <c r="K29" s="37"/>
      <c r="L29" s="37"/>
      <c r="M29" s="37"/>
      <c r="N29" s="37"/>
    </row>
    <row r="30" spans="1:16">
      <c r="G30" s="15"/>
      <c r="H30" s="15"/>
      <c r="I30" s="15"/>
      <c r="J30" s="15"/>
      <c r="K30" s="15"/>
      <c r="L30" s="15"/>
      <c r="M30" s="15"/>
      <c r="N30" s="15"/>
    </row>
    <row r="31" spans="1:16" s="99" customFormat="1">
      <c r="B31" s="125" t="s">
        <v>125</v>
      </c>
      <c r="F31" s="51">
        <f>Heffingsrente!D11</f>
        <v>0.19641686317933105</v>
      </c>
      <c r="G31" s="15"/>
      <c r="H31" s="15"/>
      <c r="I31" s="15"/>
      <c r="J31" s="15"/>
      <c r="K31" s="15"/>
      <c r="L31" s="15"/>
      <c r="M31" s="15"/>
      <c r="N31" s="15"/>
    </row>
    <row r="32" spans="1:16">
      <c r="B32" s="125" t="s">
        <v>124</v>
      </c>
      <c r="C32" s="78"/>
      <c r="E32" s="38"/>
      <c r="F32" s="51">
        <f>Heffingsrente!D12</f>
        <v>0.14219328051740776</v>
      </c>
      <c r="G32" s="39"/>
      <c r="H32" s="39"/>
      <c r="I32" s="15"/>
      <c r="J32" s="15"/>
      <c r="K32" s="15"/>
      <c r="L32" s="15"/>
      <c r="M32" s="15"/>
      <c r="N32" s="15"/>
    </row>
    <row r="33" spans="2:14">
      <c r="B33" s="125" t="s">
        <v>123</v>
      </c>
      <c r="C33" s="78"/>
      <c r="E33" s="10"/>
      <c r="F33" s="51">
        <f>Heffingsrente!D13</f>
        <v>0.11365646920737382</v>
      </c>
      <c r="G33" s="39"/>
      <c r="H33" s="39"/>
      <c r="I33" s="15"/>
      <c r="J33" s="15"/>
      <c r="K33" s="15"/>
      <c r="L33" s="15"/>
      <c r="M33" s="15"/>
      <c r="N33" s="15"/>
    </row>
    <row r="34" spans="2:14">
      <c r="B34" s="125" t="s">
        <v>122</v>
      </c>
      <c r="C34" s="78"/>
      <c r="E34" s="10"/>
      <c r="F34" s="51">
        <f>Heffingsrente!D14</f>
        <v>8.6494116299876689E-2</v>
      </c>
      <c r="G34" s="38"/>
      <c r="H34" s="39"/>
      <c r="I34" s="15"/>
      <c r="J34" s="15"/>
      <c r="K34" s="15"/>
      <c r="L34" s="15"/>
      <c r="M34" s="15"/>
      <c r="N34" s="15"/>
    </row>
    <row r="35" spans="2:14">
      <c r="B35" s="125" t="s">
        <v>120</v>
      </c>
      <c r="C35" s="78"/>
      <c r="E35" s="10"/>
      <c r="F35" s="51">
        <f>Heffingsrente!D15</f>
        <v>5.7675958108891923E-2</v>
      </c>
      <c r="G35" s="10"/>
      <c r="H35" s="38"/>
      <c r="I35" s="10"/>
    </row>
    <row r="36" spans="2:14">
      <c r="B36" s="125" t="s">
        <v>121</v>
      </c>
      <c r="C36" s="78"/>
      <c r="E36" s="10"/>
      <c r="F36" s="51">
        <f>Heffingsrente!D16</f>
        <v>2.9999999999999583E-2</v>
      </c>
      <c r="G36" s="10"/>
      <c r="H36" s="38"/>
      <c r="I36" s="10"/>
    </row>
    <row r="37" spans="2:14">
      <c r="H37" s="38"/>
    </row>
    <row r="38" spans="2:14" s="5" customFormat="1">
      <c r="B38" s="4" t="s">
        <v>106</v>
      </c>
      <c r="C38" s="4"/>
    </row>
    <row r="40" spans="2:14">
      <c r="B40" s="127" t="s">
        <v>402</v>
      </c>
      <c r="C40" s="126"/>
      <c r="D40" s="125" t="s">
        <v>103</v>
      </c>
      <c r="E40" s="99"/>
      <c r="F40" s="99"/>
      <c r="G40" s="133">
        <f>G7*(1+$F35)</f>
        <v>0</v>
      </c>
      <c r="H40" s="133">
        <f t="shared" ref="H40:N40" si="0">H7*(1+$F35)</f>
        <v>0</v>
      </c>
      <c r="I40" s="133">
        <f t="shared" si="0"/>
        <v>0</v>
      </c>
      <c r="J40" s="133">
        <f t="shared" si="0"/>
        <v>0</v>
      </c>
      <c r="K40" s="133">
        <f t="shared" si="0"/>
        <v>0</v>
      </c>
      <c r="L40" s="133">
        <f t="shared" si="0"/>
        <v>0</v>
      </c>
      <c r="M40" s="133">
        <f>M7*(1+$F35)</f>
        <v>0</v>
      </c>
      <c r="N40" s="133">
        <f t="shared" si="0"/>
        <v>0</v>
      </c>
    </row>
    <row r="41" spans="2:14">
      <c r="B41" s="127" t="s">
        <v>401</v>
      </c>
      <c r="C41" s="126"/>
      <c r="D41" s="125" t="s">
        <v>103</v>
      </c>
      <c r="E41" s="99"/>
      <c r="F41" s="99"/>
      <c r="G41" s="133">
        <f>G8*(1+$F36)</f>
        <v>0</v>
      </c>
      <c r="H41" s="133">
        <f t="shared" ref="H41:N41" si="1">H8*(1+$F36)</f>
        <v>0</v>
      </c>
      <c r="I41" s="133">
        <f t="shared" si="1"/>
        <v>0</v>
      </c>
      <c r="J41" s="133">
        <f t="shared" si="1"/>
        <v>0</v>
      </c>
      <c r="K41" s="133">
        <f t="shared" si="1"/>
        <v>0</v>
      </c>
      <c r="L41" s="133">
        <f t="shared" si="1"/>
        <v>0</v>
      </c>
      <c r="M41" s="133">
        <f>M8*(1+$F36)</f>
        <v>0</v>
      </c>
      <c r="N41" s="133">
        <f t="shared" si="1"/>
        <v>0</v>
      </c>
    </row>
    <row r="42" spans="2:14">
      <c r="B42" s="127" t="s">
        <v>400</v>
      </c>
      <c r="C42" s="126"/>
      <c r="D42" s="125" t="s">
        <v>103</v>
      </c>
      <c r="E42" s="99"/>
      <c r="F42" s="99"/>
      <c r="G42" s="133">
        <f>G9*(1+$F36)</f>
        <v>0</v>
      </c>
      <c r="H42" s="133">
        <f t="shared" ref="H42:N42" si="2">H9*(1+$F36)</f>
        <v>0</v>
      </c>
      <c r="I42" s="133">
        <f t="shared" si="2"/>
        <v>0</v>
      </c>
      <c r="J42" s="133">
        <f t="shared" si="2"/>
        <v>0</v>
      </c>
      <c r="K42" s="133">
        <f t="shared" si="2"/>
        <v>0</v>
      </c>
      <c r="L42" s="133">
        <f t="shared" si="2"/>
        <v>0</v>
      </c>
      <c r="M42" s="133">
        <f>M9*(1+$F36)</f>
        <v>0</v>
      </c>
      <c r="N42" s="133">
        <f t="shared" si="2"/>
        <v>0</v>
      </c>
    </row>
    <row r="43" spans="2:14">
      <c r="B43" s="30" t="s">
        <v>116</v>
      </c>
      <c r="C43" s="126"/>
      <c r="D43" s="125" t="s">
        <v>103</v>
      </c>
      <c r="E43" s="99"/>
      <c r="F43" s="99"/>
      <c r="G43" s="133">
        <f t="shared" ref="G43:G48" si="3">G10*(1+$F31)</f>
        <v>0</v>
      </c>
      <c r="H43" s="133">
        <f t="shared" ref="H43:N43" si="4">H10*(1+$F31)</f>
        <v>-70064.034417545306</v>
      </c>
      <c r="I43" s="133">
        <f t="shared" si="4"/>
        <v>-34374.897183048146</v>
      </c>
      <c r="J43" s="133">
        <f t="shared" si="4"/>
        <v>0</v>
      </c>
      <c r="K43" s="133">
        <f t="shared" si="4"/>
        <v>-953337.72684164124</v>
      </c>
      <c r="L43" s="133">
        <f t="shared" si="4"/>
        <v>-11460.948760039251</v>
      </c>
      <c r="M43" s="133">
        <f t="shared" ref="M43:M48" si="5">M10*(1+$F31)</f>
        <v>0</v>
      </c>
      <c r="N43" s="133">
        <f t="shared" si="4"/>
        <v>0</v>
      </c>
    </row>
    <row r="44" spans="2:14">
      <c r="B44" s="30" t="s">
        <v>117</v>
      </c>
      <c r="C44" s="131"/>
      <c r="D44" s="125" t="s">
        <v>103</v>
      </c>
      <c r="E44" s="99"/>
      <c r="F44" s="99"/>
      <c r="G44" s="133">
        <f t="shared" si="3"/>
        <v>0</v>
      </c>
      <c r="H44" s="133">
        <f t="shared" ref="H44:N44" si="6">H11*(1+$F32)</f>
        <v>-128426.14461450865</v>
      </c>
      <c r="I44" s="133">
        <f t="shared" si="6"/>
        <v>-64058.725887864726</v>
      </c>
      <c r="J44" s="133">
        <f t="shared" si="6"/>
        <v>0</v>
      </c>
      <c r="K44" s="133">
        <f t="shared" si="6"/>
        <v>-1783856.5463100332</v>
      </c>
      <c r="L44" s="133">
        <f t="shared" si="6"/>
        <v>-21314.080349845535</v>
      </c>
      <c r="M44" s="133">
        <f t="shared" si="5"/>
        <v>0</v>
      </c>
      <c r="N44" s="133">
        <f t="shared" si="6"/>
        <v>0</v>
      </c>
    </row>
    <row r="45" spans="2:14">
      <c r="B45" s="30" t="s">
        <v>115</v>
      </c>
      <c r="C45" s="132"/>
      <c r="D45" s="125" t="s">
        <v>103</v>
      </c>
      <c r="E45" s="99"/>
      <c r="F45" s="99"/>
      <c r="G45" s="133">
        <f t="shared" si="3"/>
        <v>0</v>
      </c>
      <c r="H45" s="133">
        <f t="shared" ref="H45:N45" si="7">H12*(1+$F33)</f>
        <v>-177989.52679995412</v>
      </c>
      <c r="I45" s="133">
        <f t="shared" si="7"/>
        <v>-90279.907314130527</v>
      </c>
      <c r="J45" s="133">
        <f t="shared" si="7"/>
        <v>0</v>
      </c>
      <c r="K45" s="133">
        <f t="shared" si="7"/>
        <v>-2524479.3210293199</v>
      </c>
      <c r="L45" s="133">
        <f t="shared" si="7"/>
        <v>-29976.233466377278</v>
      </c>
      <c r="M45" s="133">
        <f t="shared" si="5"/>
        <v>0</v>
      </c>
      <c r="N45" s="133">
        <f t="shared" si="7"/>
        <v>0</v>
      </c>
    </row>
    <row r="46" spans="2:14">
      <c r="B46" s="65" t="s">
        <v>403</v>
      </c>
      <c r="C46" s="132"/>
      <c r="D46" s="125" t="s">
        <v>103</v>
      </c>
      <c r="E46" s="99"/>
      <c r="F46" s="99"/>
      <c r="G46" s="133">
        <f t="shared" si="3"/>
        <v>-24404.79963787584</v>
      </c>
      <c r="H46" s="133">
        <f t="shared" ref="H46:N46" si="8">H13*(1+$F34)</f>
        <v>-99275.536325574358</v>
      </c>
      <c r="I46" s="133">
        <f t="shared" si="8"/>
        <v>-49097.752990401495</v>
      </c>
      <c r="J46" s="133">
        <f t="shared" si="8"/>
        <v>-1288117.1082760848</v>
      </c>
      <c r="K46" s="133">
        <f t="shared" si="8"/>
        <v>-1384814.6821434977</v>
      </c>
      <c r="L46" s="133">
        <f t="shared" si="8"/>
        <v>-15149.012680354152</v>
      </c>
      <c r="M46" s="133">
        <f t="shared" si="5"/>
        <v>-917907.11008794862</v>
      </c>
      <c r="N46" s="133">
        <f t="shared" si="8"/>
        <v>-29186.377693825394</v>
      </c>
    </row>
    <row r="47" spans="2:14">
      <c r="B47" s="65" t="s">
        <v>404</v>
      </c>
      <c r="C47" s="126"/>
      <c r="D47" s="125" t="s">
        <v>103</v>
      </c>
      <c r="E47" s="99"/>
      <c r="F47" s="99"/>
      <c r="G47" s="133">
        <f t="shared" si="3"/>
        <v>-24375.181658104728</v>
      </c>
      <c r="H47" s="133">
        <f t="shared" ref="H47:N47" si="9">H14*(1+$F35)</f>
        <v>-99155.054253593175</v>
      </c>
      <c r="I47" s="133">
        <f t="shared" si="9"/>
        <v>-49038.16732379271</v>
      </c>
      <c r="J47" s="133">
        <f t="shared" si="9"/>
        <v>-1286553.8327310344</v>
      </c>
      <c r="K47" s="133">
        <f t="shared" si="9"/>
        <v>-1383134.0531749725</v>
      </c>
      <c r="L47" s="133">
        <f t="shared" si="9"/>
        <v>-15130.627643075555</v>
      </c>
      <c r="M47" s="133">
        <f t="shared" si="5"/>
        <v>-916793.1261740569</v>
      </c>
      <c r="N47" s="133">
        <f t="shared" si="9"/>
        <v>-29150.956729221933</v>
      </c>
    </row>
    <row r="48" spans="2:14">
      <c r="B48" s="65" t="s">
        <v>405</v>
      </c>
      <c r="C48" s="126"/>
      <c r="D48" s="125" t="s">
        <v>103</v>
      </c>
      <c r="E48" s="99"/>
      <c r="F48" s="99"/>
      <c r="G48" s="133">
        <f t="shared" si="3"/>
        <v>-24283.321337142563</v>
      </c>
      <c r="H48" s="133">
        <f t="shared" ref="H48:N48" si="10">H15*(1+$F36)</f>
        <v>-98781.378469899995</v>
      </c>
      <c r="I48" s="133">
        <f t="shared" si="10"/>
        <v>-48853.362063551205</v>
      </c>
      <c r="J48" s="133">
        <f t="shared" si="10"/>
        <v>-1281705.3253571219</v>
      </c>
      <c r="K48" s="133">
        <f t="shared" si="10"/>
        <v>-1377921.5735372626</v>
      </c>
      <c r="L48" s="133">
        <f t="shared" si="10"/>
        <v>-15073.606352684892</v>
      </c>
      <c r="M48" s="133">
        <f t="shared" si="5"/>
        <v>-913338.09917128365</v>
      </c>
      <c r="N48" s="133">
        <f t="shared" si="10"/>
        <v>-29041.098420099952</v>
      </c>
    </row>
    <row r="49" spans="1:14">
      <c r="B49" s="127" t="s">
        <v>413</v>
      </c>
      <c r="C49" s="126"/>
      <c r="D49" s="125" t="s">
        <v>103</v>
      </c>
      <c r="E49" s="99"/>
      <c r="F49" s="99"/>
      <c r="G49" s="133">
        <f>G16*(1+$F35)</f>
        <v>0</v>
      </c>
      <c r="H49" s="133">
        <f t="shared" ref="H49:N49" si="11">H16*(1+$F35)</f>
        <v>0</v>
      </c>
      <c r="I49" s="133">
        <f t="shared" si="11"/>
        <v>15297.759680665446</v>
      </c>
      <c r="J49" s="133">
        <f t="shared" si="11"/>
        <v>282438.9321283116</v>
      </c>
      <c r="K49" s="133">
        <f t="shared" si="11"/>
        <v>75283.259346274703</v>
      </c>
      <c r="L49" s="133">
        <f t="shared" si="11"/>
        <v>4420.2922479265862</v>
      </c>
      <c r="M49" s="133">
        <f>M16*(1+$F35)</f>
        <v>136017.12821280351</v>
      </c>
      <c r="N49" s="133">
        <f t="shared" si="11"/>
        <v>19003.010097112518</v>
      </c>
    </row>
    <row r="50" spans="1:14">
      <c r="B50" s="127" t="s">
        <v>406</v>
      </c>
      <c r="C50" s="126"/>
      <c r="D50" s="125" t="s">
        <v>103</v>
      </c>
      <c r="E50" s="99"/>
      <c r="F50" s="99"/>
      <c r="G50" s="133">
        <f>G17*(1+$F36)</f>
        <v>30795.273671848794</v>
      </c>
      <c r="H50" s="133">
        <f t="shared" ref="H50:N50" si="12">H17*(1+$F36)</f>
        <v>114462.03723981034</v>
      </c>
      <c r="I50" s="133">
        <f t="shared" si="12"/>
        <v>57683.511286350724</v>
      </c>
      <c r="J50" s="133">
        <f t="shared" si="12"/>
        <v>1470968.3733253437</v>
      </c>
      <c r="K50" s="133">
        <f t="shared" si="12"/>
        <v>1601726.8918614597</v>
      </c>
      <c r="L50" s="133">
        <f t="shared" si="12"/>
        <v>19384.756917693412</v>
      </c>
      <c r="M50" s="133">
        <f>M17*(1+$F36)</f>
        <v>1079492.3647763275</v>
      </c>
      <c r="N50" s="133">
        <f t="shared" si="12"/>
        <v>37725.188619283545</v>
      </c>
    </row>
    <row r="51" spans="1:14">
      <c r="B51" s="127" t="s">
        <v>111</v>
      </c>
      <c r="C51" s="126"/>
      <c r="D51" s="125" t="s">
        <v>103</v>
      </c>
      <c r="E51" s="99"/>
      <c r="F51" s="99"/>
      <c r="G51" s="133">
        <f>G18*(1+$F36)</f>
        <v>134347.63799999995</v>
      </c>
      <c r="H51" s="133">
        <f t="shared" ref="H51:N51" si="13">H18*(1+$F36)</f>
        <v>215666.1791999999</v>
      </c>
      <c r="I51" s="133">
        <f t="shared" si="13"/>
        <v>15645.535199999995</v>
      </c>
      <c r="J51" s="133">
        <f t="shared" si="13"/>
        <v>342642.53979999991</v>
      </c>
      <c r="K51" s="133">
        <f t="shared" si="13"/>
        <v>158749.36799999996</v>
      </c>
      <c r="L51" s="133">
        <f t="shared" si="13"/>
        <v>59328.823999999979</v>
      </c>
      <c r="M51" s="133">
        <f>M18*(1+$F36)</f>
        <v>2528272.6079999991</v>
      </c>
      <c r="N51" s="133">
        <f t="shared" si="13"/>
        <v>110743.74599999996</v>
      </c>
    </row>
    <row r="52" spans="1:14">
      <c r="B52" s="127" t="s">
        <v>110</v>
      </c>
      <c r="C52" s="126"/>
      <c r="D52" s="125" t="s">
        <v>103</v>
      </c>
      <c r="E52" s="99"/>
      <c r="F52" s="99"/>
      <c r="G52" s="133">
        <f>G19*(1+$F35)</f>
        <v>-731000.59575224691</v>
      </c>
      <c r="H52" s="133">
        <f t="shared" ref="H52:N52" si="14">H19*(1+$F35)</f>
        <v>278512.25269066624</v>
      </c>
      <c r="I52" s="133">
        <f t="shared" si="14"/>
        <v>0</v>
      </c>
      <c r="J52" s="133">
        <f t="shared" si="14"/>
        <v>0</v>
      </c>
      <c r="K52" s="133">
        <f t="shared" si="14"/>
        <v>11087348.915674638</v>
      </c>
      <c r="L52" s="133">
        <f t="shared" si="14"/>
        <v>-88111.456637567768</v>
      </c>
      <c r="M52" s="133">
        <f>M19*(1+$F35)</f>
        <v>0</v>
      </c>
      <c r="N52" s="133">
        <f t="shared" si="14"/>
        <v>0</v>
      </c>
    </row>
    <row r="53" spans="1:14">
      <c r="B53" s="74" t="s">
        <v>112</v>
      </c>
      <c r="C53" s="62"/>
      <c r="D53" s="125" t="s">
        <v>103</v>
      </c>
      <c r="E53" s="99"/>
      <c r="F53" s="99"/>
      <c r="G53" s="133">
        <f>G20*(1+$F31)</f>
        <v>-202483.23772888564</v>
      </c>
      <c r="H53" s="133">
        <f t="shared" ref="H53:N53" si="15">H20*(1+$F31)</f>
        <v>-750134.58282088418</v>
      </c>
      <c r="I53" s="133">
        <f t="shared" si="15"/>
        <v>-395438.00023257569</v>
      </c>
      <c r="J53" s="133">
        <f t="shared" si="15"/>
        <v>-10822210.305025367</v>
      </c>
      <c r="K53" s="133">
        <f t="shared" si="15"/>
        <v>-10933538.128811846</v>
      </c>
      <c r="L53" s="133">
        <f t="shared" si="15"/>
        <v>-117464.52908550063</v>
      </c>
      <c r="M53" s="133">
        <f>M20*(1+$F31)</f>
        <v>-7512037.3101129178</v>
      </c>
      <c r="N53" s="133">
        <f t="shared" si="15"/>
        <v>-484333.47220652417</v>
      </c>
    </row>
    <row r="54" spans="1:14">
      <c r="B54" s="74" t="s">
        <v>113</v>
      </c>
      <c r="C54" s="62"/>
      <c r="D54" s="125" t="s">
        <v>103</v>
      </c>
      <c r="E54" s="99"/>
      <c r="F54" s="99"/>
      <c r="G54" s="133">
        <f>G21*(1+$F32)</f>
        <v>-43993.01547561193</v>
      </c>
      <c r="H54" s="133">
        <f t="shared" ref="H54:N54" si="16">H21*(1+$F32)</f>
        <v>-162979.82332254597</v>
      </c>
      <c r="I54" s="133">
        <f t="shared" si="16"/>
        <v>-85915.803495644126</v>
      </c>
      <c r="J54" s="133">
        <f t="shared" si="16"/>
        <v>-2351313.9693409232</v>
      </c>
      <c r="K54" s="133">
        <f t="shared" si="16"/>
        <v>-2375501.8810398779</v>
      </c>
      <c r="L54" s="133">
        <f t="shared" si="16"/>
        <v>-25521.217972685055</v>
      </c>
      <c r="M54" s="133">
        <f>M21*(1+$F32)</f>
        <v>-1632121.1441692929</v>
      </c>
      <c r="N54" s="133">
        <f t="shared" si="16"/>
        <v>-105229.89545765666</v>
      </c>
    </row>
    <row r="55" spans="1:14">
      <c r="B55" s="74" t="s">
        <v>114</v>
      </c>
      <c r="C55" s="62"/>
      <c r="D55" s="125" t="s">
        <v>103</v>
      </c>
      <c r="E55" s="99"/>
      <c r="F55" s="99"/>
      <c r="G55" s="133">
        <f>G22*(1+$F33)</f>
        <v>522847.96385188494</v>
      </c>
      <c r="H55" s="133">
        <f t="shared" ref="H55:N55" si="17">H22*(1+$F33)</f>
        <v>1936981.7652161706</v>
      </c>
      <c r="I55" s="133">
        <f t="shared" si="17"/>
        <v>1021091.6990970682</v>
      </c>
      <c r="J55" s="133">
        <f t="shared" si="17"/>
        <v>27944884.15843913</v>
      </c>
      <c r="K55" s="133">
        <f t="shared" si="17"/>
        <v>28232352.526881352</v>
      </c>
      <c r="L55" s="133">
        <f t="shared" si="17"/>
        <v>303314.43998049566</v>
      </c>
      <c r="M55" s="133">
        <f>M22*(1+$F33)</f>
        <v>19397424.972188812</v>
      </c>
      <c r="N55" s="133">
        <f t="shared" si="17"/>
        <v>1250635.7198197313</v>
      </c>
    </row>
    <row r="56" spans="1:14">
      <c r="A56" s="50"/>
      <c r="B56" s="340" t="s">
        <v>408</v>
      </c>
      <c r="C56" s="62"/>
      <c r="D56" s="125" t="s">
        <v>103</v>
      </c>
      <c r="E56" s="99"/>
      <c r="F56" s="99"/>
      <c r="G56" s="133">
        <f>G23*(1+$F35)</f>
        <v>-283566.56902592233</v>
      </c>
      <c r="H56" s="133">
        <f t="shared" ref="H56:N56" si="18">H23*(1+$F35)</f>
        <v>1163856.4080085231</v>
      </c>
      <c r="I56" s="133">
        <f t="shared" si="18"/>
        <v>-958538.96518248937</v>
      </c>
      <c r="J56" s="133">
        <f t="shared" si="18"/>
        <v>27096259.413659632</v>
      </c>
      <c r="K56" s="133">
        <f t="shared" si="18"/>
        <v>24376529.205816086</v>
      </c>
      <c r="L56" s="133">
        <f t="shared" si="18"/>
        <v>-191277.66046728322</v>
      </c>
      <c r="M56" s="133">
        <f>M23*(1+$F35)</f>
        <v>26746878.465122975</v>
      </c>
      <c r="N56" s="133">
        <f t="shared" si="18"/>
        <v>411160.58736342652</v>
      </c>
    </row>
    <row r="57" spans="1:14">
      <c r="A57" s="50"/>
      <c r="B57" s="127" t="s">
        <v>126</v>
      </c>
      <c r="C57" s="62"/>
      <c r="D57" s="125" t="s">
        <v>103</v>
      </c>
      <c r="E57" s="99"/>
      <c r="F57" s="99"/>
      <c r="G57" s="15"/>
      <c r="H57" s="15"/>
      <c r="I57" s="15"/>
      <c r="J57" s="15"/>
      <c r="K57" s="15"/>
      <c r="L57" s="15"/>
      <c r="M57" s="15"/>
      <c r="N57" s="133">
        <f>N24*(1+$F34)</f>
        <v>-1038329.6742822874</v>
      </c>
    </row>
    <row r="58" spans="1:14">
      <c r="A58" s="50"/>
      <c r="B58" s="127" t="s">
        <v>127</v>
      </c>
      <c r="C58" s="62"/>
      <c r="D58" s="125" t="s">
        <v>103</v>
      </c>
      <c r="E58" s="99"/>
      <c r="F58" s="99"/>
      <c r="G58" s="15"/>
      <c r="H58" s="15"/>
      <c r="I58" s="15"/>
      <c r="J58" s="15"/>
      <c r="K58" s="15"/>
      <c r="L58" s="15"/>
      <c r="M58" s="15"/>
      <c r="N58" s="133">
        <f>N25*(1+$F35)</f>
        <v>-2212010.7115680501</v>
      </c>
    </row>
    <row r="59" spans="1:14">
      <c r="A59" s="50"/>
      <c r="B59" s="341" t="s">
        <v>92</v>
      </c>
      <c r="C59" s="62"/>
      <c r="D59" s="125" t="s">
        <v>103</v>
      </c>
      <c r="E59" s="99"/>
      <c r="F59" s="99"/>
      <c r="G59" s="15"/>
      <c r="H59" s="15"/>
      <c r="I59" s="15"/>
      <c r="J59" s="133">
        <f>J26*(1+$F35)</f>
        <v>-1499488.2764251602</v>
      </c>
      <c r="K59" s="15"/>
      <c r="L59" s="15"/>
      <c r="M59" s="15"/>
      <c r="N59" s="15"/>
    </row>
    <row r="60" spans="1:14">
      <c r="A60" s="50"/>
      <c r="B60" s="342" t="s">
        <v>409</v>
      </c>
      <c r="C60" s="36"/>
      <c r="D60" s="125" t="s">
        <v>103</v>
      </c>
      <c r="G60" s="15"/>
      <c r="H60" s="15"/>
      <c r="I60" s="15"/>
      <c r="J60" s="133">
        <f>J27*(1+$F36)</f>
        <v>0</v>
      </c>
      <c r="K60" s="15"/>
      <c r="L60" s="15"/>
      <c r="M60" s="15"/>
      <c r="N60" s="15"/>
    </row>
    <row r="61" spans="1:14">
      <c r="A61" s="50"/>
      <c r="B61" s="128"/>
      <c r="C61" s="36"/>
    </row>
    <row r="62" spans="1:14">
      <c r="A62" s="50"/>
      <c r="B62" s="128"/>
      <c r="C62" s="15"/>
    </row>
    <row r="63" spans="1:14">
      <c r="A63" s="50"/>
      <c r="B63" s="128"/>
      <c r="C63" s="36"/>
    </row>
    <row r="64" spans="1:14">
      <c r="A64" s="50"/>
      <c r="B64" s="128"/>
      <c r="C64" s="134"/>
    </row>
    <row r="65" spans="2:3">
      <c r="B65" s="128"/>
      <c r="C65" s="134"/>
    </row>
    <row r="66" spans="2:3">
      <c r="B66" s="128"/>
      <c r="C66" s="134"/>
    </row>
    <row r="67" spans="2:3">
      <c r="B67" s="128"/>
      <c r="C67" s="134"/>
    </row>
    <row r="68" spans="2:3">
      <c r="B68" s="128"/>
      <c r="C68" s="134"/>
    </row>
    <row r="69" spans="2:3">
      <c r="B69" s="128"/>
      <c r="C69" s="271"/>
    </row>
    <row r="70" spans="2:3">
      <c r="B70" s="116"/>
      <c r="C70" s="134"/>
    </row>
    <row r="71" spans="2:3">
      <c r="B71" s="116"/>
      <c r="C71" s="272"/>
    </row>
    <row r="72" spans="2:3">
      <c r="C72" s="134"/>
    </row>
    <row r="73" spans="2:3">
      <c r="C73" s="134"/>
    </row>
    <row r="74" spans="2:3">
      <c r="C74" s="45"/>
    </row>
  </sheetData>
  <phoneticPr fontId="3" type="noConversion"/>
  <pageMargins left="0.75" right="0.75" top="1" bottom="1" header="0.5" footer="0.5"/>
  <pageSetup paperSize="9" scale="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2"/>
  </sheetPr>
  <dimension ref="A1"/>
  <sheetViews>
    <sheetView showGridLines="0" workbookViewId="0"/>
  </sheetViews>
  <sheetFormatPr defaultRowHeight="12.75"/>
  <cols>
    <col min="1" max="16384" width="9.140625" style="115"/>
  </cols>
  <sheetData/>
  <phoneticPr fontId="3"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P88"/>
  <sheetViews>
    <sheetView showGridLines="0" zoomScale="85" workbookViewId="0"/>
  </sheetViews>
  <sheetFormatPr defaultRowHeight="12.75"/>
  <cols>
    <col min="1" max="1" width="3.42578125" style="68" customWidth="1"/>
    <col min="2" max="2" width="61.5703125" style="68" customWidth="1"/>
    <col min="3" max="3" width="5.5703125" style="68" customWidth="1"/>
    <col min="4" max="4" width="17.7109375" style="68" customWidth="1"/>
    <col min="5" max="5" width="12.85546875" style="68" customWidth="1"/>
    <col min="6" max="6" width="3.28515625" style="68" customWidth="1"/>
    <col min="7" max="8" width="12.5703125" style="68" customWidth="1"/>
    <col min="9" max="9" width="15.140625" style="68" customWidth="1"/>
    <col min="10" max="10" width="15.28515625" style="68" bestFit="1" customWidth="1"/>
    <col min="11" max="11" width="14.42578125" style="68" customWidth="1"/>
    <col min="12" max="14" width="12.5703125" style="68" customWidth="1"/>
    <col min="15" max="15" width="7.5703125" style="68" customWidth="1"/>
    <col min="16" max="16" width="21.28515625" style="68" customWidth="1"/>
    <col min="17" max="16384" width="9.140625" style="68"/>
  </cols>
  <sheetData>
    <row r="2" spans="2:14" s="66" customFormat="1" ht="15.75">
      <c r="B2" s="67" t="s">
        <v>393</v>
      </c>
    </row>
    <row r="4" spans="2:14">
      <c r="B4" s="76"/>
    </row>
    <row r="5" spans="2:14" s="98" customFormat="1">
      <c r="B5" s="4" t="s">
        <v>42</v>
      </c>
    </row>
    <row r="6" spans="2:14" s="99" customFormat="1">
      <c r="B6" s="105"/>
    </row>
    <row r="7" spans="2:14" s="99" customFormat="1" ht="37.5" customHeight="1">
      <c r="B7" s="364" t="s">
        <v>446</v>
      </c>
      <c r="C7" s="365"/>
      <c r="D7" s="365"/>
      <c r="E7" s="365"/>
      <c r="F7" s="365"/>
      <c r="G7" s="365"/>
      <c r="H7" s="365"/>
      <c r="I7" s="365"/>
      <c r="J7" s="365"/>
      <c r="K7" s="365"/>
      <c r="L7" s="365"/>
      <c r="M7" s="365"/>
      <c r="N7" s="365"/>
    </row>
    <row r="8" spans="2:14" s="99" customFormat="1">
      <c r="B8" s="105"/>
    </row>
    <row r="9" spans="2:14" s="99" customFormat="1" ht="48.75" customHeight="1">
      <c r="B9" s="362" t="s">
        <v>485</v>
      </c>
      <c r="C9" s="363"/>
      <c r="D9" s="363"/>
      <c r="E9" s="363"/>
      <c r="F9" s="363"/>
      <c r="G9" s="363"/>
      <c r="H9" s="363"/>
      <c r="I9" s="363"/>
      <c r="J9" s="363"/>
      <c r="K9" s="363"/>
      <c r="L9" s="363"/>
      <c r="M9" s="363"/>
      <c r="N9" s="363"/>
    </row>
    <row r="11" spans="2:14">
      <c r="B11" s="71" t="s">
        <v>315</v>
      </c>
    </row>
    <row r="12" spans="2:14">
      <c r="B12" s="71" t="s">
        <v>445</v>
      </c>
    </row>
    <row r="13" spans="2:14">
      <c r="B13" s="71" t="s">
        <v>396</v>
      </c>
    </row>
    <row r="14" spans="2:14">
      <c r="B14" s="71"/>
    </row>
    <row r="15" spans="2:14">
      <c r="B15" s="71" t="s">
        <v>486</v>
      </c>
    </row>
    <row r="17" spans="1:16" s="72" customFormat="1">
      <c r="B17" s="73" t="s">
        <v>388</v>
      </c>
    </row>
    <row r="19" spans="1:16" ht="60">
      <c r="G19" s="69" t="s">
        <v>2</v>
      </c>
      <c r="H19" s="69" t="s">
        <v>3</v>
      </c>
      <c r="I19" s="69" t="s">
        <v>4</v>
      </c>
      <c r="J19" s="69" t="s">
        <v>5</v>
      </c>
      <c r="K19" s="69" t="s">
        <v>6</v>
      </c>
      <c r="L19" s="69" t="s">
        <v>7</v>
      </c>
      <c r="M19" s="69" t="s">
        <v>8</v>
      </c>
      <c r="N19" s="69" t="s">
        <v>9</v>
      </c>
      <c r="P19" s="70" t="s">
        <v>64</v>
      </c>
    </row>
    <row r="21" spans="1:16">
      <c r="B21" s="77" t="s">
        <v>448</v>
      </c>
      <c r="D21" s="125"/>
      <c r="P21" s="103"/>
    </row>
    <row r="22" spans="1:16">
      <c r="B22" s="68" t="s">
        <v>382</v>
      </c>
      <c r="D22" s="125" t="s">
        <v>15</v>
      </c>
      <c r="G22" s="332"/>
      <c r="H22" s="332"/>
      <c r="I22" s="332"/>
      <c r="J22" s="332"/>
      <c r="K22" s="332"/>
      <c r="L22" s="332"/>
      <c r="M22" s="332"/>
      <c r="N22" s="332"/>
      <c r="P22" s="77" t="s">
        <v>484</v>
      </c>
    </row>
    <row r="23" spans="1:16">
      <c r="B23" s="68" t="s">
        <v>312</v>
      </c>
      <c r="D23" s="125" t="s">
        <v>15</v>
      </c>
      <c r="G23" s="332"/>
      <c r="H23" s="332"/>
      <c r="I23" s="332"/>
      <c r="J23" s="332"/>
      <c r="K23" s="332"/>
      <c r="L23" s="332"/>
      <c r="M23" s="332"/>
      <c r="N23" s="332"/>
      <c r="P23" s="77" t="s">
        <v>484</v>
      </c>
    </row>
    <row r="24" spans="1:16">
      <c r="B24" s="68" t="s">
        <v>316</v>
      </c>
      <c r="D24" s="125" t="s">
        <v>15</v>
      </c>
      <c r="G24" s="101">
        <f>G22+G23</f>
        <v>0</v>
      </c>
      <c r="H24" s="101">
        <f t="shared" ref="H24:N24" si="0">H22+H23</f>
        <v>0</v>
      </c>
      <c r="I24" s="101">
        <f t="shared" si="0"/>
        <v>0</v>
      </c>
      <c r="J24" s="101">
        <f t="shared" si="0"/>
        <v>0</v>
      </c>
      <c r="K24" s="101">
        <f t="shared" si="0"/>
        <v>0</v>
      </c>
      <c r="L24" s="101">
        <f t="shared" si="0"/>
        <v>0</v>
      </c>
      <c r="M24" s="101">
        <f t="shared" si="0"/>
        <v>0</v>
      </c>
      <c r="N24" s="101">
        <f t="shared" si="0"/>
        <v>0</v>
      </c>
    </row>
    <row r="25" spans="1:16" s="71" customFormat="1">
      <c r="D25" s="65"/>
      <c r="G25" s="268"/>
      <c r="H25" s="268"/>
      <c r="I25" s="268"/>
      <c r="J25" s="268"/>
      <c r="K25" s="268"/>
      <c r="L25" s="268"/>
      <c r="M25" s="268"/>
      <c r="N25" s="268"/>
    </row>
    <row r="26" spans="1:16">
      <c r="B26" s="68" t="s">
        <v>314</v>
      </c>
      <c r="D26" s="125"/>
      <c r="E26" s="125"/>
      <c r="G26" s="332">
        <v>50</v>
      </c>
      <c r="H26" s="332">
        <v>50</v>
      </c>
      <c r="I26" s="332">
        <v>50</v>
      </c>
      <c r="J26" s="332">
        <v>50</v>
      </c>
      <c r="K26" s="332">
        <v>50</v>
      </c>
      <c r="L26" s="332">
        <v>50</v>
      </c>
      <c r="M26" s="332">
        <v>50</v>
      </c>
      <c r="N26" s="332">
        <v>50</v>
      </c>
      <c r="P26" s="77" t="s">
        <v>484</v>
      </c>
    </row>
    <row r="27" spans="1:16">
      <c r="B27" s="68" t="s">
        <v>383</v>
      </c>
      <c r="D27" s="125" t="s">
        <v>15</v>
      </c>
      <c r="G27" s="101">
        <f>G24/G26*0.5</f>
        <v>0</v>
      </c>
      <c r="H27" s="101">
        <f t="shared" ref="H27:N27" si="1">H24/H26*0.5</f>
        <v>0</v>
      </c>
      <c r="I27" s="101">
        <f t="shared" si="1"/>
        <v>0</v>
      </c>
      <c r="J27" s="101">
        <f t="shared" si="1"/>
        <v>0</v>
      </c>
      <c r="K27" s="101">
        <f t="shared" si="1"/>
        <v>0</v>
      </c>
      <c r="L27" s="101">
        <f t="shared" si="1"/>
        <v>0</v>
      </c>
      <c r="M27" s="101">
        <f t="shared" si="1"/>
        <v>0</v>
      </c>
      <c r="N27" s="101">
        <f t="shared" si="1"/>
        <v>0</v>
      </c>
    </row>
    <row r="28" spans="1:16">
      <c r="B28" s="68" t="s">
        <v>395</v>
      </c>
      <c r="D28" s="125" t="s">
        <v>15</v>
      </c>
      <c r="G28" s="101">
        <f>G24-G27</f>
        <v>0</v>
      </c>
      <c r="H28" s="101">
        <f t="shared" ref="H28:N28" si="2">H24-H27</f>
        <v>0</v>
      </c>
      <c r="I28" s="101">
        <f t="shared" si="2"/>
        <v>0</v>
      </c>
      <c r="J28" s="101">
        <f t="shared" si="2"/>
        <v>0</v>
      </c>
      <c r="K28" s="101">
        <f t="shared" si="2"/>
        <v>0</v>
      </c>
      <c r="L28" s="101">
        <f t="shared" si="2"/>
        <v>0</v>
      </c>
      <c r="M28" s="101">
        <f t="shared" si="2"/>
        <v>0</v>
      </c>
      <c r="N28" s="101">
        <f t="shared" si="2"/>
        <v>0</v>
      </c>
    </row>
    <row r="29" spans="1:16" s="71" customFormat="1">
      <c r="D29" s="65"/>
      <c r="G29" s="15"/>
      <c r="H29" s="15"/>
      <c r="I29" s="15"/>
      <c r="J29" s="15"/>
      <c r="K29" s="15"/>
      <c r="L29" s="15"/>
      <c r="M29" s="15"/>
      <c r="N29" s="15"/>
    </row>
    <row r="30" spans="1:16">
      <c r="B30" s="68" t="s">
        <v>313</v>
      </c>
      <c r="D30" s="125"/>
      <c r="E30" s="269">
        <v>6.2E-2</v>
      </c>
      <c r="G30" s="268"/>
      <c r="H30" s="268"/>
      <c r="I30" s="268"/>
      <c r="J30" s="268"/>
      <c r="K30" s="268"/>
      <c r="L30" s="268"/>
      <c r="M30" s="268"/>
      <c r="N30" s="268"/>
    </row>
    <row r="31" spans="1:16">
      <c r="B31" s="68" t="s">
        <v>317</v>
      </c>
      <c r="D31" s="125" t="s">
        <v>15</v>
      </c>
      <c r="G31" s="101">
        <f>G24*$E$30+G27</f>
        <v>0</v>
      </c>
      <c r="H31" s="101">
        <f t="shared" ref="H31:N31" si="3">H24*$E$30+H27</f>
        <v>0</v>
      </c>
      <c r="I31" s="101">
        <f t="shared" si="3"/>
        <v>0</v>
      </c>
      <c r="J31" s="101">
        <f t="shared" si="3"/>
        <v>0</v>
      </c>
      <c r="K31" s="101">
        <f t="shared" si="3"/>
        <v>0</v>
      </c>
      <c r="L31" s="101">
        <f t="shared" si="3"/>
        <v>0</v>
      </c>
      <c r="M31" s="101">
        <f t="shared" si="3"/>
        <v>0</v>
      </c>
      <c r="N31" s="101">
        <f t="shared" si="3"/>
        <v>0</v>
      </c>
    </row>
    <row r="32" spans="1:16" s="71" customFormat="1">
      <c r="A32" s="68"/>
      <c r="D32" s="65"/>
      <c r="G32" s="270"/>
      <c r="H32" s="15"/>
      <c r="I32" s="15"/>
      <c r="J32" s="15"/>
      <c r="K32" s="15"/>
      <c r="L32" s="15"/>
      <c r="M32" s="15"/>
      <c r="N32" s="15"/>
    </row>
    <row r="33" spans="1:16" s="71" customFormat="1">
      <c r="B33" s="71" t="s">
        <v>384</v>
      </c>
      <c r="D33" s="65"/>
      <c r="E33" s="333">
        <v>0.01</v>
      </c>
      <c r="G33" s="270"/>
      <c r="H33" s="15"/>
      <c r="I33" s="15"/>
      <c r="J33" s="15"/>
      <c r="K33" s="15"/>
      <c r="L33" s="15"/>
      <c r="M33" s="15"/>
      <c r="N33" s="15"/>
    </row>
    <row r="34" spans="1:16">
      <c r="A34" s="71"/>
      <c r="B34" s="68" t="s">
        <v>321</v>
      </c>
      <c r="D34" s="125" t="s">
        <v>15</v>
      </c>
      <c r="G34" s="101">
        <f>G24*$E$33*0.5</f>
        <v>0</v>
      </c>
      <c r="H34" s="101">
        <f t="shared" ref="H34:N34" si="4">H24*$E$33*0.5</f>
        <v>0</v>
      </c>
      <c r="I34" s="101">
        <f t="shared" si="4"/>
        <v>0</v>
      </c>
      <c r="J34" s="101">
        <f t="shared" si="4"/>
        <v>0</v>
      </c>
      <c r="K34" s="101">
        <f t="shared" si="4"/>
        <v>0</v>
      </c>
      <c r="L34" s="101">
        <f t="shared" si="4"/>
        <v>0</v>
      </c>
      <c r="M34" s="101">
        <f t="shared" si="4"/>
        <v>0</v>
      </c>
      <c r="N34" s="101">
        <f t="shared" si="4"/>
        <v>0</v>
      </c>
    </row>
    <row r="35" spans="1:16">
      <c r="A35" s="71"/>
      <c r="G35" s="268"/>
      <c r="H35" s="268"/>
      <c r="I35" s="268"/>
      <c r="J35" s="268"/>
      <c r="K35" s="268"/>
      <c r="L35" s="268"/>
      <c r="M35" s="268"/>
      <c r="N35" s="268"/>
    </row>
    <row r="36" spans="1:16">
      <c r="A36" s="71"/>
      <c r="B36" s="68" t="s">
        <v>311</v>
      </c>
      <c r="D36" s="125" t="s">
        <v>15</v>
      </c>
      <c r="G36" s="332"/>
      <c r="H36" s="332"/>
      <c r="I36" s="332"/>
      <c r="J36" s="332"/>
      <c r="K36" s="332"/>
      <c r="L36" s="332"/>
      <c r="M36" s="332"/>
      <c r="N36" s="332"/>
      <c r="P36" s="77" t="s">
        <v>484</v>
      </c>
    </row>
    <row r="37" spans="1:16">
      <c r="A37" s="71"/>
    </row>
    <row r="38" spans="1:16">
      <c r="A38" s="71"/>
      <c r="B38" s="68" t="s">
        <v>385</v>
      </c>
      <c r="D38" s="125" t="s">
        <v>15</v>
      </c>
      <c r="G38" s="163">
        <f>G31+G34-G36</f>
        <v>0</v>
      </c>
      <c r="H38" s="163">
        <f t="shared" ref="H38:M38" si="5">H31+H34-H36</f>
        <v>0</v>
      </c>
      <c r="I38" s="163">
        <f t="shared" si="5"/>
        <v>0</v>
      </c>
      <c r="J38" s="163">
        <f t="shared" si="5"/>
        <v>0</v>
      </c>
      <c r="K38" s="163">
        <f t="shared" si="5"/>
        <v>0</v>
      </c>
      <c r="L38" s="163">
        <f t="shared" si="5"/>
        <v>0</v>
      </c>
      <c r="M38" s="163">
        <f t="shared" si="5"/>
        <v>0</v>
      </c>
      <c r="N38" s="163">
        <f>N31+N34-N36</f>
        <v>0</v>
      </c>
    </row>
    <row r="39" spans="1:16">
      <c r="A39" s="71"/>
    </row>
    <row r="40" spans="1:16">
      <c r="A40" s="71"/>
      <c r="B40" s="99" t="s">
        <v>129</v>
      </c>
      <c r="E40" s="320">
        <f>CPI!C13</f>
        <v>2.3E-2</v>
      </c>
    </row>
    <row r="41" spans="1:16">
      <c r="B41" s="68" t="s">
        <v>392</v>
      </c>
      <c r="D41" s="125" t="s">
        <v>54</v>
      </c>
      <c r="G41" s="101">
        <f>G24/G26*(1+$E$40)</f>
        <v>0</v>
      </c>
      <c r="H41" s="101">
        <f t="shared" ref="H41:N41" si="6">H24/H26*(1+$E$40)</f>
        <v>0</v>
      </c>
      <c r="I41" s="101">
        <f t="shared" si="6"/>
        <v>0</v>
      </c>
      <c r="J41" s="101">
        <f t="shared" si="6"/>
        <v>0</v>
      </c>
      <c r="K41" s="101">
        <f t="shared" si="6"/>
        <v>0</v>
      </c>
      <c r="L41" s="101">
        <f t="shared" si="6"/>
        <v>0</v>
      </c>
      <c r="M41" s="101">
        <f t="shared" si="6"/>
        <v>0</v>
      </c>
      <c r="N41" s="101">
        <f t="shared" si="6"/>
        <v>0</v>
      </c>
    </row>
    <row r="42" spans="1:16">
      <c r="A42" s="71"/>
      <c r="B42" s="68" t="s">
        <v>394</v>
      </c>
      <c r="D42" s="125" t="s">
        <v>54</v>
      </c>
      <c r="G42" s="101">
        <f>G28*(1+$E$40)-G41</f>
        <v>0</v>
      </c>
      <c r="H42" s="101">
        <f t="shared" ref="H42:N42" si="7">H28*(1+$E$40)-H41</f>
        <v>0</v>
      </c>
      <c r="I42" s="101">
        <f t="shared" si="7"/>
        <v>0</v>
      </c>
      <c r="J42" s="101">
        <f t="shared" si="7"/>
        <v>0</v>
      </c>
      <c r="K42" s="101">
        <f t="shared" si="7"/>
        <v>0</v>
      </c>
      <c r="L42" s="101">
        <f t="shared" si="7"/>
        <v>0</v>
      </c>
      <c r="M42" s="101">
        <f t="shared" si="7"/>
        <v>0</v>
      </c>
      <c r="N42" s="101">
        <f t="shared" si="7"/>
        <v>0</v>
      </c>
    </row>
    <row r="43" spans="1:16" s="71" customFormat="1">
      <c r="D43" s="65"/>
      <c r="G43" s="15"/>
      <c r="H43" s="15"/>
      <c r="I43" s="15"/>
      <c r="J43" s="15"/>
      <c r="K43" s="15"/>
      <c r="L43" s="15"/>
      <c r="M43" s="15"/>
      <c r="N43" s="15"/>
    </row>
    <row r="44" spans="1:16">
      <c r="A44" s="71"/>
      <c r="B44" s="68" t="s">
        <v>320</v>
      </c>
      <c r="D44" s="125" t="s">
        <v>54</v>
      </c>
      <c r="G44" s="101">
        <f>G42*$E$30+G41</f>
        <v>0</v>
      </c>
      <c r="H44" s="101">
        <f t="shared" ref="H44:N44" si="8">H42*$E$30+H41</f>
        <v>0</v>
      </c>
      <c r="I44" s="101">
        <f t="shared" si="8"/>
        <v>0</v>
      </c>
      <c r="J44" s="101">
        <f t="shared" si="8"/>
        <v>0</v>
      </c>
      <c r="K44" s="101">
        <f t="shared" si="8"/>
        <v>0</v>
      </c>
      <c r="L44" s="101">
        <f t="shared" si="8"/>
        <v>0</v>
      </c>
      <c r="M44" s="101">
        <f t="shared" si="8"/>
        <v>0</v>
      </c>
      <c r="N44" s="101">
        <f t="shared" si="8"/>
        <v>0</v>
      </c>
    </row>
    <row r="45" spans="1:16" s="71" customFormat="1">
      <c r="D45" s="65"/>
      <c r="G45" s="15"/>
      <c r="H45" s="15"/>
      <c r="I45" s="15"/>
      <c r="J45" s="15"/>
      <c r="K45" s="15"/>
      <c r="L45" s="15"/>
      <c r="M45" s="15"/>
      <c r="N45" s="270"/>
    </row>
    <row r="46" spans="1:16">
      <c r="A46" s="71"/>
      <c r="B46" s="68" t="s">
        <v>319</v>
      </c>
      <c r="D46" s="125" t="s">
        <v>54</v>
      </c>
      <c r="G46" s="101">
        <f>G24*$E$33</f>
        <v>0</v>
      </c>
      <c r="H46" s="101">
        <f t="shared" ref="H46:N46" si="9">H24*$E$33</f>
        <v>0</v>
      </c>
      <c r="I46" s="101">
        <f t="shared" si="9"/>
        <v>0</v>
      </c>
      <c r="J46" s="101">
        <f t="shared" si="9"/>
        <v>0</v>
      </c>
      <c r="K46" s="101">
        <f t="shared" si="9"/>
        <v>0</v>
      </c>
      <c r="L46" s="101">
        <f t="shared" si="9"/>
        <v>0</v>
      </c>
      <c r="M46" s="101">
        <f t="shared" si="9"/>
        <v>0</v>
      </c>
      <c r="N46" s="101">
        <f t="shared" si="9"/>
        <v>0</v>
      </c>
      <c r="O46" s="114"/>
      <c r="P46" s="77"/>
    </row>
    <row r="47" spans="1:16">
      <c r="D47" s="125"/>
      <c r="P47" s="103"/>
    </row>
    <row r="48" spans="1:16">
      <c r="B48" s="77" t="s">
        <v>460</v>
      </c>
      <c r="D48" s="125"/>
      <c r="P48" s="103"/>
    </row>
    <row r="49" spans="1:16">
      <c r="B49" s="68" t="s">
        <v>390</v>
      </c>
      <c r="D49" s="125" t="s">
        <v>54</v>
      </c>
      <c r="G49" s="332"/>
      <c r="H49" s="332"/>
      <c r="I49" s="332"/>
      <c r="J49" s="332"/>
      <c r="K49" s="332"/>
      <c r="L49" s="332"/>
      <c r="M49" s="332"/>
      <c r="N49" s="332"/>
      <c r="P49" s="77" t="s">
        <v>484</v>
      </c>
    </row>
    <row r="50" spans="1:16">
      <c r="B50" s="68" t="s">
        <v>459</v>
      </c>
      <c r="D50" s="125" t="s">
        <v>54</v>
      </c>
      <c r="G50" s="101">
        <f>G49</f>
        <v>0</v>
      </c>
      <c r="H50" s="101">
        <f t="shared" ref="H50:N50" si="10">H49</f>
        <v>0</v>
      </c>
      <c r="I50" s="101">
        <f t="shared" si="10"/>
        <v>0</v>
      </c>
      <c r="J50" s="101">
        <f t="shared" si="10"/>
        <v>0</v>
      </c>
      <c r="K50" s="101">
        <f t="shared" si="10"/>
        <v>0</v>
      </c>
      <c r="L50" s="101">
        <f t="shared" si="10"/>
        <v>0</v>
      </c>
      <c r="M50" s="101">
        <f t="shared" si="10"/>
        <v>0</v>
      </c>
      <c r="N50" s="101">
        <f t="shared" si="10"/>
        <v>0</v>
      </c>
    </row>
    <row r="51" spans="1:16" s="71" customFormat="1">
      <c r="D51" s="65"/>
      <c r="G51" s="268"/>
      <c r="H51" s="268"/>
      <c r="I51" s="268"/>
      <c r="J51" s="268"/>
      <c r="K51" s="268"/>
      <c r="L51" s="268"/>
      <c r="M51" s="268"/>
      <c r="N51" s="268"/>
    </row>
    <row r="52" spans="1:16">
      <c r="B52" s="68" t="s">
        <v>314</v>
      </c>
      <c r="D52" s="125"/>
      <c r="E52" s="125"/>
      <c r="G52" s="332">
        <v>50</v>
      </c>
      <c r="H52" s="332">
        <v>50</v>
      </c>
      <c r="I52" s="332">
        <v>50</v>
      </c>
      <c r="J52" s="332">
        <v>50</v>
      </c>
      <c r="K52" s="332">
        <v>50</v>
      </c>
      <c r="L52" s="332">
        <v>50</v>
      </c>
      <c r="M52" s="332">
        <v>50</v>
      </c>
      <c r="N52" s="332">
        <v>50</v>
      </c>
      <c r="P52" s="77" t="s">
        <v>484</v>
      </c>
    </row>
    <row r="53" spans="1:16">
      <c r="B53" s="68" t="s">
        <v>392</v>
      </c>
      <c r="D53" s="125" t="s">
        <v>54</v>
      </c>
      <c r="G53" s="101">
        <f>G50/G52*0.5</f>
        <v>0</v>
      </c>
      <c r="H53" s="101">
        <f t="shared" ref="H53:N53" si="11">H50/H52*0.5</f>
        <v>0</v>
      </c>
      <c r="I53" s="101">
        <f t="shared" si="11"/>
        <v>0</v>
      </c>
      <c r="J53" s="101">
        <f t="shared" si="11"/>
        <v>0</v>
      </c>
      <c r="K53" s="101">
        <f t="shared" si="11"/>
        <v>0</v>
      </c>
      <c r="L53" s="101">
        <f t="shared" si="11"/>
        <v>0</v>
      </c>
      <c r="M53" s="101">
        <f t="shared" si="11"/>
        <v>0</v>
      </c>
      <c r="N53" s="101">
        <f t="shared" si="11"/>
        <v>0</v>
      </c>
    </row>
    <row r="54" spans="1:16">
      <c r="B54" s="68" t="s">
        <v>394</v>
      </c>
      <c r="D54" s="125" t="s">
        <v>54</v>
      </c>
      <c r="G54" s="101">
        <f>G50-G53</f>
        <v>0</v>
      </c>
      <c r="H54" s="101">
        <f t="shared" ref="H54:N54" si="12">H50-H53</f>
        <v>0</v>
      </c>
      <c r="I54" s="101">
        <f t="shared" si="12"/>
        <v>0</v>
      </c>
      <c r="J54" s="101">
        <f t="shared" si="12"/>
        <v>0</v>
      </c>
      <c r="K54" s="101">
        <f t="shared" si="12"/>
        <v>0</v>
      </c>
      <c r="L54" s="101">
        <f t="shared" si="12"/>
        <v>0</v>
      </c>
      <c r="M54" s="101">
        <f t="shared" si="12"/>
        <v>0</v>
      </c>
      <c r="N54" s="101">
        <f t="shared" si="12"/>
        <v>0</v>
      </c>
    </row>
    <row r="55" spans="1:16" s="71" customFormat="1">
      <c r="D55" s="65"/>
      <c r="G55" s="15"/>
      <c r="H55" s="15"/>
      <c r="I55" s="15"/>
      <c r="J55" s="15"/>
      <c r="K55" s="15"/>
      <c r="L55" s="15"/>
      <c r="M55" s="15"/>
      <c r="N55" s="15"/>
    </row>
    <row r="56" spans="1:16">
      <c r="B56" s="68" t="s">
        <v>313</v>
      </c>
      <c r="D56" s="125"/>
      <c r="E56" s="269">
        <v>6.2E-2</v>
      </c>
      <c r="G56" s="268"/>
      <c r="H56" s="268"/>
      <c r="I56" s="268"/>
      <c r="J56" s="268"/>
      <c r="K56" s="268"/>
      <c r="L56" s="268"/>
      <c r="M56" s="268"/>
      <c r="N56" s="268"/>
    </row>
    <row r="57" spans="1:16">
      <c r="B57" s="68" t="s">
        <v>320</v>
      </c>
      <c r="D57" s="125" t="s">
        <v>54</v>
      </c>
      <c r="G57" s="101">
        <f>G50*$E$30+G53</f>
        <v>0</v>
      </c>
      <c r="H57" s="101">
        <f t="shared" ref="H57:N57" si="13">H50*$E$30+H53</f>
        <v>0</v>
      </c>
      <c r="I57" s="101">
        <f t="shared" si="13"/>
        <v>0</v>
      </c>
      <c r="J57" s="101">
        <f t="shared" si="13"/>
        <v>0</v>
      </c>
      <c r="K57" s="101">
        <f t="shared" si="13"/>
        <v>0</v>
      </c>
      <c r="L57" s="101">
        <f t="shared" si="13"/>
        <v>0</v>
      </c>
      <c r="M57" s="101">
        <f t="shared" si="13"/>
        <v>0</v>
      </c>
      <c r="N57" s="101">
        <f t="shared" si="13"/>
        <v>0</v>
      </c>
    </row>
    <row r="58" spans="1:16" s="71" customFormat="1">
      <c r="D58" s="65"/>
      <c r="G58" s="270"/>
      <c r="H58" s="15"/>
      <c r="I58" s="15"/>
      <c r="J58" s="15"/>
      <c r="K58" s="15"/>
      <c r="L58" s="15"/>
      <c r="M58" s="15"/>
      <c r="N58" s="15"/>
    </row>
    <row r="59" spans="1:16" s="71" customFormat="1">
      <c r="B59" s="71" t="s">
        <v>384</v>
      </c>
      <c r="D59" s="65"/>
      <c r="E59" s="333">
        <v>0.01</v>
      </c>
      <c r="G59" s="270"/>
      <c r="H59" s="15"/>
      <c r="I59" s="15"/>
      <c r="J59" s="15"/>
      <c r="K59" s="15"/>
      <c r="L59" s="15"/>
      <c r="M59" s="15"/>
      <c r="N59" s="15"/>
    </row>
    <row r="60" spans="1:16">
      <c r="A60" s="71"/>
      <c r="B60" s="68" t="s">
        <v>319</v>
      </c>
      <c r="D60" s="125" t="s">
        <v>54</v>
      </c>
      <c r="G60" s="101">
        <f t="shared" ref="G60:N60" si="14">G50*$E$83*0.5</f>
        <v>0</v>
      </c>
      <c r="H60" s="101">
        <f t="shared" si="14"/>
        <v>0</v>
      </c>
      <c r="I60" s="101">
        <f t="shared" si="14"/>
        <v>0</v>
      </c>
      <c r="J60" s="101">
        <f t="shared" si="14"/>
        <v>0</v>
      </c>
      <c r="K60" s="101">
        <f t="shared" si="14"/>
        <v>0</v>
      </c>
      <c r="L60" s="101">
        <f t="shared" si="14"/>
        <v>0</v>
      </c>
      <c r="M60" s="101">
        <f t="shared" si="14"/>
        <v>0</v>
      </c>
      <c r="N60" s="101">
        <f t="shared" si="14"/>
        <v>0</v>
      </c>
    </row>
    <row r="61" spans="1:16" s="71" customFormat="1">
      <c r="D61" s="65"/>
      <c r="G61" s="15"/>
      <c r="H61" s="15"/>
      <c r="I61" s="15"/>
      <c r="J61" s="15"/>
      <c r="K61" s="15"/>
      <c r="L61" s="15"/>
      <c r="M61" s="15"/>
      <c r="N61" s="15"/>
      <c r="O61" s="15"/>
    </row>
    <row r="62" spans="1:16">
      <c r="A62" s="71"/>
      <c r="B62" s="68" t="s">
        <v>318</v>
      </c>
      <c r="D62" s="125" t="s">
        <v>54</v>
      </c>
      <c r="G62" s="332"/>
      <c r="H62" s="332"/>
      <c r="I62" s="332"/>
      <c r="J62" s="332"/>
      <c r="K62" s="332"/>
      <c r="L62" s="332"/>
      <c r="M62" s="332"/>
      <c r="N62" s="332"/>
      <c r="P62" s="77" t="s">
        <v>484</v>
      </c>
    </row>
    <row r="63" spans="1:16">
      <c r="A63" s="71"/>
      <c r="G63" s="114"/>
      <c r="H63" s="114"/>
      <c r="I63" s="114"/>
      <c r="J63" s="114"/>
      <c r="K63" s="114"/>
      <c r="L63" s="114"/>
      <c r="M63" s="114"/>
      <c r="N63" s="114"/>
      <c r="O63" s="114"/>
    </row>
    <row r="64" spans="1:16">
      <c r="B64" s="68" t="s">
        <v>386</v>
      </c>
      <c r="D64" s="125" t="s">
        <v>54</v>
      </c>
      <c r="G64" s="163">
        <f>G44+G46+G57+G60-G62</f>
        <v>0</v>
      </c>
      <c r="H64" s="163">
        <f t="shared" ref="H64:N64" si="15">H44+H46+H57+H60-H62</f>
        <v>0</v>
      </c>
      <c r="I64" s="163">
        <f t="shared" si="15"/>
        <v>0</v>
      </c>
      <c r="J64" s="163">
        <f t="shared" si="15"/>
        <v>0</v>
      </c>
      <c r="K64" s="163">
        <f t="shared" si="15"/>
        <v>0</v>
      </c>
      <c r="L64" s="163">
        <f t="shared" si="15"/>
        <v>0</v>
      </c>
      <c r="M64" s="163">
        <f t="shared" si="15"/>
        <v>0</v>
      </c>
      <c r="N64" s="163">
        <f t="shared" si="15"/>
        <v>0</v>
      </c>
    </row>
    <row r="67" spans="2:16" s="72" customFormat="1">
      <c r="B67" s="73" t="s">
        <v>387</v>
      </c>
    </row>
    <row r="69" spans="2:16" ht="60.75">
      <c r="G69" s="69" t="s">
        <v>2</v>
      </c>
      <c r="H69" s="69" t="s">
        <v>3</v>
      </c>
      <c r="I69" s="69" t="s">
        <v>4</v>
      </c>
      <c r="J69" s="69" t="s">
        <v>5</v>
      </c>
      <c r="K69" s="69" t="s">
        <v>6</v>
      </c>
      <c r="L69" s="69" t="s">
        <v>7</v>
      </c>
      <c r="M69" s="69" t="s">
        <v>8</v>
      </c>
      <c r="N69" s="69" t="s">
        <v>9</v>
      </c>
      <c r="P69" s="70" t="s">
        <v>64</v>
      </c>
    </row>
    <row r="71" spans="2:16">
      <c r="B71" s="77" t="s">
        <v>461</v>
      </c>
      <c r="D71" s="125"/>
      <c r="P71" s="103"/>
    </row>
    <row r="72" spans="2:16">
      <c r="B72" s="68" t="s">
        <v>389</v>
      </c>
      <c r="D72" s="125" t="s">
        <v>54</v>
      </c>
      <c r="G72" s="332"/>
      <c r="H72" s="332"/>
      <c r="I72" s="332"/>
      <c r="J72" s="332"/>
      <c r="K72" s="332"/>
      <c r="L72" s="332"/>
      <c r="M72" s="332"/>
      <c r="N72" s="332"/>
      <c r="P72" s="77" t="s">
        <v>484</v>
      </c>
    </row>
    <row r="73" spans="2:16">
      <c r="B73" s="68" t="s">
        <v>390</v>
      </c>
      <c r="D73" s="125" t="s">
        <v>54</v>
      </c>
      <c r="G73" s="332"/>
      <c r="H73" s="332"/>
      <c r="I73" s="332"/>
      <c r="J73" s="332"/>
      <c r="K73" s="332"/>
      <c r="L73" s="332"/>
      <c r="M73" s="332"/>
      <c r="N73" s="332"/>
      <c r="P73" s="77" t="s">
        <v>484</v>
      </c>
    </row>
    <row r="74" spans="2:16">
      <c r="B74" s="68" t="s">
        <v>391</v>
      </c>
      <c r="D74" s="125" t="s">
        <v>54</v>
      </c>
      <c r="G74" s="101">
        <f t="shared" ref="G74:N74" si="16">G72+G73</f>
        <v>0</v>
      </c>
      <c r="H74" s="101">
        <f t="shared" si="16"/>
        <v>0</v>
      </c>
      <c r="I74" s="101">
        <f t="shared" si="16"/>
        <v>0</v>
      </c>
      <c r="J74" s="101">
        <f t="shared" si="16"/>
        <v>0</v>
      </c>
      <c r="K74" s="101">
        <f t="shared" si="16"/>
        <v>0</v>
      </c>
      <c r="L74" s="101">
        <f t="shared" si="16"/>
        <v>0</v>
      </c>
      <c r="M74" s="101">
        <f t="shared" si="16"/>
        <v>0</v>
      </c>
      <c r="N74" s="101">
        <f t="shared" si="16"/>
        <v>0</v>
      </c>
    </row>
    <row r="75" spans="2:16" s="71" customFormat="1">
      <c r="D75" s="65"/>
      <c r="G75" s="268"/>
      <c r="H75" s="268"/>
      <c r="I75" s="268"/>
      <c r="J75" s="268"/>
      <c r="K75" s="268"/>
      <c r="L75" s="268"/>
      <c r="M75" s="268"/>
      <c r="N75" s="268"/>
    </row>
    <row r="76" spans="2:16">
      <c r="B76" s="68" t="s">
        <v>314</v>
      </c>
      <c r="D76" s="125"/>
      <c r="E76" s="125"/>
      <c r="G76" s="332">
        <v>50</v>
      </c>
      <c r="H76" s="332">
        <v>50</v>
      </c>
      <c r="I76" s="332">
        <v>50</v>
      </c>
      <c r="J76" s="332">
        <v>50</v>
      </c>
      <c r="K76" s="332">
        <v>50</v>
      </c>
      <c r="L76" s="332">
        <v>50</v>
      </c>
      <c r="M76" s="332">
        <v>50</v>
      </c>
      <c r="N76" s="332">
        <v>50</v>
      </c>
      <c r="P76" s="77" t="s">
        <v>484</v>
      </c>
    </row>
    <row r="77" spans="2:16">
      <c r="B77" s="68" t="s">
        <v>392</v>
      </c>
      <c r="D77" s="125" t="s">
        <v>54</v>
      </c>
      <c r="G77" s="101">
        <f>G74/G76*0.5</f>
        <v>0</v>
      </c>
      <c r="H77" s="101">
        <f t="shared" ref="H77:N77" si="17">H74/H76*0.5</f>
        <v>0</v>
      </c>
      <c r="I77" s="101">
        <f t="shared" si="17"/>
        <v>0</v>
      </c>
      <c r="J77" s="101">
        <f t="shared" si="17"/>
        <v>0</v>
      </c>
      <c r="K77" s="101">
        <f t="shared" si="17"/>
        <v>0</v>
      </c>
      <c r="L77" s="101">
        <f t="shared" si="17"/>
        <v>0</v>
      </c>
      <c r="M77" s="101">
        <f t="shared" si="17"/>
        <v>0</v>
      </c>
      <c r="N77" s="101">
        <f t="shared" si="17"/>
        <v>0</v>
      </c>
    </row>
    <row r="78" spans="2:16">
      <c r="B78" s="68" t="s">
        <v>394</v>
      </c>
      <c r="D78" s="125" t="s">
        <v>54</v>
      </c>
      <c r="G78" s="101">
        <f>G74-G77</f>
        <v>0</v>
      </c>
      <c r="H78" s="101">
        <f t="shared" ref="H78" si="18">H74-H77</f>
        <v>0</v>
      </c>
      <c r="I78" s="101">
        <f t="shared" ref="I78" si="19">I74-I77</f>
        <v>0</v>
      </c>
      <c r="J78" s="101">
        <f t="shared" ref="J78" si="20">J74-J77</f>
        <v>0</v>
      </c>
      <c r="K78" s="101">
        <f t="shared" ref="K78" si="21">K74-K77</f>
        <v>0</v>
      </c>
      <c r="L78" s="101">
        <f t="shared" ref="L78" si="22">L74-L77</f>
        <v>0</v>
      </c>
      <c r="M78" s="101">
        <f t="shared" ref="M78" si="23">M74-M77</f>
        <v>0</v>
      </c>
      <c r="N78" s="101">
        <f t="shared" ref="N78" si="24">N74-N77</f>
        <v>0</v>
      </c>
    </row>
    <row r="79" spans="2:16" s="71" customFormat="1">
      <c r="D79" s="65"/>
      <c r="G79" s="15"/>
      <c r="H79" s="15"/>
      <c r="I79" s="15"/>
      <c r="J79" s="15"/>
      <c r="K79" s="15"/>
      <c r="L79" s="15"/>
      <c r="M79" s="15"/>
      <c r="N79" s="15"/>
    </row>
    <row r="80" spans="2:16">
      <c r="B80" s="68" t="s">
        <v>313</v>
      </c>
      <c r="D80" s="125"/>
      <c r="E80" s="269">
        <v>6.2E-2</v>
      </c>
      <c r="G80" s="268"/>
      <c r="H80" s="268"/>
      <c r="I80" s="268"/>
      <c r="J80" s="268"/>
      <c r="K80" s="268"/>
      <c r="L80" s="268"/>
      <c r="M80" s="268"/>
      <c r="N80" s="268"/>
    </row>
    <row r="81" spans="1:16">
      <c r="B81" s="68" t="s">
        <v>320</v>
      </c>
      <c r="D81" s="125" t="s">
        <v>54</v>
      </c>
      <c r="G81" s="101">
        <f>G74*$E$30+G77</f>
        <v>0</v>
      </c>
      <c r="H81" s="101">
        <f t="shared" ref="H81:N81" si="25">H74*$E$30+H77</f>
        <v>0</v>
      </c>
      <c r="I81" s="101">
        <f t="shared" si="25"/>
        <v>0</v>
      </c>
      <c r="J81" s="101">
        <f t="shared" si="25"/>
        <v>0</v>
      </c>
      <c r="K81" s="101">
        <f t="shared" si="25"/>
        <v>0</v>
      </c>
      <c r="L81" s="101">
        <f t="shared" si="25"/>
        <v>0</v>
      </c>
      <c r="M81" s="101">
        <f t="shared" si="25"/>
        <v>0</v>
      </c>
      <c r="N81" s="101">
        <f t="shared" si="25"/>
        <v>0</v>
      </c>
    </row>
    <row r="82" spans="1:16" s="71" customFormat="1">
      <c r="D82" s="65"/>
      <c r="G82" s="270"/>
      <c r="H82" s="15"/>
      <c r="I82" s="15"/>
      <c r="J82" s="15"/>
      <c r="K82" s="15"/>
      <c r="L82" s="15"/>
      <c r="M82" s="15"/>
      <c r="N82" s="15"/>
    </row>
    <row r="83" spans="1:16" s="71" customFormat="1">
      <c r="B83" s="71" t="s">
        <v>384</v>
      </c>
      <c r="D83" s="65"/>
      <c r="E83" s="333">
        <v>0.01</v>
      </c>
      <c r="G83" s="270"/>
      <c r="H83" s="15"/>
      <c r="I83" s="15"/>
      <c r="J83" s="15"/>
      <c r="K83" s="15"/>
      <c r="L83" s="15"/>
      <c r="M83" s="15"/>
      <c r="N83" s="15"/>
    </row>
    <row r="84" spans="1:16">
      <c r="A84" s="71"/>
      <c r="B84" s="68" t="s">
        <v>319</v>
      </c>
      <c r="D84" s="125" t="s">
        <v>54</v>
      </c>
      <c r="G84" s="101">
        <f>G74*$E$83*0.5</f>
        <v>0</v>
      </c>
      <c r="H84" s="101">
        <f>H74*$E$83*0.5</f>
        <v>0</v>
      </c>
      <c r="I84" s="101">
        <f t="shared" ref="I84:N84" si="26">I74*$E$83*0.5</f>
        <v>0</v>
      </c>
      <c r="J84" s="101">
        <f t="shared" si="26"/>
        <v>0</v>
      </c>
      <c r="K84" s="101">
        <f t="shared" si="26"/>
        <v>0</v>
      </c>
      <c r="L84" s="101">
        <f t="shared" si="26"/>
        <v>0</v>
      </c>
      <c r="M84" s="101">
        <f t="shared" si="26"/>
        <v>0</v>
      </c>
      <c r="N84" s="101">
        <f t="shared" si="26"/>
        <v>0</v>
      </c>
    </row>
    <row r="85" spans="1:16">
      <c r="A85" s="71"/>
      <c r="G85" s="268"/>
      <c r="H85" s="268"/>
      <c r="I85" s="268"/>
      <c r="J85" s="268"/>
      <c r="K85" s="268"/>
      <c r="L85" s="268"/>
      <c r="M85" s="268"/>
      <c r="N85" s="268"/>
    </row>
    <row r="86" spans="1:16">
      <c r="A86" s="71"/>
      <c r="B86" s="68" t="s">
        <v>318</v>
      </c>
      <c r="D86" s="125" t="s">
        <v>54</v>
      </c>
      <c r="G86" s="332"/>
      <c r="H86" s="332"/>
      <c r="I86" s="332"/>
      <c r="J86" s="332"/>
      <c r="K86" s="332"/>
      <c r="L86" s="332"/>
      <c r="M86" s="332"/>
      <c r="N86" s="332"/>
      <c r="P86" s="77" t="s">
        <v>484</v>
      </c>
    </row>
    <row r="88" spans="1:16">
      <c r="B88" s="68" t="s">
        <v>386</v>
      </c>
      <c r="D88" s="125" t="s">
        <v>54</v>
      </c>
      <c r="G88" s="163">
        <f>G81+G84-G86</f>
        <v>0</v>
      </c>
      <c r="H88" s="163">
        <f t="shared" ref="H88:M88" si="27">H81+H84-H86</f>
        <v>0</v>
      </c>
      <c r="I88" s="163">
        <f t="shared" si="27"/>
        <v>0</v>
      </c>
      <c r="J88" s="163">
        <f t="shared" si="27"/>
        <v>0</v>
      </c>
      <c r="K88" s="163">
        <f t="shared" si="27"/>
        <v>0</v>
      </c>
      <c r="L88" s="163">
        <f t="shared" si="27"/>
        <v>0</v>
      </c>
      <c r="M88" s="163">
        <f t="shared" si="27"/>
        <v>0</v>
      </c>
      <c r="N88" s="163">
        <f>N81+N84-N86</f>
        <v>0</v>
      </c>
    </row>
  </sheetData>
  <mergeCells count="2">
    <mergeCell ref="B9:N9"/>
    <mergeCell ref="B7:N7"/>
  </mergeCells>
  <pageMargins left="0.75" right="0.75" top="1" bottom="1" header="0.5" footer="0.5"/>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Z97"/>
  <sheetViews>
    <sheetView showGridLines="0" zoomScale="85" workbookViewId="0"/>
  </sheetViews>
  <sheetFormatPr defaultRowHeight="12.75"/>
  <cols>
    <col min="1" max="1" width="4.85546875" style="136" customWidth="1"/>
    <col min="2" max="2" width="62" style="136" customWidth="1"/>
    <col min="3" max="3" width="4.42578125" style="136" customWidth="1"/>
    <col min="4" max="4" width="18.28515625" style="136" customWidth="1"/>
    <col min="5" max="5" width="5.85546875" style="136" customWidth="1"/>
    <col min="6" max="6" width="4.140625" style="136" customWidth="1"/>
    <col min="7" max="14" width="15.42578125" style="136" customWidth="1"/>
    <col min="15" max="15" width="5.28515625" style="136" customWidth="1"/>
    <col min="16" max="256" width="9.140625" style="136"/>
    <col min="257" max="257" width="4.85546875" style="136" customWidth="1"/>
    <col min="258" max="258" width="62" style="136" customWidth="1"/>
    <col min="259" max="259" width="4.42578125" style="136" customWidth="1"/>
    <col min="260" max="260" width="18.28515625" style="136" customWidth="1"/>
    <col min="261" max="261" width="5.85546875" style="136" customWidth="1"/>
    <col min="262" max="262" width="4.140625" style="136" customWidth="1"/>
    <col min="263" max="270" width="15.42578125" style="136" customWidth="1"/>
    <col min="271" max="271" width="5.28515625" style="136" customWidth="1"/>
    <col min="272" max="512" width="9.140625" style="136"/>
    <col min="513" max="513" width="4.85546875" style="136" customWidth="1"/>
    <col min="514" max="514" width="62" style="136" customWidth="1"/>
    <col min="515" max="515" width="4.42578125" style="136" customWidth="1"/>
    <col min="516" max="516" width="18.28515625" style="136" customWidth="1"/>
    <col min="517" max="517" width="5.85546875" style="136" customWidth="1"/>
    <col min="518" max="518" width="4.140625" style="136" customWidth="1"/>
    <col min="519" max="526" width="15.42578125" style="136" customWidth="1"/>
    <col min="527" max="527" width="5.28515625" style="136" customWidth="1"/>
    <col min="528" max="768" width="9.140625" style="136"/>
    <col min="769" max="769" width="4.85546875" style="136" customWidth="1"/>
    <col min="770" max="770" width="62" style="136" customWidth="1"/>
    <col min="771" max="771" width="4.42578125" style="136" customWidth="1"/>
    <col min="772" max="772" width="18.28515625" style="136" customWidth="1"/>
    <col min="773" max="773" width="5.85546875" style="136" customWidth="1"/>
    <col min="774" max="774" width="4.140625" style="136" customWidth="1"/>
    <col min="775" max="782" width="15.42578125" style="136" customWidth="1"/>
    <col min="783" max="783" width="5.28515625" style="136" customWidth="1"/>
    <col min="784" max="1024" width="9.140625" style="136"/>
    <col min="1025" max="1025" width="4.85546875" style="136" customWidth="1"/>
    <col min="1026" max="1026" width="62" style="136" customWidth="1"/>
    <col min="1027" max="1027" width="4.42578125" style="136" customWidth="1"/>
    <col min="1028" max="1028" width="18.28515625" style="136" customWidth="1"/>
    <col min="1029" max="1029" width="5.85546875" style="136" customWidth="1"/>
    <col min="1030" max="1030" width="4.140625" style="136" customWidth="1"/>
    <col min="1031" max="1038" width="15.42578125" style="136" customWidth="1"/>
    <col min="1039" max="1039" width="5.28515625" style="136" customWidth="1"/>
    <col min="1040" max="1280" width="9.140625" style="136"/>
    <col min="1281" max="1281" width="4.85546875" style="136" customWidth="1"/>
    <col min="1282" max="1282" width="62" style="136" customWidth="1"/>
    <col min="1283" max="1283" width="4.42578125" style="136" customWidth="1"/>
    <col min="1284" max="1284" width="18.28515625" style="136" customWidth="1"/>
    <col min="1285" max="1285" width="5.85546875" style="136" customWidth="1"/>
    <col min="1286" max="1286" width="4.140625" style="136" customWidth="1"/>
    <col min="1287" max="1294" width="15.42578125" style="136" customWidth="1"/>
    <col min="1295" max="1295" width="5.28515625" style="136" customWidth="1"/>
    <col min="1296" max="1536" width="9.140625" style="136"/>
    <col min="1537" max="1537" width="4.85546875" style="136" customWidth="1"/>
    <col min="1538" max="1538" width="62" style="136" customWidth="1"/>
    <col min="1539" max="1539" width="4.42578125" style="136" customWidth="1"/>
    <col min="1540" max="1540" width="18.28515625" style="136" customWidth="1"/>
    <col min="1541" max="1541" width="5.85546875" style="136" customWidth="1"/>
    <col min="1542" max="1542" width="4.140625" style="136" customWidth="1"/>
    <col min="1543" max="1550" width="15.42578125" style="136" customWidth="1"/>
    <col min="1551" max="1551" width="5.28515625" style="136" customWidth="1"/>
    <col min="1552" max="1792" width="9.140625" style="136"/>
    <col min="1793" max="1793" width="4.85546875" style="136" customWidth="1"/>
    <col min="1794" max="1794" width="62" style="136" customWidth="1"/>
    <col min="1795" max="1795" width="4.42578125" style="136" customWidth="1"/>
    <col min="1796" max="1796" width="18.28515625" style="136" customWidth="1"/>
    <col min="1797" max="1797" width="5.85546875" style="136" customWidth="1"/>
    <col min="1798" max="1798" width="4.140625" style="136" customWidth="1"/>
    <col min="1799" max="1806" width="15.42578125" style="136" customWidth="1"/>
    <col min="1807" max="1807" width="5.28515625" style="136" customWidth="1"/>
    <col min="1808" max="2048" width="9.140625" style="136"/>
    <col min="2049" max="2049" width="4.85546875" style="136" customWidth="1"/>
    <col min="2050" max="2050" width="62" style="136" customWidth="1"/>
    <col min="2051" max="2051" width="4.42578125" style="136" customWidth="1"/>
    <col min="2052" max="2052" width="18.28515625" style="136" customWidth="1"/>
    <col min="2053" max="2053" width="5.85546875" style="136" customWidth="1"/>
    <col min="2054" max="2054" width="4.140625" style="136" customWidth="1"/>
    <col min="2055" max="2062" width="15.42578125" style="136" customWidth="1"/>
    <col min="2063" max="2063" width="5.28515625" style="136" customWidth="1"/>
    <col min="2064" max="2304" width="9.140625" style="136"/>
    <col min="2305" max="2305" width="4.85546875" style="136" customWidth="1"/>
    <col min="2306" max="2306" width="62" style="136" customWidth="1"/>
    <col min="2307" max="2307" width="4.42578125" style="136" customWidth="1"/>
    <col min="2308" max="2308" width="18.28515625" style="136" customWidth="1"/>
    <col min="2309" max="2309" width="5.85546875" style="136" customWidth="1"/>
    <col min="2310" max="2310" width="4.140625" style="136" customWidth="1"/>
    <col min="2311" max="2318" width="15.42578125" style="136" customWidth="1"/>
    <col min="2319" max="2319" width="5.28515625" style="136" customWidth="1"/>
    <col min="2320" max="2560" width="9.140625" style="136"/>
    <col min="2561" max="2561" width="4.85546875" style="136" customWidth="1"/>
    <col min="2562" max="2562" width="62" style="136" customWidth="1"/>
    <col min="2563" max="2563" width="4.42578125" style="136" customWidth="1"/>
    <col min="2564" max="2564" width="18.28515625" style="136" customWidth="1"/>
    <col min="2565" max="2565" width="5.85546875" style="136" customWidth="1"/>
    <col min="2566" max="2566" width="4.140625" style="136" customWidth="1"/>
    <col min="2567" max="2574" width="15.42578125" style="136" customWidth="1"/>
    <col min="2575" max="2575" width="5.28515625" style="136" customWidth="1"/>
    <col min="2576" max="2816" width="9.140625" style="136"/>
    <col min="2817" max="2817" width="4.85546875" style="136" customWidth="1"/>
    <col min="2818" max="2818" width="62" style="136" customWidth="1"/>
    <col min="2819" max="2819" width="4.42578125" style="136" customWidth="1"/>
    <col min="2820" max="2820" width="18.28515625" style="136" customWidth="1"/>
    <col min="2821" max="2821" width="5.85546875" style="136" customWidth="1"/>
    <col min="2822" max="2822" width="4.140625" style="136" customWidth="1"/>
    <col min="2823" max="2830" width="15.42578125" style="136" customWidth="1"/>
    <col min="2831" max="2831" width="5.28515625" style="136" customWidth="1"/>
    <col min="2832" max="3072" width="9.140625" style="136"/>
    <col min="3073" max="3073" width="4.85546875" style="136" customWidth="1"/>
    <col min="3074" max="3074" width="62" style="136" customWidth="1"/>
    <col min="3075" max="3075" width="4.42578125" style="136" customWidth="1"/>
    <col min="3076" max="3076" width="18.28515625" style="136" customWidth="1"/>
    <col min="3077" max="3077" width="5.85546875" style="136" customWidth="1"/>
    <col min="3078" max="3078" width="4.140625" style="136" customWidth="1"/>
    <col min="3079" max="3086" width="15.42578125" style="136" customWidth="1"/>
    <col min="3087" max="3087" width="5.28515625" style="136" customWidth="1"/>
    <col min="3088" max="3328" width="9.140625" style="136"/>
    <col min="3329" max="3329" width="4.85546875" style="136" customWidth="1"/>
    <col min="3330" max="3330" width="62" style="136" customWidth="1"/>
    <col min="3331" max="3331" width="4.42578125" style="136" customWidth="1"/>
    <col min="3332" max="3332" width="18.28515625" style="136" customWidth="1"/>
    <col min="3333" max="3333" width="5.85546875" style="136" customWidth="1"/>
    <col min="3334" max="3334" width="4.140625" style="136" customWidth="1"/>
    <col min="3335" max="3342" width="15.42578125" style="136" customWidth="1"/>
    <col min="3343" max="3343" width="5.28515625" style="136" customWidth="1"/>
    <col min="3344" max="3584" width="9.140625" style="136"/>
    <col min="3585" max="3585" width="4.85546875" style="136" customWidth="1"/>
    <col min="3586" max="3586" width="62" style="136" customWidth="1"/>
    <col min="3587" max="3587" width="4.42578125" style="136" customWidth="1"/>
    <col min="3588" max="3588" width="18.28515625" style="136" customWidth="1"/>
    <col min="3589" max="3589" width="5.85546875" style="136" customWidth="1"/>
    <col min="3590" max="3590" width="4.140625" style="136" customWidth="1"/>
    <col min="3591" max="3598" width="15.42578125" style="136" customWidth="1"/>
    <col min="3599" max="3599" width="5.28515625" style="136" customWidth="1"/>
    <col min="3600" max="3840" width="9.140625" style="136"/>
    <col min="3841" max="3841" width="4.85546875" style="136" customWidth="1"/>
    <col min="3842" max="3842" width="62" style="136" customWidth="1"/>
    <col min="3843" max="3843" width="4.42578125" style="136" customWidth="1"/>
    <col min="3844" max="3844" width="18.28515625" style="136" customWidth="1"/>
    <col min="3845" max="3845" width="5.85546875" style="136" customWidth="1"/>
    <col min="3846" max="3846" width="4.140625" style="136" customWidth="1"/>
    <col min="3847" max="3854" width="15.42578125" style="136" customWidth="1"/>
    <col min="3855" max="3855" width="5.28515625" style="136" customWidth="1"/>
    <col min="3856" max="4096" width="9.140625" style="136"/>
    <col min="4097" max="4097" width="4.85546875" style="136" customWidth="1"/>
    <col min="4098" max="4098" width="62" style="136" customWidth="1"/>
    <col min="4099" max="4099" width="4.42578125" style="136" customWidth="1"/>
    <col min="4100" max="4100" width="18.28515625" style="136" customWidth="1"/>
    <col min="4101" max="4101" width="5.85546875" style="136" customWidth="1"/>
    <col min="4102" max="4102" width="4.140625" style="136" customWidth="1"/>
    <col min="4103" max="4110" width="15.42578125" style="136" customWidth="1"/>
    <col min="4111" max="4111" width="5.28515625" style="136" customWidth="1"/>
    <col min="4112" max="4352" width="9.140625" style="136"/>
    <col min="4353" max="4353" width="4.85546875" style="136" customWidth="1"/>
    <col min="4354" max="4354" width="62" style="136" customWidth="1"/>
    <col min="4355" max="4355" width="4.42578125" style="136" customWidth="1"/>
    <col min="4356" max="4356" width="18.28515625" style="136" customWidth="1"/>
    <col min="4357" max="4357" width="5.85546875" style="136" customWidth="1"/>
    <col min="4358" max="4358" width="4.140625" style="136" customWidth="1"/>
    <col min="4359" max="4366" width="15.42578125" style="136" customWidth="1"/>
    <col min="4367" max="4367" width="5.28515625" style="136" customWidth="1"/>
    <col min="4368" max="4608" width="9.140625" style="136"/>
    <col min="4609" max="4609" width="4.85546875" style="136" customWidth="1"/>
    <col min="4610" max="4610" width="62" style="136" customWidth="1"/>
    <col min="4611" max="4611" width="4.42578125" style="136" customWidth="1"/>
    <col min="4612" max="4612" width="18.28515625" style="136" customWidth="1"/>
    <col min="4613" max="4613" width="5.85546875" style="136" customWidth="1"/>
    <col min="4614" max="4614" width="4.140625" style="136" customWidth="1"/>
    <col min="4615" max="4622" width="15.42578125" style="136" customWidth="1"/>
    <col min="4623" max="4623" width="5.28515625" style="136" customWidth="1"/>
    <col min="4624" max="4864" width="9.140625" style="136"/>
    <col min="4865" max="4865" width="4.85546875" style="136" customWidth="1"/>
    <col min="4866" max="4866" width="62" style="136" customWidth="1"/>
    <col min="4867" max="4867" width="4.42578125" style="136" customWidth="1"/>
    <col min="4868" max="4868" width="18.28515625" style="136" customWidth="1"/>
    <col min="4869" max="4869" width="5.85546875" style="136" customWidth="1"/>
    <col min="4870" max="4870" width="4.140625" style="136" customWidth="1"/>
    <col min="4871" max="4878" width="15.42578125" style="136" customWidth="1"/>
    <col min="4879" max="4879" width="5.28515625" style="136" customWidth="1"/>
    <col min="4880" max="5120" width="9.140625" style="136"/>
    <col min="5121" max="5121" width="4.85546875" style="136" customWidth="1"/>
    <col min="5122" max="5122" width="62" style="136" customWidth="1"/>
    <col min="5123" max="5123" width="4.42578125" style="136" customWidth="1"/>
    <col min="5124" max="5124" width="18.28515625" style="136" customWidth="1"/>
    <col min="5125" max="5125" width="5.85546875" style="136" customWidth="1"/>
    <col min="5126" max="5126" width="4.140625" style="136" customWidth="1"/>
    <col min="5127" max="5134" width="15.42578125" style="136" customWidth="1"/>
    <col min="5135" max="5135" width="5.28515625" style="136" customWidth="1"/>
    <col min="5136" max="5376" width="9.140625" style="136"/>
    <col min="5377" max="5377" width="4.85546875" style="136" customWidth="1"/>
    <col min="5378" max="5378" width="62" style="136" customWidth="1"/>
    <col min="5379" max="5379" width="4.42578125" style="136" customWidth="1"/>
    <col min="5380" max="5380" width="18.28515625" style="136" customWidth="1"/>
    <col min="5381" max="5381" width="5.85546875" style="136" customWidth="1"/>
    <col min="5382" max="5382" width="4.140625" style="136" customWidth="1"/>
    <col min="5383" max="5390" width="15.42578125" style="136" customWidth="1"/>
    <col min="5391" max="5391" width="5.28515625" style="136" customWidth="1"/>
    <col min="5392" max="5632" width="9.140625" style="136"/>
    <col min="5633" max="5633" width="4.85546875" style="136" customWidth="1"/>
    <col min="5634" max="5634" width="62" style="136" customWidth="1"/>
    <col min="5635" max="5635" width="4.42578125" style="136" customWidth="1"/>
    <col min="5636" max="5636" width="18.28515625" style="136" customWidth="1"/>
    <col min="5637" max="5637" width="5.85546875" style="136" customWidth="1"/>
    <col min="5638" max="5638" width="4.140625" style="136" customWidth="1"/>
    <col min="5639" max="5646" width="15.42578125" style="136" customWidth="1"/>
    <col min="5647" max="5647" width="5.28515625" style="136" customWidth="1"/>
    <col min="5648" max="5888" width="9.140625" style="136"/>
    <col min="5889" max="5889" width="4.85546875" style="136" customWidth="1"/>
    <col min="5890" max="5890" width="62" style="136" customWidth="1"/>
    <col min="5891" max="5891" width="4.42578125" style="136" customWidth="1"/>
    <col min="5892" max="5892" width="18.28515625" style="136" customWidth="1"/>
    <col min="5893" max="5893" width="5.85546875" style="136" customWidth="1"/>
    <col min="5894" max="5894" width="4.140625" style="136" customWidth="1"/>
    <col min="5895" max="5902" width="15.42578125" style="136" customWidth="1"/>
    <col min="5903" max="5903" width="5.28515625" style="136" customWidth="1"/>
    <col min="5904" max="6144" width="9.140625" style="136"/>
    <col min="6145" max="6145" width="4.85546875" style="136" customWidth="1"/>
    <col min="6146" max="6146" width="62" style="136" customWidth="1"/>
    <col min="6147" max="6147" width="4.42578125" style="136" customWidth="1"/>
    <col min="6148" max="6148" width="18.28515625" style="136" customWidth="1"/>
    <col min="6149" max="6149" width="5.85546875" style="136" customWidth="1"/>
    <col min="6150" max="6150" width="4.140625" style="136" customWidth="1"/>
    <col min="6151" max="6158" width="15.42578125" style="136" customWidth="1"/>
    <col min="6159" max="6159" width="5.28515625" style="136" customWidth="1"/>
    <col min="6160" max="6400" width="9.140625" style="136"/>
    <col min="6401" max="6401" width="4.85546875" style="136" customWidth="1"/>
    <col min="6402" max="6402" width="62" style="136" customWidth="1"/>
    <col min="6403" max="6403" width="4.42578125" style="136" customWidth="1"/>
    <col min="6404" max="6404" width="18.28515625" style="136" customWidth="1"/>
    <col min="6405" max="6405" width="5.85546875" style="136" customWidth="1"/>
    <col min="6406" max="6406" width="4.140625" style="136" customWidth="1"/>
    <col min="6407" max="6414" width="15.42578125" style="136" customWidth="1"/>
    <col min="6415" max="6415" width="5.28515625" style="136" customWidth="1"/>
    <col min="6416" max="6656" width="9.140625" style="136"/>
    <col min="6657" max="6657" width="4.85546875" style="136" customWidth="1"/>
    <col min="6658" max="6658" width="62" style="136" customWidth="1"/>
    <col min="6659" max="6659" width="4.42578125" style="136" customWidth="1"/>
    <col min="6660" max="6660" width="18.28515625" style="136" customWidth="1"/>
    <col min="6661" max="6661" width="5.85546875" style="136" customWidth="1"/>
    <col min="6662" max="6662" width="4.140625" style="136" customWidth="1"/>
    <col min="6663" max="6670" width="15.42578125" style="136" customWidth="1"/>
    <col min="6671" max="6671" width="5.28515625" style="136" customWidth="1"/>
    <col min="6672" max="6912" width="9.140625" style="136"/>
    <col min="6913" max="6913" width="4.85546875" style="136" customWidth="1"/>
    <col min="6914" max="6914" width="62" style="136" customWidth="1"/>
    <col min="6915" max="6915" width="4.42578125" style="136" customWidth="1"/>
    <col min="6916" max="6916" width="18.28515625" style="136" customWidth="1"/>
    <col min="6917" max="6917" width="5.85546875" style="136" customWidth="1"/>
    <col min="6918" max="6918" width="4.140625" style="136" customWidth="1"/>
    <col min="6919" max="6926" width="15.42578125" style="136" customWidth="1"/>
    <col min="6927" max="6927" width="5.28515625" style="136" customWidth="1"/>
    <col min="6928" max="7168" width="9.140625" style="136"/>
    <col min="7169" max="7169" width="4.85546875" style="136" customWidth="1"/>
    <col min="7170" max="7170" width="62" style="136" customWidth="1"/>
    <col min="7171" max="7171" width="4.42578125" style="136" customWidth="1"/>
    <col min="7172" max="7172" width="18.28515625" style="136" customWidth="1"/>
    <col min="7173" max="7173" width="5.85546875" style="136" customWidth="1"/>
    <col min="7174" max="7174" width="4.140625" style="136" customWidth="1"/>
    <col min="7175" max="7182" width="15.42578125" style="136" customWidth="1"/>
    <col min="7183" max="7183" width="5.28515625" style="136" customWidth="1"/>
    <col min="7184" max="7424" width="9.140625" style="136"/>
    <col min="7425" max="7425" width="4.85546875" style="136" customWidth="1"/>
    <col min="7426" max="7426" width="62" style="136" customWidth="1"/>
    <col min="7427" max="7427" width="4.42578125" style="136" customWidth="1"/>
    <col min="7428" max="7428" width="18.28515625" style="136" customWidth="1"/>
    <col min="7429" max="7429" width="5.85546875" style="136" customWidth="1"/>
    <col min="7430" max="7430" width="4.140625" style="136" customWidth="1"/>
    <col min="7431" max="7438" width="15.42578125" style="136" customWidth="1"/>
    <col min="7439" max="7439" width="5.28515625" style="136" customWidth="1"/>
    <col min="7440" max="7680" width="9.140625" style="136"/>
    <col min="7681" max="7681" width="4.85546875" style="136" customWidth="1"/>
    <col min="7682" max="7682" width="62" style="136" customWidth="1"/>
    <col min="7683" max="7683" width="4.42578125" style="136" customWidth="1"/>
    <col min="7684" max="7684" width="18.28515625" style="136" customWidth="1"/>
    <col min="7685" max="7685" width="5.85546875" style="136" customWidth="1"/>
    <col min="7686" max="7686" width="4.140625" style="136" customWidth="1"/>
    <col min="7687" max="7694" width="15.42578125" style="136" customWidth="1"/>
    <col min="7695" max="7695" width="5.28515625" style="136" customWidth="1"/>
    <col min="7696" max="7936" width="9.140625" style="136"/>
    <col min="7937" max="7937" width="4.85546875" style="136" customWidth="1"/>
    <col min="7938" max="7938" width="62" style="136" customWidth="1"/>
    <col min="7939" max="7939" width="4.42578125" style="136" customWidth="1"/>
    <col min="7940" max="7940" width="18.28515625" style="136" customWidth="1"/>
    <col min="7941" max="7941" width="5.85546875" style="136" customWidth="1"/>
    <col min="7942" max="7942" width="4.140625" style="136" customWidth="1"/>
    <col min="7943" max="7950" width="15.42578125" style="136" customWidth="1"/>
    <col min="7951" max="7951" width="5.28515625" style="136" customWidth="1"/>
    <col min="7952" max="8192" width="9.140625" style="136"/>
    <col min="8193" max="8193" width="4.85546875" style="136" customWidth="1"/>
    <col min="8194" max="8194" width="62" style="136" customWidth="1"/>
    <col min="8195" max="8195" width="4.42578125" style="136" customWidth="1"/>
    <col min="8196" max="8196" width="18.28515625" style="136" customWidth="1"/>
    <col min="8197" max="8197" width="5.85546875" style="136" customWidth="1"/>
    <col min="8198" max="8198" width="4.140625" style="136" customWidth="1"/>
    <col min="8199" max="8206" width="15.42578125" style="136" customWidth="1"/>
    <col min="8207" max="8207" width="5.28515625" style="136" customWidth="1"/>
    <col min="8208" max="8448" width="9.140625" style="136"/>
    <col min="8449" max="8449" width="4.85546875" style="136" customWidth="1"/>
    <col min="8450" max="8450" width="62" style="136" customWidth="1"/>
    <col min="8451" max="8451" width="4.42578125" style="136" customWidth="1"/>
    <col min="8452" max="8452" width="18.28515625" style="136" customWidth="1"/>
    <col min="8453" max="8453" width="5.85546875" style="136" customWidth="1"/>
    <col min="8454" max="8454" width="4.140625" style="136" customWidth="1"/>
    <col min="8455" max="8462" width="15.42578125" style="136" customWidth="1"/>
    <col min="8463" max="8463" width="5.28515625" style="136" customWidth="1"/>
    <col min="8464" max="8704" width="9.140625" style="136"/>
    <col min="8705" max="8705" width="4.85546875" style="136" customWidth="1"/>
    <col min="8706" max="8706" width="62" style="136" customWidth="1"/>
    <col min="8707" max="8707" width="4.42578125" style="136" customWidth="1"/>
    <col min="8708" max="8708" width="18.28515625" style="136" customWidth="1"/>
    <col min="8709" max="8709" width="5.85546875" style="136" customWidth="1"/>
    <col min="8710" max="8710" width="4.140625" style="136" customWidth="1"/>
    <col min="8711" max="8718" width="15.42578125" style="136" customWidth="1"/>
    <col min="8719" max="8719" width="5.28515625" style="136" customWidth="1"/>
    <col min="8720" max="8960" width="9.140625" style="136"/>
    <col min="8961" max="8961" width="4.85546875" style="136" customWidth="1"/>
    <col min="8962" max="8962" width="62" style="136" customWidth="1"/>
    <col min="8963" max="8963" width="4.42578125" style="136" customWidth="1"/>
    <col min="8964" max="8964" width="18.28515625" style="136" customWidth="1"/>
    <col min="8965" max="8965" width="5.85546875" style="136" customWidth="1"/>
    <col min="8966" max="8966" width="4.140625" style="136" customWidth="1"/>
    <col min="8967" max="8974" width="15.42578125" style="136" customWidth="1"/>
    <col min="8975" max="8975" width="5.28515625" style="136" customWidth="1"/>
    <col min="8976" max="9216" width="9.140625" style="136"/>
    <col min="9217" max="9217" width="4.85546875" style="136" customWidth="1"/>
    <col min="9218" max="9218" width="62" style="136" customWidth="1"/>
    <col min="9219" max="9219" width="4.42578125" style="136" customWidth="1"/>
    <col min="9220" max="9220" width="18.28515625" style="136" customWidth="1"/>
    <col min="9221" max="9221" width="5.85546875" style="136" customWidth="1"/>
    <col min="9222" max="9222" width="4.140625" style="136" customWidth="1"/>
    <col min="9223" max="9230" width="15.42578125" style="136" customWidth="1"/>
    <col min="9231" max="9231" width="5.28515625" style="136" customWidth="1"/>
    <col min="9232" max="9472" width="9.140625" style="136"/>
    <col min="9473" max="9473" width="4.85546875" style="136" customWidth="1"/>
    <col min="9474" max="9474" width="62" style="136" customWidth="1"/>
    <col min="9475" max="9475" width="4.42578125" style="136" customWidth="1"/>
    <col min="9476" max="9476" width="18.28515625" style="136" customWidth="1"/>
    <col min="9477" max="9477" width="5.85546875" style="136" customWidth="1"/>
    <col min="9478" max="9478" width="4.140625" style="136" customWidth="1"/>
    <col min="9479" max="9486" width="15.42578125" style="136" customWidth="1"/>
    <col min="9487" max="9487" width="5.28515625" style="136" customWidth="1"/>
    <col min="9488" max="9728" width="9.140625" style="136"/>
    <col min="9729" max="9729" width="4.85546875" style="136" customWidth="1"/>
    <col min="9730" max="9730" width="62" style="136" customWidth="1"/>
    <col min="9731" max="9731" width="4.42578125" style="136" customWidth="1"/>
    <col min="9732" max="9732" width="18.28515625" style="136" customWidth="1"/>
    <col min="9733" max="9733" width="5.85546875" style="136" customWidth="1"/>
    <col min="9734" max="9734" width="4.140625" style="136" customWidth="1"/>
    <col min="9735" max="9742" width="15.42578125" style="136" customWidth="1"/>
    <col min="9743" max="9743" width="5.28515625" style="136" customWidth="1"/>
    <col min="9744" max="9984" width="9.140625" style="136"/>
    <col min="9985" max="9985" width="4.85546875" style="136" customWidth="1"/>
    <col min="9986" max="9986" width="62" style="136" customWidth="1"/>
    <col min="9987" max="9987" width="4.42578125" style="136" customWidth="1"/>
    <col min="9988" max="9988" width="18.28515625" style="136" customWidth="1"/>
    <col min="9989" max="9989" width="5.85546875" style="136" customWidth="1"/>
    <col min="9990" max="9990" width="4.140625" style="136" customWidth="1"/>
    <col min="9991" max="9998" width="15.42578125" style="136" customWidth="1"/>
    <col min="9999" max="9999" width="5.28515625" style="136" customWidth="1"/>
    <col min="10000" max="10240" width="9.140625" style="136"/>
    <col min="10241" max="10241" width="4.85546875" style="136" customWidth="1"/>
    <col min="10242" max="10242" width="62" style="136" customWidth="1"/>
    <col min="10243" max="10243" width="4.42578125" style="136" customWidth="1"/>
    <col min="10244" max="10244" width="18.28515625" style="136" customWidth="1"/>
    <col min="10245" max="10245" width="5.85546875" style="136" customWidth="1"/>
    <col min="10246" max="10246" width="4.140625" style="136" customWidth="1"/>
    <col min="10247" max="10254" width="15.42578125" style="136" customWidth="1"/>
    <col min="10255" max="10255" width="5.28515625" style="136" customWidth="1"/>
    <col min="10256" max="10496" width="9.140625" style="136"/>
    <col min="10497" max="10497" width="4.85546875" style="136" customWidth="1"/>
    <col min="10498" max="10498" width="62" style="136" customWidth="1"/>
    <col min="10499" max="10499" width="4.42578125" style="136" customWidth="1"/>
    <col min="10500" max="10500" width="18.28515625" style="136" customWidth="1"/>
    <col min="10501" max="10501" width="5.85546875" style="136" customWidth="1"/>
    <col min="10502" max="10502" width="4.140625" style="136" customWidth="1"/>
    <col min="10503" max="10510" width="15.42578125" style="136" customWidth="1"/>
    <col min="10511" max="10511" width="5.28515625" style="136" customWidth="1"/>
    <col min="10512" max="10752" width="9.140625" style="136"/>
    <col min="10753" max="10753" width="4.85546875" style="136" customWidth="1"/>
    <col min="10754" max="10754" width="62" style="136" customWidth="1"/>
    <col min="10755" max="10755" width="4.42578125" style="136" customWidth="1"/>
    <col min="10756" max="10756" width="18.28515625" style="136" customWidth="1"/>
    <col min="10757" max="10757" width="5.85546875" style="136" customWidth="1"/>
    <col min="10758" max="10758" width="4.140625" style="136" customWidth="1"/>
    <col min="10759" max="10766" width="15.42578125" style="136" customWidth="1"/>
    <col min="10767" max="10767" width="5.28515625" style="136" customWidth="1"/>
    <col min="10768" max="11008" width="9.140625" style="136"/>
    <col min="11009" max="11009" width="4.85546875" style="136" customWidth="1"/>
    <col min="11010" max="11010" width="62" style="136" customWidth="1"/>
    <col min="11011" max="11011" width="4.42578125" style="136" customWidth="1"/>
    <col min="11012" max="11012" width="18.28515625" style="136" customWidth="1"/>
    <col min="11013" max="11013" width="5.85546875" style="136" customWidth="1"/>
    <col min="11014" max="11014" width="4.140625" style="136" customWidth="1"/>
    <col min="11015" max="11022" width="15.42578125" style="136" customWidth="1"/>
    <col min="11023" max="11023" width="5.28515625" style="136" customWidth="1"/>
    <col min="11024" max="11264" width="9.140625" style="136"/>
    <col min="11265" max="11265" width="4.85546875" style="136" customWidth="1"/>
    <col min="11266" max="11266" width="62" style="136" customWidth="1"/>
    <col min="11267" max="11267" width="4.42578125" style="136" customWidth="1"/>
    <col min="11268" max="11268" width="18.28515625" style="136" customWidth="1"/>
    <col min="11269" max="11269" width="5.85546875" style="136" customWidth="1"/>
    <col min="11270" max="11270" width="4.140625" style="136" customWidth="1"/>
    <col min="11271" max="11278" width="15.42578125" style="136" customWidth="1"/>
    <col min="11279" max="11279" width="5.28515625" style="136" customWidth="1"/>
    <col min="11280" max="11520" width="9.140625" style="136"/>
    <col min="11521" max="11521" width="4.85546875" style="136" customWidth="1"/>
    <col min="11522" max="11522" width="62" style="136" customWidth="1"/>
    <col min="11523" max="11523" width="4.42578125" style="136" customWidth="1"/>
    <col min="11524" max="11524" width="18.28515625" style="136" customWidth="1"/>
    <col min="11525" max="11525" width="5.85546875" style="136" customWidth="1"/>
    <col min="11526" max="11526" width="4.140625" style="136" customWidth="1"/>
    <col min="11527" max="11534" width="15.42578125" style="136" customWidth="1"/>
    <col min="11535" max="11535" width="5.28515625" style="136" customWidth="1"/>
    <col min="11536" max="11776" width="9.140625" style="136"/>
    <col min="11777" max="11777" width="4.85546875" style="136" customWidth="1"/>
    <col min="11778" max="11778" width="62" style="136" customWidth="1"/>
    <col min="11779" max="11779" width="4.42578125" style="136" customWidth="1"/>
    <col min="11780" max="11780" width="18.28515625" style="136" customWidth="1"/>
    <col min="11781" max="11781" width="5.85546875" style="136" customWidth="1"/>
    <col min="11782" max="11782" width="4.140625" style="136" customWidth="1"/>
    <col min="11783" max="11790" width="15.42578125" style="136" customWidth="1"/>
    <col min="11791" max="11791" width="5.28515625" style="136" customWidth="1"/>
    <col min="11792" max="12032" width="9.140625" style="136"/>
    <col min="12033" max="12033" width="4.85546875" style="136" customWidth="1"/>
    <col min="12034" max="12034" width="62" style="136" customWidth="1"/>
    <col min="12035" max="12035" width="4.42578125" style="136" customWidth="1"/>
    <col min="12036" max="12036" width="18.28515625" style="136" customWidth="1"/>
    <col min="12037" max="12037" width="5.85546875" style="136" customWidth="1"/>
    <col min="12038" max="12038" width="4.140625" style="136" customWidth="1"/>
    <col min="12039" max="12046" width="15.42578125" style="136" customWidth="1"/>
    <col min="12047" max="12047" width="5.28515625" style="136" customWidth="1"/>
    <col min="12048" max="12288" width="9.140625" style="136"/>
    <col min="12289" max="12289" width="4.85546875" style="136" customWidth="1"/>
    <col min="12290" max="12290" width="62" style="136" customWidth="1"/>
    <col min="12291" max="12291" width="4.42578125" style="136" customWidth="1"/>
    <col min="12292" max="12292" width="18.28515625" style="136" customWidth="1"/>
    <col min="12293" max="12293" width="5.85546875" style="136" customWidth="1"/>
    <col min="12294" max="12294" width="4.140625" style="136" customWidth="1"/>
    <col min="12295" max="12302" width="15.42578125" style="136" customWidth="1"/>
    <col min="12303" max="12303" width="5.28515625" style="136" customWidth="1"/>
    <col min="12304" max="12544" width="9.140625" style="136"/>
    <col min="12545" max="12545" width="4.85546875" style="136" customWidth="1"/>
    <col min="12546" max="12546" width="62" style="136" customWidth="1"/>
    <col min="12547" max="12547" width="4.42578125" style="136" customWidth="1"/>
    <col min="12548" max="12548" width="18.28515625" style="136" customWidth="1"/>
    <col min="12549" max="12549" width="5.85546875" style="136" customWidth="1"/>
    <col min="12550" max="12550" width="4.140625" style="136" customWidth="1"/>
    <col min="12551" max="12558" width="15.42578125" style="136" customWidth="1"/>
    <col min="12559" max="12559" width="5.28515625" style="136" customWidth="1"/>
    <col min="12560" max="12800" width="9.140625" style="136"/>
    <col min="12801" max="12801" width="4.85546875" style="136" customWidth="1"/>
    <col min="12802" max="12802" width="62" style="136" customWidth="1"/>
    <col min="12803" max="12803" width="4.42578125" style="136" customWidth="1"/>
    <col min="12804" max="12804" width="18.28515625" style="136" customWidth="1"/>
    <col min="12805" max="12805" width="5.85546875" style="136" customWidth="1"/>
    <col min="12806" max="12806" width="4.140625" style="136" customWidth="1"/>
    <col min="12807" max="12814" width="15.42578125" style="136" customWidth="1"/>
    <col min="12815" max="12815" width="5.28515625" style="136" customWidth="1"/>
    <col min="12816" max="13056" width="9.140625" style="136"/>
    <col min="13057" max="13057" width="4.85546875" style="136" customWidth="1"/>
    <col min="13058" max="13058" width="62" style="136" customWidth="1"/>
    <col min="13059" max="13059" width="4.42578125" style="136" customWidth="1"/>
    <col min="13060" max="13060" width="18.28515625" style="136" customWidth="1"/>
    <col min="13061" max="13061" width="5.85546875" style="136" customWidth="1"/>
    <col min="13062" max="13062" width="4.140625" style="136" customWidth="1"/>
    <col min="13063" max="13070" width="15.42578125" style="136" customWidth="1"/>
    <col min="13071" max="13071" width="5.28515625" style="136" customWidth="1"/>
    <col min="13072" max="13312" width="9.140625" style="136"/>
    <col min="13313" max="13313" width="4.85546875" style="136" customWidth="1"/>
    <col min="13314" max="13314" width="62" style="136" customWidth="1"/>
    <col min="13315" max="13315" width="4.42578125" style="136" customWidth="1"/>
    <col min="13316" max="13316" width="18.28515625" style="136" customWidth="1"/>
    <col min="13317" max="13317" width="5.85546875" style="136" customWidth="1"/>
    <col min="13318" max="13318" width="4.140625" style="136" customWidth="1"/>
    <col min="13319" max="13326" width="15.42578125" style="136" customWidth="1"/>
    <col min="13327" max="13327" width="5.28515625" style="136" customWidth="1"/>
    <col min="13328" max="13568" width="9.140625" style="136"/>
    <col min="13569" max="13569" width="4.85546875" style="136" customWidth="1"/>
    <col min="13570" max="13570" width="62" style="136" customWidth="1"/>
    <col min="13571" max="13571" width="4.42578125" style="136" customWidth="1"/>
    <col min="13572" max="13572" width="18.28515625" style="136" customWidth="1"/>
    <col min="13573" max="13573" width="5.85546875" style="136" customWidth="1"/>
    <col min="13574" max="13574" width="4.140625" style="136" customWidth="1"/>
    <col min="13575" max="13582" width="15.42578125" style="136" customWidth="1"/>
    <col min="13583" max="13583" width="5.28515625" style="136" customWidth="1"/>
    <col min="13584" max="13824" width="9.140625" style="136"/>
    <col min="13825" max="13825" width="4.85546875" style="136" customWidth="1"/>
    <col min="13826" max="13826" width="62" style="136" customWidth="1"/>
    <col min="13827" max="13827" width="4.42578125" style="136" customWidth="1"/>
    <col min="13828" max="13828" width="18.28515625" style="136" customWidth="1"/>
    <col min="13829" max="13829" width="5.85546875" style="136" customWidth="1"/>
    <col min="13830" max="13830" width="4.140625" style="136" customWidth="1"/>
    <col min="13831" max="13838" width="15.42578125" style="136" customWidth="1"/>
    <col min="13839" max="13839" width="5.28515625" style="136" customWidth="1"/>
    <col min="13840" max="14080" width="9.140625" style="136"/>
    <col min="14081" max="14081" width="4.85546875" style="136" customWidth="1"/>
    <col min="14082" max="14082" width="62" style="136" customWidth="1"/>
    <col min="14083" max="14083" width="4.42578125" style="136" customWidth="1"/>
    <col min="14084" max="14084" width="18.28515625" style="136" customWidth="1"/>
    <col min="14085" max="14085" width="5.85546875" style="136" customWidth="1"/>
    <col min="14086" max="14086" width="4.140625" style="136" customWidth="1"/>
    <col min="14087" max="14094" width="15.42578125" style="136" customWidth="1"/>
    <col min="14095" max="14095" width="5.28515625" style="136" customWidth="1"/>
    <col min="14096" max="14336" width="9.140625" style="136"/>
    <col min="14337" max="14337" width="4.85546875" style="136" customWidth="1"/>
    <col min="14338" max="14338" width="62" style="136" customWidth="1"/>
    <col min="14339" max="14339" width="4.42578125" style="136" customWidth="1"/>
    <col min="14340" max="14340" width="18.28515625" style="136" customWidth="1"/>
    <col min="14341" max="14341" width="5.85546875" style="136" customWidth="1"/>
    <col min="14342" max="14342" width="4.140625" style="136" customWidth="1"/>
    <col min="14343" max="14350" width="15.42578125" style="136" customWidth="1"/>
    <col min="14351" max="14351" width="5.28515625" style="136" customWidth="1"/>
    <col min="14352" max="14592" width="9.140625" style="136"/>
    <col min="14593" max="14593" width="4.85546875" style="136" customWidth="1"/>
    <col min="14594" max="14594" width="62" style="136" customWidth="1"/>
    <col min="14595" max="14595" width="4.42578125" style="136" customWidth="1"/>
    <col min="14596" max="14596" width="18.28515625" style="136" customWidth="1"/>
    <col min="14597" max="14597" width="5.85546875" style="136" customWidth="1"/>
    <col min="14598" max="14598" width="4.140625" style="136" customWidth="1"/>
    <col min="14599" max="14606" width="15.42578125" style="136" customWidth="1"/>
    <col min="14607" max="14607" width="5.28515625" style="136" customWidth="1"/>
    <col min="14608" max="14848" width="9.140625" style="136"/>
    <col min="14849" max="14849" width="4.85546875" style="136" customWidth="1"/>
    <col min="14850" max="14850" width="62" style="136" customWidth="1"/>
    <col min="14851" max="14851" width="4.42578125" style="136" customWidth="1"/>
    <col min="14852" max="14852" width="18.28515625" style="136" customWidth="1"/>
    <col min="14853" max="14853" width="5.85546875" style="136" customWidth="1"/>
    <col min="14854" max="14854" width="4.140625" style="136" customWidth="1"/>
    <col min="14855" max="14862" width="15.42578125" style="136" customWidth="1"/>
    <col min="14863" max="14863" width="5.28515625" style="136" customWidth="1"/>
    <col min="14864" max="15104" width="9.140625" style="136"/>
    <col min="15105" max="15105" width="4.85546875" style="136" customWidth="1"/>
    <col min="15106" max="15106" width="62" style="136" customWidth="1"/>
    <col min="15107" max="15107" width="4.42578125" style="136" customWidth="1"/>
    <col min="15108" max="15108" width="18.28515625" style="136" customWidth="1"/>
    <col min="15109" max="15109" width="5.85546875" style="136" customWidth="1"/>
    <col min="15110" max="15110" width="4.140625" style="136" customWidth="1"/>
    <col min="15111" max="15118" width="15.42578125" style="136" customWidth="1"/>
    <col min="15119" max="15119" width="5.28515625" style="136" customWidth="1"/>
    <col min="15120" max="15360" width="9.140625" style="136"/>
    <col min="15361" max="15361" width="4.85546875" style="136" customWidth="1"/>
    <col min="15362" max="15362" width="62" style="136" customWidth="1"/>
    <col min="15363" max="15363" width="4.42578125" style="136" customWidth="1"/>
    <col min="15364" max="15364" width="18.28515625" style="136" customWidth="1"/>
    <col min="15365" max="15365" width="5.85546875" style="136" customWidth="1"/>
    <col min="15366" max="15366" width="4.140625" style="136" customWidth="1"/>
    <col min="15367" max="15374" width="15.42578125" style="136" customWidth="1"/>
    <col min="15375" max="15375" width="5.28515625" style="136" customWidth="1"/>
    <col min="15376" max="15616" width="9.140625" style="136"/>
    <col min="15617" max="15617" width="4.85546875" style="136" customWidth="1"/>
    <col min="15618" max="15618" width="62" style="136" customWidth="1"/>
    <col min="15619" max="15619" width="4.42578125" style="136" customWidth="1"/>
    <col min="15620" max="15620" width="18.28515625" style="136" customWidth="1"/>
    <col min="15621" max="15621" width="5.85546875" style="136" customWidth="1"/>
    <col min="15622" max="15622" width="4.140625" style="136" customWidth="1"/>
    <col min="15623" max="15630" width="15.42578125" style="136" customWidth="1"/>
    <col min="15631" max="15631" width="5.28515625" style="136" customWidth="1"/>
    <col min="15632" max="15872" width="9.140625" style="136"/>
    <col min="15873" max="15873" width="4.85546875" style="136" customWidth="1"/>
    <col min="15874" max="15874" width="62" style="136" customWidth="1"/>
    <col min="15875" max="15875" width="4.42578125" style="136" customWidth="1"/>
    <col min="15876" max="15876" width="18.28515625" style="136" customWidth="1"/>
    <col min="15877" max="15877" width="5.85546875" style="136" customWidth="1"/>
    <col min="15878" max="15878" width="4.140625" style="136" customWidth="1"/>
    <col min="15879" max="15886" width="15.42578125" style="136" customWidth="1"/>
    <col min="15887" max="15887" width="5.28515625" style="136" customWidth="1"/>
    <col min="15888" max="16128" width="9.140625" style="136"/>
    <col min="16129" max="16129" width="4.85546875" style="136" customWidth="1"/>
    <col min="16130" max="16130" width="62" style="136" customWidth="1"/>
    <col min="16131" max="16131" width="4.42578125" style="136" customWidth="1"/>
    <col min="16132" max="16132" width="18.28515625" style="136" customWidth="1"/>
    <col min="16133" max="16133" width="5.85546875" style="136" customWidth="1"/>
    <col min="16134" max="16134" width="4.140625" style="136" customWidth="1"/>
    <col min="16135" max="16142" width="15.42578125" style="136" customWidth="1"/>
    <col min="16143" max="16143" width="5.28515625" style="136" customWidth="1"/>
    <col min="16144" max="16384" width="9.140625" style="136"/>
  </cols>
  <sheetData>
    <row r="2" spans="2:2" s="135" customFormat="1" ht="30" customHeight="1">
      <c r="B2" s="83" t="s">
        <v>284</v>
      </c>
    </row>
    <row r="5" spans="2:2" s="140" customFormat="1">
      <c r="B5" s="139" t="s">
        <v>42</v>
      </c>
    </row>
    <row r="6" spans="2:2">
      <c r="B6" s="138"/>
    </row>
    <row r="7" spans="2:2">
      <c r="B7" s="138" t="s">
        <v>376</v>
      </c>
    </row>
    <row r="8" spans="2:2">
      <c r="B8" s="138" t="s">
        <v>368</v>
      </c>
    </row>
    <row r="9" spans="2:2">
      <c r="B9" s="138" t="s">
        <v>479</v>
      </c>
    </row>
    <row r="10" spans="2:2">
      <c r="B10" s="138" t="s">
        <v>374</v>
      </c>
    </row>
    <row r="11" spans="2:2" s="41" customFormat="1">
      <c r="B11" s="112"/>
    </row>
    <row r="12" spans="2:2" s="41" customFormat="1">
      <c r="B12" s="112" t="s">
        <v>375</v>
      </c>
    </row>
    <row r="13" spans="2:2" s="41" customFormat="1">
      <c r="B13" s="112" t="s">
        <v>369</v>
      </c>
    </row>
    <row r="14" spans="2:2" s="41" customFormat="1">
      <c r="B14" s="112" t="s">
        <v>285</v>
      </c>
    </row>
    <row r="15" spans="2:2" s="41" customFormat="1">
      <c r="B15" s="112" t="s">
        <v>373</v>
      </c>
    </row>
    <row r="16" spans="2:2" s="41" customFormat="1">
      <c r="B16" s="112" t="s">
        <v>286</v>
      </c>
    </row>
    <row r="17" spans="1:14" s="41" customFormat="1">
      <c r="B17" s="112" t="s">
        <v>287</v>
      </c>
    </row>
    <row r="18" spans="1:14" s="41" customFormat="1">
      <c r="B18" s="112"/>
    </row>
    <row r="19" spans="1:14" s="41" customFormat="1">
      <c r="B19" s="113" t="s">
        <v>354</v>
      </c>
      <c r="C19" s="86"/>
    </row>
    <row r="20" spans="1:14" s="41" customFormat="1">
      <c r="B20" s="85" t="s">
        <v>168</v>
      </c>
      <c r="C20" s="86"/>
      <c r="D20" s="107">
        <f>CPI!C7</f>
        <v>1.4E-2</v>
      </c>
      <c r="G20" s="23"/>
    </row>
    <row r="21" spans="1:14" s="41" customFormat="1">
      <c r="B21" s="85" t="s">
        <v>169</v>
      </c>
      <c r="C21" s="86"/>
      <c r="D21" s="107">
        <f>CPI!C8</f>
        <v>1.0999999999999999E-2</v>
      </c>
      <c r="G21" s="23"/>
    </row>
    <row r="22" spans="1:14" s="41" customFormat="1">
      <c r="B22" s="85" t="s">
        <v>66</v>
      </c>
      <c r="C22" s="86"/>
      <c r="D22" s="107">
        <f>CPI!C9</f>
        <v>3.2000000000000001E-2</v>
      </c>
      <c r="G22" s="23"/>
    </row>
    <row r="23" spans="1:14" s="41" customFormat="1">
      <c r="B23" s="85" t="s">
        <v>67</v>
      </c>
      <c r="C23" s="86"/>
      <c r="D23" s="107">
        <f>CPI!C10</f>
        <v>3.0000000000000001E-3</v>
      </c>
      <c r="G23" s="23"/>
    </row>
    <row r="24" spans="1:14" s="41" customFormat="1">
      <c r="B24" s="85"/>
      <c r="C24" s="86"/>
      <c r="G24" s="23"/>
    </row>
    <row r="25" spans="1:14" s="41" customFormat="1"/>
    <row r="26" spans="1:14" s="43" customFormat="1">
      <c r="B26" s="42" t="s">
        <v>288</v>
      </c>
    </row>
    <row r="27" spans="1:14" s="41" customFormat="1"/>
    <row r="28" spans="1:14" s="41" customFormat="1">
      <c r="A28" s="326"/>
      <c r="G28" s="120"/>
      <c r="H28" s="120"/>
      <c r="I28" s="120"/>
      <c r="J28" s="120"/>
      <c r="K28" s="120"/>
      <c r="L28" s="120"/>
      <c r="M28" s="120"/>
      <c r="N28" s="120"/>
    </row>
    <row r="29" spans="1:14" s="146" customFormat="1" ht="73.5" customHeight="1">
      <c r="A29" s="327"/>
      <c r="B29" s="87" t="s">
        <v>292</v>
      </c>
      <c r="C29" s="87"/>
      <c r="D29" s="87"/>
      <c r="E29" s="87"/>
      <c r="F29" s="87"/>
      <c r="G29" s="88" t="s">
        <v>2</v>
      </c>
      <c r="H29" s="88" t="s">
        <v>3</v>
      </c>
      <c r="I29" s="88" t="s">
        <v>4</v>
      </c>
      <c r="J29" s="88" t="s">
        <v>5</v>
      </c>
      <c r="K29" s="88" t="s">
        <v>6</v>
      </c>
      <c r="L29" s="88" t="s">
        <v>7</v>
      </c>
      <c r="M29" s="88" t="s">
        <v>8</v>
      </c>
      <c r="N29" s="88" t="s">
        <v>9</v>
      </c>
    </row>
    <row r="30" spans="1:14" s="148" customFormat="1" ht="11.25">
      <c r="A30" s="328"/>
      <c r="B30" s="147"/>
      <c r="C30" s="147"/>
      <c r="D30" s="147"/>
      <c r="E30" s="147"/>
      <c r="F30" s="147"/>
      <c r="G30" s="147"/>
      <c r="H30" s="147"/>
      <c r="I30" s="147"/>
      <c r="J30" s="147"/>
      <c r="K30" s="147"/>
      <c r="L30" s="147"/>
      <c r="M30" s="147"/>
      <c r="N30" s="147"/>
    </row>
    <row r="31" spans="1:14" s="146" customFormat="1" ht="11.25">
      <c r="A31" s="327"/>
      <c r="B31" s="89" t="s">
        <v>290</v>
      </c>
      <c r="C31" s="89"/>
      <c r="D31" s="89"/>
      <c r="E31" s="145"/>
      <c r="F31" s="145"/>
      <c r="G31" s="145"/>
      <c r="H31" s="145"/>
      <c r="I31" s="145"/>
      <c r="J31" s="145"/>
      <c r="K31" s="145"/>
      <c r="L31" s="145"/>
      <c r="M31" s="145"/>
      <c r="N31" s="145"/>
    </row>
    <row r="32" spans="1:14" s="148" customFormat="1">
      <c r="A32" s="328"/>
      <c r="B32" s="147"/>
      <c r="C32" s="147"/>
      <c r="D32" s="147"/>
      <c r="E32" s="147"/>
      <c r="F32" s="147"/>
      <c r="G32" s="136"/>
      <c r="H32" s="136"/>
      <c r="I32" s="136"/>
      <c r="J32" s="136"/>
      <c r="K32" s="136"/>
      <c r="L32" s="136"/>
      <c r="M32" s="136"/>
      <c r="N32" s="136"/>
    </row>
    <row r="33" spans="1:16" s="148" customFormat="1">
      <c r="A33" s="328"/>
      <c r="B33" s="147" t="s">
        <v>377</v>
      </c>
      <c r="C33" s="147"/>
      <c r="D33" s="136" t="s">
        <v>119</v>
      </c>
      <c r="E33" s="147"/>
      <c r="F33" s="147"/>
      <c r="G33" s="100">
        <v>14606871.924325611</v>
      </c>
      <c r="H33" s="100">
        <v>58561557.074138992</v>
      </c>
      <c r="I33" s="100">
        <v>28731538.513840344</v>
      </c>
      <c r="J33" s="100">
        <v>791784251.94244277</v>
      </c>
      <c r="K33" s="100">
        <v>796827390.33646798</v>
      </c>
      <c r="L33" s="100">
        <v>9579394.2000991888</v>
      </c>
      <c r="M33" s="100">
        <v>607525475.21034241</v>
      </c>
      <c r="N33" s="100">
        <v>34935542.809090033</v>
      </c>
      <c r="P33" s="323" t="s">
        <v>480</v>
      </c>
    </row>
    <row r="34" spans="1:16" s="148" customFormat="1" ht="11.25">
      <c r="A34" s="328"/>
      <c r="B34" s="147"/>
      <c r="C34" s="147"/>
      <c r="D34" s="147"/>
      <c r="E34" s="147"/>
      <c r="P34" s="150"/>
    </row>
    <row r="35" spans="1:16" s="146" customFormat="1">
      <c r="A35" s="327"/>
      <c r="B35" s="89" t="s">
        <v>289</v>
      </c>
      <c r="C35" s="89"/>
      <c r="D35" s="89"/>
      <c r="E35" s="145"/>
      <c r="F35" s="145"/>
      <c r="G35" s="267"/>
      <c r="H35" s="267"/>
      <c r="I35" s="267"/>
      <c r="J35" s="267"/>
      <c r="K35" s="267"/>
      <c r="L35" s="267"/>
      <c r="M35" s="267"/>
      <c r="N35" s="267"/>
      <c r="P35" s="151"/>
    </row>
    <row r="36" spans="1:16" s="148" customFormat="1" ht="11.25">
      <c r="A36" s="328"/>
      <c r="B36" s="147"/>
      <c r="C36" s="147"/>
      <c r="D36" s="147"/>
      <c r="E36" s="147"/>
      <c r="F36" s="147"/>
      <c r="G36" s="147"/>
      <c r="H36" s="147"/>
      <c r="I36" s="147"/>
      <c r="J36" s="147"/>
      <c r="K36" s="147"/>
      <c r="L36" s="147"/>
      <c r="M36" s="147"/>
      <c r="N36" s="147"/>
      <c r="P36" s="150"/>
    </row>
    <row r="37" spans="1:16" s="148" customFormat="1">
      <c r="A37" s="328"/>
      <c r="B37" s="147" t="s">
        <v>289</v>
      </c>
      <c r="C37" s="147"/>
      <c r="D37" s="136" t="s">
        <v>12</v>
      </c>
      <c r="E37" s="147"/>
      <c r="F37" s="147"/>
      <c r="G37" s="100">
        <v>13578159.452101832</v>
      </c>
      <c r="H37" s="100">
        <v>48360774.659163162</v>
      </c>
      <c r="I37" s="100">
        <v>24962816.733204782</v>
      </c>
      <c r="J37" s="100">
        <v>678324936.53427446</v>
      </c>
      <c r="K37" s="100">
        <v>701645079.94466007</v>
      </c>
      <c r="L37" s="100">
        <v>8266221.6675544912</v>
      </c>
      <c r="M37" s="100">
        <v>488009210.23836046</v>
      </c>
      <c r="N37" s="100">
        <v>29037056.30426253</v>
      </c>
      <c r="P37" s="323" t="s">
        <v>480</v>
      </c>
    </row>
    <row r="38" spans="1:16" s="148" customFormat="1" ht="11.25">
      <c r="A38" s="328"/>
      <c r="B38" s="147"/>
      <c r="C38" s="147"/>
      <c r="D38" s="147"/>
      <c r="E38" s="147"/>
      <c r="F38" s="147"/>
      <c r="G38" s="147"/>
      <c r="H38" s="147"/>
      <c r="I38" s="147"/>
      <c r="J38" s="147"/>
      <c r="K38" s="147"/>
      <c r="L38" s="147"/>
      <c r="M38" s="147"/>
      <c r="N38" s="147"/>
      <c r="O38" s="147"/>
      <c r="P38" s="90"/>
    </row>
    <row r="39" spans="1:16" s="146" customFormat="1" ht="11.25">
      <c r="A39" s="327"/>
      <c r="B39" s="89" t="s">
        <v>371</v>
      </c>
      <c r="C39" s="89"/>
      <c r="D39" s="89"/>
      <c r="E39" s="145"/>
      <c r="F39" s="145"/>
      <c r="G39" s="145"/>
      <c r="H39" s="145"/>
      <c r="I39" s="145"/>
      <c r="J39" s="145"/>
      <c r="K39" s="145"/>
      <c r="L39" s="145"/>
      <c r="M39" s="145"/>
      <c r="N39" s="145"/>
    </row>
    <row r="40" spans="1:16" s="148" customFormat="1" ht="11.25">
      <c r="A40" s="328"/>
      <c r="B40" s="147"/>
      <c r="C40" s="147"/>
      <c r="D40" s="147"/>
      <c r="E40" s="147"/>
      <c r="F40" s="147"/>
      <c r="G40" s="147"/>
      <c r="H40" s="147"/>
      <c r="I40" s="147"/>
      <c r="J40" s="147"/>
      <c r="K40" s="147"/>
      <c r="L40" s="147"/>
      <c r="M40" s="147"/>
      <c r="N40" s="147"/>
    </row>
    <row r="41" spans="1:16" s="148" customFormat="1">
      <c r="A41" s="329"/>
      <c r="B41" s="91" t="s">
        <v>78</v>
      </c>
      <c r="C41" s="91"/>
      <c r="D41" s="91"/>
      <c r="E41" s="91"/>
      <c r="F41" s="91"/>
      <c r="G41" s="265">
        <v>2.4</v>
      </c>
      <c r="H41" s="265">
        <v>6.1</v>
      </c>
      <c r="I41" s="265">
        <v>4.5</v>
      </c>
      <c r="J41" s="265">
        <v>5</v>
      </c>
      <c r="K41" s="265">
        <v>4.0999999999999996</v>
      </c>
      <c r="L41" s="265">
        <v>4.7</v>
      </c>
      <c r="M41" s="265">
        <v>7</v>
      </c>
      <c r="N41" s="325">
        <v>0.3</v>
      </c>
      <c r="P41" s="323" t="s">
        <v>480</v>
      </c>
    </row>
    <row r="42" spans="1:16" s="41" customFormat="1">
      <c r="A42" s="326"/>
    </row>
    <row r="43" spans="1:16" s="41" customFormat="1">
      <c r="A43" s="326"/>
    </row>
    <row r="44" spans="1:16" s="41" customFormat="1">
      <c r="A44" s="326"/>
      <c r="B44" s="94" t="s">
        <v>291</v>
      </c>
      <c r="C44" s="94"/>
      <c r="D44" s="136" t="s">
        <v>10</v>
      </c>
      <c r="G44" s="101">
        <f>G33*(1-G41/100+$D$21)</f>
        <v>14416982.589309378</v>
      </c>
      <c r="H44" s="101">
        <f t="shared" ref="H44:N44" si="0">H33*(1-H41/100+$D$21)</f>
        <v>55633479.220432043</v>
      </c>
      <c r="I44" s="101">
        <f t="shared" si="0"/>
        <v>27754666.204369772</v>
      </c>
      <c r="J44" s="101">
        <f t="shared" si="0"/>
        <v>760904666.11668754</v>
      </c>
      <c r="K44" s="101">
        <f t="shared" si="0"/>
        <v>772922568.62637389</v>
      </c>
      <c r="L44" s="101">
        <f t="shared" si="0"/>
        <v>9234536.008895617</v>
      </c>
      <c r="M44" s="101">
        <f t="shared" si="0"/>
        <v>571681472.17293215</v>
      </c>
      <c r="N44" s="101">
        <f t="shared" si="0"/>
        <v>35215027.15156275</v>
      </c>
    </row>
    <row r="45" spans="1:16" s="41" customFormat="1">
      <c r="A45" s="326"/>
      <c r="B45" s="94" t="s">
        <v>293</v>
      </c>
      <c r="D45" s="136" t="s">
        <v>11</v>
      </c>
      <c r="G45" s="101">
        <f>G44*(1-G41/100+$D$22)</f>
        <v>14532318.450023852</v>
      </c>
      <c r="H45" s="101">
        <f t="shared" ref="H45:N45" si="1">H44*(1-H41/100+$D$22)</f>
        <v>54020108.323039517</v>
      </c>
      <c r="I45" s="101">
        <f t="shared" si="1"/>
        <v>27393855.543712966</v>
      </c>
      <c r="J45" s="101">
        <f t="shared" si="1"/>
        <v>747208382.12658715</v>
      </c>
      <c r="K45" s="101">
        <f>K44*(1-K41/100+$D$22)</f>
        <v>765966265.50873649</v>
      </c>
      <c r="L45" s="101">
        <f t="shared" si="1"/>
        <v>9096017.9687621817</v>
      </c>
      <c r="M45" s="101">
        <f>M44*(1-M41/100+$D$22)</f>
        <v>549957576.23036075</v>
      </c>
      <c r="N45" s="101">
        <f t="shared" si="1"/>
        <v>36236262.938958064</v>
      </c>
    </row>
    <row r="46" spans="1:16" s="41" customFormat="1">
      <c r="A46" s="326"/>
      <c r="B46" s="94" t="s">
        <v>294</v>
      </c>
      <c r="D46" s="136" t="s">
        <v>12</v>
      </c>
      <c r="G46" s="101">
        <f>G45*(1-G41/100+$D$23)</f>
        <v>14227139.76257335</v>
      </c>
      <c r="H46" s="101">
        <f t="shared" ref="H46:L46" si="2">H45*(1-H41/100+$D$23)</f>
        <v>50886942.04030323</v>
      </c>
      <c r="I46" s="101">
        <f t="shared" si="2"/>
        <v>26243313.610877022</v>
      </c>
      <c r="J46" s="101">
        <f>J45*(1-J41/100+$D$23)</f>
        <v>712089588.16663754</v>
      </c>
      <c r="K46" s="101">
        <f t="shared" si="2"/>
        <v>736859547.41940451</v>
      </c>
      <c r="L46" s="101">
        <f t="shared" si="2"/>
        <v>8695793.1781366449</v>
      </c>
      <c r="M46" s="101">
        <f>M45*(1-M41/100+$D$23)</f>
        <v>513110418.62292653</v>
      </c>
      <c r="N46" s="101">
        <f>N45*(1-N41/100+$D$23)</f>
        <v>36236262.938958064</v>
      </c>
    </row>
    <row r="47" spans="1:16" s="41" customFormat="1">
      <c r="A47" s="326"/>
      <c r="B47" s="94"/>
    </row>
    <row r="48" spans="1:16" s="43" customFormat="1">
      <c r="B48" s="42" t="s">
        <v>295</v>
      </c>
      <c r="C48" s="42"/>
    </row>
    <row r="49" spans="1:16" s="41" customFormat="1">
      <c r="E49" s="165"/>
      <c r="F49" s="165"/>
      <c r="G49" s="165"/>
      <c r="J49" s="122"/>
      <c r="M49" s="122"/>
    </row>
    <row r="50" spans="1:16" s="41" customFormat="1">
      <c r="B50" s="94" t="s">
        <v>296</v>
      </c>
      <c r="C50" s="94"/>
    </row>
    <row r="51" spans="1:16" s="41" customFormat="1">
      <c r="B51" s="41" t="s">
        <v>298</v>
      </c>
      <c r="C51" s="94"/>
      <c r="D51" s="324" t="s">
        <v>372</v>
      </c>
      <c r="G51" s="100">
        <v>1004</v>
      </c>
      <c r="H51" s="100">
        <v>5305.6486999999997</v>
      </c>
      <c r="I51" s="100">
        <v>4575.3613500000001</v>
      </c>
      <c r="J51" s="100">
        <v>126599</v>
      </c>
      <c r="K51" s="100">
        <v>98632.866999999998</v>
      </c>
      <c r="L51" s="100">
        <v>549.84100000000001</v>
      </c>
      <c r="M51" s="100">
        <v>64204.529800000004</v>
      </c>
      <c r="N51" s="100">
        <v>3150.6128199999998</v>
      </c>
      <c r="P51" s="323" t="s">
        <v>299</v>
      </c>
    </row>
    <row r="52" spans="1:16" s="41" customFormat="1">
      <c r="B52" s="41" t="s">
        <v>370</v>
      </c>
      <c r="C52" s="94"/>
      <c r="D52" s="324" t="s">
        <v>372</v>
      </c>
      <c r="G52" s="100">
        <v>44.168999999999997</v>
      </c>
      <c r="H52" s="100">
        <v>106.941</v>
      </c>
      <c r="I52" s="100">
        <v>0</v>
      </c>
      <c r="J52" s="100">
        <v>0</v>
      </c>
      <c r="K52" s="100">
        <v>2776.6579999999999</v>
      </c>
      <c r="L52" s="100">
        <v>0</v>
      </c>
      <c r="M52" s="100">
        <v>1021.825</v>
      </c>
      <c r="N52" s="100">
        <v>0</v>
      </c>
      <c r="P52" s="323" t="s">
        <v>481</v>
      </c>
    </row>
    <row r="53" spans="1:16" s="41" customFormat="1">
      <c r="B53" s="41" t="s">
        <v>297</v>
      </c>
      <c r="D53" s="324" t="s">
        <v>372</v>
      </c>
      <c r="E53" s="264"/>
      <c r="G53" s="133">
        <f>G51-G52</f>
        <v>959.83100000000002</v>
      </c>
      <c r="H53" s="133">
        <f t="shared" ref="H53:N53" si="3">H51-H52</f>
        <v>5198.7076999999999</v>
      </c>
      <c r="I53" s="133">
        <f t="shared" si="3"/>
        <v>4575.3613500000001</v>
      </c>
      <c r="J53" s="133">
        <f t="shared" si="3"/>
        <v>126599</v>
      </c>
      <c r="K53" s="133">
        <f t="shared" si="3"/>
        <v>95856.209000000003</v>
      </c>
      <c r="L53" s="133">
        <f t="shared" si="3"/>
        <v>549.84100000000001</v>
      </c>
      <c r="M53" s="133">
        <f t="shared" si="3"/>
        <v>63182.704800000007</v>
      </c>
      <c r="N53" s="133">
        <f t="shared" si="3"/>
        <v>3150.6128199999998</v>
      </c>
    </row>
    <row r="54" spans="1:16" s="41" customFormat="1"/>
    <row r="55" spans="1:16" s="41" customFormat="1">
      <c r="B55" s="41" t="s">
        <v>300</v>
      </c>
      <c r="D55" s="324" t="s">
        <v>372</v>
      </c>
      <c r="G55" s="100">
        <v>7719</v>
      </c>
      <c r="H55" s="100">
        <v>25638.239750195527</v>
      </c>
      <c r="I55" s="100">
        <v>16132.581160513175</v>
      </c>
      <c r="J55" s="100">
        <v>439785</v>
      </c>
      <c r="K55" s="100">
        <v>397392.07942004147</v>
      </c>
      <c r="L55" s="100">
        <v>5196.9780000000001</v>
      </c>
      <c r="M55" s="100">
        <v>306497.17985215934</v>
      </c>
      <c r="N55" s="100">
        <v>19278.190731424358</v>
      </c>
      <c r="P55" s="323" t="s">
        <v>480</v>
      </c>
    </row>
    <row r="56" spans="1:16" s="41" customFormat="1">
      <c r="B56" s="41" t="s">
        <v>301</v>
      </c>
      <c r="D56" s="324" t="s">
        <v>372</v>
      </c>
      <c r="G56" s="95">
        <f t="shared" ref="G56:N56" si="4">G55-G51+G53</f>
        <v>7674.8310000000001</v>
      </c>
      <c r="H56" s="95">
        <f t="shared" si="4"/>
        <v>25531.298750195529</v>
      </c>
      <c r="I56" s="95">
        <f t="shared" si="4"/>
        <v>16132.581160513175</v>
      </c>
      <c r="J56" s="95">
        <f t="shared" si="4"/>
        <v>439785</v>
      </c>
      <c r="K56" s="95">
        <f t="shared" si="4"/>
        <v>394615.42142004147</v>
      </c>
      <c r="L56" s="95">
        <f t="shared" si="4"/>
        <v>5196.9780000000001</v>
      </c>
      <c r="M56" s="95">
        <f t="shared" si="4"/>
        <v>305475.35485215933</v>
      </c>
      <c r="N56" s="95">
        <f t="shared" si="4"/>
        <v>19278.190731424358</v>
      </c>
    </row>
    <row r="57" spans="1:16" s="41" customFormat="1">
      <c r="B57" s="23" t="s">
        <v>378</v>
      </c>
      <c r="D57" s="324"/>
      <c r="E57" s="264"/>
      <c r="F57" s="264"/>
      <c r="G57" s="264"/>
      <c r="H57" s="264"/>
      <c r="I57" s="264"/>
      <c r="J57" s="264"/>
      <c r="K57" s="264"/>
      <c r="L57" s="264"/>
      <c r="M57" s="264"/>
      <c r="N57" s="264"/>
      <c r="O57" s="264"/>
    </row>
    <row r="58" spans="1:16" s="41" customFormat="1">
      <c r="D58" s="136"/>
      <c r="G58" s="266"/>
      <c r="H58" s="266"/>
      <c r="I58" s="266"/>
      <c r="J58" s="266"/>
      <c r="K58" s="266"/>
      <c r="L58" s="266"/>
      <c r="M58" s="266"/>
      <c r="N58" s="266"/>
      <c r="O58" s="165"/>
      <c r="P58" s="165"/>
    </row>
    <row r="59" spans="1:16" s="41" customFormat="1"/>
    <row r="60" spans="1:16" s="43" customFormat="1">
      <c r="B60" s="42" t="s">
        <v>302</v>
      </c>
      <c r="C60" s="42"/>
    </row>
    <row r="61" spans="1:16" s="41" customFormat="1"/>
    <row r="62" spans="1:16" s="41" customFormat="1"/>
    <row r="63" spans="1:16" s="146" customFormat="1" ht="73.5" customHeight="1">
      <c r="A63" s="145"/>
      <c r="B63" s="87" t="s">
        <v>78</v>
      </c>
      <c r="C63" s="87"/>
      <c r="D63" s="87"/>
      <c r="E63" s="87"/>
      <c r="F63" s="87"/>
      <c r="G63" s="88" t="s">
        <v>2</v>
      </c>
      <c r="H63" s="88" t="s">
        <v>3</v>
      </c>
      <c r="I63" s="88" t="s">
        <v>4</v>
      </c>
      <c r="J63" s="88" t="s">
        <v>5</v>
      </c>
      <c r="K63" s="88" t="s">
        <v>6</v>
      </c>
      <c r="L63" s="88" t="s">
        <v>7</v>
      </c>
      <c r="M63" s="88" t="s">
        <v>8</v>
      </c>
      <c r="N63" s="88" t="s">
        <v>9</v>
      </c>
    </row>
    <row r="64" spans="1:16" s="148" customFormat="1" ht="11.25">
      <c r="A64" s="147"/>
      <c r="B64" s="147"/>
      <c r="C64" s="147"/>
      <c r="D64" s="147"/>
      <c r="E64" s="147"/>
      <c r="F64" s="147"/>
      <c r="G64" s="147"/>
      <c r="H64" s="147"/>
      <c r="I64" s="147"/>
      <c r="J64" s="147"/>
      <c r="K64" s="147"/>
      <c r="L64" s="147"/>
      <c r="M64" s="147"/>
      <c r="N64" s="147"/>
      <c r="P64" s="328"/>
    </row>
    <row r="65" spans="1:16" s="146" customFormat="1" ht="11.25">
      <c r="A65" s="145"/>
      <c r="B65" s="89" t="s">
        <v>290</v>
      </c>
      <c r="C65" s="89"/>
      <c r="D65" s="89"/>
      <c r="E65" s="145"/>
      <c r="F65" s="145"/>
      <c r="G65" s="145"/>
      <c r="H65" s="145"/>
      <c r="I65" s="145"/>
      <c r="J65" s="145"/>
      <c r="K65" s="145"/>
      <c r="L65" s="145"/>
      <c r="M65" s="145"/>
      <c r="N65" s="145"/>
      <c r="P65" s="328"/>
    </row>
    <row r="66" spans="1:16" s="148" customFormat="1">
      <c r="A66" s="147"/>
      <c r="B66" s="147"/>
      <c r="C66" s="147"/>
      <c r="D66" s="147"/>
      <c r="E66" s="147"/>
      <c r="F66" s="147"/>
      <c r="G66" s="136"/>
      <c r="H66" s="136"/>
      <c r="I66" s="136"/>
      <c r="J66" s="136"/>
      <c r="K66" s="136"/>
      <c r="L66" s="136"/>
      <c r="M66" s="136"/>
      <c r="N66" s="136"/>
      <c r="P66" s="328"/>
    </row>
    <row r="67" spans="1:16" s="148" customFormat="1">
      <c r="A67" s="147"/>
      <c r="B67" s="147" t="s">
        <v>303</v>
      </c>
      <c r="C67" s="147"/>
      <c r="D67" s="136" t="s">
        <v>119</v>
      </c>
      <c r="E67" s="147"/>
      <c r="F67" s="147"/>
      <c r="G67" s="100">
        <v>14606871.924325611</v>
      </c>
      <c r="H67" s="100">
        <v>58561557.074138992</v>
      </c>
      <c r="I67" s="100">
        <v>28731538.513840344</v>
      </c>
      <c r="J67" s="100">
        <v>791784251.94244277</v>
      </c>
      <c r="K67" s="100">
        <v>796827390.33646798</v>
      </c>
      <c r="L67" s="100">
        <v>9579394.2000991888</v>
      </c>
      <c r="M67" s="100">
        <v>607525475.21034241</v>
      </c>
      <c r="N67" s="100">
        <v>34935542.809090033</v>
      </c>
      <c r="P67" s="323" t="s">
        <v>482</v>
      </c>
    </row>
    <row r="68" spans="1:16" s="148" customFormat="1">
      <c r="A68" s="147"/>
      <c r="B68" s="147"/>
      <c r="C68" s="147"/>
      <c r="D68" s="147"/>
      <c r="E68" s="147"/>
      <c r="F68" s="147"/>
      <c r="G68" s="136"/>
      <c r="H68" s="136"/>
      <c r="I68" s="136"/>
      <c r="J68" s="136"/>
      <c r="K68" s="136"/>
      <c r="L68" s="136"/>
      <c r="M68" s="136"/>
      <c r="N68" s="136"/>
      <c r="P68" s="330"/>
    </row>
    <row r="69" spans="1:16" s="146" customFormat="1" ht="11.25">
      <c r="A69" s="145"/>
      <c r="B69" s="89" t="s">
        <v>289</v>
      </c>
      <c r="C69" s="89"/>
      <c r="D69" s="89"/>
      <c r="E69" s="145"/>
      <c r="F69" s="145"/>
      <c r="G69" s="145"/>
      <c r="H69" s="145"/>
      <c r="I69" s="145"/>
      <c r="J69" s="145"/>
      <c r="K69" s="145"/>
      <c r="L69" s="145"/>
      <c r="M69" s="145"/>
      <c r="N69" s="145"/>
      <c r="P69" s="330"/>
    </row>
    <row r="70" spans="1:16" s="148" customFormat="1" ht="11.25">
      <c r="A70" s="147"/>
      <c r="B70" s="147"/>
      <c r="C70" s="147"/>
      <c r="D70" s="147"/>
      <c r="E70" s="147"/>
      <c r="F70" s="147"/>
      <c r="G70" s="147"/>
      <c r="H70" s="147"/>
      <c r="I70" s="147"/>
      <c r="J70" s="147"/>
      <c r="K70" s="147"/>
      <c r="L70" s="147"/>
      <c r="M70" s="147"/>
      <c r="N70" s="147"/>
      <c r="P70" s="330"/>
    </row>
    <row r="71" spans="1:16" s="148" customFormat="1">
      <c r="A71" s="147"/>
      <c r="B71" s="147" t="s">
        <v>289</v>
      </c>
      <c r="C71" s="147"/>
      <c r="D71" s="136" t="s">
        <v>12</v>
      </c>
      <c r="E71" s="147"/>
      <c r="F71" s="147"/>
      <c r="G71" s="100">
        <v>13554883.300108248</v>
      </c>
      <c r="H71" s="100">
        <v>48273935.074164331</v>
      </c>
      <c r="I71" s="100">
        <v>24916913.126214087</v>
      </c>
      <c r="J71" s="100">
        <v>677080618.80669093</v>
      </c>
      <c r="K71" s="100">
        <v>700381240.02921903</v>
      </c>
      <c r="L71" s="100">
        <v>8252622.250335319</v>
      </c>
      <c r="M71" s="100">
        <v>487139413.37706655</v>
      </c>
      <c r="N71" s="100">
        <v>28983706.391854901</v>
      </c>
      <c r="P71" s="323" t="s">
        <v>482</v>
      </c>
    </row>
    <row r="72" spans="1:16" s="148" customFormat="1" ht="11.25">
      <c r="A72" s="147"/>
      <c r="B72" s="147"/>
      <c r="C72" s="147"/>
      <c r="D72" s="147"/>
      <c r="E72" s="147"/>
      <c r="F72" s="147"/>
      <c r="G72" s="152"/>
      <c r="H72" s="152"/>
      <c r="I72" s="152"/>
      <c r="J72" s="152"/>
      <c r="K72" s="152"/>
      <c r="L72" s="152"/>
      <c r="M72" s="152"/>
      <c r="N72" s="152"/>
      <c r="P72" s="331"/>
    </row>
    <row r="73" spans="1:16" s="146" customFormat="1" ht="11.25">
      <c r="A73" s="145"/>
      <c r="B73" s="89" t="s">
        <v>80</v>
      </c>
      <c r="C73" s="89"/>
      <c r="D73" s="89"/>
      <c r="E73" s="145"/>
      <c r="F73" s="145"/>
      <c r="G73" s="145"/>
      <c r="H73" s="145"/>
      <c r="I73" s="145"/>
      <c r="J73" s="145"/>
      <c r="K73" s="145"/>
      <c r="L73" s="145"/>
      <c r="M73" s="145"/>
      <c r="N73" s="145"/>
      <c r="P73" s="328"/>
    </row>
    <row r="74" spans="1:16" s="148" customFormat="1" ht="11.25">
      <c r="A74" s="147"/>
      <c r="B74" s="147"/>
      <c r="C74" s="147"/>
      <c r="D74" s="147"/>
      <c r="E74" s="147"/>
      <c r="F74" s="147"/>
      <c r="G74" s="147"/>
      <c r="H74" s="147"/>
      <c r="I74" s="147"/>
      <c r="J74" s="147"/>
      <c r="K74" s="147"/>
      <c r="L74" s="147"/>
      <c r="M74" s="147"/>
      <c r="N74" s="147"/>
      <c r="P74" s="328"/>
    </row>
    <row r="75" spans="1:16" s="148" customFormat="1">
      <c r="A75" s="91"/>
      <c r="B75" s="91" t="s">
        <v>78</v>
      </c>
      <c r="C75" s="91"/>
      <c r="D75" s="91"/>
      <c r="E75" s="91"/>
      <c r="F75" s="91"/>
      <c r="G75" s="265">
        <v>2.4</v>
      </c>
      <c r="H75" s="265">
        <v>6.2</v>
      </c>
      <c r="I75" s="265">
        <v>4.5999999999999996</v>
      </c>
      <c r="J75" s="265">
        <v>5</v>
      </c>
      <c r="K75" s="265">
        <v>4.2</v>
      </c>
      <c r="L75" s="265">
        <v>4.8</v>
      </c>
      <c r="M75" s="265">
        <v>7</v>
      </c>
      <c r="N75" s="265">
        <v>0.3</v>
      </c>
      <c r="P75" s="323" t="s">
        <v>482</v>
      </c>
    </row>
    <row r="76" spans="1:16" s="41" customFormat="1">
      <c r="P76" s="326"/>
    </row>
    <row r="77" spans="1:16" s="41" customFormat="1"/>
    <row r="78" spans="1:16" s="41" customFormat="1">
      <c r="B78" s="94" t="s">
        <v>291</v>
      </c>
      <c r="C78" s="94"/>
      <c r="D78" s="136" t="s">
        <v>10</v>
      </c>
      <c r="G78" s="101">
        <f>G67*(1-G75/100+$D$21)</f>
        <v>14416982.589309378</v>
      </c>
      <c r="H78" s="101">
        <f t="shared" ref="H78:I78" si="5">H67*(1-H75/100+$D$21)</f>
        <v>55574917.663357899</v>
      </c>
      <c r="I78" s="101">
        <f t="shared" si="5"/>
        <v>27725934.665855929</v>
      </c>
      <c r="J78" s="101">
        <f>J67*(1-J75/100+$D$21)</f>
        <v>760904666.11668754</v>
      </c>
      <c r="K78" s="101">
        <f t="shared" ref="K78:L78" si="6">K67*(1-K75/100+$D$21)</f>
        <v>772125741.23603749</v>
      </c>
      <c r="L78" s="101">
        <f t="shared" si="6"/>
        <v>9224956.6146955192</v>
      </c>
      <c r="M78" s="101">
        <f>M67*(1-M75/100+$D$21)</f>
        <v>571681472.17293215</v>
      </c>
      <c r="N78" s="101">
        <f>N67*(1-N75/100+$D$21)</f>
        <v>35215027.15156275</v>
      </c>
    </row>
    <row r="79" spans="1:16" s="41" customFormat="1">
      <c r="B79" s="94" t="s">
        <v>293</v>
      </c>
      <c r="D79" s="136" t="s">
        <v>11</v>
      </c>
      <c r="G79" s="101">
        <f>G78*(1-G75/100+$D$22)</f>
        <v>14532318.450023852</v>
      </c>
      <c r="H79" s="101">
        <f t="shared" ref="H79:I79" si="7">H78*(1-H75/100+$D$22)</f>
        <v>53907670.133457161</v>
      </c>
      <c r="I79" s="101">
        <f t="shared" si="7"/>
        <v>27337771.580533944</v>
      </c>
      <c r="J79" s="101">
        <f>J78*(1-J75/100+$D$22)</f>
        <v>747208382.12658715</v>
      </c>
      <c r="K79" s="101">
        <f>K78*(1-K75/100+$D$22)</f>
        <v>764404483.82367706</v>
      </c>
      <c r="L79" s="101">
        <f t="shared" ref="L79" si="8">L78*(1-L75/100+$D$22)</f>
        <v>9077357.3088603914</v>
      </c>
      <c r="M79" s="101">
        <f>M78*(1-M75/100+$D$22)</f>
        <v>549957576.23036075</v>
      </c>
      <c r="N79" s="101">
        <f t="shared" ref="N79" si="9">N78*(1-N75/100+$D$22)</f>
        <v>36236262.938958064</v>
      </c>
    </row>
    <row r="80" spans="1:16" s="41" customFormat="1">
      <c r="B80" s="94" t="s">
        <v>294</v>
      </c>
      <c r="D80" s="136" t="s">
        <v>12</v>
      </c>
      <c r="G80" s="101">
        <f>G79*(1-G75/100+$D$23)</f>
        <v>14227139.76257335</v>
      </c>
      <c r="H80" s="101">
        <f t="shared" ref="H80:I80" si="10">H79*(1-H75/100+$D$23)</f>
        <v>50727117.595583186</v>
      </c>
      <c r="I80" s="101">
        <f t="shared" si="10"/>
        <v>26162247.402570985</v>
      </c>
      <c r="J80" s="101">
        <f>J79*(1-J75/100+$D$23)</f>
        <v>712089588.16663754</v>
      </c>
      <c r="K80" s="101">
        <f t="shared" ref="K80:L80" si="11">K79*(1-K75/100+$D$23)</f>
        <v>734592708.9545536</v>
      </c>
      <c r="L80" s="101">
        <f t="shared" si="11"/>
        <v>8668876.2299616728</v>
      </c>
      <c r="M80" s="101">
        <f>M79*(1-M75/100+$D$23)</f>
        <v>513110418.62292653</v>
      </c>
      <c r="N80" s="101">
        <f>N79*(1-N75/100+$D$23)</f>
        <v>36236262.938958064</v>
      </c>
    </row>
    <row r="82" spans="1:26" s="140" customFormat="1">
      <c r="B82" s="139" t="s">
        <v>304</v>
      </c>
    </row>
    <row r="85" spans="1:26" s="160" customFormat="1" ht="60">
      <c r="A85" s="157"/>
      <c r="B85" s="158" t="s">
        <v>57</v>
      </c>
      <c r="C85" s="159"/>
      <c r="D85" s="157"/>
      <c r="E85" s="157"/>
      <c r="F85" s="13"/>
      <c r="G85" s="3" t="s">
        <v>2</v>
      </c>
      <c r="H85" s="3" t="s">
        <v>3</v>
      </c>
      <c r="I85" s="3" t="s">
        <v>4</v>
      </c>
      <c r="J85" s="3" t="s">
        <v>5</v>
      </c>
      <c r="K85" s="3" t="s">
        <v>6</v>
      </c>
      <c r="L85" s="3" t="s">
        <v>7</v>
      </c>
      <c r="M85" s="3" t="s">
        <v>8</v>
      </c>
      <c r="N85" s="3" t="s">
        <v>9</v>
      </c>
      <c r="O85" s="13"/>
      <c r="P85" s="13"/>
      <c r="Q85" s="13"/>
      <c r="R85" s="13"/>
      <c r="S85" s="157"/>
      <c r="T85" s="157"/>
      <c r="U85" s="157"/>
      <c r="V85" s="157"/>
      <c r="W85" s="157"/>
      <c r="X85" s="157"/>
      <c r="Y85" s="157"/>
      <c r="Z85" s="157"/>
    </row>
    <row r="86" spans="1:26" s="161" customFormat="1">
      <c r="B86" s="158"/>
      <c r="C86" s="158"/>
      <c r="F86" s="13"/>
      <c r="G86" s="13"/>
      <c r="H86" s="13"/>
      <c r="I86" s="13"/>
      <c r="J86" s="13"/>
      <c r="K86" s="13"/>
      <c r="L86" s="13"/>
      <c r="M86" s="13"/>
      <c r="N86" s="13"/>
      <c r="O86" s="13"/>
      <c r="P86" s="13"/>
      <c r="Q86" s="13"/>
      <c r="R86" s="13"/>
    </row>
    <row r="87" spans="1:26" s="161" customFormat="1">
      <c r="B87" s="136" t="s">
        <v>305</v>
      </c>
      <c r="C87" s="136"/>
      <c r="D87" s="136" t="s">
        <v>10</v>
      </c>
      <c r="E87" s="138"/>
      <c r="F87" s="136"/>
      <c r="G87" s="84">
        <f t="shared" ref="G87:N87" si="12">G44</f>
        <v>14416982.589309378</v>
      </c>
      <c r="H87" s="84">
        <f t="shared" si="12"/>
        <v>55633479.220432043</v>
      </c>
      <c r="I87" s="84">
        <f t="shared" si="12"/>
        <v>27754666.204369772</v>
      </c>
      <c r="J87" s="84">
        <f>J44</f>
        <v>760904666.11668754</v>
      </c>
      <c r="K87" s="84">
        <f t="shared" si="12"/>
        <v>772922568.62637389</v>
      </c>
      <c r="L87" s="84">
        <f t="shared" si="12"/>
        <v>9234536.008895617</v>
      </c>
      <c r="M87" s="84">
        <f t="shared" si="12"/>
        <v>571681472.17293215</v>
      </c>
      <c r="N87" s="84">
        <f t="shared" si="12"/>
        <v>35215027.15156275</v>
      </c>
      <c r="O87" s="31"/>
      <c r="P87" s="141"/>
      <c r="Q87" s="31"/>
      <c r="R87" s="31"/>
    </row>
    <row r="88" spans="1:26" s="161" customFormat="1">
      <c r="B88" s="136" t="s">
        <v>306</v>
      </c>
      <c r="C88" s="158"/>
      <c r="D88" s="136" t="s">
        <v>10</v>
      </c>
      <c r="F88" s="13"/>
      <c r="G88" s="84">
        <f>G78</f>
        <v>14416982.589309378</v>
      </c>
      <c r="H88" s="84">
        <f t="shared" ref="H88:N88" si="13">H78</f>
        <v>55574917.663357899</v>
      </c>
      <c r="I88" s="84">
        <f t="shared" si="13"/>
        <v>27725934.665855929</v>
      </c>
      <c r="J88" s="84">
        <f t="shared" si="13"/>
        <v>760904666.11668754</v>
      </c>
      <c r="K88" s="84">
        <f t="shared" si="13"/>
        <v>772125741.23603749</v>
      </c>
      <c r="L88" s="84">
        <f t="shared" si="13"/>
        <v>9224956.6146955192</v>
      </c>
      <c r="M88" s="84">
        <f t="shared" si="13"/>
        <v>571681472.17293215</v>
      </c>
      <c r="N88" s="84">
        <f t="shared" si="13"/>
        <v>35215027.15156275</v>
      </c>
      <c r="O88" s="13"/>
      <c r="P88" s="13"/>
      <c r="Q88" s="13"/>
      <c r="R88" s="13"/>
    </row>
    <row r="89" spans="1:26" s="161" customFormat="1">
      <c r="B89" s="162" t="s">
        <v>379</v>
      </c>
      <c r="C89" s="158"/>
      <c r="D89" s="136" t="s">
        <v>10</v>
      </c>
      <c r="F89" s="13"/>
      <c r="G89" s="309">
        <f>G88-G87</f>
        <v>0</v>
      </c>
      <c r="H89" s="309">
        <f>H88-H87</f>
        <v>-58561.557074144483</v>
      </c>
      <c r="I89" s="309">
        <f t="shared" ref="I89:N89" si="14">I88-I87</f>
        <v>-28731.53851384297</v>
      </c>
      <c r="J89" s="309">
        <f t="shared" si="14"/>
        <v>0</v>
      </c>
      <c r="K89" s="309">
        <f t="shared" si="14"/>
        <v>-796827.39033639431</v>
      </c>
      <c r="L89" s="309">
        <f t="shared" si="14"/>
        <v>-9579.3942000977695</v>
      </c>
      <c r="M89" s="309">
        <f t="shared" si="14"/>
        <v>0</v>
      </c>
      <c r="N89" s="309">
        <f t="shared" si="14"/>
        <v>0</v>
      </c>
      <c r="O89" s="13"/>
      <c r="P89" s="13"/>
      <c r="Q89" s="13"/>
      <c r="R89" s="13"/>
    </row>
    <row r="90" spans="1:26">
      <c r="E90" s="138"/>
      <c r="G90" s="308"/>
      <c r="H90" s="308"/>
      <c r="I90" s="308"/>
      <c r="J90" s="308"/>
      <c r="K90" s="308"/>
      <c r="L90" s="308"/>
      <c r="M90" s="308"/>
      <c r="N90" s="308"/>
    </row>
    <row r="91" spans="1:26" s="161" customFormat="1">
      <c r="B91" s="136" t="s">
        <v>307</v>
      </c>
      <c r="C91" s="136"/>
      <c r="D91" s="136" t="s">
        <v>11</v>
      </c>
      <c r="E91" s="138"/>
      <c r="F91" s="136"/>
      <c r="G91" s="84">
        <f t="shared" ref="G91:N91" si="15">G45</f>
        <v>14532318.450023852</v>
      </c>
      <c r="H91" s="84">
        <f t="shared" si="15"/>
        <v>54020108.323039517</v>
      </c>
      <c r="I91" s="84">
        <f t="shared" si="15"/>
        <v>27393855.543712966</v>
      </c>
      <c r="J91" s="84">
        <f t="shared" si="15"/>
        <v>747208382.12658715</v>
      </c>
      <c r="K91" s="84">
        <f t="shared" si="15"/>
        <v>765966265.50873649</v>
      </c>
      <c r="L91" s="84">
        <f t="shared" si="15"/>
        <v>9096017.9687621817</v>
      </c>
      <c r="M91" s="84">
        <f t="shared" si="15"/>
        <v>549957576.23036075</v>
      </c>
      <c r="N91" s="84">
        <f t="shared" si="15"/>
        <v>36236262.938958064</v>
      </c>
      <c r="O91" s="31"/>
      <c r="P91" s="141"/>
      <c r="Q91" s="31"/>
      <c r="R91" s="31"/>
    </row>
    <row r="92" spans="1:26" s="161" customFormat="1">
      <c r="B92" s="136" t="s">
        <v>308</v>
      </c>
      <c r="C92" s="158"/>
      <c r="D92" s="136" t="s">
        <v>11</v>
      </c>
      <c r="F92" s="13"/>
      <c r="G92" s="84">
        <f>G79</f>
        <v>14532318.450023852</v>
      </c>
      <c r="H92" s="84">
        <f t="shared" ref="H92:N92" si="16">H79</f>
        <v>53907670.133457161</v>
      </c>
      <c r="I92" s="84">
        <f t="shared" si="16"/>
        <v>27337771.580533944</v>
      </c>
      <c r="J92" s="84">
        <f t="shared" si="16"/>
        <v>747208382.12658715</v>
      </c>
      <c r="K92" s="84">
        <f t="shared" si="16"/>
        <v>764404483.82367706</v>
      </c>
      <c r="L92" s="84">
        <f t="shared" si="16"/>
        <v>9077357.3088603914</v>
      </c>
      <c r="M92" s="84">
        <f t="shared" si="16"/>
        <v>549957576.23036075</v>
      </c>
      <c r="N92" s="84">
        <f t="shared" si="16"/>
        <v>36236262.938958064</v>
      </c>
      <c r="O92" s="13"/>
      <c r="P92" s="13"/>
      <c r="Q92" s="13"/>
      <c r="R92" s="13"/>
    </row>
    <row r="93" spans="1:26" s="161" customFormat="1">
      <c r="B93" s="162" t="s">
        <v>380</v>
      </c>
      <c r="C93" s="158"/>
      <c r="D93" s="136" t="s">
        <v>11</v>
      </c>
      <c r="F93" s="13"/>
      <c r="G93" s="309">
        <f>G92-G91</f>
        <v>0</v>
      </c>
      <c r="H93" s="309">
        <f>H92-H91</f>
        <v>-112438.18958235532</v>
      </c>
      <c r="I93" s="309">
        <f t="shared" ref="I93" si="17">I92-I91</f>
        <v>-56083.963179022074</v>
      </c>
      <c r="J93" s="309">
        <f t="shared" ref="J93" si="18">J92-J91</f>
        <v>0</v>
      </c>
      <c r="K93" s="309">
        <f t="shared" ref="K93" si="19">K92-K91</f>
        <v>-1561781.6850594282</v>
      </c>
      <c r="L93" s="309">
        <f t="shared" ref="L93" si="20">L92-L91</f>
        <v>-18660.659901790321</v>
      </c>
      <c r="M93" s="309">
        <f t="shared" ref="M93" si="21">M92-M91</f>
        <v>0</v>
      </c>
      <c r="N93" s="309">
        <f t="shared" ref="N93" si="22">N92-N91</f>
        <v>0</v>
      </c>
      <c r="O93" s="13"/>
      <c r="P93" s="13"/>
      <c r="Q93" s="13"/>
      <c r="R93" s="13"/>
    </row>
    <row r="94" spans="1:26" s="161" customFormat="1">
      <c r="B94" s="158"/>
      <c r="C94" s="158"/>
      <c r="F94" s="13"/>
      <c r="G94" s="142"/>
      <c r="H94" s="142"/>
      <c r="I94" s="142"/>
      <c r="J94" s="142"/>
      <c r="K94" s="142"/>
      <c r="L94" s="142"/>
      <c r="M94" s="142"/>
      <c r="N94" s="142"/>
      <c r="O94" s="13"/>
      <c r="P94" s="13"/>
      <c r="Q94" s="13"/>
      <c r="R94" s="13"/>
    </row>
    <row r="95" spans="1:26" s="161" customFormat="1">
      <c r="B95" s="136" t="s">
        <v>309</v>
      </c>
      <c r="C95" s="136"/>
      <c r="D95" s="136" t="s">
        <v>12</v>
      </c>
      <c r="E95" s="138"/>
      <c r="F95" s="136"/>
      <c r="G95" s="84">
        <f t="shared" ref="G95:N95" si="23">G46</f>
        <v>14227139.76257335</v>
      </c>
      <c r="H95" s="84">
        <f t="shared" si="23"/>
        <v>50886942.04030323</v>
      </c>
      <c r="I95" s="84">
        <f t="shared" si="23"/>
        <v>26243313.610877022</v>
      </c>
      <c r="J95" s="84">
        <f t="shared" si="23"/>
        <v>712089588.16663754</v>
      </c>
      <c r="K95" s="84">
        <f t="shared" si="23"/>
        <v>736859547.41940451</v>
      </c>
      <c r="L95" s="84">
        <f t="shared" si="23"/>
        <v>8695793.1781366449</v>
      </c>
      <c r="M95" s="84">
        <f t="shared" si="23"/>
        <v>513110418.62292653</v>
      </c>
      <c r="N95" s="84">
        <f t="shared" si="23"/>
        <v>36236262.938958064</v>
      </c>
      <c r="O95" s="31"/>
      <c r="P95" s="141"/>
      <c r="Q95" s="31"/>
      <c r="R95" s="31"/>
    </row>
    <row r="96" spans="1:26" s="161" customFormat="1">
      <c r="B96" s="136" t="s">
        <v>310</v>
      </c>
      <c r="C96" s="158"/>
      <c r="D96" s="136" t="s">
        <v>12</v>
      </c>
      <c r="F96" s="13"/>
      <c r="G96" s="84">
        <f>G80</f>
        <v>14227139.76257335</v>
      </c>
      <c r="H96" s="84">
        <f t="shared" ref="H96:N96" si="24">H80</f>
        <v>50727117.595583186</v>
      </c>
      <c r="I96" s="84">
        <f t="shared" si="24"/>
        <v>26162247.402570985</v>
      </c>
      <c r="J96" s="84">
        <f t="shared" si="24"/>
        <v>712089588.16663754</v>
      </c>
      <c r="K96" s="84">
        <f t="shared" si="24"/>
        <v>734592708.9545536</v>
      </c>
      <c r="L96" s="84">
        <f t="shared" si="24"/>
        <v>8668876.2299616728</v>
      </c>
      <c r="M96" s="84">
        <f t="shared" si="24"/>
        <v>513110418.62292653</v>
      </c>
      <c r="N96" s="84">
        <f t="shared" si="24"/>
        <v>36236262.938958064</v>
      </c>
      <c r="O96" s="13"/>
      <c r="P96" s="13"/>
      <c r="Q96" s="13"/>
      <c r="R96" s="13"/>
    </row>
    <row r="97" spans="2:18" s="161" customFormat="1">
      <c r="B97" s="162" t="s">
        <v>381</v>
      </c>
      <c r="C97" s="158"/>
      <c r="D97" s="136" t="s">
        <v>12</v>
      </c>
      <c r="F97" s="13"/>
      <c r="G97" s="309">
        <f>G96-G95</f>
        <v>0</v>
      </c>
      <c r="H97" s="309">
        <f>H96-H95</f>
        <v>-159824.44472004473</v>
      </c>
      <c r="I97" s="309">
        <f t="shared" ref="I97" si="25">I96-I95</f>
        <v>-81066.20830603689</v>
      </c>
      <c r="J97" s="309">
        <f t="shared" ref="J97" si="26">J96-J95</f>
        <v>0</v>
      </c>
      <c r="K97" s="309">
        <f t="shared" ref="K97" si="27">K96-K95</f>
        <v>-2266838.4648509026</v>
      </c>
      <c r="L97" s="309">
        <f t="shared" ref="L97" si="28">L96-L95</f>
        <v>-26916.948174972087</v>
      </c>
      <c r="M97" s="309">
        <f t="shared" ref="M97" si="29">M96-M95</f>
        <v>0</v>
      </c>
      <c r="N97" s="309">
        <f t="shared" ref="N97" si="30">N96-N95</f>
        <v>0</v>
      </c>
      <c r="O97" s="13"/>
      <c r="P97" s="13"/>
      <c r="Q97" s="13"/>
      <c r="R97" s="13"/>
    </row>
  </sheetData>
  <pageMargins left="0.75" right="0.75" top="1" bottom="1" header="0.5" footer="0.5"/>
  <pageSetup paperSize="9" scale="3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R51"/>
  <sheetViews>
    <sheetView showGridLines="0" zoomScale="85" workbookViewId="0"/>
  </sheetViews>
  <sheetFormatPr defaultRowHeight="12.75"/>
  <cols>
    <col min="1" max="1" width="3.42578125" style="68" customWidth="1"/>
    <col min="2" max="2" width="61.5703125" style="68" customWidth="1"/>
    <col min="3" max="3" width="5.5703125" style="68" customWidth="1"/>
    <col min="4" max="4" width="17.7109375" style="68" customWidth="1"/>
    <col min="5" max="5" width="12.85546875" style="68" customWidth="1"/>
    <col min="6" max="6" width="14.28515625" style="68" bestFit="1" customWidth="1"/>
    <col min="7" max="8" width="12.5703125" style="68" customWidth="1"/>
    <col min="9" max="9" width="15.140625" style="68" customWidth="1"/>
    <col min="10" max="10" width="15.28515625" style="68" bestFit="1" customWidth="1"/>
    <col min="11" max="11" width="14.42578125" style="68" customWidth="1"/>
    <col min="12" max="14" width="12.5703125" style="68" customWidth="1"/>
    <col min="15" max="15" width="7.5703125" style="68" customWidth="1"/>
    <col min="16" max="16" width="21.28515625" style="68" customWidth="1"/>
    <col min="17" max="16384" width="9.140625" style="68"/>
  </cols>
  <sheetData>
    <row r="2" spans="2:2" s="66" customFormat="1" ht="15.75">
      <c r="B2" s="67" t="s">
        <v>416</v>
      </c>
    </row>
    <row r="4" spans="2:2">
      <c r="B4" s="76"/>
    </row>
    <row r="5" spans="2:2" s="98" customFormat="1">
      <c r="B5" s="4" t="s">
        <v>42</v>
      </c>
    </row>
    <row r="6" spans="2:2" s="99" customFormat="1">
      <c r="B6" s="105"/>
    </row>
    <row r="7" spans="2:2" s="99" customFormat="1">
      <c r="B7" s="65" t="s">
        <v>417</v>
      </c>
    </row>
    <row r="8" spans="2:2" s="99" customFormat="1">
      <c r="B8" s="65" t="s">
        <v>272</v>
      </c>
    </row>
    <row r="9" spans="2:2" s="99" customFormat="1">
      <c r="B9" s="68" t="s">
        <v>270</v>
      </c>
    </row>
    <row r="10" spans="2:2">
      <c r="B10" s="68" t="s">
        <v>478</v>
      </c>
    </row>
    <row r="11" spans="2:2">
      <c r="B11" s="105"/>
    </row>
    <row r="12" spans="2:2">
      <c r="B12" s="71" t="s">
        <v>362</v>
      </c>
    </row>
    <row r="13" spans="2:2">
      <c r="B13" s="71" t="s">
        <v>363</v>
      </c>
    </row>
    <row r="14" spans="2:2">
      <c r="B14" s="71" t="s">
        <v>276</v>
      </c>
    </row>
    <row r="15" spans="2:2">
      <c r="B15" s="71" t="s">
        <v>463</v>
      </c>
    </row>
    <row r="17" spans="2:18" s="72" customFormat="1">
      <c r="B17" s="73" t="s">
        <v>278</v>
      </c>
    </row>
    <row r="19" spans="2:18" ht="60">
      <c r="F19" s="69" t="s">
        <v>1</v>
      </c>
      <c r="G19" s="69" t="s">
        <v>2</v>
      </c>
      <c r="H19" s="69" t="s">
        <v>3</v>
      </c>
      <c r="I19" s="69" t="s">
        <v>4</v>
      </c>
      <c r="J19" s="69" t="s">
        <v>5</v>
      </c>
      <c r="K19" s="69" t="s">
        <v>6</v>
      </c>
      <c r="L19" s="69" t="s">
        <v>7</v>
      </c>
      <c r="M19" s="69" t="s">
        <v>8</v>
      </c>
      <c r="N19" s="69" t="s">
        <v>9</v>
      </c>
      <c r="P19" s="70" t="s">
        <v>64</v>
      </c>
    </row>
    <row r="22" spans="2:18">
      <c r="B22" s="125" t="s">
        <v>365</v>
      </c>
      <c r="D22" s="99" t="s">
        <v>364</v>
      </c>
      <c r="F22" s="96">
        <f>SUM(G22:N22)</f>
        <v>896000</v>
      </c>
      <c r="G22" s="262">
        <v>6000</v>
      </c>
      <c r="H22" s="262">
        <v>30000</v>
      </c>
      <c r="I22" s="262">
        <v>0</v>
      </c>
      <c r="J22" s="262">
        <v>260000</v>
      </c>
      <c r="K22" s="262">
        <v>600000</v>
      </c>
      <c r="L22" s="262">
        <v>0</v>
      </c>
      <c r="M22" s="262">
        <v>0</v>
      </c>
      <c r="N22" s="262">
        <v>0</v>
      </c>
      <c r="P22" s="103" t="s">
        <v>271</v>
      </c>
    </row>
    <row r="23" spans="2:18">
      <c r="B23" s="123" t="s">
        <v>67</v>
      </c>
      <c r="D23" s="99"/>
      <c r="E23" s="320">
        <f>CPI!C10</f>
        <v>3.0000000000000001E-3</v>
      </c>
      <c r="F23" s="321"/>
      <c r="G23" s="322"/>
      <c r="H23" s="322"/>
      <c r="I23" s="322"/>
      <c r="J23" s="322"/>
      <c r="K23" s="322"/>
      <c r="L23" s="322"/>
      <c r="M23" s="322"/>
      <c r="N23" s="322"/>
    </row>
    <row r="24" spans="2:18">
      <c r="B24" s="125" t="s">
        <v>365</v>
      </c>
      <c r="D24" s="99" t="s">
        <v>266</v>
      </c>
      <c r="F24" s="96">
        <f t="shared" ref="F24:F25" si="0">SUM(G24:N24)</f>
        <v>898687.99999999977</v>
      </c>
      <c r="G24" s="358">
        <f>G22*(1+$E$23)</f>
        <v>6017.9999999999991</v>
      </c>
      <c r="H24" s="358">
        <f t="shared" ref="H24:N24" si="1">H22*(1+$E$23)</f>
        <v>30089.999999999996</v>
      </c>
      <c r="I24" s="358">
        <f t="shared" si="1"/>
        <v>0</v>
      </c>
      <c r="J24" s="358">
        <f t="shared" si="1"/>
        <v>260779.99999999997</v>
      </c>
      <c r="K24" s="358">
        <f t="shared" si="1"/>
        <v>601799.99999999988</v>
      </c>
      <c r="L24" s="358">
        <f t="shared" si="1"/>
        <v>0</v>
      </c>
      <c r="M24" s="358">
        <f t="shared" si="1"/>
        <v>0</v>
      </c>
      <c r="N24" s="358">
        <f t="shared" si="1"/>
        <v>0</v>
      </c>
    </row>
    <row r="25" spans="2:18" s="259" customFormat="1">
      <c r="B25" s="125" t="s">
        <v>366</v>
      </c>
      <c r="C25" s="99"/>
      <c r="D25" s="99" t="s">
        <v>266</v>
      </c>
      <c r="E25" s="99"/>
      <c r="F25" s="96">
        <f t="shared" si="0"/>
        <v>4351700</v>
      </c>
      <c r="G25" s="262">
        <v>6700</v>
      </c>
      <c r="H25" s="262">
        <v>50000</v>
      </c>
      <c r="I25" s="262">
        <v>0</v>
      </c>
      <c r="J25" s="262">
        <v>980000</v>
      </c>
      <c r="K25" s="262">
        <v>600000</v>
      </c>
      <c r="L25" s="262">
        <v>15000</v>
      </c>
      <c r="M25" s="262">
        <v>2700000</v>
      </c>
      <c r="N25" s="262">
        <v>0</v>
      </c>
      <c r="O25" s="260"/>
      <c r="P25" s="103" t="s">
        <v>271</v>
      </c>
      <c r="Q25" s="260"/>
      <c r="R25" s="260"/>
    </row>
    <row r="26" spans="2:18" s="259" customFormat="1">
      <c r="B26" s="125" t="s">
        <v>367</v>
      </c>
      <c r="C26" s="99"/>
      <c r="D26" s="99" t="s">
        <v>266</v>
      </c>
      <c r="E26" s="99"/>
      <c r="F26" s="96">
        <f>SUM(G24:N24)-SUM(G25:N25)</f>
        <v>-3453012</v>
      </c>
      <c r="G26" s="263"/>
      <c r="H26" s="263"/>
      <c r="I26" s="263"/>
      <c r="J26" s="263"/>
      <c r="K26" s="263"/>
      <c r="L26" s="263"/>
      <c r="M26" s="263"/>
      <c r="N26" s="263"/>
      <c r="O26" s="260"/>
      <c r="P26" s="103"/>
      <c r="Q26" s="260"/>
      <c r="R26" s="260"/>
    </row>
    <row r="27" spans="2:18" s="259" customFormat="1">
      <c r="B27" s="105"/>
      <c r="C27" s="105"/>
      <c r="D27" s="105"/>
      <c r="E27" s="105"/>
      <c r="F27" s="118"/>
      <c r="G27" s="263"/>
      <c r="H27" s="263"/>
      <c r="I27" s="263"/>
      <c r="J27" s="263"/>
      <c r="K27" s="263"/>
      <c r="L27" s="263"/>
      <c r="M27" s="263"/>
      <c r="N27" s="263"/>
      <c r="O27" s="260"/>
      <c r="P27" s="261"/>
      <c r="Q27" s="260"/>
      <c r="R27" s="260"/>
    </row>
    <row r="28" spans="2:18">
      <c r="B28" s="77" t="s">
        <v>279</v>
      </c>
      <c r="D28" s="99"/>
      <c r="E28" s="75"/>
      <c r="P28" s="103"/>
    </row>
    <row r="29" spans="2:18">
      <c r="B29" s="68" t="s">
        <v>277</v>
      </c>
      <c r="F29" s="96">
        <f>SUM(G29:N29)</f>
        <v>1187349875.6665211</v>
      </c>
      <c r="G29" s="100">
        <v>7609610.8683348456</v>
      </c>
      <c r="H29" s="100">
        <v>30954902.781107794</v>
      </c>
      <c r="I29" s="100">
        <v>15309070.359534319</v>
      </c>
      <c r="J29" s="100">
        <v>401645171.9445014</v>
      </c>
      <c r="K29" s="100">
        <v>431796245.50222409</v>
      </c>
      <c r="L29" s="100">
        <v>4723582.7889386024</v>
      </c>
      <c r="M29" s="100">
        <v>286210746.43885261</v>
      </c>
      <c r="N29" s="100">
        <v>9100544.9830273818</v>
      </c>
      <c r="P29" s="103" t="s">
        <v>93</v>
      </c>
    </row>
    <row r="31" spans="2:18" s="259" customFormat="1">
      <c r="B31" s="71" t="s">
        <v>280</v>
      </c>
      <c r="C31" s="105"/>
      <c r="D31" s="105"/>
      <c r="E31" s="105"/>
      <c r="F31" s="96">
        <f>SUM(G31:N31)</f>
        <v>-3453012</v>
      </c>
      <c r="G31" s="96">
        <f>($F$26/$F$29)*G29</f>
        <v>-22130.020967021632</v>
      </c>
      <c r="H31" s="96">
        <f t="shared" ref="H31:N31" si="2">($F$26/$F$29)*H29</f>
        <v>-90022.033903020376</v>
      </c>
      <c r="I31" s="96">
        <f t="shared" si="2"/>
        <v>-44521.33675479766</v>
      </c>
      <c r="J31" s="96">
        <f t="shared" si="2"/>
        <v>-1168051.3274892084</v>
      </c>
      <c r="K31" s="96">
        <f t="shared" si="2"/>
        <v>-1255735.6915855585</v>
      </c>
      <c r="L31" s="96">
        <f>($F$26/$F$29)*L29</f>
        <v>-13736.968679128788</v>
      </c>
      <c r="M31" s="96">
        <f t="shared" si="2"/>
        <v>-832348.71391849627</v>
      </c>
      <c r="N31" s="96">
        <f t="shared" si="2"/>
        <v>-26465.90670276801</v>
      </c>
      <c r="O31" s="260"/>
      <c r="P31" s="261"/>
      <c r="Q31" s="260"/>
      <c r="R31" s="260"/>
    </row>
    <row r="33" spans="2:15" s="98" customFormat="1">
      <c r="B33" s="4" t="s">
        <v>281</v>
      </c>
    </row>
    <row r="35" spans="2:15">
      <c r="B35" s="123" t="s">
        <v>75</v>
      </c>
      <c r="E35" s="320">
        <f>CPI!C11</f>
        <v>1.4999999999999999E-2</v>
      </c>
      <c r="G35" s="114"/>
      <c r="H35" s="114"/>
      <c r="I35" s="114"/>
      <c r="J35" s="114"/>
      <c r="K35" s="114"/>
      <c r="L35" s="114"/>
      <c r="M35" s="114"/>
      <c r="N35" s="114"/>
      <c r="O35" s="114"/>
    </row>
    <row r="36" spans="2:15">
      <c r="B36" s="68" t="s">
        <v>281</v>
      </c>
      <c r="D36" s="99" t="s">
        <v>273</v>
      </c>
      <c r="G36" s="106">
        <f>G31*(1+$E$35)</f>
        <v>-22461.971281526956</v>
      </c>
      <c r="H36" s="106">
        <f t="shared" ref="H36:N36" si="3">H31*(1+$E$35)</f>
        <v>-91372.364411565679</v>
      </c>
      <c r="I36" s="106">
        <f t="shared" si="3"/>
        <v>-45189.156806119623</v>
      </c>
      <c r="J36" s="106">
        <f t="shared" si="3"/>
        <v>-1185572.0974015465</v>
      </c>
      <c r="K36" s="106">
        <f t="shared" si="3"/>
        <v>-1274571.7269593417</v>
      </c>
      <c r="L36" s="106">
        <f t="shared" si="3"/>
        <v>-13943.023209315717</v>
      </c>
      <c r="M36" s="106">
        <f t="shared" si="3"/>
        <v>-844833.94462727359</v>
      </c>
      <c r="N36" s="106">
        <f t="shared" si="3"/>
        <v>-26862.895303309528</v>
      </c>
      <c r="O36" s="114"/>
    </row>
    <row r="38" spans="2:15" s="98" customFormat="1">
      <c r="B38" s="4" t="s">
        <v>283</v>
      </c>
    </row>
    <row r="40" spans="2:15">
      <c r="B40" s="123" t="s">
        <v>128</v>
      </c>
      <c r="E40" s="320">
        <f>CPI!C12</f>
        <v>2.5999999999999999E-2</v>
      </c>
      <c r="G40" s="114"/>
      <c r="H40" s="114"/>
      <c r="I40" s="114"/>
      <c r="J40" s="114"/>
      <c r="K40" s="114"/>
      <c r="L40" s="114"/>
      <c r="M40" s="114"/>
      <c r="N40" s="114"/>
      <c r="O40" s="114"/>
    </row>
    <row r="41" spans="2:15">
      <c r="B41" s="68" t="s">
        <v>283</v>
      </c>
      <c r="D41" s="125" t="s">
        <v>274</v>
      </c>
      <c r="G41" s="106">
        <f>G36*(1+$E$40)</f>
        <v>-23045.982534846658</v>
      </c>
      <c r="H41" s="106">
        <f t="shared" ref="H41:N41" si="4">H36*(1+$E$40)</f>
        <v>-93748.045886266395</v>
      </c>
      <c r="I41" s="106">
        <f t="shared" si="4"/>
        <v>-46364.074883078734</v>
      </c>
      <c r="J41" s="106">
        <f t="shared" si="4"/>
        <v>-1216396.9719339868</v>
      </c>
      <c r="K41" s="106">
        <f t="shared" si="4"/>
        <v>-1307710.5918602846</v>
      </c>
      <c r="L41" s="106">
        <f t="shared" si="4"/>
        <v>-14305.541812757927</v>
      </c>
      <c r="M41" s="106">
        <f t="shared" si="4"/>
        <v>-866799.62718758278</v>
      </c>
      <c r="N41" s="106">
        <f t="shared" si="4"/>
        <v>-27561.330581195576</v>
      </c>
      <c r="O41" s="114"/>
    </row>
    <row r="43" spans="2:15" s="98" customFormat="1">
      <c r="B43" s="4" t="s">
        <v>282</v>
      </c>
    </row>
    <row r="45" spans="2:15">
      <c r="B45" s="123" t="s">
        <v>129</v>
      </c>
      <c r="E45" s="320">
        <f>CPI!C13</f>
        <v>2.3E-2</v>
      </c>
      <c r="G45" s="114"/>
      <c r="H45" s="114"/>
      <c r="I45" s="114"/>
      <c r="J45" s="114"/>
      <c r="K45" s="114"/>
      <c r="L45" s="114"/>
      <c r="M45" s="114"/>
      <c r="N45" s="114"/>
      <c r="O45" s="114"/>
    </row>
    <row r="46" spans="2:15">
      <c r="B46" s="68" t="s">
        <v>282</v>
      </c>
      <c r="D46" s="125" t="s">
        <v>275</v>
      </c>
      <c r="G46" s="106">
        <f>G41*(1+$E$45)</f>
        <v>-23576.04013314813</v>
      </c>
      <c r="H46" s="106">
        <f t="shared" ref="H46:M46" si="5">H41*(1+$E$45)</f>
        <v>-95904.25094165052</v>
      </c>
      <c r="I46" s="106">
        <f t="shared" si="5"/>
        <v>-47430.448605389538</v>
      </c>
      <c r="J46" s="106">
        <f t="shared" si="5"/>
        <v>-1244374.1022884683</v>
      </c>
      <c r="K46" s="106">
        <f t="shared" si="5"/>
        <v>-1337787.9354730709</v>
      </c>
      <c r="L46" s="106">
        <f>L41*(1+$E$45)</f>
        <v>-14634.569274451358</v>
      </c>
      <c r="M46" s="106">
        <f t="shared" si="5"/>
        <v>-886736.01861289714</v>
      </c>
      <c r="N46" s="106">
        <f>N41*(1+$E$45)</f>
        <v>-28195.24118456307</v>
      </c>
      <c r="O46" s="114"/>
    </row>
    <row r="50" spans="4:4">
      <c r="D50" s="99"/>
    </row>
    <row r="51" spans="4:4">
      <c r="D51" s="99"/>
    </row>
  </sheetData>
  <pageMargins left="0.75" right="0.75" top="1" bottom="1" header="0.5" footer="0.5"/>
  <pageSetup paperSize="9" scale="4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P32"/>
  <sheetViews>
    <sheetView showGridLines="0" zoomScale="85" workbookViewId="0"/>
  </sheetViews>
  <sheetFormatPr defaultRowHeight="12.75"/>
  <cols>
    <col min="1" max="1" width="3.42578125" style="68" customWidth="1"/>
    <col min="2" max="2" width="61.5703125" style="68" customWidth="1"/>
    <col min="3" max="3" width="5.5703125" style="68" customWidth="1"/>
    <col min="4" max="4" width="17.7109375" style="68" customWidth="1"/>
    <col min="5" max="5" width="12.85546875" style="68" customWidth="1"/>
    <col min="6" max="6" width="3.28515625" style="68" customWidth="1"/>
    <col min="7" max="8" width="12.5703125" style="68" customWidth="1"/>
    <col min="9" max="9" width="15.140625" style="68" customWidth="1"/>
    <col min="10" max="10" width="15.28515625" style="68" bestFit="1" customWidth="1"/>
    <col min="11" max="11" width="14.42578125" style="68" customWidth="1"/>
    <col min="12" max="14" width="12.5703125" style="68" customWidth="1"/>
    <col min="15" max="15" width="7.5703125" style="68" customWidth="1"/>
    <col min="16" max="16" width="21.28515625" style="68" customWidth="1"/>
    <col min="17" max="16384" width="9.140625" style="68"/>
  </cols>
  <sheetData>
    <row r="2" spans="2:16" s="66" customFormat="1" ht="15.75">
      <c r="B2" s="67" t="s">
        <v>412</v>
      </c>
    </row>
    <row r="4" spans="2:16">
      <c r="B4" s="76"/>
    </row>
    <row r="5" spans="2:16" s="98" customFormat="1">
      <c r="B5" s="4" t="s">
        <v>42</v>
      </c>
    </row>
    <row r="6" spans="2:16" s="99" customFormat="1">
      <c r="B6" s="105"/>
    </row>
    <row r="7" spans="2:16" s="99" customFormat="1">
      <c r="B7" s="65" t="s">
        <v>411</v>
      </c>
    </row>
    <row r="8" spans="2:16" s="99" customFormat="1">
      <c r="B8" s="68" t="s">
        <v>267</v>
      </c>
    </row>
    <row r="9" spans="2:16" s="99" customFormat="1">
      <c r="B9" s="68" t="s">
        <v>444</v>
      </c>
    </row>
    <row r="10" spans="2:16">
      <c r="B10" s="71" t="s">
        <v>471</v>
      </c>
    </row>
    <row r="11" spans="2:16">
      <c r="B11" s="71" t="s">
        <v>477</v>
      </c>
    </row>
    <row r="13" spans="2:16" s="72" customFormat="1">
      <c r="B13" s="73" t="s">
        <v>414</v>
      </c>
    </row>
    <row r="15" spans="2:16" ht="60">
      <c r="G15" s="69" t="s">
        <v>2</v>
      </c>
      <c r="H15" s="69" t="s">
        <v>3</v>
      </c>
      <c r="I15" s="69" t="s">
        <v>4</v>
      </c>
      <c r="J15" s="69" t="s">
        <v>5</v>
      </c>
      <c r="K15" s="69" t="s">
        <v>6</v>
      </c>
      <c r="L15" s="69" t="s">
        <v>7</v>
      </c>
      <c r="M15" s="69" t="s">
        <v>8</v>
      </c>
      <c r="N15" s="69" t="s">
        <v>9</v>
      </c>
      <c r="P15" s="70" t="s">
        <v>64</v>
      </c>
    </row>
    <row r="17" spans="2:16">
      <c r="B17" s="68" t="s">
        <v>410</v>
      </c>
      <c r="D17" s="125" t="s">
        <v>15</v>
      </c>
      <c r="G17" s="332"/>
      <c r="H17" s="332"/>
      <c r="I17" s="332">
        <v>6532.02</v>
      </c>
      <c r="J17" s="332">
        <v>53453.46</v>
      </c>
      <c r="K17" s="332">
        <v>40097</v>
      </c>
      <c r="L17" s="332">
        <v>694.57</v>
      </c>
      <c r="M17" s="332">
        <v>49201</v>
      </c>
      <c r="N17" s="332">
        <v>6210.57</v>
      </c>
      <c r="P17" s="77" t="s">
        <v>484</v>
      </c>
    </row>
    <row r="18" spans="2:16">
      <c r="B18" s="68" t="s">
        <v>268</v>
      </c>
      <c r="D18" s="125" t="s">
        <v>15</v>
      </c>
      <c r="G18" s="332"/>
      <c r="H18" s="332"/>
      <c r="I18" s="332">
        <v>7931.54</v>
      </c>
      <c r="J18" s="332">
        <v>213583.84</v>
      </c>
      <c r="K18" s="332">
        <v>31081</v>
      </c>
      <c r="L18" s="332">
        <v>3484.68</v>
      </c>
      <c r="M18" s="332">
        <v>79399</v>
      </c>
      <c r="N18" s="332">
        <v>11756.19</v>
      </c>
      <c r="P18" s="77" t="s">
        <v>484</v>
      </c>
    </row>
    <row r="20" spans="2:16">
      <c r="B20" s="68" t="s">
        <v>269</v>
      </c>
      <c r="D20" s="125" t="s">
        <v>15</v>
      </c>
      <c r="G20" s="106">
        <f>G17+G18</f>
        <v>0</v>
      </c>
      <c r="H20" s="106">
        <f t="shared" ref="H20:N20" si="0">H17+H18</f>
        <v>0</v>
      </c>
      <c r="I20" s="106">
        <f t="shared" si="0"/>
        <v>14463.560000000001</v>
      </c>
      <c r="J20" s="106">
        <f t="shared" si="0"/>
        <v>267037.3</v>
      </c>
      <c r="K20" s="106">
        <f t="shared" si="0"/>
        <v>71178</v>
      </c>
      <c r="L20" s="106">
        <f t="shared" si="0"/>
        <v>4179.25</v>
      </c>
      <c r="M20" s="106">
        <f t="shared" si="0"/>
        <v>128600</v>
      </c>
      <c r="N20" s="106">
        <f t="shared" si="0"/>
        <v>17966.760000000002</v>
      </c>
    </row>
    <row r="26" spans="2:16">
      <c r="G26" s="114"/>
      <c r="H26" s="114"/>
      <c r="I26" s="114"/>
      <c r="J26" s="114"/>
      <c r="K26" s="114"/>
      <c r="L26" s="114"/>
      <c r="M26" s="114"/>
      <c r="N26" s="114"/>
      <c r="O26" s="114"/>
    </row>
    <row r="27" spans="2:16">
      <c r="G27" s="114"/>
      <c r="H27" s="114"/>
      <c r="I27" s="114"/>
      <c r="J27" s="114"/>
      <c r="K27" s="114"/>
      <c r="L27" s="114"/>
      <c r="M27" s="114"/>
      <c r="N27" s="114"/>
      <c r="O27" s="114"/>
    </row>
    <row r="30" spans="2:16" ht="15">
      <c r="H30" s="361"/>
    </row>
    <row r="31" spans="2:16" ht="15">
      <c r="H31" s="361"/>
    </row>
    <row r="32" spans="2:16">
      <c r="G32" s="359"/>
    </row>
  </sheetData>
  <pageMargins left="0.75" right="0.75" top="1" bottom="1" header="0.5" footer="0.5"/>
  <pageSetup paperSize="9" scale="5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B2:P31"/>
  <sheetViews>
    <sheetView showGridLines="0" zoomScale="85" workbookViewId="0"/>
  </sheetViews>
  <sheetFormatPr defaultRowHeight="12.75"/>
  <cols>
    <col min="1" max="1" width="3.42578125" style="68" customWidth="1"/>
    <col min="2" max="2" width="61.5703125" style="68" customWidth="1"/>
    <col min="3" max="3" width="5.5703125" style="68" customWidth="1"/>
    <col min="4" max="4" width="17.7109375" style="68" customWidth="1"/>
    <col min="5" max="5" width="12.85546875" style="68" customWidth="1"/>
    <col min="6" max="6" width="3.28515625" style="68" customWidth="1"/>
    <col min="7" max="8" width="12.5703125" style="68" customWidth="1"/>
    <col min="9" max="9" width="15.140625" style="68" customWidth="1"/>
    <col min="10" max="10" width="15.28515625" style="68" bestFit="1" customWidth="1"/>
    <col min="11" max="11" width="14.42578125" style="68" customWidth="1"/>
    <col min="12" max="14" width="12.5703125" style="68" customWidth="1"/>
    <col min="15" max="15" width="7.5703125" style="68" customWidth="1"/>
    <col min="16" max="16" width="21.28515625" style="68" customWidth="1"/>
    <col min="17" max="16384" width="9.140625" style="68"/>
  </cols>
  <sheetData>
    <row r="2" spans="2:16" s="66" customFormat="1" ht="15.75">
      <c r="B2" s="67" t="s">
        <v>475</v>
      </c>
    </row>
    <row r="4" spans="2:16">
      <c r="B4" s="76"/>
    </row>
    <row r="5" spans="2:16" s="5" customFormat="1">
      <c r="B5" s="4" t="s">
        <v>42</v>
      </c>
    </row>
    <row r="6" spans="2:16" customFormat="1">
      <c r="B6" s="10"/>
    </row>
    <row r="7" spans="2:16" customFormat="1">
      <c r="B7" s="65" t="s">
        <v>257</v>
      </c>
    </row>
    <row r="8" spans="2:16" customFormat="1">
      <c r="B8" s="65" t="s">
        <v>258</v>
      </c>
    </row>
    <row r="9" spans="2:16" customFormat="1">
      <c r="B9" s="68" t="s">
        <v>259</v>
      </c>
    </row>
    <row r="10" spans="2:16">
      <c r="B10" s="68" t="s">
        <v>260</v>
      </c>
    </row>
    <row r="11" spans="2:16">
      <c r="B11" s="71" t="s">
        <v>489</v>
      </c>
    </row>
    <row r="13" spans="2:16" s="72" customFormat="1">
      <c r="B13" s="73" t="s">
        <v>261</v>
      </c>
    </row>
    <row r="15" spans="2:16" ht="60">
      <c r="G15" s="69" t="s">
        <v>2</v>
      </c>
      <c r="H15" s="69" t="s">
        <v>3</v>
      </c>
      <c r="I15" s="69" t="s">
        <v>4</v>
      </c>
      <c r="J15" s="69" t="s">
        <v>5</v>
      </c>
      <c r="K15" s="69" t="s">
        <v>6</v>
      </c>
      <c r="L15" s="69" t="s">
        <v>7</v>
      </c>
      <c r="M15" s="69" t="s">
        <v>8</v>
      </c>
      <c r="N15" s="69" t="s">
        <v>9</v>
      </c>
      <c r="P15" s="70" t="s">
        <v>64</v>
      </c>
    </row>
    <row r="17" spans="2:16">
      <c r="B17" s="68" t="s">
        <v>264</v>
      </c>
      <c r="D17" s="99" t="s">
        <v>54</v>
      </c>
      <c r="G17" s="100">
        <v>-67271.228894815344</v>
      </c>
      <c r="H17" s="100">
        <v>-250038.43086366344</v>
      </c>
      <c r="I17" s="100">
        <v>-126007.67028571767</v>
      </c>
      <c r="J17" s="100">
        <v>-3213280.4271670142</v>
      </c>
      <c r="K17" s="100">
        <v>-3498917.96765853</v>
      </c>
      <c r="L17" s="100">
        <v>-42345.342781369123</v>
      </c>
      <c r="M17" s="100">
        <v>-2358114.389074503</v>
      </c>
      <c r="N17" s="100">
        <v>-82409.392614939818</v>
      </c>
      <c r="P17" s="103" t="s">
        <v>262</v>
      </c>
    </row>
    <row r="19" spans="2:16">
      <c r="B19" s="68" t="s">
        <v>90</v>
      </c>
      <c r="D19" s="68" t="s">
        <v>65</v>
      </c>
      <c r="E19" s="97">
        <v>0.75</v>
      </c>
    </row>
    <row r="20" spans="2:16">
      <c r="B20" s="68" t="s">
        <v>263</v>
      </c>
      <c r="D20" s="68" t="s">
        <v>65</v>
      </c>
      <c r="E20" s="97">
        <v>0.41666666666666669</v>
      </c>
    </row>
    <row r="22" spans="2:16">
      <c r="B22" s="68" t="s">
        <v>265</v>
      </c>
      <c r="D22" s="99" t="s">
        <v>54</v>
      </c>
      <c r="G22" s="96">
        <f>G17/$E$19*$E$20</f>
        <v>-37372.904941564077</v>
      </c>
      <c r="H22" s="96">
        <f t="shared" ref="H22:N22" si="0">H17/$E$19*$E$20</f>
        <v>-138910.23936870191</v>
      </c>
      <c r="I22" s="96">
        <f t="shared" si="0"/>
        <v>-70004.261269843162</v>
      </c>
      <c r="J22" s="96">
        <f t="shared" si="0"/>
        <v>-1785155.7928705635</v>
      </c>
      <c r="K22" s="96">
        <f t="shared" si="0"/>
        <v>-1943843.31536585</v>
      </c>
      <c r="L22" s="96">
        <f t="shared" si="0"/>
        <v>-23525.190434093958</v>
      </c>
      <c r="M22" s="96">
        <f t="shared" si="0"/>
        <v>-1310063.549485835</v>
      </c>
      <c r="N22" s="96">
        <f t="shared" si="0"/>
        <v>-45782.99589718879</v>
      </c>
    </row>
    <row r="24" spans="2:16">
      <c r="B24" s="68" t="s">
        <v>476</v>
      </c>
      <c r="D24" s="99" t="s">
        <v>54</v>
      </c>
      <c r="G24" s="106">
        <f>G22-G17</f>
        <v>29898.323953251267</v>
      </c>
      <c r="H24" s="106">
        <f t="shared" ref="H24:N24" si="1">H22-H17</f>
        <v>111128.19149496153</v>
      </c>
      <c r="I24" s="106">
        <f t="shared" si="1"/>
        <v>56003.409015874509</v>
      </c>
      <c r="J24" s="106">
        <f t="shared" si="1"/>
        <v>1428124.6342964508</v>
      </c>
      <c r="K24" s="106">
        <f t="shared" si="1"/>
        <v>1555074.65229268</v>
      </c>
      <c r="L24" s="106">
        <f t="shared" si="1"/>
        <v>18820.152347275165</v>
      </c>
      <c r="M24" s="106">
        <f t="shared" si="1"/>
        <v>1048050.839588668</v>
      </c>
      <c r="N24" s="106">
        <f t="shared" si="1"/>
        <v>36626.396717751028</v>
      </c>
    </row>
    <row r="30" spans="2:16">
      <c r="G30" s="114"/>
      <c r="H30" s="114"/>
      <c r="I30" s="114"/>
      <c r="J30" s="114"/>
      <c r="K30" s="114"/>
      <c r="L30" s="114"/>
      <c r="M30" s="114"/>
      <c r="N30" s="114"/>
      <c r="O30" s="114"/>
    </row>
    <row r="31" spans="2:16">
      <c r="G31" s="114"/>
      <c r="H31" s="114"/>
      <c r="I31" s="114"/>
      <c r="J31" s="114"/>
      <c r="K31" s="114"/>
      <c r="L31" s="114"/>
      <c r="M31" s="114"/>
      <c r="N31" s="114"/>
      <c r="O31" s="114"/>
    </row>
  </sheetData>
  <phoneticPr fontId="3" type="noConversion"/>
  <pageMargins left="0.75" right="0.75" top="1" bottom="1" header="0.5" footer="0.5"/>
  <pageSetup paperSize="9"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16</vt:i4>
      </vt:variant>
    </vt:vector>
  </HeadingPairs>
  <TitlesOfParts>
    <vt:vector size="34" baseType="lpstr">
      <vt:lpstr>Toelichting</vt:lpstr>
      <vt:lpstr>TI-berekening 2014</vt:lpstr>
      <vt:lpstr>Nacalculaties en correcties</vt:lpstr>
      <vt:lpstr>Nacalculaties --&gt;</vt:lpstr>
      <vt:lpstr>Overname private netten</vt:lpstr>
      <vt:lpstr>Verr. niet gecontr. verbruik </vt:lpstr>
      <vt:lpstr>Besp. Captar 11-13</vt:lpstr>
      <vt:lpstr>Faillis. Orro en Trianel</vt:lpstr>
      <vt:lpstr>corrDUBDEB2013</vt:lpstr>
      <vt:lpstr>VVCOU2013</vt:lpstr>
      <vt:lpstr>LH2012</vt:lpstr>
      <vt:lpstr>ITT2008-2010</vt:lpstr>
      <vt:lpstr>IT 2012</vt:lpstr>
      <vt:lpstr>Input --&gt;</vt:lpstr>
      <vt:lpstr>Heffingsrente</vt:lpstr>
      <vt:lpstr>CPI</vt:lpstr>
      <vt:lpstr>Input ITT overgedragen netten</vt:lpstr>
      <vt:lpstr>Input ITT kosten naaste netten</vt:lpstr>
      <vt:lpstr>'Besp. Captar 11-13'!Afdrukbereik</vt:lpstr>
      <vt:lpstr>corrDUBDEB2013!Afdrukbereik</vt:lpstr>
      <vt:lpstr>CPI!Afdrukbereik</vt:lpstr>
      <vt:lpstr>'Faillis. Orro en Trianel'!Afdrukbereik</vt:lpstr>
      <vt:lpstr>Heffingsrente!Afdrukbereik</vt:lpstr>
      <vt:lpstr>'Input ITT kosten naaste netten'!Afdrukbereik</vt:lpstr>
      <vt:lpstr>'Input ITT overgedragen netten'!Afdrukbereik</vt:lpstr>
      <vt:lpstr>'IT 2012'!Afdrukbereik</vt:lpstr>
      <vt:lpstr>'ITT2008-2010'!Afdrukbereik</vt:lpstr>
      <vt:lpstr>'LH2012'!Afdrukbereik</vt:lpstr>
      <vt:lpstr>'Nacalculaties en correcties'!Afdrukbereik</vt:lpstr>
      <vt:lpstr>'Overname private netten'!Afdrukbereik</vt:lpstr>
      <vt:lpstr>'TI-berekening 2014'!Afdrukbereik</vt:lpstr>
      <vt:lpstr>Toelichting!Afdrukbereik</vt:lpstr>
      <vt:lpstr>'Verr. niet gecontr. verbruik '!Afdrukbereik</vt:lpstr>
      <vt:lpstr>VVCOU2013!Afdrukbereik</vt:lpstr>
    </vt:vector>
  </TitlesOfParts>
  <Company>Autoriteit Consument en Mark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inkomsten netbeheer elektriciteit 2014</dc:title>
  <dc:subject>Energie</dc:subject>
  <dc:creator>Autoriteit Consument en Markt</dc:creator>
  <cp:keywords>Elektriciteit; Regulering; Tarieven</cp:keywords>
  <cp:lastPrinted>2013-11-27T09:12:54Z</cp:lastPrinted>
  <dcterms:created xsi:type="dcterms:W3CDTF">2011-08-25T19:08:23Z</dcterms:created>
  <dcterms:modified xsi:type="dcterms:W3CDTF">2013-11-27T12:39:02Z</dcterms:modified>
  <cp:category>Besluit</cp:category>
</cp:coreProperties>
</file>