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tabRatio="733" activeTab="0"/>
  </bookViews>
  <sheets>
    <sheet name="x-factor" sheetId="1" r:id="rId1"/>
    <sheet name="Eindinkomsten" sheetId="2" r:id="rId2"/>
    <sheet name="Productiviteit" sheetId="3" r:id="rId3"/>
    <sheet name="Kosten" sheetId="4" r:id="rId4"/>
    <sheet name="SO" sheetId="5" r:id="rId5"/>
    <sheet name="Sectortarieven" sheetId="6" r:id="rId6"/>
    <sheet name="Tarieven" sheetId="7" r:id="rId7"/>
    <sheet name="Rekenvol" sheetId="8" r:id="rId8"/>
    <sheet name="Volumes" sheetId="9" r:id="rId9"/>
    <sheet name="ORV" sheetId="10" r:id="rId10"/>
    <sheet name="CPI" sheetId="11" r:id="rId11"/>
    <sheet name="Graaddagen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sz val="8"/>
            <rFont val="Tahoma"/>
            <family val="0"/>
          </rPr>
          <t>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sz val="8"/>
            <rFont val="Tahoma"/>
            <family val="0"/>
          </rPr>
          <t>voorheen Essent Netwerk B.V. &amp; Inframosane N.V.</t>
        </r>
      </text>
    </comment>
    <comment ref="Q2" authorId="0">
      <text>
        <r>
          <rPr>
            <sz val="8"/>
            <rFont val="Tahoma"/>
            <family val="2"/>
          </rPr>
          <t>voorheen gezamenlijke netbeheerders ENECO en ONS Netbeheer N.V.</t>
        </r>
      </text>
    </comment>
  </commentList>
</comments>
</file>

<file path=xl/comments10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2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3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4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5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6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7.xml><?xml version="1.0" encoding="utf-8"?>
<comments xmlns="http://schemas.openxmlformats.org/spreadsheetml/2006/main">
  <authors>
    <author>BPostema</author>
  </authors>
  <commentList>
    <comment ref="G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P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8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9.xml><?xml version="1.0" encoding="utf-8"?>
<comments xmlns="http://schemas.openxmlformats.org/spreadsheetml/2006/main">
  <authors>
    <author>BPostema</author>
  </authors>
  <commentLis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</commentList>
</comments>
</file>

<file path=xl/sharedStrings.xml><?xml version="1.0" encoding="utf-8"?>
<sst xmlns="http://schemas.openxmlformats.org/spreadsheetml/2006/main" count="536" uniqueCount="191">
  <si>
    <t>SBAB</t>
  </si>
  <si>
    <t>SFRL</t>
  </si>
  <si>
    <t>SLIM</t>
  </si>
  <si>
    <t>SNRD</t>
  </si>
  <si>
    <t>B.V. Netbeheer Haarlemmermeer</t>
  </si>
  <si>
    <t>DELTA Netwerkbedrijf B.V.</t>
  </si>
  <si>
    <t>InfraMosane N.V.</t>
  </si>
  <si>
    <t>Intergas Energie B.V.</t>
  </si>
  <si>
    <t>N.V. Continuon Netbeheer</t>
  </si>
  <si>
    <t>Netbeheerder Centraal Overijssel B.V.</t>
  </si>
  <si>
    <t>NRE Netwerk B.V.</t>
  </si>
  <si>
    <t>Obragas Net N.V.</t>
  </si>
  <si>
    <t>ONS Netbeheer B.V.</t>
  </si>
  <si>
    <t>RENDO Netbeheer B.V.</t>
  </si>
  <si>
    <t>Westland Energie Infrastructuur B.V.</t>
  </si>
  <si>
    <t>Zebra Gasnetwerk B.V.</t>
  </si>
  <si>
    <t>Essent Groep</t>
  </si>
  <si>
    <t>Volumes</t>
  </si>
  <si>
    <t>Gecorrigeerde Volumes verbruiksafhankelijk tarief (TAVTv)</t>
  </si>
  <si>
    <t>Kleinverbruik</t>
  </si>
  <si>
    <t>Vastrecht (TOVT)</t>
  </si>
  <si>
    <t>Capaciteitsafhankelijk tarief (TAVTc)</t>
  </si>
  <si>
    <t>Verbruiksafhankelijk tarief (TAVTv)</t>
  </si>
  <si>
    <t>Grootverbruik</t>
  </si>
  <si>
    <t>Capaciteitsafhankelijk tarief (TAVTc) lage druk</t>
  </si>
  <si>
    <t>Capaciteitsafhankelijk tarief (TAVTc) hoge druk</t>
  </si>
  <si>
    <t>Capaciteitsafhankelijk tarief (TAVTc) standaard</t>
  </si>
  <si>
    <t>Gestandaardiseerde Economische Kosten</t>
  </si>
  <si>
    <t>Samengestelde Output</t>
  </si>
  <si>
    <t>Alle bedragen x 1000 EUR</t>
  </si>
  <si>
    <t>Gegevens 2004</t>
  </si>
  <si>
    <t>CPI 2004</t>
  </si>
  <si>
    <t>CPI 2005</t>
  </si>
  <si>
    <t>CPI 2006</t>
  </si>
  <si>
    <t>CPI 2007</t>
  </si>
  <si>
    <t>Totale afschrijvingen 2004</t>
  </si>
  <si>
    <t>Eindstand GAW 2004</t>
  </si>
  <si>
    <t>Gestandaardiseerde Economische Kosten  2004</t>
  </si>
  <si>
    <t>Totaal CAPEX 2004</t>
  </si>
  <si>
    <t>Productiviteitsmeting</t>
  </si>
  <si>
    <t>Totaal OPEX 2006</t>
  </si>
  <si>
    <t>Eindstand GAW 2005</t>
  </si>
  <si>
    <t>Gestandaardiseerde Economische Kosten  2005</t>
  </si>
  <si>
    <t>Totale afschrijvingen 2006</t>
  </si>
  <si>
    <t>Eindstand GAW 2006</t>
  </si>
  <si>
    <t>Totaal CAPEX 2006</t>
  </si>
  <si>
    <t>Gestandaardiseerde Economische Kosten  2006</t>
  </si>
  <si>
    <t>Essent netwerk B.V.</t>
  </si>
  <si>
    <t>Essent Netwerk B.V.</t>
  </si>
  <si>
    <t>Capaciteitsafhankelijk tarief (TAVTc) EHD</t>
  </si>
  <si>
    <t>EHD (&gt;= 16 bar)</t>
  </si>
  <si>
    <t>Gestandaardiseerde Economische Kosten 2004</t>
  </si>
  <si>
    <t>Gestandaardiseerde Economische Kosten 2005</t>
  </si>
  <si>
    <t>Gestandaardiseerde Economische Kosten 2006</t>
  </si>
  <si>
    <t>Kostendata</t>
  </si>
  <si>
    <t>Outputdata</t>
  </si>
  <si>
    <t>Samengestelde Output 2004</t>
  </si>
  <si>
    <t>Samengestelde Output 2005</t>
  </si>
  <si>
    <t>Samengestelde Output 2006</t>
  </si>
  <si>
    <t>prijzen 2004</t>
  </si>
  <si>
    <t>prijzen 2005</t>
  </si>
  <si>
    <t>prijzen 2006</t>
  </si>
  <si>
    <t>Productiviteitsverandering</t>
  </si>
  <si>
    <t>PV 2005</t>
  </si>
  <si>
    <t>PV 2006</t>
  </si>
  <si>
    <t>Totaal</t>
  </si>
  <si>
    <t>PV2004-2006</t>
  </si>
  <si>
    <t>(rechterdeel formule)</t>
  </si>
  <si>
    <t>(linkerdeel formule)</t>
  </si>
  <si>
    <t>(verschil)</t>
  </si>
  <si>
    <t>Afschrijvingen inv &lt; 2004</t>
  </si>
  <si>
    <t>Eindstand inv &lt; 2004</t>
  </si>
  <si>
    <t>Sectortarieven 2007</t>
  </si>
  <si>
    <t>Nacalculatie 2005</t>
  </si>
  <si>
    <t>Nacalculatie 2006</t>
  </si>
  <si>
    <t>Totaal bedrag nacalculatie in tarieven 2007</t>
  </si>
  <si>
    <t>Tarieven 2007 gecorrigeerd voor nacalculaties</t>
  </si>
  <si>
    <t>ORV</t>
  </si>
  <si>
    <t>Geschatte ORV-component 2010</t>
  </si>
  <si>
    <t>Totale geschatte ORV kosten 2010</t>
  </si>
  <si>
    <t>Rekenvolumina</t>
  </si>
  <si>
    <t>Rekenvolumina 2008-2010</t>
  </si>
  <si>
    <t>Sectortarieven</t>
  </si>
  <si>
    <t>x-factor</t>
  </si>
  <si>
    <t>Begininkomsten 2007</t>
  </si>
  <si>
    <t>Eindinkomsten 2010</t>
  </si>
  <si>
    <t>x-factor derde reguleringsperiode</t>
  </si>
  <si>
    <t>x-factor onafgerond</t>
  </si>
  <si>
    <t>Efficiënte kosten 2007</t>
  </si>
  <si>
    <t>LET OP: DEZE CEL WORDT NIET AUTOMATISCH BEREKEND. BEREKEN ALS VOLGT:</t>
  </si>
  <si>
    <r>
      <t xml:space="preserve">Voer </t>
    </r>
    <r>
      <rPr>
        <sz val="10"/>
        <color indexed="10"/>
        <rFont val="Arial"/>
        <family val="2"/>
      </rPr>
      <t>doelzoeken</t>
    </r>
    <r>
      <rPr>
        <sz val="10"/>
        <rFont val="Arial"/>
        <family val="0"/>
      </rPr>
      <t xml:space="preserve"> uit met volgende inputs:</t>
    </r>
  </si>
  <si>
    <t>PV2007-2010</t>
  </si>
  <si>
    <t>cpi2007</t>
  </si>
  <si>
    <t>Kosten 2006</t>
  </si>
  <si>
    <t>ORV 2006</t>
  </si>
  <si>
    <t>Eindinkomsten</t>
  </si>
  <si>
    <t>Efficiënte kosten per output 2010</t>
  </si>
  <si>
    <t>SO2004</t>
  </si>
  <si>
    <t>SO2005</t>
  </si>
  <si>
    <t>SO2006</t>
  </si>
  <si>
    <t>SO2007</t>
  </si>
  <si>
    <t>Gedoogbelastingen 2003</t>
  </si>
  <si>
    <t>CPI</t>
  </si>
  <si>
    <t>Geschatte gedoogbelastingen 2006</t>
  </si>
  <si>
    <t>Jaarlijkse cpi</t>
  </si>
  <si>
    <t>cpi-tabel</t>
  </si>
  <si>
    <t>naar\van</t>
  </si>
  <si>
    <t>correctiefactor</t>
  </si>
  <si>
    <t>Gezamenlijke netbeheerders ENECO</t>
  </si>
  <si>
    <t>Geschatte kosten lokale heffingen 2010</t>
  </si>
  <si>
    <t>Precariokosten 2006</t>
  </si>
  <si>
    <t>Verbruiksafhankelijk tarief (TAVTv) (inc graaddagencorrectie)</t>
  </si>
  <si>
    <t>Totale kosten lokale heffingen 2006 (prijzen 2007)</t>
  </si>
  <si>
    <t>Totale kosten lokale heffingen 2006 (prijzen 2006)</t>
  </si>
  <si>
    <t>Tarieven</t>
  </si>
  <si>
    <t>ENECO Netbeheer B.V.</t>
  </si>
  <si>
    <t>EUR/jaar</t>
  </si>
  <si>
    <t>EUR/m3/h/jr</t>
  </si>
  <si>
    <t>EUR/m3</t>
  </si>
  <si>
    <t>Kosten 2006 - ORV</t>
  </si>
  <si>
    <t>Capaciteitsafhankelijk tarief (TAVTc) gestandaardiseerd</t>
  </si>
  <si>
    <t>Afgekochte precario</t>
  </si>
  <si>
    <t>Tarieven 2007</t>
  </si>
  <si>
    <t>Nacalculatiebedragen 2007 in prijzen 2007</t>
  </si>
  <si>
    <t>Sectorgemiddelde mu,K 2e periode</t>
  </si>
  <si>
    <t>Graaddagen</t>
  </si>
  <si>
    <t>2006 tbv productiviteitsmeting (oude WACC, geen EHD)</t>
  </si>
  <si>
    <t>2006 tbv eindinkomsten (nieuwe WACC, wel EHD)</t>
  </si>
  <si>
    <t>Totaal OPEX &lt; 16 bar 2006</t>
  </si>
  <si>
    <t>Afschrijvingen afgekochte precariorechten</t>
  </si>
  <si>
    <t>GAW afgekochte precario ultimo 2006</t>
  </si>
  <si>
    <t>Resterende afschrijvingstermijn per 1-1-2004</t>
  </si>
  <si>
    <t>Inkomsten 2007 ( = tarieven*rekenvolumina 2007 ) (ex. EHD)</t>
  </si>
  <si>
    <r>
      <t xml:space="preserve">1. Argument 1 is </t>
    </r>
    <r>
      <rPr>
        <sz val="10"/>
        <color indexed="10"/>
        <rFont val="Arial"/>
        <family val="2"/>
      </rPr>
      <t>C26</t>
    </r>
    <r>
      <rPr>
        <sz val="10"/>
        <rFont val="Arial"/>
        <family val="0"/>
      </rPr>
      <t xml:space="preserve"> (deze cel moet een waarde krijgen)</t>
    </r>
  </si>
  <si>
    <r>
      <t xml:space="preserve">2. Argument 2 is </t>
    </r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(dit is de waarde die C26 moet krijgen)</t>
    </r>
  </si>
  <si>
    <r>
      <t xml:space="preserve">3. Argument 3 is </t>
    </r>
    <r>
      <rPr>
        <sz val="10"/>
        <color indexed="10"/>
        <rFont val="Arial"/>
        <family val="2"/>
      </rPr>
      <t>C22</t>
    </r>
    <r>
      <rPr>
        <sz val="10"/>
        <rFont val="Arial"/>
        <family val="0"/>
      </rPr>
      <t xml:space="preserve"> (de cel waarmee je de waarde van C26 berekent)</t>
    </r>
  </si>
  <si>
    <t>Totaal CAPEX 2005 (prijzen 2005)</t>
  </si>
  <si>
    <t>Totale afschrijving inv 2004</t>
  </si>
  <si>
    <t>WACC* GAW 2004</t>
  </si>
  <si>
    <t>CAPEX 2004 (prijzen 2004)</t>
  </si>
  <si>
    <t>CAPEX 2004 (prijzen 2005)</t>
  </si>
  <si>
    <t>WACC* GAW 2005</t>
  </si>
  <si>
    <t>CAPEX 2005 (prijzen 2005)</t>
  </si>
  <si>
    <t>CAPEX 2004 (prijzen 2006)</t>
  </si>
  <si>
    <t>CAPEX 2005 (prijzen 2006)</t>
  </si>
  <si>
    <t>WACC* GAW 2006</t>
  </si>
  <si>
    <t>CAPEX 2006 (prijzen 2006)</t>
  </si>
  <si>
    <t>Totaal CAPEX 2006 (prijzen 2006)</t>
  </si>
  <si>
    <t>Nieuwe WACC over boekwaarde 2006 inv 2004</t>
  </si>
  <si>
    <t>Nieuwe WACC over boekwaarde 2006 inv 2005</t>
  </si>
  <si>
    <t>Nieuwe WACC over boekwaarde 2006 inv 2006</t>
  </si>
  <si>
    <t>WACC over GAW 2006</t>
  </si>
  <si>
    <t>jaar</t>
  </si>
  <si>
    <t>Graaddagencorrectiefactoren</t>
  </si>
  <si>
    <t>Inkomsten vastrecht 2007</t>
  </si>
  <si>
    <t>Inkomsten niet vastrecht 2007</t>
  </si>
  <si>
    <t>Inkomsten niet vastrecht 2007 - Nacalculatie 2007</t>
  </si>
  <si>
    <t>Grootverbruik (tbv sectortarieven)</t>
  </si>
  <si>
    <t>Rekenvolumina 2005-2007</t>
  </si>
  <si>
    <t>reële WACC 2001-2007</t>
  </si>
  <si>
    <t>reële WACC 2008-2010</t>
  </si>
  <si>
    <t>Totale precariokosten 2006 (prijspeil 2006)</t>
  </si>
  <si>
    <t>Totale CAPEX precario 2006 (prijspeil 2004)</t>
  </si>
  <si>
    <t>Totale CAPEX precario 2006 (prijspeil 2006)</t>
  </si>
  <si>
    <t>Afgekochte precario begin 2004</t>
  </si>
  <si>
    <t>Gestandaardiseerde afschrijvingen &lt;2004</t>
  </si>
  <si>
    <t>EHD (&gt;= 16 bar) Delta netwerk</t>
  </si>
  <si>
    <t>EHD (&gt;= 16 bar) Essent netwerk</t>
  </si>
  <si>
    <t>EHD (&gt;= 16 bar) Zebra netwerk</t>
  </si>
  <si>
    <t>OPEX precario 2006</t>
  </si>
  <si>
    <t>WACC over afgekochte precario (prijspeil 2004)</t>
  </si>
  <si>
    <t>Gestandaardiseerde activawaarde 1-1-2004</t>
  </si>
  <si>
    <t>Aqfschrijvingen inv 2004</t>
  </si>
  <si>
    <t>Som investerigen en desinvesteringen inv 2004</t>
  </si>
  <si>
    <t>Eindstand inv 2004</t>
  </si>
  <si>
    <t>OPEX 2004</t>
  </si>
  <si>
    <t>OPEX 2005</t>
  </si>
  <si>
    <t>investeringsjaar 2004 en eerder</t>
  </si>
  <si>
    <t>Investeringsjaar 2005</t>
  </si>
  <si>
    <t>Som investerigen en desinvesteringen inv 2005</t>
  </si>
  <si>
    <t>Afschrijvingen inv 2005</t>
  </si>
  <si>
    <t>Afschrijvingen inv 2004</t>
  </si>
  <si>
    <t>Investeringsjaar 2006</t>
  </si>
  <si>
    <t>Som investerigen en desinvesteringen inv 2006</t>
  </si>
  <si>
    <t>Afschrijvingen inv 2006</t>
  </si>
  <si>
    <t>OPEX &gt;= 16 bar 2006</t>
  </si>
  <si>
    <t>Investeringsjaar 2006, &gt;= 16 bar</t>
  </si>
  <si>
    <t>Som investerigen en desinvesteringen inv 2006 &gt;= 16 bar</t>
  </si>
  <si>
    <t>Beginstand inv 2006 &gt;= 16 bar</t>
  </si>
  <si>
    <t>Afschrijvingen inv 2006 &gt;= 16 bar</t>
  </si>
  <si>
    <t>Eindstand GAW 2006 &gt;= 16 bar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</si>
</sst>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00"/>
    <numFmt numFmtId="165" formatCode="0.0"/>
    <numFmt numFmtId="166" formatCode="0.00000"/>
    <numFmt numFmtId="167" formatCode="0.0%"/>
    <numFmt numFmtId="168" formatCode="#,##0.000"/>
    <numFmt numFmtId="169" formatCode="#,##0.0"/>
    <numFmt numFmtId="170" formatCode="#,##0.0000_ ;\-#,##0.0000\ "/>
    <numFmt numFmtId="171" formatCode="_-* #,##0.0_-;_-* #,##0.0\-;_-* &quot;-&quot;?_-;_-@_-"/>
    <numFmt numFmtId="172" formatCode="_-* #,##0.0_-;_-* #,##0.0\-;_-* &quot;-&quot;_-;_-@_-"/>
    <numFmt numFmtId="173" formatCode="_-* #,##0.00_-;_-* #,##0.00\-;_-* &quot;-&quot;_-;_-@_-"/>
    <numFmt numFmtId="174" formatCode="_-* #,##0.000_-;_-* #,##0.000\-;_-* &quot;-&quot;_-;_-@_-"/>
    <numFmt numFmtId="175" formatCode="_-* #,##0.0000_-;_-* #,##0.0000\-;_-* &quot;-&quot;_-;_-@_-"/>
    <numFmt numFmtId="176" formatCode="0.000"/>
    <numFmt numFmtId="177" formatCode="&quot;Ja&quot;;&quot;Ja&quot;;&quot;Nee&quot;"/>
    <numFmt numFmtId="178" formatCode="&quot;Waar&quot;;&quot;Waar&quot;;&quot;Niet waar&quot;"/>
    <numFmt numFmtId="179" formatCode="&quot;Aan&quot;;&quot;Aan&quot;;&quot;Uit&quot;"/>
    <numFmt numFmtId="180" formatCode="[$€-2]\ #.##000_);[Red]\([$€-2]\ #.##000\)"/>
    <numFmt numFmtId="181" formatCode="#,##0.00_ ;\-#,##0.00\ "/>
    <numFmt numFmtId="182" formatCode="#,##0_ ;\-#,##0\ "/>
    <numFmt numFmtId="183" formatCode="_-* #,##0.0000_-;_-* #,##0.0000\-;_-* &quot;-&quot;????_-;_-@_-"/>
    <numFmt numFmtId="184" formatCode="#,##0.00000_ ;\-#,##0.00000\ "/>
    <numFmt numFmtId="185" formatCode="#,##0.000_ ;\-#,##0.000\ "/>
    <numFmt numFmtId="186" formatCode="0.0000"/>
    <numFmt numFmtId="187" formatCode="0.000%"/>
    <numFmt numFmtId="188" formatCode="0.0000%"/>
    <numFmt numFmtId="189" formatCode="_-* #,##0.0_-;_-* #,##0.0\-;_-* &quot;-&quot;??_-;_-@_-"/>
    <numFmt numFmtId="190" formatCode="_-* #,##0.000_-;_-* #,##0.000\-;_-* &quot;-&quot;??_-;_-@_-"/>
    <numFmt numFmtId="191" formatCode="_-* #,##0.0000_-;_-* #,##0.0000\-;_-* &quot;-&quot;??_-;_-@_-"/>
    <numFmt numFmtId="192" formatCode="_-* #,##0.00000_-;_-* #,##0.00000\-;_-* &quot;-&quot;??_-;_-@_-"/>
    <numFmt numFmtId="193" formatCode="0.000000"/>
    <numFmt numFmtId="194" formatCode="0.0000000"/>
    <numFmt numFmtId="195" formatCode="0.00000000"/>
    <numFmt numFmtId="196" formatCode="0.000000000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Scala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ScalaSans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42"/>
      </patternFill>
    </fill>
    <fill>
      <patternFill patternType="solid">
        <fgColor indexed="40"/>
        <bgColor indexed="64"/>
      </patternFill>
    </fill>
    <fill>
      <patternFill patternType="gray125">
        <bgColor indexed="22"/>
      </patternFill>
    </fill>
    <fill>
      <patternFill patternType="gray125">
        <bgColor indexed="40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gray125"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  <fill>
      <patternFill patternType="gray125">
        <bgColor indexed="4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3" fillId="2" borderId="0" xfId="0" applyFont="1" applyFill="1" applyAlignment="1">
      <alignment/>
    </xf>
    <xf numFmtId="3" fontId="3" fillId="4" borderId="0" xfId="0" applyNumberFormat="1" applyFont="1" applyFill="1" applyBorder="1" applyAlignment="1">
      <alignment horizontal="right"/>
    </xf>
    <xf numFmtId="3" fontId="3" fillId="5" borderId="0" xfId="0" applyNumberFormat="1" applyFont="1" applyFill="1" applyAlignment="1">
      <alignment/>
    </xf>
    <xf numFmtId="3" fontId="3" fillId="4" borderId="0" xfId="19" applyNumberFormat="1" applyFont="1" applyFill="1" applyBorder="1" applyAlignment="1" applyProtection="1">
      <alignment horizontal="right"/>
      <protection locked="0"/>
    </xf>
    <xf numFmtId="3" fontId="3" fillId="4" borderId="0" xfId="22" applyNumberFormat="1" applyFont="1" applyFill="1" applyBorder="1" applyAlignment="1" applyProtection="1">
      <alignment horizontal="right"/>
      <protection/>
    </xf>
    <xf numFmtId="41" fontId="3" fillId="4" borderId="0" xfId="22" applyNumberFormat="1" applyFont="1" applyFill="1" applyBorder="1" applyAlignment="1" applyProtection="1">
      <alignment horizontal="right"/>
      <protection/>
    </xf>
    <xf numFmtId="41" fontId="3" fillId="4" borderId="0" xfId="0" applyNumberFormat="1" applyFont="1" applyFill="1" applyBorder="1" applyAlignment="1">
      <alignment horizontal="right"/>
    </xf>
    <xf numFmtId="3" fontId="3" fillId="5" borderId="0" xfId="22" applyNumberFormat="1" applyFont="1" applyFill="1" applyBorder="1" applyAlignment="1" applyProtection="1">
      <alignment horizontal="right"/>
      <protection/>
    </xf>
    <xf numFmtId="3" fontId="3" fillId="6" borderId="0" xfId="0" applyNumberFormat="1" applyFont="1" applyFill="1" applyBorder="1" applyAlignment="1">
      <alignment horizontal="right"/>
    </xf>
    <xf numFmtId="3" fontId="3" fillId="6" borderId="0" xfId="19" applyNumberFormat="1" applyFont="1" applyFill="1" applyBorder="1" applyAlignment="1" applyProtection="1">
      <alignment horizontal="right"/>
      <protection locked="0"/>
    </xf>
    <xf numFmtId="41" fontId="3" fillId="6" borderId="0" xfId="22" applyNumberFormat="1" applyFont="1" applyFill="1" applyBorder="1" applyAlignment="1" applyProtection="1">
      <alignment horizontal="right"/>
      <protection/>
    </xf>
    <xf numFmtId="39" fontId="3" fillId="2" borderId="0" xfId="21" applyNumberFormat="1" applyFont="1" applyFill="1" applyBorder="1" applyAlignment="1" applyProtection="1">
      <alignment/>
      <protection/>
    </xf>
    <xf numFmtId="39" fontId="3" fillId="2" borderId="0" xfId="22" applyNumberFormat="1" applyFont="1" applyFill="1" applyBorder="1" applyAlignment="1" applyProtection="1">
      <alignment/>
      <protection/>
    </xf>
    <xf numFmtId="0" fontId="1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3" fillId="4" borderId="0" xfId="0" applyFont="1" applyFill="1" applyAlignment="1">
      <alignment/>
    </xf>
    <xf numFmtId="39" fontId="7" fillId="2" borderId="0" xfId="22" applyNumberFormat="1" applyFont="1" applyFill="1" applyBorder="1" applyAlignment="1" applyProtection="1">
      <alignment/>
      <protection/>
    </xf>
    <xf numFmtId="39" fontId="7" fillId="2" borderId="0" xfId="22" applyNumberFormat="1" applyFont="1" applyFill="1" applyBorder="1" applyAlignment="1" applyProtection="1">
      <alignment/>
      <protection/>
    </xf>
    <xf numFmtId="0" fontId="1" fillId="8" borderId="1" xfId="0" applyFont="1" applyFill="1" applyBorder="1" applyAlignment="1">
      <alignment horizontal="center" textRotation="90"/>
    </xf>
    <xf numFmtId="0" fontId="0" fillId="9" borderId="1" xfId="0" applyFont="1" applyFill="1" applyBorder="1" applyAlignment="1">
      <alignment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41" fontId="3" fillId="6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3" fontId="3" fillId="11" borderId="0" xfId="0" applyNumberFormat="1" applyFont="1" applyFill="1" applyAlignment="1">
      <alignment/>
    </xf>
    <xf numFmtId="0" fontId="10" fillId="3" borderId="1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41" fontId="11" fillId="2" borderId="0" xfId="0" applyNumberFormat="1" applyFont="1" applyFill="1" applyBorder="1" applyAlignment="1">
      <alignment/>
    </xf>
    <xf numFmtId="41" fontId="11" fillId="2" borderId="0" xfId="20" applyNumberFormat="1" applyFont="1" applyFill="1" applyBorder="1" applyAlignment="1">
      <alignment/>
    </xf>
    <xf numFmtId="41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13" fillId="2" borderId="0" xfId="17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/>
    </xf>
    <xf numFmtId="167" fontId="3" fillId="4" borderId="0" xfId="20" applyNumberFormat="1" applyFont="1" applyFill="1" applyBorder="1" applyAlignment="1">
      <alignment/>
    </xf>
    <xf numFmtId="41" fontId="3" fillId="4" borderId="0" xfId="0" applyNumberFormat="1" applyFont="1" applyFill="1" applyBorder="1" applyAlignment="1" applyProtection="1">
      <alignment horizontal="center"/>
      <protection locked="0"/>
    </xf>
    <xf numFmtId="0" fontId="3" fillId="12" borderId="0" xfId="0" applyFont="1" applyFill="1" applyAlignment="1">
      <alignment/>
    </xf>
    <xf numFmtId="41" fontId="3" fillId="4" borderId="0" xfId="0" applyNumberFormat="1" applyFont="1" applyFill="1" applyBorder="1" applyAlignment="1">
      <alignment/>
    </xf>
    <xf numFmtId="41" fontId="3" fillId="5" borderId="0" xfId="0" applyNumberFormat="1" applyFont="1" applyFill="1" applyBorder="1" applyAlignment="1">
      <alignment/>
    </xf>
    <xf numFmtId="41" fontId="3" fillId="5" borderId="0" xfId="0" applyNumberFormat="1" applyFont="1" applyFill="1" applyBorder="1" applyAlignment="1">
      <alignment/>
    </xf>
    <xf numFmtId="41" fontId="3" fillId="11" borderId="0" xfId="20" applyNumberFormat="1" applyFont="1" applyFill="1" applyBorder="1" applyAlignment="1">
      <alignment/>
    </xf>
    <xf numFmtId="41" fontId="3" fillId="4" borderId="0" xfId="0" applyNumberFormat="1" applyFont="1" applyFill="1" applyBorder="1" applyAlignment="1" applyProtection="1">
      <alignment horizontal="center"/>
      <protection/>
    </xf>
    <xf numFmtId="41" fontId="3" fillId="5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left"/>
    </xf>
    <xf numFmtId="41" fontId="3" fillId="11" borderId="0" xfId="0" applyNumberFormat="1" applyFont="1" applyFill="1" applyBorder="1" applyAlignment="1">
      <alignment/>
    </xf>
    <xf numFmtId="1" fontId="3" fillId="12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1" fillId="2" borderId="0" xfId="0" applyFont="1" applyFill="1" applyAlignment="1">
      <alignment/>
    </xf>
    <xf numFmtId="0" fontId="14" fillId="2" borderId="0" xfId="0" applyFont="1" applyFill="1" applyAlignment="1">
      <alignment/>
    </xf>
    <xf numFmtId="41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181" fontId="3" fillId="4" borderId="0" xfId="0" applyNumberFormat="1" applyFont="1" applyFill="1" applyBorder="1" applyAlignment="1">
      <alignment/>
    </xf>
    <xf numFmtId="170" fontId="3" fillId="4" borderId="0" xfId="0" applyNumberFormat="1" applyFont="1" applyFill="1" applyBorder="1" applyAlignment="1">
      <alignment/>
    </xf>
    <xf numFmtId="182" fontId="3" fillId="5" borderId="0" xfId="0" applyNumberFormat="1" applyFont="1" applyFill="1" applyBorder="1" applyAlignment="1">
      <alignment/>
    </xf>
    <xf numFmtId="182" fontId="3" fillId="4" borderId="0" xfId="0" applyNumberFormat="1" applyFont="1" applyFill="1" applyBorder="1" applyAlignment="1">
      <alignment/>
    </xf>
    <xf numFmtId="43" fontId="3" fillId="5" borderId="0" xfId="0" applyNumberFormat="1" applyFont="1" applyFill="1" applyBorder="1" applyAlignment="1">
      <alignment/>
    </xf>
    <xf numFmtId="183" fontId="3" fillId="5" borderId="0" xfId="0" applyNumberFormat="1" applyFont="1" applyFill="1" applyBorder="1" applyAlignment="1">
      <alignment/>
    </xf>
    <xf numFmtId="10" fontId="0" fillId="2" borderId="0" xfId="0" applyNumberFormat="1" applyFill="1" applyAlignment="1">
      <alignment/>
    </xf>
    <xf numFmtId="41" fontId="3" fillId="12" borderId="0" xfId="0" applyNumberFormat="1" applyFont="1" applyFill="1" applyBorder="1" applyAlignment="1" applyProtection="1">
      <alignment horizontal="center"/>
      <protection/>
    </xf>
    <xf numFmtId="41" fontId="3" fillId="11" borderId="0" xfId="0" applyNumberFormat="1" applyFont="1" applyFill="1" applyBorder="1" applyAlignment="1" applyProtection="1">
      <alignment horizontal="center"/>
      <protection/>
    </xf>
    <xf numFmtId="9" fontId="0" fillId="2" borderId="0" xfId="0" applyNumberFormat="1" applyFill="1" applyAlignment="1">
      <alignment/>
    </xf>
    <xf numFmtId="41" fontId="3" fillId="4" borderId="0" xfId="0" applyNumberFormat="1" applyFont="1" applyFill="1" applyBorder="1" applyAlignment="1">
      <alignment horizontal="right"/>
    </xf>
    <xf numFmtId="43" fontId="3" fillId="11" borderId="0" xfId="0" applyNumberFormat="1" applyFont="1" applyFill="1" applyBorder="1" applyAlignment="1">
      <alignment/>
    </xf>
    <xf numFmtId="183" fontId="3" fillId="11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41" fontId="3" fillId="12" borderId="0" xfId="0" applyNumberFormat="1" applyFont="1" applyFill="1" applyBorder="1" applyAlignment="1">
      <alignment/>
    </xf>
    <xf numFmtId="10" fontId="3" fillId="5" borderId="0" xfId="0" applyNumberFormat="1" applyFont="1" applyFill="1" applyAlignment="1">
      <alignment/>
    </xf>
    <xf numFmtId="175" fontId="3" fillId="11" borderId="0" xfId="0" applyNumberFormat="1" applyFont="1" applyFill="1" applyAlignment="1">
      <alignment/>
    </xf>
    <xf numFmtId="0" fontId="0" fillId="13" borderId="0" xfId="0" applyFill="1" applyAlignment="1">
      <alignment/>
    </xf>
    <xf numFmtId="176" fontId="0" fillId="5" borderId="0" xfId="0" applyNumberFormat="1" applyFill="1" applyAlignment="1">
      <alignment/>
    </xf>
    <xf numFmtId="167" fontId="14" fillId="14" borderId="0" xfId="0" applyNumberFormat="1" applyFont="1" applyFill="1" applyAlignment="1">
      <alignment/>
    </xf>
    <xf numFmtId="171" fontId="0" fillId="2" borderId="0" xfId="0" applyNumberFormat="1" applyFill="1" applyAlignment="1">
      <alignment/>
    </xf>
    <xf numFmtId="41" fontId="0" fillId="2" borderId="0" xfId="0" applyNumberFormat="1" applyFill="1" applyAlignment="1">
      <alignment/>
    </xf>
    <xf numFmtId="166" fontId="3" fillId="5" borderId="0" xfId="0" applyNumberFormat="1" applyFont="1" applyFill="1" applyAlignment="1">
      <alignment/>
    </xf>
    <xf numFmtId="41" fontId="3" fillId="5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3" fillId="5" borderId="0" xfId="0" applyNumberFormat="1" applyFont="1" applyFill="1" applyAlignment="1">
      <alignment/>
    </xf>
    <xf numFmtId="3" fontId="3" fillId="5" borderId="0" xfId="0" applyNumberFormat="1" applyFont="1" applyFill="1" applyBorder="1" applyAlignment="1">
      <alignment/>
    </xf>
    <xf numFmtId="169" fontId="3" fillId="4" borderId="0" xfId="0" applyNumberFormat="1" applyFont="1" applyFill="1" applyBorder="1" applyAlignment="1">
      <alignment/>
    </xf>
    <xf numFmtId="167" fontId="3" fillId="2" borderId="0" xfId="0" applyNumberFormat="1" applyFont="1" applyFill="1" applyAlignment="1">
      <alignment/>
    </xf>
    <xf numFmtId="43" fontId="3" fillId="14" borderId="0" xfId="0" applyNumberFormat="1" applyFont="1" applyFill="1" applyBorder="1" applyAlignment="1">
      <alignment/>
    </xf>
    <xf numFmtId="183" fontId="3" fillId="14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3" fillId="5" borderId="0" xfId="0" applyFont="1" applyFill="1" applyAlignment="1">
      <alignment/>
    </xf>
    <xf numFmtId="166" fontId="3" fillId="4" borderId="0" xfId="19" applyNumberFormat="1" applyFont="1" applyFill="1" applyBorder="1" applyAlignment="1" applyProtection="1">
      <alignment horizontal="center"/>
      <protection locked="0"/>
    </xf>
    <xf numFmtId="166" fontId="3" fillId="4" borderId="0" xfId="0" applyNumberFormat="1" applyFont="1" applyFill="1" applyBorder="1" applyAlignment="1">
      <alignment/>
    </xf>
    <xf numFmtId="166" fontId="3" fillId="4" borderId="0" xfId="19" applyNumberFormat="1" applyFont="1" applyFill="1" applyBorder="1" applyAlignment="1" applyProtection="1">
      <alignment horizontal="right"/>
      <protection locked="0"/>
    </xf>
    <xf numFmtId="166" fontId="3" fillId="4" borderId="0" xfId="0" applyNumberFormat="1" applyFont="1" applyFill="1" applyBorder="1" applyAlignment="1">
      <alignment horizontal="right"/>
    </xf>
    <xf numFmtId="166" fontId="3" fillId="15" borderId="0" xfId="0" applyNumberFormat="1" applyFont="1" applyFill="1" applyBorder="1" applyAlignment="1">
      <alignment horizontal="right"/>
    </xf>
    <xf numFmtId="166" fontId="3" fillId="6" borderId="0" xfId="19" applyNumberFormat="1" applyFont="1" applyFill="1" applyBorder="1" applyAlignment="1" applyProtection="1">
      <alignment horizontal="right"/>
      <protection locked="0"/>
    </xf>
    <xf numFmtId="166" fontId="3" fillId="4" borderId="0" xfId="19" applyNumberFormat="1" applyFont="1" applyFill="1" applyBorder="1" applyAlignment="1" applyProtection="1">
      <alignment horizontal="right"/>
      <protection/>
    </xf>
    <xf numFmtId="166" fontId="3" fillId="6" borderId="0" xfId="19" applyNumberFormat="1" applyFont="1" applyFill="1" applyBorder="1" applyAlignment="1" applyProtection="1">
      <alignment horizontal="right"/>
      <protection/>
    </xf>
    <xf numFmtId="166" fontId="3" fillId="16" borderId="0" xfId="0" applyNumberFormat="1" applyFont="1" applyFill="1" applyBorder="1" applyAlignment="1">
      <alignment horizontal="right"/>
    </xf>
    <xf numFmtId="166" fontId="3" fillId="6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0" fontId="3" fillId="2" borderId="0" xfId="0" applyNumberFormat="1" applyFont="1" applyFill="1" applyAlignment="1">
      <alignment/>
    </xf>
    <xf numFmtId="3" fontId="3" fillId="11" borderId="0" xfId="0" applyNumberFormat="1" applyFont="1" applyFill="1" applyAlignment="1">
      <alignment/>
    </xf>
    <xf numFmtId="3" fontId="3" fillId="11" borderId="0" xfId="0" applyNumberFormat="1" applyFont="1" applyFill="1" applyBorder="1" applyAlignment="1">
      <alignment/>
    </xf>
    <xf numFmtId="170" fontId="3" fillId="5" borderId="0" xfId="0" applyNumberFormat="1" applyFont="1" applyFill="1" applyBorder="1" applyAlignment="1">
      <alignment/>
    </xf>
    <xf numFmtId="3" fontId="3" fillId="5" borderId="0" xfId="0" applyNumberFormat="1" applyFont="1" applyFill="1" applyBorder="1" applyAlignment="1">
      <alignment horizontal="right"/>
    </xf>
    <xf numFmtId="175" fontId="0" fillId="2" borderId="0" xfId="0" applyNumberFormat="1" applyFill="1" applyAlignment="1">
      <alignment/>
    </xf>
    <xf numFmtId="175" fontId="3" fillId="2" borderId="0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  <xf numFmtId="2" fontId="0" fillId="5" borderId="0" xfId="0" applyNumberFormat="1" applyFill="1" applyAlignment="1">
      <alignment/>
    </xf>
    <xf numFmtId="41" fontId="3" fillId="16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 applyProtection="1">
      <alignment horizontal="center"/>
      <protection/>
    </xf>
    <xf numFmtId="41" fontId="3" fillId="10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3" fillId="4" borderId="2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/>
    </xf>
    <xf numFmtId="167" fontId="3" fillId="2" borderId="0" xfId="20" applyNumberFormat="1" applyFont="1" applyFill="1" applyBorder="1" applyAlignment="1">
      <alignment/>
    </xf>
    <xf numFmtId="192" fontId="3" fillId="11" borderId="0" xfId="0" applyNumberFormat="1" applyFont="1" applyFill="1" applyBorder="1" applyAlignment="1">
      <alignment/>
    </xf>
    <xf numFmtId="43" fontId="3" fillId="2" borderId="0" xfId="0" applyNumberFormat="1" applyFont="1" applyFill="1" applyBorder="1" applyAlignment="1">
      <alignment/>
    </xf>
    <xf numFmtId="39" fontId="16" fillId="2" borderId="0" xfId="22" applyNumberFormat="1" applyFont="1" applyFill="1" applyBorder="1" applyAlignment="1" applyProtection="1">
      <alignment/>
      <protection/>
    </xf>
    <xf numFmtId="183" fontId="3" fillId="2" borderId="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3" fontId="3" fillId="4" borderId="0" xfId="0" applyNumberFormat="1" applyFont="1" applyFill="1" applyAlignment="1">
      <alignment/>
    </xf>
    <xf numFmtId="41" fontId="3" fillId="17" borderId="0" xfId="0" applyNumberFormat="1" applyFont="1" applyFill="1" applyBorder="1" applyAlignment="1">
      <alignment/>
    </xf>
    <xf numFmtId="166" fontId="3" fillId="18" borderId="0" xfId="0" applyNumberFormat="1" applyFont="1" applyFill="1" applyAlignment="1">
      <alignment/>
    </xf>
    <xf numFmtId="165" fontId="14" fillId="11" borderId="1" xfId="0" applyNumberFormat="1" applyFont="1" applyFill="1" applyBorder="1" applyAlignment="1">
      <alignment/>
    </xf>
    <xf numFmtId="165" fontId="14" fillId="17" borderId="1" xfId="0" applyNumberFormat="1" applyFont="1" applyFill="1" applyBorder="1" applyAlignment="1">
      <alignment/>
    </xf>
    <xf numFmtId="186" fontId="0" fillId="4" borderId="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41" fontId="3" fillId="4" borderId="0" xfId="20" applyNumberFormat="1" applyFont="1" applyFill="1" applyBorder="1" applyAlignment="1">
      <alignment/>
    </xf>
    <xf numFmtId="41" fontId="3" fillId="4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Komma_Tarievenmand 2002" xfId="19"/>
    <cellStyle name="Percent" xfId="20"/>
    <cellStyle name="Standaard_Tabellen - CIV2" xfId="21"/>
    <cellStyle name="Standaard_Tarievenmand 2002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5.00390625" style="1" bestFit="1" customWidth="1"/>
    <col min="3" max="3" width="5.7109375" style="1" customWidth="1"/>
    <col min="4" max="5" width="9.7109375" style="1" customWidth="1"/>
    <col min="6" max="6" width="10.7109375" style="1" bestFit="1" customWidth="1"/>
    <col min="7" max="9" width="9.7109375" style="1" customWidth="1"/>
    <col min="10" max="10" width="10.7109375" style="1" bestFit="1" customWidth="1"/>
    <col min="11" max="14" width="9.7109375" style="1" customWidth="1"/>
    <col min="15" max="15" width="10.7109375" style="1" bestFit="1" customWidth="1"/>
    <col min="16" max="16" width="9.7109375" style="1" customWidth="1"/>
    <col min="17" max="17" width="10.28125" style="1" customWidth="1"/>
    <col min="18" max="18" width="11.28125" style="1" bestFit="1" customWidth="1"/>
    <col min="19" max="16384" width="9.140625" style="1" customWidth="1"/>
  </cols>
  <sheetData>
    <row r="1" ht="12.75"/>
    <row r="2" spans="2:18" s="4" customFormat="1" ht="201">
      <c r="B2" s="18" t="s">
        <v>83</v>
      </c>
      <c r="C2" s="18"/>
      <c r="D2" s="19" t="s">
        <v>9</v>
      </c>
      <c r="E2" s="19" t="s">
        <v>5</v>
      </c>
      <c r="F2" s="26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26" t="s">
        <v>12</v>
      </c>
      <c r="M2" s="19" t="s">
        <v>13</v>
      </c>
      <c r="N2" s="19" t="s">
        <v>14</v>
      </c>
      <c r="O2" s="19" t="s">
        <v>48</v>
      </c>
      <c r="P2" s="19" t="s">
        <v>15</v>
      </c>
      <c r="Q2" s="19" t="s">
        <v>115</v>
      </c>
      <c r="R2" s="19" t="s">
        <v>65</v>
      </c>
    </row>
    <row r="3" spans="6:12" ht="12.75">
      <c r="F3" s="51"/>
      <c r="L3" s="51"/>
    </row>
    <row r="4" spans="2:12" s="21" customFormat="1" ht="12.75">
      <c r="B4" s="20" t="s">
        <v>84</v>
      </c>
      <c r="F4" s="27"/>
      <c r="L4" s="27"/>
    </row>
    <row r="5" spans="6:12" ht="12.75">
      <c r="F5" s="51"/>
      <c r="L5" s="51"/>
    </row>
    <row r="6" spans="2:18" ht="12.75">
      <c r="B6" s="1" t="s">
        <v>84</v>
      </c>
      <c r="D6" s="66">
        <f>SUMPRODUCT(Sectortarieven!D37:D49,Rekenvol!C7:C19)</f>
        <v>16710439.152763657</v>
      </c>
      <c r="E6" s="66">
        <f>SUMPRODUCT(Sectortarieven!E37:E49,Rekenvol!D7:D19)</f>
        <v>25175704.630618628</v>
      </c>
      <c r="F6" s="149">
        <f>SUMPRODUCT(Sectortarieven!F37:F49,Rekenvol!E7:E19)</f>
        <v>208292285.555006</v>
      </c>
      <c r="G6" s="66">
        <f>SUMPRODUCT(Sectortarieven!G37:G49,Rekenvol!F7:F19)</f>
        <v>7396475.185241977</v>
      </c>
      <c r="H6" s="66">
        <f>SUMPRODUCT(Sectortarieven!H37:H49,Rekenvol!G7:G19)</f>
        <v>18301635.76759464</v>
      </c>
      <c r="I6" s="66">
        <f>SUMPRODUCT(Sectortarieven!I37:I49,Rekenvol!H7:H19)</f>
        <v>23293035.97000828</v>
      </c>
      <c r="J6" s="66">
        <f>SUMPRODUCT(Sectortarieven!J37:J49,Rekenvol!I7:I19)</f>
        <v>256023204.10115635</v>
      </c>
      <c r="K6" s="66">
        <f>SUMPRODUCT(Sectortarieven!K37:K49,Rekenvol!J7:J19)</f>
        <v>26320206.618068587</v>
      </c>
      <c r="L6" s="149">
        <f>SUMPRODUCT(Sectortarieven!L37:L49,Rekenvol!K7:K19)</f>
        <v>3664631.6506730854</v>
      </c>
      <c r="M6" s="66">
        <f>SUMPRODUCT(Sectortarieven!M37:M49,Rekenvol!L7:L19)</f>
        <v>12587472.452895015</v>
      </c>
      <c r="N6" s="66">
        <f>SUMPRODUCT(Sectortarieven!N37:N49,Rekenvol!M7:M19)</f>
        <v>15667731.639973711</v>
      </c>
      <c r="O6" s="66">
        <f>SUMPRODUCT(Sectortarieven!O37:O49,Rekenvol!N7:N19)</f>
        <v>242222714.65877348</v>
      </c>
      <c r="P6" s="66">
        <f>SUMPRODUCT(Sectortarieven!P37:P49,Rekenvol!O7:O19)</f>
        <v>9749217</v>
      </c>
      <c r="Q6" s="66">
        <f>F6+L6</f>
        <v>211956917.2056791</v>
      </c>
      <c r="R6" s="66">
        <f>SUM(D6:P6)</f>
        <v>865404754.3827734</v>
      </c>
    </row>
    <row r="7" spans="6:12" ht="12.75">
      <c r="F7" s="51"/>
      <c r="L7" s="51"/>
    </row>
    <row r="8" spans="2:12" s="21" customFormat="1" ht="12.75">
      <c r="B8" s="20" t="s">
        <v>85</v>
      </c>
      <c r="F8" s="27"/>
      <c r="L8" s="27"/>
    </row>
    <row r="9" spans="6:12" ht="12.75">
      <c r="F9" s="51"/>
      <c r="L9" s="51"/>
    </row>
    <row r="10" spans="2:18" ht="12.75">
      <c r="B10" s="1" t="s">
        <v>85</v>
      </c>
      <c r="D10" s="66">
        <f>Eindinkomsten!D18</f>
        <v>14570222.740445212</v>
      </c>
      <c r="E10" s="66">
        <f>Eindinkomsten!E18</f>
        <v>20110968.760003094</v>
      </c>
      <c r="F10" s="149">
        <f>Eindinkomsten!F18</f>
        <v>179857822.59481934</v>
      </c>
      <c r="G10" s="66">
        <f>Eindinkomsten!G18</f>
        <v>5884982.041696517</v>
      </c>
      <c r="H10" s="66">
        <f>Eindinkomsten!H18</f>
        <v>15908943.336029481</v>
      </c>
      <c r="I10" s="66">
        <f>Eindinkomsten!I18</f>
        <v>18231123.737833656</v>
      </c>
      <c r="J10" s="66">
        <f>Eindinkomsten!J18</f>
        <v>207809816.1215101</v>
      </c>
      <c r="K10" s="66">
        <f>Eindinkomsten!K18</f>
        <v>20328464.70778665</v>
      </c>
      <c r="L10" s="149">
        <f>Eindinkomsten!L18</f>
        <v>3005134.8251669738</v>
      </c>
      <c r="M10" s="66">
        <f>Eindinkomsten!M18</f>
        <v>11930897.649073018</v>
      </c>
      <c r="N10" s="66">
        <f>Eindinkomsten!N18</f>
        <v>13942461.575403918</v>
      </c>
      <c r="O10" s="66">
        <f>Eindinkomsten!O18</f>
        <v>184270742.71301004</v>
      </c>
      <c r="P10" s="66">
        <f>Eindinkomsten!P18</f>
        <v>7639019.245037466</v>
      </c>
      <c r="Q10" s="66">
        <f>F10+L10</f>
        <v>182862957.4199863</v>
      </c>
      <c r="R10" s="66">
        <f>SUM(D10:P10)</f>
        <v>703490600.0478154</v>
      </c>
    </row>
    <row r="11" spans="6:12" ht="12.75">
      <c r="F11" s="51"/>
      <c r="L11" s="51"/>
    </row>
    <row r="12" spans="2:12" s="21" customFormat="1" ht="12.75">
      <c r="B12" s="20" t="s">
        <v>86</v>
      </c>
      <c r="F12" s="27"/>
      <c r="L12" s="27"/>
    </row>
    <row r="13" spans="6:12" ht="12.75">
      <c r="F13" s="51"/>
      <c r="L13" s="51"/>
    </row>
    <row r="14" spans="2:18" ht="12.75">
      <c r="B14" s="1" t="s">
        <v>87</v>
      </c>
      <c r="D14" s="96">
        <f>100*(1-(D10/D6)^(1/3))</f>
        <v>4.465674312617319</v>
      </c>
      <c r="E14" s="96">
        <f aca="true" t="shared" si="0" ref="E14:O14">100*(1-(E10/E6)^(1/3))</f>
        <v>7.213715236320583</v>
      </c>
      <c r="F14" s="150">
        <f t="shared" si="0"/>
        <v>4.774765973084172</v>
      </c>
      <c r="G14" s="96">
        <f t="shared" si="0"/>
        <v>7.3369098376730335</v>
      </c>
      <c r="H14" s="96">
        <f t="shared" si="0"/>
        <v>4.562920177658414</v>
      </c>
      <c r="I14" s="96">
        <f t="shared" si="0"/>
        <v>7.842833395611104</v>
      </c>
      <c r="J14" s="96">
        <f t="shared" si="0"/>
        <v>6.7184880859671665</v>
      </c>
      <c r="K14" s="96">
        <f t="shared" si="0"/>
        <v>8.250206537047799</v>
      </c>
      <c r="L14" s="150">
        <f t="shared" si="0"/>
        <v>6.399562707829521</v>
      </c>
      <c r="M14" s="96">
        <f t="shared" si="0"/>
        <v>1.7698375406386746</v>
      </c>
      <c r="N14" s="96">
        <f t="shared" si="0"/>
        <v>3.814166954671172</v>
      </c>
      <c r="O14" s="96">
        <f t="shared" si="0"/>
        <v>8.711969021858401</v>
      </c>
      <c r="P14" s="96">
        <f>100*(1-(P10/P6)^(1/3))</f>
        <v>7.808837989663042</v>
      </c>
      <c r="Q14" s="96">
        <f>100*(1-(Q10/Q6)^(1/3))</f>
        <v>4.802389330596924</v>
      </c>
      <c r="R14" s="96">
        <f>100*(1-(R10/R6)^(1/3))</f>
        <v>6.671774734883218</v>
      </c>
    </row>
    <row r="15" spans="2:18" s="87" customFormat="1" ht="18">
      <c r="B15" s="87" t="s">
        <v>83</v>
      </c>
      <c r="D15" s="151">
        <f>IF(D14&gt;0,ROUNDDOWN(D14,1),ROUNDUP(D14,1))</f>
        <v>4.4</v>
      </c>
      <c r="E15" s="151">
        <f aca="true" t="shared" si="1" ref="E15:O15">IF(E14&gt;0,ROUNDDOWN(E14,1),ROUNDUP(E14,1))</f>
        <v>7.2</v>
      </c>
      <c r="F15" s="152">
        <f t="shared" si="1"/>
        <v>4.7</v>
      </c>
      <c r="G15" s="151">
        <f t="shared" si="1"/>
        <v>7.3</v>
      </c>
      <c r="H15" s="151">
        <f t="shared" si="1"/>
        <v>4.5</v>
      </c>
      <c r="I15" s="151">
        <f t="shared" si="1"/>
        <v>7.8</v>
      </c>
      <c r="J15" s="151">
        <f t="shared" si="1"/>
        <v>6.7</v>
      </c>
      <c r="K15" s="151">
        <f t="shared" si="1"/>
        <v>8.2</v>
      </c>
      <c r="L15" s="152">
        <f t="shared" si="1"/>
        <v>6.3</v>
      </c>
      <c r="M15" s="151">
        <f t="shared" si="1"/>
        <v>1.7</v>
      </c>
      <c r="N15" s="151">
        <f t="shared" si="1"/>
        <v>3.8</v>
      </c>
      <c r="O15" s="151">
        <f t="shared" si="1"/>
        <v>8.7</v>
      </c>
      <c r="P15" s="151">
        <f>IF(P14&gt;0,ROUNDDOWN(P14,1),ROUNDUP(P14,1))</f>
        <v>7.8</v>
      </c>
      <c r="Q15" s="151">
        <f>IF(Q14&gt;0,ROUNDDOWN(Q14,1),ROUNDUP(Q14,1))</f>
        <v>4.8</v>
      </c>
      <c r="R15" s="151">
        <f>IF(R14&gt;0,ROUNDDOWN(R14,1),ROUNDUP(R14,1))</f>
        <v>6.6</v>
      </c>
    </row>
    <row r="18" spans="4:18" ht="12.75">
      <c r="D18" s="94"/>
      <c r="Q18" s="41"/>
      <c r="R18" s="41"/>
    </row>
    <row r="19" ht="12.75">
      <c r="R19" s="95"/>
    </row>
    <row r="20" spans="4:18" ht="12.75"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2" spans="4:18" ht="12.75"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H2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2.8515625" style="1" bestFit="1" customWidth="1"/>
    <col min="3" max="8" width="9.7109375" style="1" customWidth="1"/>
    <col min="9" max="9" width="10.7109375" style="1" bestFit="1" customWidth="1"/>
    <col min="10" max="15" width="9.7109375" style="1" customWidth="1"/>
    <col min="16" max="17" width="9.7109375" style="51" customWidth="1"/>
    <col min="18" max="16384" width="9.140625" style="1" customWidth="1"/>
  </cols>
  <sheetData>
    <row r="1" ht="12.75"/>
    <row r="2" spans="2:17" s="4" customFormat="1" ht="201">
      <c r="B2" s="18" t="s">
        <v>77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26" t="s">
        <v>48</v>
      </c>
      <c r="Q2" s="26" t="s">
        <v>6</v>
      </c>
    </row>
    <row r="4" spans="2:17" s="21" customFormat="1" ht="12.75">
      <c r="B4" s="20" t="s">
        <v>94</v>
      </c>
      <c r="P4" s="27"/>
      <c r="Q4" s="27"/>
    </row>
    <row r="6" ht="12.75">
      <c r="B6" s="69" t="s">
        <v>110</v>
      </c>
    </row>
    <row r="7" spans="2:17" ht="12.75">
      <c r="B7" s="2" t="s">
        <v>169</v>
      </c>
      <c r="C7" s="63">
        <v>0</v>
      </c>
      <c r="D7" s="63">
        <v>281741.38</v>
      </c>
      <c r="E7" s="63">
        <v>12426632.999999998</v>
      </c>
      <c r="F7" s="63">
        <v>0</v>
      </c>
      <c r="G7" s="63">
        <v>0</v>
      </c>
      <c r="H7" s="63">
        <v>0</v>
      </c>
      <c r="I7" s="63">
        <v>6290409</v>
      </c>
      <c r="J7" s="63">
        <v>0</v>
      </c>
      <c r="K7" s="63">
        <v>0</v>
      </c>
      <c r="L7" s="63">
        <v>80145</v>
      </c>
      <c r="M7" s="63">
        <v>0</v>
      </c>
      <c r="N7" s="60"/>
      <c r="O7" s="133"/>
      <c r="P7" s="81"/>
      <c r="Q7" s="81"/>
    </row>
    <row r="8" spans="2:17" ht="12.75">
      <c r="B8" s="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0"/>
      <c r="O8" s="133"/>
      <c r="P8" s="81"/>
      <c r="Q8" s="81"/>
    </row>
    <row r="9" spans="2:17" s="135" customFormat="1" ht="12.75">
      <c r="B9" s="72" t="s">
        <v>121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41"/>
      <c r="O9" s="133"/>
      <c r="P9" s="134"/>
      <c r="Q9" s="134"/>
    </row>
    <row r="10" spans="2:34" s="44" customFormat="1" ht="12.75">
      <c r="B10" s="54" t="s">
        <v>164</v>
      </c>
      <c r="C10" s="55">
        <v>15575.338</v>
      </c>
      <c r="D10" s="55"/>
      <c r="E10" s="55"/>
      <c r="F10" s="55"/>
      <c r="G10" s="55">
        <v>13895</v>
      </c>
      <c r="H10" s="55"/>
      <c r="I10" s="55"/>
      <c r="J10" s="55"/>
      <c r="K10" s="55"/>
      <c r="L10" s="55">
        <v>21756.599</v>
      </c>
      <c r="M10" s="55"/>
      <c r="N10" s="55"/>
      <c r="O10" s="133"/>
      <c r="P10" s="51"/>
      <c r="Q10" s="51"/>
      <c r="R10" s="38"/>
      <c r="S10" s="38"/>
      <c r="T10" s="38"/>
      <c r="U10" s="38"/>
      <c r="V10" s="38"/>
      <c r="AB10" s="38"/>
      <c r="AC10" s="38"/>
      <c r="AD10" s="38"/>
      <c r="AE10" s="38"/>
      <c r="AF10" s="38"/>
      <c r="AG10" s="38"/>
      <c r="AH10" s="38"/>
    </row>
    <row r="11" spans="2:17" s="135" customFormat="1" ht="12.75">
      <c r="B11" s="7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41"/>
      <c r="O11" s="133"/>
      <c r="P11" s="134"/>
      <c r="Q11" s="134"/>
    </row>
    <row r="12" spans="2:17" ht="12.75">
      <c r="B12" s="1" t="s">
        <v>129</v>
      </c>
      <c r="C12" s="64">
        <f>C10*1000/20</f>
        <v>778766.9</v>
      </c>
      <c r="D12" s="64">
        <f aca="true" t="shared" si="0" ref="D12:N12">D10*1000/20</f>
        <v>0</v>
      </c>
      <c r="E12" s="64">
        <f t="shared" si="0"/>
        <v>0</v>
      </c>
      <c r="F12" s="64">
        <f t="shared" si="0"/>
        <v>0</v>
      </c>
      <c r="G12" s="64">
        <f t="shared" si="0"/>
        <v>694750</v>
      </c>
      <c r="H12" s="64">
        <f t="shared" si="0"/>
        <v>0</v>
      </c>
      <c r="I12" s="64">
        <f t="shared" si="0"/>
        <v>0</v>
      </c>
      <c r="J12" s="64">
        <f t="shared" si="0"/>
        <v>0</v>
      </c>
      <c r="K12" s="64">
        <f t="shared" si="0"/>
        <v>0</v>
      </c>
      <c r="L12" s="64">
        <f t="shared" si="0"/>
        <v>1087829.95</v>
      </c>
      <c r="M12" s="64">
        <f t="shared" si="0"/>
        <v>0</v>
      </c>
      <c r="N12" s="64">
        <f t="shared" si="0"/>
        <v>0</v>
      </c>
      <c r="O12" s="133"/>
      <c r="P12" s="134"/>
      <c r="Q12" s="134"/>
    </row>
    <row r="13" spans="2:17" ht="12.75">
      <c r="B13" s="1" t="s">
        <v>130</v>
      </c>
      <c r="C13" s="64">
        <f aca="true" t="shared" si="1" ref="C13:N13">1000*C10-3*C12</f>
        <v>13239037.3</v>
      </c>
      <c r="D13" s="64">
        <f t="shared" si="1"/>
        <v>0</v>
      </c>
      <c r="E13" s="64">
        <f t="shared" si="1"/>
        <v>0</v>
      </c>
      <c r="F13" s="64">
        <f t="shared" si="1"/>
        <v>0</v>
      </c>
      <c r="G13" s="64">
        <f t="shared" si="1"/>
        <v>11810750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18493109.15</v>
      </c>
      <c r="M13" s="64">
        <f t="shared" si="1"/>
        <v>0</v>
      </c>
      <c r="N13" s="64">
        <f t="shared" si="1"/>
        <v>0</v>
      </c>
      <c r="O13" s="133"/>
      <c r="P13" s="134"/>
      <c r="Q13" s="134"/>
    </row>
    <row r="14" spans="2:17" ht="12.75">
      <c r="B14" s="1" t="s">
        <v>170</v>
      </c>
      <c r="C14" s="64">
        <f>Kosten!$P$11*ORV!C13</f>
        <v>728147.0515000001</v>
      </c>
      <c r="D14" s="64">
        <f>Kosten!$P$11*ORV!D13</f>
        <v>0</v>
      </c>
      <c r="E14" s="64">
        <f>Kosten!$P$11*ORV!E13</f>
        <v>0</v>
      </c>
      <c r="F14" s="64">
        <f>Kosten!$P$11*ORV!F13</f>
        <v>0</v>
      </c>
      <c r="G14" s="64">
        <f>Kosten!$P$11*ORV!G13</f>
        <v>649591.25</v>
      </c>
      <c r="H14" s="64">
        <f>Kosten!$P$11*ORV!H13</f>
        <v>0</v>
      </c>
      <c r="I14" s="64">
        <f>Kosten!$P$11*ORV!I13</f>
        <v>0</v>
      </c>
      <c r="J14" s="64">
        <f>Kosten!$P$11*ORV!J13</f>
        <v>0</v>
      </c>
      <c r="K14" s="64">
        <f>Kosten!$P$11*ORV!K13</f>
        <v>0</v>
      </c>
      <c r="L14" s="64">
        <f>Kosten!$P$11*ORV!L13</f>
        <v>1017121.00325</v>
      </c>
      <c r="M14" s="64">
        <f>Kosten!$P$11*ORV!M13</f>
        <v>0</v>
      </c>
      <c r="N14" s="64">
        <f>Kosten!$P$11*ORV!N13</f>
        <v>0</v>
      </c>
      <c r="O14" s="133"/>
      <c r="P14" s="134"/>
      <c r="Q14" s="134"/>
    </row>
    <row r="15" spans="3:17" ht="12.75"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34"/>
    </row>
    <row r="16" spans="2:15" ht="12.75">
      <c r="B16" s="1" t="s">
        <v>162</v>
      </c>
      <c r="C16" s="64">
        <f>SUM(C12,C14)</f>
        <v>1506913.9515</v>
      </c>
      <c r="D16" s="64">
        <f aca="true" t="shared" si="2" ref="D16:N16">SUM(D12,D14)</f>
        <v>0</v>
      </c>
      <c r="E16" s="64">
        <f t="shared" si="2"/>
        <v>0</v>
      </c>
      <c r="F16" s="64">
        <f t="shared" si="2"/>
        <v>0</v>
      </c>
      <c r="G16" s="64">
        <f t="shared" si="2"/>
        <v>1344341.25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64">
        <f t="shared" si="2"/>
        <v>0</v>
      </c>
      <c r="L16" s="64">
        <f t="shared" si="2"/>
        <v>2104950.95325</v>
      </c>
      <c r="M16" s="64">
        <f t="shared" si="2"/>
        <v>0</v>
      </c>
      <c r="N16" s="64">
        <f t="shared" si="2"/>
        <v>0</v>
      </c>
      <c r="O16" s="133"/>
    </row>
    <row r="17" spans="2:15" ht="12.75">
      <c r="B17" s="1" t="s">
        <v>163</v>
      </c>
      <c r="C17" s="64">
        <f>(1+CPI!$D$16)*ORV!C16</f>
        <v>1550912.8250558968</v>
      </c>
      <c r="D17" s="64">
        <f>(1+CPI!$D$16)*ORV!D16</f>
        <v>0</v>
      </c>
      <c r="E17" s="64">
        <f>(1+CPI!$D$16)*ORV!E16</f>
        <v>0</v>
      </c>
      <c r="F17" s="64">
        <f>(1+CPI!$D$16)*ORV!F16</f>
        <v>0</v>
      </c>
      <c r="G17" s="64">
        <f>(1+CPI!$D$16)*ORV!G16</f>
        <v>1383593.3258174998</v>
      </c>
      <c r="H17" s="64">
        <f>(1+CPI!$D$16)*ORV!H16</f>
        <v>0</v>
      </c>
      <c r="I17" s="64">
        <f>(1+CPI!$D$16)*ORV!I16</f>
        <v>0</v>
      </c>
      <c r="J17" s="64">
        <f>(1+CPI!$D$16)*ORV!J16</f>
        <v>0</v>
      </c>
      <c r="K17" s="64">
        <f>(1+CPI!$D$16)*ORV!K16</f>
        <v>0</v>
      </c>
      <c r="L17" s="64">
        <f>(1+CPI!$D$16)*ORV!L16</f>
        <v>2166411.311182993</v>
      </c>
      <c r="M17" s="64">
        <f>(1+CPI!$D$16)*ORV!M16</f>
        <v>0</v>
      </c>
      <c r="N17" s="64">
        <f>(1+CPI!$D$16)*ORV!N16</f>
        <v>0</v>
      </c>
      <c r="O17" s="133"/>
    </row>
    <row r="18" spans="2:15" ht="12.75">
      <c r="B18" s="1" t="s">
        <v>161</v>
      </c>
      <c r="C18" s="64">
        <f>SUM(C7,C17)</f>
        <v>1550912.8250558968</v>
      </c>
      <c r="D18" s="64">
        <f>SUM(D7,D17)</f>
        <v>281741.38</v>
      </c>
      <c r="E18" s="64">
        <f>SUM(E7,E17)</f>
        <v>12426632.999999998</v>
      </c>
      <c r="F18" s="64">
        <f aca="true" t="shared" si="3" ref="F18:N18">SUM(F7,F17)</f>
        <v>0</v>
      </c>
      <c r="G18" s="64">
        <f t="shared" si="3"/>
        <v>1383593.3258174998</v>
      </c>
      <c r="H18" s="64">
        <f t="shared" si="3"/>
        <v>0</v>
      </c>
      <c r="I18" s="64">
        <f t="shared" si="3"/>
        <v>6290409</v>
      </c>
      <c r="J18" s="64">
        <f t="shared" si="3"/>
        <v>0</v>
      </c>
      <c r="K18" s="64">
        <f t="shared" si="3"/>
        <v>0</v>
      </c>
      <c r="L18" s="64">
        <f t="shared" si="3"/>
        <v>2246556.311182993</v>
      </c>
      <c r="M18" s="64">
        <f t="shared" si="3"/>
        <v>0</v>
      </c>
      <c r="N18" s="64">
        <f t="shared" si="3"/>
        <v>0</v>
      </c>
      <c r="O18" s="133"/>
    </row>
    <row r="19" spans="3:15" ht="12.75"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2:17" ht="12.75">
      <c r="B20" s="1" t="s">
        <v>101</v>
      </c>
      <c r="C20" s="63"/>
      <c r="D20" s="63"/>
      <c r="E20" s="63">
        <v>666507.7899999995</v>
      </c>
      <c r="F20" s="63"/>
      <c r="G20" s="63"/>
      <c r="H20" s="63"/>
      <c r="I20" s="63"/>
      <c r="J20" s="63"/>
      <c r="K20" s="63"/>
      <c r="L20" s="63"/>
      <c r="M20" s="63"/>
      <c r="N20" s="60">
        <f>SUM(P20:Q20)</f>
        <v>161764</v>
      </c>
      <c r="O20" s="133"/>
      <c r="P20" s="81">
        <v>161764</v>
      </c>
      <c r="Q20" s="81"/>
    </row>
    <row r="21" spans="2:15" ht="12.75">
      <c r="B21" s="1" t="s">
        <v>103</v>
      </c>
      <c r="C21" s="64">
        <f>C20*(1+CPI!$C$16)</f>
        <v>0</v>
      </c>
      <c r="D21" s="64">
        <f>D20*(1+CPI!$C$16)</f>
        <v>0</v>
      </c>
      <c r="E21" s="64">
        <f>E20*(1+CPI!$C$16)</f>
        <v>700373.8226259202</v>
      </c>
      <c r="F21" s="64">
        <f>F20*(1+CPI!$C$16)</f>
        <v>0</v>
      </c>
      <c r="G21" s="64">
        <f>G20*(1+CPI!$C$16)</f>
        <v>0</v>
      </c>
      <c r="H21" s="64">
        <f>H20*(1+CPI!$C$16)</f>
        <v>0</v>
      </c>
      <c r="I21" s="64">
        <f>I20*(1+CPI!$C$16)</f>
        <v>0</v>
      </c>
      <c r="J21" s="64">
        <f>J20*(1+CPI!$C$16)</f>
        <v>0</v>
      </c>
      <c r="K21" s="64">
        <f>K20*(1+CPI!$C$16)</f>
        <v>0</v>
      </c>
      <c r="L21" s="64">
        <f>L20*(1+CPI!$C$16)</f>
        <v>0</v>
      </c>
      <c r="M21" s="64">
        <f>M20*(1+CPI!$C$16)</f>
        <v>0</v>
      </c>
      <c r="N21" s="64">
        <f>N20*(1+CPI!$C$16)</f>
        <v>169983.41616271198</v>
      </c>
      <c r="O21" s="133"/>
    </row>
    <row r="22" spans="3:15" ht="12.75"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2:15" ht="12.75">
      <c r="B23" s="1" t="s">
        <v>113</v>
      </c>
      <c r="C23" s="64">
        <f>C21+C18</f>
        <v>1550912.8250558968</v>
      </c>
      <c r="D23" s="64">
        <f aca="true" t="shared" si="4" ref="D23:N23">D21+D18</f>
        <v>281741.38</v>
      </c>
      <c r="E23" s="64">
        <f t="shared" si="4"/>
        <v>13127006.822625918</v>
      </c>
      <c r="F23" s="64">
        <f t="shared" si="4"/>
        <v>0</v>
      </c>
      <c r="G23" s="64">
        <f t="shared" si="4"/>
        <v>1383593.3258174998</v>
      </c>
      <c r="H23" s="64">
        <f t="shared" si="4"/>
        <v>0</v>
      </c>
      <c r="I23" s="64">
        <f t="shared" si="4"/>
        <v>6290409</v>
      </c>
      <c r="J23" s="64">
        <f t="shared" si="4"/>
        <v>0</v>
      </c>
      <c r="K23" s="64">
        <f t="shared" si="4"/>
        <v>0</v>
      </c>
      <c r="L23" s="64">
        <f t="shared" si="4"/>
        <v>2246556.311182993</v>
      </c>
      <c r="M23" s="64">
        <f t="shared" si="4"/>
        <v>0</v>
      </c>
      <c r="N23" s="64">
        <f t="shared" si="4"/>
        <v>169983.41616271198</v>
      </c>
      <c r="O23" s="133"/>
    </row>
    <row r="24" spans="2:15" ht="12.75">
      <c r="B24" s="1" t="s">
        <v>112</v>
      </c>
      <c r="C24" s="64">
        <f>C23*(1+CPI!$C$9)</f>
        <v>1572625.6046066794</v>
      </c>
      <c r="D24" s="64">
        <f>D23*(1+CPI!$C$9)</f>
        <v>285685.75932</v>
      </c>
      <c r="E24" s="64">
        <f>E23*(1+CPI!$C$9)</f>
        <v>13310784.918142682</v>
      </c>
      <c r="F24" s="64">
        <f>F23*(1+CPI!$C$9)</f>
        <v>0</v>
      </c>
      <c r="G24" s="64">
        <f>G23*(1+CPI!$C$9)</f>
        <v>1402963.632378945</v>
      </c>
      <c r="H24" s="64">
        <f>H23*(1+CPI!$C$9)</f>
        <v>0</v>
      </c>
      <c r="I24" s="64">
        <f>I23*(1+CPI!$C$9)</f>
        <v>6378474.726</v>
      </c>
      <c r="J24" s="64">
        <f>J23*(1+CPI!$C$9)</f>
        <v>0</v>
      </c>
      <c r="K24" s="64">
        <f>K23*(1+CPI!$C$9)</f>
        <v>0</v>
      </c>
      <c r="L24" s="64">
        <f>L23*(1+CPI!$C$9)</f>
        <v>2278008.099539555</v>
      </c>
      <c r="M24" s="64">
        <f>M23*(1+CPI!$C$9)</f>
        <v>0</v>
      </c>
      <c r="N24" s="64">
        <f>N23*(1+CPI!$C$9)</f>
        <v>172363.18398898994</v>
      </c>
      <c r="O24" s="133"/>
    </row>
    <row r="26" spans="2:17" s="21" customFormat="1" ht="12.75">
      <c r="B26" s="20" t="s">
        <v>78</v>
      </c>
      <c r="P26" s="27"/>
      <c r="Q26" s="27"/>
    </row>
    <row r="28" spans="2:15" ht="12.75">
      <c r="B28" s="1" t="s">
        <v>109</v>
      </c>
      <c r="C28" s="64">
        <f>C24</f>
        <v>1572625.6046066794</v>
      </c>
      <c r="D28" s="64">
        <f aca="true" t="shared" si="5" ref="D28:N28">D24</f>
        <v>285685.75932</v>
      </c>
      <c r="E28" s="64">
        <f t="shared" si="5"/>
        <v>13310784.918142682</v>
      </c>
      <c r="F28" s="64">
        <f t="shared" si="5"/>
        <v>0</v>
      </c>
      <c r="G28" s="64">
        <f t="shared" si="5"/>
        <v>1402963.632378945</v>
      </c>
      <c r="H28" s="64">
        <f t="shared" si="5"/>
        <v>0</v>
      </c>
      <c r="I28" s="64">
        <f t="shared" si="5"/>
        <v>6378474.726</v>
      </c>
      <c r="J28" s="64">
        <f t="shared" si="5"/>
        <v>0</v>
      </c>
      <c r="K28" s="64">
        <f t="shared" si="5"/>
        <v>0</v>
      </c>
      <c r="L28" s="64">
        <f t="shared" si="5"/>
        <v>2278008.099539555</v>
      </c>
      <c r="M28" s="64">
        <f t="shared" si="5"/>
        <v>0</v>
      </c>
      <c r="N28" s="64">
        <f t="shared" si="5"/>
        <v>172363.18398898994</v>
      </c>
      <c r="O28" s="133"/>
    </row>
    <row r="29" spans="2:15" ht="12.75">
      <c r="B29" s="1" t="s">
        <v>79</v>
      </c>
      <c r="C29" s="82">
        <f>C28</f>
        <v>1572625.6046066794</v>
      </c>
      <c r="D29" s="82">
        <f aca="true" t="shared" si="6" ref="D29:N29">D28</f>
        <v>285685.75932</v>
      </c>
      <c r="E29" s="82">
        <f t="shared" si="6"/>
        <v>13310784.918142682</v>
      </c>
      <c r="F29" s="82">
        <f t="shared" si="6"/>
        <v>0</v>
      </c>
      <c r="G29" s="82">
        <f t="shared" si="6"/>
        <v>1402963.632378945</v>
      </c>
      <c r="H29" s="82">
        <f t="shared" si="6"/>
        <v>0</v>
      </c>
      <c r="I29" s="82">
        <f t="shared" si="6"/>
        <v>6378474.726</v>
      </c>
      <c r="J29" s="82">
        <f t="shared" si="6"/>
        <v>0</v>
      </c>
      <c r="K29" s="82">
        <f t="shared" si="6"/>
        <v>0</v>
      </c>
      <c r="L29" s="82">
        <f t="shared" si="6"/>
        <v>2278008.099539555</v>
      </c>
      <c r="M29" s="82">
        <f t="shared" si="6"/>
        <v>0</v>
      </c>
      <c r="N29" s="82">
        <f t="shared" si="6"/>
        <v>172363.18398898994</v>
      </c>
      <c r="O29" s="13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spans="2:4" s="4" customFormat="1" ht="20.25">
      <c r="B2" s="18" t="s">
        <v>102</v>
      </c>
      <c r="C2" s="18"/>
      <c r="D2" s="18"/>
    </row>
    <row r="4" spans="2:19" s="21" customFormat="1" ht="12.75">
      <c r="B4" s="20" t="s">
        <v>104</v>
      </c>
      <c r="R4" s="27"/>
      <c r="S4" s="27"/>
    </row>
    <row r="6" spans="2:3" ht="12.75">
      <c r="B6" s="44" t="s">
        <v>31</v>
      </c>
      <c r="C6" s="154">
        <v>0.021</v>
      </c>
    </row>
    <row r="7" spans="2:3" ht="12.75">
      <c r="B7" s="44" t="s">
        <v>32</v>
      </c>
      <c r="C7" s="154">
        <v>0.011</v>
      </c>
    </row>
    <row r="8" spans="2:3" ht="12.75">
      <c r="B8" s="44" t="s">
        <v>33</v>
      </c>
      <c r="C8" s="154">
        <v>0.018</v>
      </c>
    </row>
    <row r="9" spans="2:3" ht="12.75">
      <c r="B9" s="44" t="s">
        <v>34</v>
      </c>
      <c r="C9" s="154">
        <v>0.014</v>
      </c>
    </row>
    <row r="11" spans="2:19" s="21" customFormat="1" ht="12.75">
      <c r="B11" s="20" t="s">
        <v>105</v>
      </c>
      <c r="R11" s="27"/>
      <c r="S11" s="27"/>
    </row>
    <row r="13" spans="2:6" ht="12.75">
      <c r="B13" s="1" t="s">
        <v>106</v>
      </c>
      <c r="C13" s="1">
        <v>2003</v>
      </c>
      <c r="D13" s="1">
        <v>2004</v>
      </c>
      <c r="E13" s="1">
        <v>2005</v>
      </c>
      <c r="F13" s="1">
        <v>2006</v>
      </c>
    </row>
    <row r="14" spans="2:6" ht="12.75">
      <c r="B14" s="1">
        <v>2004</v>
      </c>
      <c r="C14" s="92">
        <f>C6</f>
        <v>0.021</v>
      </c>
      <c r="D14" s="91"/>
      <c r="E14" s="91"/>
      <c r="F14" s="91"/>
    </row>
    <row r="15" spans="2:6" ht="12.75">
      <c r="B15" s="1">
        <v>2005</v>
      </c>
      <c r="C15" s="92">
        <f>((1+C14)*(1+C7)-1)</f>
        <v>0.0322309999999999</v>
      </c>
      <c r="D15" s="92">
        <f>C7</f>
        <v>0.011</v>
      </c>
      <c r="E15" s="91"/>
      <c r="F15" s="91"/>
    </row>
    <row r="16" spans="2:6" ht="12.75">
      <c r="B16" s="1">
        <v>2006</v>
      </c>
      <c r="C16" s="92">
        <f>((1+C15)*(1+C8)-1)</f>
        <v>0.05081115799999991</v>
      </c>
      <c r="D16" s="92">
        <f>((1+D15)*(1+C8)-1)</f>
        <v>0.029197999999999835</v>
      </c>
      <c r="E16" s="92">
        <f>C8</f>
        <v>0.018</v>
      </c>
      <c r="F16" s="91"/>
    </row>
    <row r="17" spans="2:6" ht="12.75">
      <c r="B17" s="1">
        <v>2007</v>
      </c>
      <c r="C17" s="92">
        <f>((1+C16)*(1+C9)-1)</f>
        <v>0.06552251421199995</v>
      </c>
      <c r="D17" s="92">
        <f>((1+D16)*(1+C9)-1)</f>
        <v>0.04360677199999974</v>
      </c>
      <c r="E17" s="92">
        <f>((1+E16)*(1+C9)-1)</f>
        <v>0.03225199999999995</v>
      </c>
      <c r="F17" s="92">
        <f>C9</f>
        <v>0.014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3" width="19.7109375" style="1" customWidth="1"/>
    <col min="4" max="4" width="21.00390625" style="1" customWidth="1"/>
    <col min="5" max="8" width="19.7109375" style="1" customWidth="1"/>
    <col min="9" max="9" width="9.140625" style="1" customWidth="1"/>
    <col min="10" max="10" width="9.421875" style="1" bestFit="1" customWidth="1"/>
    <col min="11" max="16384" width="9.140625" style="1" customWidth="1"/>
  </cols>
  <sheetData>
    <row r="2" s="138" customFormat="1" ht="20.25">
      <c r="B2" s="18" t="s">
        <v>125</v>
      </c>
    </row>
    <row r="4" s="129" customFormat="1" ht="12.75">
      <c r="B4" s="130" t="s">
        <v>153</v>
      </c>
    </row>
    <row r="7" spans="2:7" ht="12.75">
      <c r="B7" s="140" t="s">
        <v>152</v>
      </c>
      <c r="C7" s="141">
        <v>2004</v>
      </c>
      <c r="D7" s="141">
        <v>2005</v>
      </c>
      <c r="E7" s="141">
        <v>2006</v>
      </c>
      <c r="F7" s="141"/>
      <c r="G7" s="141">
        <v>2009</v>
      </c>
    </row>
    <row r="8" spans="2:7" ht="12.75">
      <c r="B8" s="139" t="s">
        <v>107</v>
      </c>
      <c r="C8" s="153">
        <v>1.0126913143535143</v>
      </c>
      <c r="D8" s="153">
        <v>1.0553544530992918</v>
      </c>
      <c r="E8" s="153">
        <v>1.075527641268633</v>
      </c>
      <c r="F8" s="139" t="s">
        <v>107</v>
      </c>
      <c r="G8" s="153">
        <v>0.9924583911234396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5.00390625" style="1" bestFit="1" customWidth="1"/>
    <col min="3" max="3" width="8.00390625" style="1" bestFit="1" customWidth="1"/>
    <col min="4" max="5" width="9.7109375" style="1" customWidth="1"/>
    <col min="6" max="6" width="10.7109375" style="1" bestFit="1" customWidth="1"/>
    <col min="7" max="9" width="9.7109375" style="1" customWidth="1"/>
    <col min="10" max="10" width="10.7109375" style="1" bestFit="1" customWidth="1"/>
    <col min="11" max="14" width="9.7109375" style="1" customWidth="1"/>
    <col min="15" max="15" width="10.7109375" style="1" bestFit="1" customWidth="1"/>
    <col min="16" max="16" width="9.7109375" style="1" customWidth="1"/>
    <col min="17" max="17" width="10.7109375" style="1" bestFit="1" customWidth="1"/>
    <col min="18" max="16384" width="9.140625" style="1" customWidth="1"/>
  </cols>
  <sheetData>
    <row r="1" ht="12.75"/>
    <row r="2" spans="2:17" s="4" customFormat="1" ht="201">
      <c r="B2" s="18" t="s">
        <v>95</v>
      </c>
      <c r="C2" s="18"/>
      <c r="D2" s="19" t="s">
        <v>9</v>
      </c>
      <c r="E2" s="19" t="s">
        <v>5</v>
      </c>
      <c r="F2" s="19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16</v>
      </c>
      <c r="P2" s="19" t="s">
        <v>15</v>
      </c>
      <c r="Q2" s="19" t="s">
        <v>65</v>
      </c>
    </row>
    <row r="4" s="21" customFormat="1" ht="12.75">
      <c r="B4" s="20" t="s">
        <v>88</v>
      </c>
    </row>
    <row r="6" spans="2:17" ht="12.75">
      <c r="B6" s="1" t="s">
        <v>91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Q6" s="89">
        <f>Productiviteit!$C22</f>
        <v>0.036913342728586</v>
      </c>
    </row>
    <row r="7" spans="2:17" ht="12.75">
      <c r="B7" s="1" t="s">
        <v>92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Q7" s="89">
        <f>CPI!$C$9</f>
        <v>0.014</v>
      </c>
    </row>
    <row r="8" spans="2:17" ht="12.75">
      <c r="B8" s="1" t="s">
        <v>93</v>
      </c>
      <c r="D8" s="60">
        <f>Kosten!C114*1000</f>
        <v>17350265.223267373</v>
      </c>
      <c r="E8" s="60">
        <f>Kosten!D114*1000</f>
        <v>20050337.378072772</v>
      </c>
      <c r="F8" s="60">
        <f>Kosten!E114*1000</f>
        <v>215809958.31443205</v>
      </c>
      <c r="G8" s="60">
        <f>Kosten!F114*1000</f>
        <v>6761688.295316913</v>
      </c>
      <c r="H8" s="60">
        <f>Kosten!G114*1000</f>
        <v>25146812.47112794</v>
      </c>
      <c r="I8" s="60">
        <f>Kosten!H114*1000</f>
        <v>20269856.243252363</v>
      </c>
      <c r="J8" s="60">
        <f>Kosten!I114*1000</f>
        <v>248755114.9048708</v>
      </c>
      <c r="K8" s="60">
        <f>Kosten!J114*1000</f>
        <v>24226594.89535337</v>
      </c>
      <c r="L8" s="60">
        <f>Kosten!K114*1000</f>
        <v>3536745.428975124</v>
      </c>
      <c r="M8" s="60">
        <f>Kosten!L114*1000</f>
        <v>20738524.817002743</v>
      </c>
      <c r="N8" s="60">
        <f>Kosten!M114*1000</f>
        <v>18300794.153183673</v>
      </c>
      <c r="O8" s="60">
        <f>Kosten!N114*1000</f>
        <v>175654433.4966396</v>
      </c>
      <c r="P8" s="60">
        <f>Kosten!O114*1000</f>
        <v>4465914.190911413</v>
      </c>
      <c r="Q8" s="41"/>
    </row>
    <row r="9" spans="2:17" ht="12.75">
      <c r="B9" s="1" t="s">
        <v>94</v>
      </c>
      <c r="D9" s="60">
        <f>ORV!C18</f>
        <v>1550912.8250558968</v>
      </c>
      <c r="E9" s="60">
        <f>ORV!D18</f>
        <v>281741.38</v>
      </c>
      <c r="F9" s="60">
        <f>ORV!E18</f>
        <v>12426632.999999998</v>
      </c>
      <c r="G9" s="60">
        <f>ORV!F18</f>
        <v>0</v>
      </c>
      <c r="H9" s="60">
        <f>ORV!G18</f>
        <v>1383593.3258174998</v>
      </c>
      <c r="I9" s="60">
        <f>ORV!H18</f>
        <v>0</v>
      </c>
      <c r="J9" s="60">
        <f>ORV!I18</f>
        <v>6290409</v>
      </c>
      <c r="K9" s="60">
        <f>ORV!J18</f>
        <v>0</v>
      </c>
      <c r="L9" s="60">
        <f>ORV!K18</f>
        <v>0</v>
      </c>
      <c r="M9" s="60">
        <f>ORV!L18</f>
        <v>2246556.311182993</v>
      </c>
      <c r="N9" s="60">
        <f>ORV!M18</f>
        <v>0</v>
      </c>
      <c r="O9" s="60">
        <f>ORV!N18</f>
        <v>0</v>
      </c>
      <c r="P9" s="60">
        <f>ORV!O18</f>
        <v>0</v>
      </c>
      <c r="Q9" s="41"/>
    </row>
    <row r="10" spans="2:18" ht="12.75">
      <c r="B10" s="1" t="s">
        <v>119</v>
      </c>
      <c r="D10" s="60">
        <f>D8-D9</f>
        <v>15799352.398211475</v>
      </c>
      <c r="E10" s="60">
        <f aca="true" t="shared" si="0" ref="E10:P10">E8-E9</f>
        <v>19768595.998072773</v>
      </c>
      <c r="F10" s="60">
        <f t="shared" si="0"/>
        <v>203383325.31443205</v>
      </c>
      <c r="G10" s="60">
        <f t="shared" si="0"/>
        <v>6761688.295316913</v>
      </c>
      <c r="H10" s="60">
        <f t="shared" si="0"/>
        <v>23763219.14531044</v>
      </c>
      <c r="I10" s="60">
        <f t="shared" si="0"/>
        <v>20269856.243252363</v>
      </c>
      <c r="J10" s="60">
        <f t="shared" si="0"/>
        <v>242464705.9048708</v>
      </c>
      <c r="K10" s="60">
        <f t="shared" si="0"/>
        <v>24226594.89535337</v>
      </c>
      <c r="L10" s="60">
        <f t="shared" si="0"/>
        <v>3536745.428975124</v>
      </c>
      <c r="M10" s="60">
        <f t="shared" si="0"/>
        <v>18491968.50581975</v>
      </c>
      <c r="N10" s="60">
        <f t="shared" si="0"/>
        <v>18300794.153183673</v>
      </c>
      <c r="O10" s="60">
        <f t="shared" si="0"/>
        <v>175654433.4966396</v>
      </c>
      <c r="P10" s="60">
        <f t="shared" si="0"/>
        <v>4465914.190911413</v>
      </c>
      <c r="Q10" s="60">
        <f>SUM(D10:P10)</f>
        <v>776887193.9703498</v>
      </c>
      <c r="R10" s="127"/>
    </row>
    <row r="11" spans="2:17" ht="12.75">
      <c r="B11" s="1" t="s">
        <v>88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28"/>
      <c r="P11" s="41"/>
      <c r="Q11" s="66">
        <f>(1-Q6+Q7)*Q10</f>
        <v>759086111.4334576</v>
      </c>
    </row>
    <row r="13" s="21" customFormat="1" ht="12.75">
      <c r="B13" s="20" t="s">
        <v>85</v>
      </c>
    </row>
    <row r="15" spans="2:3" ht="12.75">
      <c r="B15" s="1" t="s">
        <v>96</v>
      </c>
      <c r="C15" s="90">
        <f>(Q11/SUM(SO!C58:O58))*(1-Productiviteit!C22)^3</f>
        <v>0.783552078596411</v>
      </c>
    </row>
    <row r="18" spans="2:16" ht="12.75">
      <c r="B18" s="69" t="s">
        <v>85</v>
      </c>
      <c r="D18" s="66">
        <f>$C15*SO!C58+ORV!C29</f>
        <v>14570222.740445212</v>
      </c>
      <c r="E18" s="66">
        <f>$C15*SO!D58+ORV!D29</f>
        <v>20110968.760003094</v>
      </c>
      <c r="F18" s="66">
        <f>$C15*SO!E58+ORV!E29</f>
        <v>179857822.59481934</v>
      </c>
      <c r="G18" s="66">
        <f>$C15*SO!F58+ORV!F29</f>
        <v>5884982.041696517</v>
      </c>
      <c r="H18" s="66">
        <f>$C15*SO!G58+ORV!G29</f>
        <v>15908943.336029481</v>
      </c>
      <c r="I18" s="66">
        <f>$C15*SO!H58+ORV!H29</f>
        <v>18231123.737833656</v>
      </c>
      <c r="J18" s="66">
        <f>$C15*SO!I58+ORV!I29</f>
        <v>207809816.1215101</v>
      </c>
      <c r="K18" s="66">
        <f>$C15*SO!J58+ORV!J29</f>
        <v>20328464.70778665</v>
      </c>
      <c r="L18" s="66">
        <f>$C15*SO!K58+ORV!K29</f>
        <v>3005134.8251669738</v>
      </c>
      <c r="M18" s="66">
        <f>$C15*SO!L58+ORV!L29</f>
        <v>11930897.649073018</v>
      </c>
      <c r="N18" s="66">
        <f>$C15*SO!M58+ORV!M29</f>
        <v>13942461.575403918</v>
      </c>
      <c r="O18" s="66">
        <f>$C15*SO!N58+ORV!N29</f>
        <v>184270742.71301004</v>
      </c>
      <c r="P18" s="66">
        <f>$C15*SO!O58+ORV!O29</f>
        <v>7639019.245037466</v>
      </c>
    </row>
    <row r="21" spans="4:16" ht="12.75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41.421875" style="1" bestFit="1" customWidth="1"/>
    <col min="3" max="3" width="16.00390625" style="1" bestFit="1" customWidth="1"/>
    <col min="4" max="5" width="11.57421875" style="1" bestFit="1" customWidth="1"/>
    <col min="6" max="6" width="12.57421875" style="1" bestFit="1" customWidth="1"/>
    <col min="7" max="7" width="10.57421875" style="1" bestFit="1" customWidth="1"/>
    <col min="8" max="9" width="11.57421875" style="1" bestFit="1" customWidth="1"/>
    <col min="10" max="10" width="12.57421875" style="1" bestFit="1" customWidth="1"/>
    <col min="11" max="11" width="11.57421875" style="1" bestFit="1" customWidth="1"/>
    <col min="12" max="12" width="10.57421875" style="1" bestFit="1" customWidth="1"/>
    <col min="13" max="14" width="11.57421875" style="1" bestFit="1" customWidth="1"/>
    <col min="15" max="15" width="12.57421875" style="1" bestFit="1" customWidth="1"/>
    <col min="16" max="16" width="9.140625" style="1" customWidth="1"/>
    <col min="17" max="17" width="12.57421875" style="1" bestFit="1" customWidth="1"/>
    <col min="18" max="16384" width="9.140625" style="1" customWidth="1"/>
  </cols>
  <sheetData>
    <row r="1" ht="12.75"/>
    <row r="2" spans="2:17" s="4" customFormat="1" ht="201">
      <c r="B2" s="37" t="s">
        <v>39</v>
      </c>
      <c r="C2" s="18"/>
      <c r="D2" s="19" t="s">
        <v>9</v>
      </c>
      <c r="E2" s="19" t="s">
        <v>5</v>
      </c>
      <c r="F2" s="19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16</v>
      </c>
      <c r="P2" s="19" t="s">
        <v>15</v>
      </c>
      <c r="Q2" s="19" t="s">
        <v>65</v>
      </c>
    </row>
    <row r="5" ht="12.75">
      <c r="B5" s="69" t="s">
        <v>54</v>
      </c>
    </row>
    <row r="6" spans="2:17" ht="12.75">
      <c r="B6" s="1" t="s">
        <v>51</v>
      </c>
      <c r="C6" s="1" t="s">
        <v>59</v>
      </c>
      <c r="D6" s="97">
        <f>Kosten!C29*1000</f>
        <v>17373649.058344055</v>
      </c>
      <c r="E6" s="97">
        <f>Kosten!D29*1000</f>
        <v>17961645.97969119</v>
      </c>
      <c r="F6" s="97">
        <f>Kosten!E29*1000</f>
        <v>245801275.1395079</v>
      </c>
      <c r="G6" s="97">
        <f>Kosten!F29*1000</f>
        <v>6956472.324027195</v>
      </c>
      <c r="H6" s="97">
        <f>Kosten!G29*1000</f>
        <v>30719586.574020397</v>
      </c>
      <c r="I6" s="97">
        <f>Kosten!H29*1000</f>
        <v>23908083.040912423</v>
      </c>
      <c r="J6" s="97">
        <f>Kosten!I29*1000</f>
        <v>266085576.14681527</v>
      </c>
      <c r="K6" s="97">
        <f>Kosten!J29*1000</f>
        <v>26809847.01970222</v>
      </c>
      <c r="L6" s="97">
        <f>Kosten!K29*1000</f>
        <v>3029796.3422808023</v>
      </c>
      <c r="M6" s="97">
        <f>Kosten!L29*1000</f>
        <v>20346828.059401523</v>
      </c>
      <c r="N6" s="97">
        <f>Kosten!M29*1000</f>
        <v>19134368.042981803</v>
      </c>
      <c r="O6" s="97">
        <f>Kosten!N29*1000</f>
        <v>218916480.22760147</v>
      </c>
      <c r="P6" s="97">
        <f>Kosten!O29*1000</f>
        <v>0</v>
      </c>
      <c r="Q6" s="97">
        <f>SUM(D6:O6)</f>
        <v>897043607.9552863</v>
      </c>
    </row>
    <row r="7" spans="2:17" ht="12.75">
      <c r="B7" s="1" t="s">
        <v>52</v>
      </c>
      <c r="C7" s="1" t="s">
        <v>60</v>
      </c>
      <c r="D7" s="97">
        <f>Kosten!C56*1000</f>
        <v>17011215.510152683</v>
      </c>
      <c r="E7" s="97">
        <f>Kosten!D56*1000</f>
        <v>18804801.985318795</v>
      </c>
      <c r="F7" s="97">
        <f>Kosten!E56*1000</f>
        <v>228873833.56746823</v>
      </c>
      <c r="G7" s="97">
        <f>Kosten!F56*1000</f>
        <v>6192674.739048179</v>
      </c>
      <c r="H7" s="97">
        <f>Kosten!G56*1000</f>
        <v>30631551.65798017</v>
      </c>
      <c r="I7" s="97">
        <f>Kosten!H56*1000</f>
        <v>27094381.89537569</v>
      </c>
      <c r="J7" s="97">
        <f>Kosten!I56*1000</f>
        <v>266482630.99264172</v>
      </c>
      <c r="K7" s="97">
        <f>Kosten!J56*1000</f>
        <v>24366765.50554225</v>
      </c>
      <c r="L7" s="97">
        <f>Kosten!K56*1000</f>
        <v>3458645.036490204</v>
      </c>
      <c r="M7" s="97">
        <f>Kosten!L56*1000</f>
        <v>21545920.481923368</v>
      </c>
      <c r="N7" s="97">
        <f>Kosten!M56*1000</f>
        <v>19549730.58587784</v>
      </c>
      <c r="O7" s="97">
        <f>Kosten!N56*1000</f>
        <v>199403655.16547808</v>
      </c>
      <c r="P7" s="97">
        <f>Kosten!O56*1000</f>
        <v>0</v>
      </c>
      <c r="Q7" s="97">
        <f>SUM(D7:O7)</f>
        <v>863415807.1232972</v>
      </c>
    </row>
    <row r="8" spans="2:17" ht="12.75">
      <c r="B8" s="1" t="s">
        <v>53</v>
      </c>
      <c r="C8" s="1" t="s">
        <v>61</v>
      </c>
      <c r="D8" s="97">
        <f>Kosten!C91*1000</f>
        <v>18551824.802264825</v>
      </c>
      <c r="E8" s="97">
        <f>Kosten!D91*1000</f>
        <v>19490381.37456099</v>
      </c>
      <c r="F8" s="97">
        <f>Kosten!E91*1000</f>
        <v>234710538.13011536</v>
      </c>
      <c r="G8" s="97">
        <f>Kosten!F91*1000</f>
        <v>7153941.059530907</v>
      </c>
      <c r="H8" s="97">
        <f>Kosten!G91*1000</f>
        <v>28243796.436165348</v>
      </c>
      <c r="I8" s="97">
        <f>Kosten!H91*1000</f>
        <v>22662296.401592642</v>
      </c>
      <c r="J8" s="97">
        <f>Kosten!I91*1000</f>
        <v>271768168.77443784</v>
      </c>
      <c r="K8" s="97">
        <f>Kosten!J91*1000</f>
        <v>26452566.72696791</v>
      </c>
      <c r="L8" s="97">
        <f>Kosten!K91*1000</f>
        <v>3763402.0103757842</v>
      </c>
      <c r="M8" s="97">
        <f>Kosten!L91*1000</f>
        <v>22988338.800975617</v>
      </c>
      <c r="N8" s="97">
        <f>Kosten!M91*1000</f>
        <v>20012610.109609727</v>
      </c>
      <c r="O8" s="97">
        <f>Kosten!N91*1000</f>
        <v>189160473.66128367</v>
      </c>
      <c r="P8" s="97">
        <f>Kosten!O91*1000</f>
        <v>0</v>
      </c>
      <c r="Q8" s="97">
        <f>SUM(D8:O8)</f>
        <v>864958338.2878807</v>
      </c>
    </row>
    <row r="9" spans="4:17" ht="12.75"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2:17" ht="12.75">
      <c r="B10" s="1" t="s">
        <v>52</v>
      </c>
      <c r="C10" s="1" t="s">
        <v>59</v>
      </c>
      <c r="D10" s="97">
        <f>D7/(1+CPI!$C$7)</f>
        <v>16826128.10104123</v>
      </c>
      <c r="E10" s="97">
        <f>E7/(1+CPI!$C$7)</f>
        <v>18600199.787654597</v>
      </c>
      <c r="F10" s="97">
        <f>F7/(1+CPI!$C$7)</f>
        <v>226383613.8154978</v>
      </c>
      <c r="G10" s="97">
        <f>G7/(1+CPI!$C$7)</f>
        <v>6125296.477792462</v>
      </c>
      <c r="H10" s="97">
        <f>H7/(1+CPI!$C$7)</f>
        <v>30298270.68049473</v>
      </c>
      <c r="I10" s="97">
        <f>I7/(1+CPI!$C$7)</f>
        <v>26799586.444486346</v>
      </c>
      <c r="J10" s="97">
        <f>J7/(1+CPI!$C$7)</f>
        <v>263583215.6208128</v>
      </c>
      <c r="K10" s="97">
        <f>K7/(1+CPI!$C$7)</f>
        <v>24101647.384314787</v>
      </c>
      <c r="L10" s="97">
        <f>L7/(1+CPI!$C$7)</f>
        <v>3421013.883768748</v>
      </c>
      <c r="M10" s="97">
        <f>M7/(1+CPI!$C$7)</f>
        <v>21311494.04740195</v>
      </c>
      <c r="N10" s="97">
        <f>N7/(1+CPI!$C$7)</f>
        <v>19337023.329256024</v>
      </c>
      <c r="O10" s="97">
        <f>O7/(1+CPI!$C$7)</f>
        <v>197234080.282372</v>
      </c>
      <c r="P10" s="97">
        <f>P7/(1+CPI!$C$7)</f>
        <v>0</v>
      </c>
      <c r="Q10" s="97">
        <f>SUM(D10:O10)</f>
        <v>854021569.8548934</v>
      </c>
    </row>
    <row r="11" spans="2:17" ht="12.75">
      <c r="B11" s="1" t="s">
        <v>53</v>
      </c>
      <c r="C11" s="1" t="s">
        <v>60</v>
      </c>
      <c r="D11" s="97">
        <f>D8/(1+CPI!$C$8)</f>
        <v>18223796.465879</v>
      </c>
      <c r="E11" s="97">
        <f>E8/(1+CPI!$C$8)</f>
        <v>19145757.735325135</v>
      </c>
      <c r="F11" s="97">
        <f>F8/(1+CPI!$C$8)</f>
        <v>230560450.02958286</v>
      </c>
      <c r="G11" s="97">
        <f>G8/(1+CPI!$C$8)</f>
        <v>7027447.013291657</v>
      </c>
      <c r="H11" s="97">
        <f>H8/(1+CPI!$C$8)</f>
        <v>27744397.285034724</v>
      </c>
      <c r="I11" s="97">
        <f>I8/(1+CPI!$C$8)</f>
        <v>22261587.820817918</v>
      </c>
      <c r="J11" s="97">
        <f>J8/(1+CPI!$C$8)</f>
        <v>266962837.69591144</v>
      </c>
      <c r="K11" s="97">
        <f>K8/(1+CPI!$C$8)</f>
        <v>25984839.613917395</v>
      </c>
      <c r="L11" s="97">
        <f>L8/(1+CPI!$C$8)</f>
        <v>3696858.5563612813</v>
      </c>
      <c r="M11" s="97">
        <f>M8/(1+CPI!$C$8)</f>
        <v>22581865.22689157</v>
      </c>
      <c r="N11" s="97">
        <f>N8/(1+CPI!$C$8)</f>
        <v>19658752.563467316</v>
      </c>
      <c r="O11" s="97">
        <f>O8/(1+CPI!$C$8)</f>
        <v>185815789.45116273</v>
      </c>
      <c r="P11" s="97">
        <f>P8/(1+CPI!$C$8)</f>
        <v>0</v>
      </c>
      <c r="Q11" s="97">
        <f>SUM(D11:O11)</f>
        <v>849664379.4576428</v>
      </c>
    </row>
    <row r="12" spans="4:17" ht="12.75"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 ht="12.75">
      <c r="B13" s="69" t="s">
        <v>55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 ht="12.75">
      <c r="B14" s="1" t="s">
        <v>56</v>
      </c>
      <c r="D14" s="97">
        <f>SO!C15</f>
        <v>16615370.534638714</v>
      </c>
      <c r="E14" s="97">
        <f>SO!D15</f>
        <v>21331049.379426233</v>
      </c>
      <c r="F14" s="97">
        <f>SO!E15</f>
        <v>221913606.9340115</v>
      </c>
      <c r="G14" s="97">
        <f>SO!F15</f>
        <v>7197782.99305103</v>
      </c>
      <c r="H14" s="97">
        <f>SO!G15</f>
        <v>18648532.196117952</v>
      </c>
      <c r="I14" s="97">
        <f>SO!H15</f>
        <v>23826725.834101934</v>
      </c>
      <c r="J14" s="97">
        <f>SO!I15</f>
        <v>254731067.4304765</v>
      </c>
      <c r="K14" s="97">
        <f>SO!J15</f>
        <v>25193385.212947343</v>
      </c>
      <c r="L14" s="97">
        <f>SO!K15</f>
        <v>3926892.4598854785</v>
      </c>
      <c r="M14" s="97">
        <f>SO!L15</f>
        <v>12104182.727295626</v>
      </c>
      <c r="N14" s="97">
        <f>SO!M15</f>
        <v>18505945.31623988</v>
      </c>
      <c r="O14" s="97">
        <f>SO!N15</f>
        <v>228616837.2781662</v>
      </c>
      <c r="P14" s="97">
        <f>SO!O15</f>
        <v>0</v>
      </c>
      <c r="Q14" s="97">
        <f>SUM(D14:O14)</f>
        <v>852611378.2963583</v>
      </c>
    </row>
    <row r="15" spans="2:17" ht="12.75">
      <c r="B15" s="1" t="s">
        <v>57</v>
      </c>
      <c r="D15" s="97">
        <f>SO!C28</f>
        <v>16885064.47821373</v>
      </c>
      <c r="E15" s="97">
        <f>SO!D28</f>
        <v>21398173.374129187</v>
      </c>
      <c r="F15" s="97">
        <f>SO!E28</f>
        <v>215573867.14206463</v>
      </c>
      <c r="G15" s="97">
        <f>SO!F28</f>
        <v>7489569.565463574</v>
      </c>
      <c r="H15" s="97">
        <f>SO!G28</f>
        <v>18024697.534329034</v>
      </c>
      <c r="I15" s="97">
        <f>SO!H28</f>
        <v>22955756.461298317</v>
      </c>
      <c r="J15" s="97">
        <f>SO!I28</f>
        <v>258080485.77739516</v>
      </c>
      <c r="K15" s="97">
        <f>SO!J28</f>
        <v>25733971.097826164</v>
      </c>
      <c r="L15" s="97">
        <f>SO!K28</f>
        <v>3790767.350207266</v>
      </c>
      <c r="M15" s="97">
        <f>SO!L28</f>
        <v>12168719.57841136</v>
      </c>
      <c r="N15" s="97">
        <f>SO!M28</f>
        <v>18813785.493905798</v>
      </c>
      <c r="O15" s="97">
        <f>SO!N28</f>
        <v>230880957.95367226</v>
      </c>
      <c r="P15" s="97">
        <f>SO!O16</f>
        <v>0</v>
      </c>
      <c r="Q15" s="97">
        <f>SUM(D15:O15)</f>
        <v>851795815.8069164</v>
      </c>
    </row>
    <row r="16" spans="2:17" ht="12.75">
      <c r="B16" s="1" t="s">
        <v>58</v>
      </c>
      <c r="D16" s="97">
        <f>SO!C41</f>
        <v>16619113.891364656</v>
      </c>
      <c r="E16" s="97">
        <f>SO!D41</f>
        <v>21545271.479727324</v>
      </c>
      <c r="F16" s="97">
        <f>SO!E41</f>
        <v>212886515.5616007</v>
      </c>
      <c r="G16" s="97">
        <f>SO!F41</f>
        <v>7522430.08677518</v>
      </c>
      <c r="H16" s="97">
        <f>SO!G41</f>
        <v>18545897.26737729</v>
      </c>
      <c r="I16" s="97">
        <f>SO!H41</f>
        <v>23309369.922031913</v>
      </c>
      <c r="J16" s="97">
        <f>SO!I41</f>
        <v>257504629.42752248</v>
      </c>
      <c r="K16" s="97">
        <f>SO!J41</f>
        <v>25991077.05128417</v>
      </c>
      <c r="L16" s="97">
        <f>SO!K41</f>
        <v>3840766.0339441146</v>
      </c>
      <c r="M16" s="97">
        <f>SO!L41</f>
        <v>12342094.220292034</v>
      </c>
      <c r="N16" s="97">
        <f>SO!M41</f>
        <v>17806541.776729546</v>
      </c>
      <c r="O16" s="97">
        <f>SO!N41</f>
        <v>234879626.88294464</v>
      </c>
      <c r="P16" s="97">
        <f>SO!O17</f>
        <v>0</v>
      </c>
      <c r="Q16" s="97">
        <f>SUM(D16:O16)</f>
        <v>852793333.6015942</v>
      </c>
    </row>
    <row r="17" spans="4:17" ht="12.75"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ht="12.75">
      <c r="B18" s="69" t="s">
        <v>62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ht="12.75">
      <c r="B19" s="1" t="s">
        <v>63</v>
      </c>
      <c r="D19" s="99">
        <f>((D6/D14)-(D10/D15))/(D6/D14)</f>
        <v>0.04698342567222317</v>
      </c>
      <c r="E19" s="99">
        <f aca="true" t="shared" si="0" ref="E19:O19">((E6/E14)-(E10/E15))/(E6/E14)</f>
        <v>-0.032302539851459186</v>
      </c>
      <c r="F19" s="99">
        <f t="shared" si="0"/>
        <v>0.05191194105329602</v>
      </c>
      <c r="G19" s="99">
        <f t="shared" si="0"/>
        <v>0.15378651347330108</v>
      </c>
      <c r="H19" s="99">
        <f t="shared" si="0"/>
        <v>-0.020420426287784413</v>
      </c>
      <c r="I19" s="99">
        <f t="shared" si="0"/>
        <v>-0.16347242742707974</v>
      </c>
      <c r="J19" s="99">
        <f t="shared" si="0"/>
        <v>0.02226048645131255</v>
      </c>
      <c r="K19" s="99">
        <f t="shared" si="0"/>
        <v>0.11989981810204416</v>
      </c>
      <c r="L19" s="99">
        <f t="shared" si="0"/>
        <v>-0.16966979868885282</v>
      </c>
      <c r="M19" s="99">
        <f t="shared" si="0"/>
        <v>-0.041856175066495895</v>
      </c>
      <c r="N19" s="99">
        <f t="shared" si="0"/>
        <v>0.005944610213454314</v>
      </c>
      <c r="O19" s="99">
        <f t="shared" si="0"/>
        <v>0.10787933575740837</v>
      </c>
      <c r="P19" s="99"/>
      <c r="Q19" s="99">
        <f>((Q6/Q14)-(Q10/Q15))/(Q6/Q14)</f>
        <v>0.04704826405404916</v>
      </c>
    </row>
    <row r="20" spans="2:17" ht="12.75">
      <c r="B20" s="1" t="s">
        <v>64</v>
      </c>
      <c r="D20" s="99">
        <f>((D7/D15)-(D11/D16))/(D7/D15)</f>
        <v>-0.08842465050068463</v>
      </c>
      <c r="E20" s="99">
        <f aca="true" t="shared" si="1" ref="E20:Q20">((E7/E15)-(E11/E16))/(E7/E15)</f>
        <v>-0.011180127060135617</v>
      </c>
      <c r="F20" s="99">
        <f t="shared" si="1"/>
        <v>-0.02008562145483966</v>
      </c>
      <c r="G20" s="99">
        <f t="shared" si="1"/>
        <v>-0.12984276430691957</v>
      </c>
      <c r="H20" s="99">
        <f t="shared" si="1"/>
        <v>0.11970865094961697</v>
      </c>
      <c r="I20" s="99">
        <f t="shared" si="1"/>
        <v>0.19083337043563123</v>
      </c>
      <c r="J20" s="99">
        <f t="shared" si="1"/>
        <v>-0.004042343751487563</v>
      </c>
      <c r="K20" s="99">
        <f t="shared" si="1"/>
        <v>-0.055855991878388335</v>
      </c>
      <c r="L20" s="99">
        <f t="shared" si="1"/>
        <v>-0.054960311441705094</v>
      </c>
      <c r="M20" s="99">
        <f t="shared" si="1"/>
        <v>-0.03335794770550207</v>
      </c>
      <c r="N20" s="99">
        <f t="shared" si="1"/>
        <v>-0.062458033769171944</v>
      </c>
      <c r="O20" s="99">
        <f t="shared" si="1"/>
        <v>0.084006762735653</v>
      </c>
      <c r="P20" s="99"/>
      <c r="Q20" s="99">
        <f t="shared" si="1"/>
        <v>0.01707784983907839</v>
      </c>
    </row>
    <row r="21" spans="4:17" ht="12.7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4" s="70" customFormat="1" ht="18">
      <c r="B22" s="70" t="s">
        <v>66</v>
      </c>
      <c r="C22" s="93">
        <v>0.036913342728586</v>
      </c>
      <c r="D22" s="70" t="s">
        <v>89</v>
      </c>
    </row>
    <row r="23" ht="12.75">
      <c r="D23" s="1" t="s">
        <v>90</v>
      </c>
    </row>
    <row r="24" spans="2:4" ht="12.75">
      <c r="B24" s="1" t="s">
        <v>68</v>
      </c>
      <c r="C24" s="131">
        <f>(1-C22)+(1-C22)^2</f>
        <v>1.8906225666856398</v>
      </c>
      <c r="D24" s="1" t="s">
        <v>133</v>
      </c>
    </row>
    <row r="25" spans="2:14" ht="12.75">
      <c r="B25" s="1" t="s">
        <v>67</v>
      </c>
      <c r="C25" s="131">
        <f>(1-Q19)+(1-Q19)*(1-Q20)</f>
        <v>1.8896291052415277</v>
      </c>
      <c r="D25" s="1" t="s">
        <v>134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2:4" ht="12.75">
      <c r="B26" s="1" t="s">
        <v>69</v>
      </c>
      <c r="C26" s="35">
        <f>C25-C24</f>
        <v>-0.0009934614441120537</v>
      </c>
      <c r="D26" s="1" t="s">
        <v>135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14"/>
  <sheetViews>
    <sheetView zoomScale="85" zoomScaleNormal="85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.7109375" style="1" customWidth="1"/>
    <col min="2" max="2" width="61.00390625" style="1" bestFit="1" customWidth="1"/>
    <col min="3" max="4" width="9.140625" style="1" customWidth="1"/>
    <col min="5" max="5" width="10.7109375" style="1" bestFit="1" customWidth="1"/>
    <col min="6" max="8" width="9.140625" style="1" customWidth="1"/>
    <col min="9" max="9" width="10.7109375" style="1" bestFit="1" customWidth="1"/>
    <col min="10" max="13" width="9.140625" style="1" customWidth="1"/>
    <col min="14" max="14" width="10.7109375" style="1" bestFit="1" customWidth="1"/>
    <col min="15" max="15" width="10.57421875" style="1" bestFit="1" customWidth="1"/>
    <col min="16" max="16" width="10.57421875" style="1" customWidth="1"/>
    <col min="17" max="22" width="9.140625" style="51" customWidth="1"/>
    <col min="23" max="16384" width="9.140625" style="1" customWidth="1"/>
  </cols>
  <sheetData>
    <row r="1" ht="12.75"/>
    <row r="2" spans="2:22" s="4" customFormat="1" ht="201">
      <c r="B2" s="37" t="s">
        <v>27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19" t="s">
        <v>65</v>
      </c>
      <c r="Q2" s="26" t="s">
        <v>48</v>
      </c>
      <c r="R2" s="26" t="s">
        <v>6</v>
      </c>
      <c r="S2" s="26" t="s">
        <v>0</v>
      </c>
      <c r="T2" s="26" t="s">
        <v>1</v>
      </c>
      <c r="U2" s="26" t="s">
        <v>2</v>
      </c>
      <c r="V2" s="26" t="s">
        <v>3</v>
      </c>
    </row>
    <row r="4" spans="2:23" s="44" customFormat="1" ht="12.75">
      <c r="B4" s="45" t="s">
        <v>29</v>
      </c>
      <c r="C4" s="46"/>
      <c r="D4" s="46"/>
      <c r="E4" s="46"/>
      <c r="F4" s="46"/>
      <c r="G4" s="46"/>
      <c r="H4" s="46"/>
      <c r="I4" s="46"/>
      <c r="J4" s="46"/>
      <c r="K4" s="46"/>
      <c r="L4" s="42"/>
      <c r="M4" s="46"/>
      <c r="N4" s="42"/>
      <c r="O4" s="46"/>
      <c r="P4" s="46"/>
      <c r="Q4" s="51"/>
      <c r="R4" s="51"/>
      <c r="S4" s="51"/>
      <c r="T4" s="51"/>
      <c r="U4" s="51"/>
      <c r="V4" s="51"/>
      <c r="W4" s="42"/>
    </row>
    <row r="5" spans="2:23" s="44" customFormat="1" ht="12.75">
      <c r="B5" s="45" t="s">
        <v>30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1"/>
      <c r="R5" s="51"/>
      <c r="S5" s="51"/>
      <c r="T5" s="51"/>
      <c r="U5" s="51"/>
      <c r="V5" s="51"/>
      <c r="W5" s="42"/>
    </row>
    <row r="6" spans="2:35" s="44" customFormat="1" ht="12.75">
      <c r="B6" s="54" t="s">
        <v>171</v>
      </c>
      <c r="C6" s="55">
        <f>97044336/1000</f>
        <v>97044.336</v>
      </c>
      <c r="D6" s="55">
        <f>106731371/1000</f>
        <v>106731.371</v>
      </c>
      <c r="E6" s="55">
        <f>1492391474/1000</f>
        <v>1492391.474</v>
      </c>
      <c r="F6" s="55">
        <f>31154900/1000</f>
        <v>31154.9</v>
      </c>
      <c r="G6" s="55">
        <f>234080044/1000</f>
        <v>234080.044</v>
      </c>
      <c r="H6" s="55">
        <f>191483453/1000</f>
        <v>191483.453</v>
      </c>
      <c r="I6" s="55">
        <f>1830713589/1000</f>
        <v>1830713.589</v>
      </c>
      <c r="J6" s="55">
        <f>180271972/1000</f>
        <v>180271.972</v>
      </c>
      <c r="K6" s="55">
        <f>17078619/1000</f>
        <v>17078.619</v>
      </c>
      <c r="L6" s="55">
        <f>177405829/1000</f>
        <v>177405.829</v>
      </c>
      <c r="M6" s="55">
        <f>138005622/1000</f>
        <v>138005.622</v>
      </c>
      <c r="N6" s="55">
        <f>1054368615/1000</f>
        <v>1054368.615</v>
      </c>
      <c r="O6" s="55"/>
      <c r="P6" s="100">
        <f>SUM(C6:O6)</f>
        <v>5550729.824</v>
      </c>
      <c r="Q6" s="51"/>
      <c r="R6" s="51"/>
      <c r="S6" s="51"/>
      <c r="T6" s="51"/>
      <c r="U6" s="51"/>
      <c r="V6" s="51"/>
      <c r="W6" s="38"/>
      <c r="AC6" s="38"/>
      <c r="AD6" s="38"/>
      <c r="AE6" s="38"/>
      <c r="AF6" s="38"/>
      <c r="AG6" s="38"/>
      <c r="AH6" s="38"/>
      <c r="AI6" s="38"/>
    </row>
    <row r="7" spans="2:35" s="44" customFormat="1" ht="12.75">
      <c r="B7" s="54" t="s">
        <v>165</v>
      </c>
      <c r="C7" s="100">
        <f aca="true" t="shared" si="0" ref="C7:N7">C6/C8</f>
        <v>3120.396655948553</v>
      </c>
      <c r="D7" s="100">
        <f t="shared" si="0"/>
        <v>3167.102997032641</v>
      </c>
      <c r="E7" s="100">
        <f t="shared" si="0"/>
        <v>47078.59539432177</v>
      </c>
      <c r="F7" s="100">
        <f t="shared" si="0"/>
        <v>964.5479876160992</v>
      </c>
      <c r="G7" s="100">
        <f t="shared" si="0"/>
        <v>6209.01973474801</v>
      </c>
      <c r="H7" s="100">
        <f t="shared" si="0"/>
        <v>5665.1909171597645</v>
      </c>
      <c r="I7" s="100">
        <f t="shared" si="0"/>
        <v>52606.71232758621</v>
      </c>
      <c r="J7" s="100">
        <f t="shared" si="0"/>
        <v>5381.252895522388</v>
      </c>
      <c r="K7" s="100">
        <f t="shared" si="0"/>
        <v>489.35871060171917</v>
      </c>
      <c r="L7" s="100">
        <f t="shared" si="0"/>
        <v>5441.896595092025</v>
      </c>
      <c r="M7" s="100">
        <f t="shared" si="0"/>
        <v>4964.231007194245</v>
      </c>
      <c r="N7" s="100">
        <f t="shared" si="0"/>
        <v>31102.319026548674</v>
      </c>
      <c r="O7" s="100"/>
      <c r="P7" s="100">
        <f>SUM(C7:O7)</f>
        <v>166190.6242493721</v>
      </c>
      <c r="Q7" s="51"/>
      <c r="R7" s="51"/>
      <c r="S7" s="51"/>
      <c r="T7" s="51"/>
      <c r="U7" s="51"/>
      <c r="V7" s="51"/>
      <c r="W7" s="42"/>
      <c r="AC7" s="38"/>
      <c r="AD7" s="38"/>
      <c r="AE7" s="38"/>
      <c r="AF7" s="38"/>
      <c r="AG7" s="38"/>
      <c r="AH7" s="38"/>
      <c r="AI7" s="38"/>
    </row>
    <row r="8" spans="2:35" s="44" customFormat="1" ht="12.75">
      <c r="B8" s="54" t="s">
        <v>131</v>
      </c>
      <c r="C8" s="101">
        <v>31.1</v>
      </c>
      <c r="D8" s="101">
        <v>33.7</v>
      </c>
      <c r="E8" s="101">
        <v>31.7</v>
      </c>
      <c r="F8" s="101">
        <v>32.3</v>
      </c>
      <c r="G8" s="101">
        <v>37.7</v>
      </c>
      <c r="H8" s="101">
        <v>33.8</v>
      </c>
      <c r="I8" s="101">
        <v>34.8</v>
      </c>
      <c r="J8" s="101">
        <v>33.5</v>
      </c>
      <c r="K8" s="101">
        <v>34.9</v>
      </c>
      <c r="L8" s="101">
        <v>32.6</v>
      </c>
      <c r="M8" s="101">
        <v>27.8</v>
      </c>
      <c r="N8" s="101">
        <v>33.9</v>
      </c>
      <c r="O8" s="101"/>
      <c r="P8" s="101"/>
      <c r="Q8" s="51"/>
      <c r="R8" s="51"/>
      <c r="S8" s="51"/>
      <c r="T8" s="51"/>
      <c r="U8" s="51"/>
      <c r="V8" s="51"/>
      <c r="W8" s="42"/>
      <c r="AC8" s="38"/>
      <c r="AD8" s="38"/>
      <c r="AE8" s="38"/>
      <c r="AF8" s="38"/>
      <c r="AG8" s="38"/>
      <c r="AH8" s="38"/>
      <c r="AI8" s="38"/>
    </row>
    <row r="9" spans="17:35" s="44" customFormat="1" ht="12.75">
      <c r="Q9" s="52"/>
      <c r="R9" s="52"/>
      <c r="S9" s="52"/>
      <c r="T9" s="52"/>
      <c r="U9" s="52"/>
      <c r="V9" s="52"/>
      <c r="W9" s="42"/>
      <c r="AC9" s="38"/>
      <c r="AD9" s="38"/>
      <c r="AE9" s="38"/>
      <c r="AF9" s="38"/>
      <c r="AG9" s="38"/>
      <c r="AH9" s="38"/>
      <c r="AI9" s="38"/>
    </row>
    <row r="10" spans="2:35" s="44" customFormat="1" ht="12.75">
      <c r="B10" s="54" t="s">
        <v>159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56">
        <v>0.068</v>
      </c>
      <c r="Q10" s="52"/>
      <c r="R10" s="52"/>
      <c r="S10" s="52"/>
      <c r="T10" s="52"/>
      <c r="U10" s="52"/>
      <c r="V10" s="52"/>
      <c r="W10" s="42"/>
      <c r="AC10" s="38"/>
      <c r="AD10" s="38"/>
      <c r="AE10" s="38"/>
      <c r="AF10" s="38"/>
      <c r="AG10" s="38"/>
      <c r="AH10" s="38"/>
      <c r="AI10" s="38"/>
    </row>
    <row r="11" spans="2:35" s="44" customFormat="1" ht="12.75">
      <c r="B11" s="54" t="s">
        <v>160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56">
        <v>0.055</v>
      </c>
      <c r="Q11" s="52"/>
      <c r="R11" s="52"/>
      <c r="S11" s="52"/>
      <c r="T11" s="52"/>
      <c r="U11" s="52"/>
      <c r="V11" s="52"/>
      <c r="W11" s="42"/>
      <c r="AC11" s="38"/>
      <c r="AD11" s="38"/>
      <c r="AE11" s="38"/>
      <c r="AF11" s="38"/>
      <c r="AG11" s="38"/>
      <c r="AH11" s="38"/>
      <c r="AI11" s="38"/>
    </row>
    <row r="12" spans="3:35" s="44" customFormat="1" ht="12.7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2"/>
      <c r="R12" s="52"/>
      <c r="S12" s="52"/>
      <c r="T12" s="52"/>
      <c r="U12" s="52"/>
      <c r="V12" s="52"/>
      <c r="W12" s="42"/>
      <c r="AC12" s="38"/>
      <c r="AD12" s="38"/>
      <c r="AE12" s="38"/>
      <c r="AF12" s="38"/>
      <c r="AG12" s="38"/>
      <c r="AH12" s="38"/>
      <c r="AI12" s="38"/>
    </row>
    <row r="13" spans="2:22" s="21" customFormat="1" ht="12.75">
      <c r="B13" s="20">
        <v>2004</v>
      </c>
      <c r="Q13" s="27"/>
      <c r="R13" s="27"/>
      <c r="S13" s="27"/>
      <c r="T13" s="27"/>
      <c r="U13" s="27"/>
      <c r="V13" s="27"/>
    </row>
    <row r="14" spans="2:22" s="2" customFormat="1" ht="12.75">
      <c r="B14" s="43"/>
      <c r="Q14" s="53"/>
      <c r="R14" s="53"/>
      <c r="S14" s="53"/>
      <c r="T14" s="53"/>
      <c r="U14" s="53"/>
      <c r="V14" s="53"/>
    </row>
    <row r="15" spans="2:35" s="44" customFormat="1" ht="12.75">
      <c r="B15" s="137" t="s">
        <v>175</v>
      </c>
      <c r="C15" s="155">
        <v>7757</v>
      </c>
      <c r="D15" s="155">
        <v>7462.052758456766</v>
      </c>
      <c r="E15" s="155">
        <v>98975</v>
      </c>
      <c r="F15" s="155">
        <v>3896.21278</v>
      </c>
      <c r="G15" s="155">
        <v>7299.430854706381</v>
      </c>
      <c r="H15" s="155">
        <v>5503.560399062966</v>
      </c>
      <c r="I15" s="155">
        <v>91101.32554126452</v>
      </c>
      <c r="J15" s="155">
        <v>9486.15689076121</v>
      </c>
      <c r="K15" s="155">
        <v>1368</v>
      </c>
      <c r="L15" s="155">
        <v>2913.6</v>
      </c>
      <c r="M15" s="155">
        <v>5017.921</v>
      </c>
      <c r="N15" s="155">
        <v>115636.04664915893</v>
      </c>
      <c r="O15" s="155"/>
      <c r="P15" s="100">
        <f>SUM(C15:O15)</f>
        <v>356416.3068734108</v>
      </c>
      <c r="Q15" s="52"/>
      <c r="R15" s="52"/>
      <c r="S15" s="52"/>
      <c r="T15" s="52"/>
      <c r="U15" s="52"/>
      <c r="V15" s="52"/>
      <c r="W15" s="40"/>
      <c r="AC15" s="40"/>
      <c r="AD15" s="40"/>
      <c r="AE15" s="40"/>
      <c r="AF15" s="40"/>
      <c r="AG15" s="40"/>
      <c r="AH15" s="40"/>
      <c r="AI15" s="40"/>
    </row>
    <row r="16" spans="2:35" s="44" customFormat="1" ht="12.75">
      <c r="B16" s="4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52"/>
      <c r="R16" s="52"/>
      <c r="S16" s="52"/>
      <c r="T16" s="52"/>
      <c r="U16" s="52"/>
      <c r="V16" s="52"/>
      <c r="W16" s="42"/>
      <c r="AC16" s="38"/>
      <c r="AD16" s="38"/>
      <c r="AE16" s="38"/>
      <c r="AF16" s="38"/>
      <c r="AG16" s="38"/>
      <c r="AH16" s="38"/>
      <c r="AI16" s="38"/>
    </row>
    <row r="17" spans="2:35" s="44" customFormat="1" ht="12.75">
      <c r="B17" s="157" t="s">
        <v>177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52"/>
      <c r="R17" s="52"/>
      <c r="S17" s="52"/>
      <c r="T17" s="52"/>
      <c r="U17" s="52"/>
      <c r="V17" s="52"/>
      <c r="W17" s="42"/>
      <c r="AC17" s="38"/>
      <c r="AD17" s="38"/>
      <c r="AE17" s="38"/>
      <c r="AF17" s="38"/>
      <c r="AG17" s="38"/>
      <c r="AH17" s="38"/>
      <c r="AI17" s="38"/>
    </row>
    <row r="18" spans="2:22" ht="12.75">
      <c r="B18" s="1" t="s">
        <v>173</v>
      </c>
      <c r="C18" s="59">
        <v>1368.21025</v>
      </c>
      <c r="D18" s="59">
        <v>3590</v>
      </c>
      <c r="E18" s="59">
        <v>18403</v>
      </c>
      <c r="F18" s="59">
        <v>537.3269317929294</v>
      </c>
      <c r="G18" s="59">
        <v>14140.40951230808</v>
      </c>
      <c r="H18" s="59">
        <v>1313.4617456474748</v>
      </c>
      <c r="I18" s="59">
        <v>18439.582978282833</v>
      </c>
      <c r="J18" s="59">
        <v>612.1961648989899</v>
      </c>
      <c r="K18" s="59">
        <v>344.24899999999997</v>
      </c>
      <c r="L18" s="59">
        <v>2448.9377030303026</v>
      </c>
      <c r="M18" s="59">
        <v>1256.3128237373737</v>
      </c>
      <c r="N18" s="60">
        <f>SUM(Q18:V18)</f>
        <v>24039.40150246869</v>
      </c>
      <c r="O18" s="59">
        <v>0</v>
      </c>
      <c r="P18" s="100">
        <f>SUM(C18:O18)</f>
        <v>86493.08861216667</v>
      </c>
      <c r="Q18" s="88">
        <v>0</v>
      </c>
      <c r="R18" s="88">
        <v>247</v>
      </c>
      <c r="S18" s="88">
        <v>4221.22</v>
      </c>
      <c r="T18" s="88">
        <v>4080.6415024686867</v>
      </c>
      <c r="U18" s="88">
        <v>3424.54</v>
      </c>
      <c r="V18" s="88">
        <v>12066</v>
      </c>
    </row>
    <row r="19" spans="2:35" s="44" customFormat="1" ht="12.75">
      <c r="B19" s="44" t="s">
        <v>70</v>
      </c>
      <c r="C19" s="64">
        <f>C$7</f>
        <v>3120.396655948553</v>
      </c>
      <c r="D19" s="64">
        <f aca="true" t="shared" si="1" ref="D19:N19">D$7</f>
        <v>3167.102997032641</v>
      </c>
      <c r="E19" s="64">
        <f t="shared" si="1"/>
        <v>47078.59539432177</v>
      </c>
      <c r="F19" s="64">
        <f t="shared" si="1"/>
        <v>964.5479876160992</v>
      </c>
      <c r="G19" s="64">
        <f t="shared" si="1"/>
        <v>6209.01973474801</v>
      </c>
      <c r="H19" s="64">
        <f t="shared" si="1"/>
        <v>5665.1909171597645</v>
      </c>
      <c r="I19" s="64">
        <f t="shared" si="1"/>
        <v>52606.71232758621</v>
      </c>
      <c r="J19" s="64">
        <f t="shared" si="1"/>
        <v>5381.252895522388</v>
      </c>
      <c r="K19" s="64">
        <f t="shared" si="1"/>
        <v>489.35871060171917</v>
      </c>
      <c r="L19" s="64">
        <f t="shared" si="1"/>
        <v>5441.896595092025</v>
      </c>
      <c r="M19" s="64">
        <f t="shared" si="1"/>
        <v>4964.231007194245</v>
      </c>
      <c r="N19" s="64">
        <f t="shared" si="1"/>
        <v>31102.319026548674</v>
      </c>
      <c r="O19" s="64"/>
      <c r="P19" s="100">
        <f>SUM(C19:O19)</f>
        <v>166190.6242493721</v>
      </c>
      <c r="Q19" s="52"/>
      <c r="R19" s="52"/>
      <c r="S19" s="52"/>
      <c r="T19" s="52"/>
      <c r="U19" s="52"/>
      <c r="V19" s="52"/>
      <c r="W19" s="42"/>
      <c r="AC19" s="38"/>
      <c r="AD19" s="38"/>
      <c r="AE19" s="38"/>
      <c r="AF19" s="38"/>
      <c r="AG19" s="38"/>
      <c r="AH19" s="38"/>
      <c r="AI19" s="38"/>
    </row>
    <row r="20" spans="2:35" s="44" customFormat="1" ht="12.75">
      <c r="B20" s="44" t="s">
        <v>172</v>
      </c>
      <c r="C20" s="63">
        <v>16.38623</v>
      </c>
      <c r="D20" s="63">
        <v>46</v>
      </c>
      <c r="E20" s="63">
        <v>215</v>
      </c>
      <c r="F20" s="63">
        <v>6.229388207070707</v>
      </c>
      <c r="G20" s="63">
        <v>754.3584876919191</v>
      </c>
      <c r="H20" s="63">
        <v>14.374504352525253</v>
      </c>
      <c r="I20" s="63">
        <v>212.37902171717175</v>
      </c>
      <c r="J20" s="63">
        <v>8.2389951010101</v>
      </c>
      <c r="K20" s="63">
        <v>20.959000000000003</v>
      </c>
      <c r="L20" s="63">
        <v>131.25629696969696</v>
      </c>
      <c r="M20" s="63">
        <v>19.972176262626263</v>
      </c>
      <c r="N20" s="60">
        <f>SUM(Q20:V20)</f>
        <v>961.3271235313132</v>
      </c>
      <c r="O20" s="63">
        <v>0</v>
      </c>
      <c r="P20" s="100">
        <f>SUM(C20:O20)</f>
        <v>2406.4812238333334</v>
      </c>
      <c r="Q20" s="58">
        <v>0</v>
      </c>
      <c r="R20" s="58">
        <v>15</v>
      </c>
      <c r="S20" s="58">
        <v>274.99</v>
      </c>
      <c r="T20" s="58">
        <v>163.98712353131313</v>
      </c>
      <c r="U20" s="58">
        <v>165.35</v>
      </c>
      <c r="V20" s="58">
        <v>342</v>
      </c>
      <c r="W20" s="42"/>
      <c r="AC20" s="38"/>
      <c r="AD20" s="38"/>
      <c r="AE20" s="38"/>
      <c r="AF20" s="38"/>
      <c r="AG20" s="38"/>
      <c r="AH20" s="38"/>
      <c r="AI20" s="38"/>
    </row>
    <row r="21" spans="2:35" s="45" customFormat="1" ht="12.75">
      <c r="B21" s="43" t="s">
        <v>35</v>
      </c>
      <c r="C21" s="61">
        <f aca="true" t="shared" si="2" ref="C21:P21">SUM(C19,C20)</f>
        <v>3136.782885948553</v>
      </c>
      <c r="D21" s="61">
        <f t="shared" si="2"/>
        <v>3213.102997032641</v>
      </c>
      <c r="E21" s="61">
        <f t="shared" si="2"/>
        <v>47293.59539432177</v>
      </c>
      <c r="F21" s="61">
        <f t="shared" si="2"/>
        <v>970.7773758231699</v>
      </c>
      <c r="G21" s="61">
        <f t="shared" si="2"/>
        <v>6963.378222439929</v>
      </c>
      <c r="H21" s="61">
        <f t="shared" si="2"/>
        <v>5679.5654215122895</v>
      </c>
      <c r="I21" s="61">
        <f t="shared" si="2"/>
        <v>52819.09134930338</v>
      </c>
      <c r="J21" s="61">
        <f t="shared" si="2"/>
        <v>5389.491890623398</v>
      </c>
      <c r="K21" s="61">
        <f t="shared" si="2"/>
        <v>510.31771060171917</v>
      </c>
      <c r="L21" s="61">
        <f t="shared" si="2"/>
        <v>5573.152892061722</v>
      </c>
      <c r="M21" s="61">
        <f t="shared" si="2"/>
        <v>4984.203183456871</v>
      </c>
      <c r="N21" s="61">
        <f t="shared" si="2"/>
        <v>32063.646150079985</v>
      </c>
      <c r="O21" s="61">
        <f t="shared" si="2"/>
        <v>0</v>
      </c>
      <c r="P21" s="61">
        <f t="shared" si="2"/>
        <v>168597.10547320545</v>
      </c>
      <c r="Q21" s="52"/>
      <c r="R21" s="52"/>
      <c r="S21" s="52"/>
      <c r="T21" s="52"/>
      <c r="U21" s="52"/>
      <c r="V21" s="52"/>
      <c r="W21" s="39"/>
      <c r="AC21" s="39"/>
      <c r="AD21" s="39"/>
      <c r="AE21" s="39"/>
      <c r="AF21" s="39"/>
      <c r="AG21" s="39"/>
      <c r="AH21" s="39"/>
      <c r="AI21" s="39"/>
    </row>
    <row r="22" spans="2:16" ht="12.75">
      <c r="B22" s="2" t="s">
        <v>71</v>
      </c>
      <c r="C22" s="61">
        <f>C6-C$7</f>
        <v>93923.93934405144</v>
      </c>
      <c r="D22" s="61">
        <f aca="true" t="shared" si="3" ref="D22:O22">D6-D$7</f>
        <v>103564.26800296736</v>
      </c>
      <c r="E22" s="61">
        <f t="shared" si="3"/>
        <v>1445312.8786056782</v>
      </c>
      <c r="F22" s="61">
        <f t="shared" si="3"/>
        <v>30190.3520123839</v>
      </c>
      <c r="G22" s="61">
        <f t="shared" si="3"/>
        <v>227871.024265252</v>
      </c>
      <c r="H22" s="61">
        <f t="shared" si="3"/>
        <v>185818.26208284026</v>
      </c>
      <c r="I22" s="61">
        <f t="shared" si="3"/>
        <v>1778106.8766724137</v>
      </c>
      <c r="J22" s="61">
        <f t="shared" si="3"/>
        <v>174890.7191044776</v>
      </c>
      <c r="K22" s="61">
        <f t="shared" si="3"/>
        <v>16589.26028939828</v>
      </c>
      <c r="L22" s="61">
        <f t="shared" si="3"/>
        <v>171963.93240490797</v>
      </c>
      <c r="M22" s="61">
        <f t="shared" si="3"/>
        <v>133041.39099280577</v>
      </c>
      <c r="N22" s="61">
        <f t="shared" si="3"/>
        <v>1023266.2959734513</v>
      </c>
      <c r="O22" s="61">
        <f t="shared" si="3"/>
        <v>0</v>
      </c>
      <c r="P22" s="100">
        <f>SUM(C22:O22)</f>
        <v>5384539.199750628</v>
      </c>
    </row>
    <row r="23" spans="2:16" ht="12.75">
      <c r="B23" s="2" t="s">
        <v>174</v>
      </c>
      <c r="C23" s="61">
        <f aca="true" t="shared" si="4" ref="C23:O23">C18</f>
        <v>1368.21025</v>
      </c>
      <c r="D23" s="61">
        <f t="shared" si="4"/>
        <v>3590</v>
      </c>
      <c r="E23" s="61">
        <f t="shared" si="4"/>
        <v>18403</v>
      </c>
      <c r="F23" s="61">
        <f t="shared" si="4"/>
        <v>537.3269317929294</v>
      </c>
      <c r="G23" s="61">
        <f t="shared" si="4"/>
        <v>14140.40951230808</v>
      </c>
      <c r="H23" s="61">
        <f t="shared" si="4"/>
        <v>1313.4617456474748</v>
      </c>
      <c r="I23" s="61">
        <f t="shared" si="4"/>
        <v>18439.582978282833</v>
      </c>
      <c r="J23" s="61">
        <f t="shared" si="4"/>
        <v>612.1961648989899</v>
      </c>
      <c r="K23" s="61">
        <f t="shared" si="4"/>
        <v>344.24899999999997</v>
      </c>
      <c r="L23" s="61">
        <f t="shared" si="4"/>
        <v>2448.9377030303026</v>
      </c>
      <c r="M23" s="61">
        <f t="shared" si="4"/>
        <v>1256.3128237373737</v>
      </c>
      <c r="N23" s="61">
        <f t="shared" si="4"/>
        <v>24039.40150246869</v>
      </c>
      <c r="O23" s="61">
        <f t="shared" si="4"/>
        <v>0</v>
      </c>
      <c r="P23" s="100">
        <f>SUM(C23:O23)</f>
        <v>86493.08861216667</v>
      </c>
    </row>
    <row r="24" spans="2:35" s="45" customFormat="1" ht="12.75">
      <c r="B24" s="65" t="s">
        <v>36</v>
      </c>
      <c r="C24" s="61">
        <f aca="true" t="shared" si="5" ref="C24:O24">SUM(C22,C23)</f>
        <v>95292.14959405144</v>
      </c>
      <c r="D24" s="61">
        <f t="shared" si="5"/>
        <v>107154.26800296736</v>
      </c>
      <c r="E24" s="61">
        <f t="shared" si="5"/>
        <v>1463715.8786056782</v>
      </c>
      <c r="F24" s="61">
        <f t="shared" si="5"/>
        <v>30727.67894417683</v>
      </c>
      <c r="G24" s="61">
        <f t="shared" si="5"/>
        <v>242011.43377756007</v>
      </c>
      <c r="H24" s="61">
        <f t="shared" si="5"/>
        <v>187131.72382848774</v>
      </c>
      <c r="I24" s="61">
        <f t="shared" si="5"/>
        <v>1796546.4596506965</v>
      </c>
      <c r="J24" s="61">
        <f t="shared" si="5"/>
        <v>175502.9152693766</v>
      </c>
      <c r="K24" s="61">
        <f t="shared" si="5"/>
        <v>16933.50928939828</v>
      </c>
      <c r="L24" s="61">
        <f t="shared" si="5"/>
        <v>174412.87010793827</v>
      </c>
      <c r="M24" s="61">
        <f t="shared" si="5"/>
        <v>134297.70381654313</v>
      </c>
      <c r="N24" s="61">
        <f t="shared" si="5"/>
        <v>1047305.6974759201</v>
      </c>
      <c r="O24" s="61">
        <f t="shared" si="5"/>
        <v>0</v>
      </c>
      <c r="P24" s="100">
        <f>SUM(C24:O24)</f>
        <v>5471032.288362795</v>
      </c>
      <c r="Q24" s="52"/>
      <c r="R24" s="52"/>
      <c r="S24" s="52"/>
      <c r="T24" s="52"/>
      <c r="U24" s="52"/>
      <c r="V24" s="52"/>
      <c r="W24" s="39"/>
      <c r="AC24" s="39"/>
      <c r="AD24" s="39"/>
      <c r="AE24" s="39"/>
      <c r="AF24" s="39"/>
      <c r="AG24" s="39"/>
      <c r="AH24" s="39"/>
      <c r="AI24" s="39"/>
    </row>
    <row r="25" spans="2:35" s="45" customFormat="1" ht="12.75">
      <c r="B25" s="137" t="s">
        <v>138</v>
      </c>
      <c r="C25" s="61">
        <f>$P$10*C24</f>
        <v>6479.866172395498</v>
      </c>
      <c r="D25" s="61">
        <f aca="true" t="shared" si="6" ref="D25:O25">$P$10*D24</f>
        <v>7286.4902242017815</v>
      </c>
      <c r="E25" s="61">
        <f t="shared" si="6"/>
        <v>99532.67974518612</v>
      </c>
      <c r="F25" s="61">
        <f t="shared" si="6"/>
        <v>2089.4821682040247</v>
      </c>
      <c r="G25" s="61">
        <f t="shared" si="6"/>
        <v>16456.777496874085</v>
      </c>
      <c r="H25" s="61">
        <f t="shared" si="6"/>
        <v>12724.957220337166</v>
      </c>
      <c r="I25" s="61">
        <f t="shared" si="6"/>
        <v>122165.15925624737</v>
      </c>
      <c r="J25" s="61">
        <f t="shared" si="6"/>
        <v>11934.19823831761</v>
      </c>
      <c r="K25" s="61">
        <f t="shared" si="6"/>
        <v>1151.478631679083</v>
      </c>
      <c r="L25" s="61">
        <f t="shared" si="6"/>
        <v>11860.075167339803</v>
      </c>
      <c r="M25" s="61">
        <f t="shared" si="6"/>
        <v>9132.243859524933</v>
      </c>
      <c r="N25" s="61">
        <f t="shared" si="6"/>
        <v>71216.78742836257</v>
      </c>
      <c r="O25" s="61">
        <f t="shared" si="6"/>
        <v>0</v>
      </c>
      <c r="P25" s="100">
        <f>SUM(C25:O25)</f>
        <v>372030.1956086701</v>
      </c>
      <c r="Q25" s="52"/>
      <c r="R25" s="52"/>
      <c r="S25" s="52"/>
      <c r="T25" s="52"/>
      <c r="U25" s="52"/>
      <c r="V25" s="52"/>
      <c r="W25" s="39"/>
      <c r="AC25" s="39"/>
      <c r="AD25" s="39"/>
      <c r="AE25" s="39"/>
      <c r="AF25" s="39"/>
      <c r="AG25" s="39"/>
      <c r="AH25" s="39"/>
      <c r="AI25" s="39"/>
    </row>
    <row r="26" spans="3:35" s="45" customFormat="1" ht="12.7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52"/>
      <c r="R26" s="52"/>
      <c r="S26" s="52"/>
      <c r="T26" s="52"/>
      <c r="U26" s="52"/>
      <c r="V26" s="52"/>
      <c r="W26" s="39"/>
      <c r="AC26" s="39"/>
      <c r="AD26" s="39"/>
      <c r="AE26" s="39"/>
      <c r="AF26" s="39"/>
      <c r="AG26" s="39"/>
      <c r="AH26" s="39"/>
      <c r="AI26" s="39"/>
    </row>
    <row r="27" spans="1:35" s="44" customFormat="1" ht="12.75">
      <c r="A27" s="50"/>
      <c r="B27" s="137" t="s">
        <v>38</v>
      </c>
      <c r="C27" s="66">
        <f aca="true" t="shared" si="7" ref="C27:N27">C21+C25</f>
        <v>9616.649058344052</v>
      </c>
      <c r="D27" s="66">
        <f t="shared" si="7"/>
        <v>10499.593221234423</v>
      </c>
      <c r="E27" s="66">
        <f t="shared" si="7"/>
        <v>146826.2751395079</v>
      </c>
      <c r="F27" s="66">
        <f t="shared" si="7"/>
        <v>3060.2595440271944</v>
      </c>
      <c r="G27" s="66">
        <f t="shared" si="7"/>
        <v>23420.155719314014</v>
      </c>
      <c r="H27" s="66">
        <f t="shared" si="7"/>
        <v>18404.522641849457</v>
      </c>
      <c r="I27" s="66">
        <f t="shared" si="7"/>
        <v>174984.25060555074</v>
      </c>
      <c r="J27" s="66">
        <f t="shared" si="7"/>
        <v>17323.69012894101</v>
      </c>
      <c r="K27" s="66">
        <f t="shared" si="7"/>
        <v>1661.7963422808023</v>
      </c>
      <c r="L27" s="66">
        <f t="shared" si="7"/>
        <v>17433.228059401525</v>
      </c>
      <c r="M27" s="66">
        <f t="shared" si="7"/>
        <v>14116.447042981803</v>
      </c>
      <c r="N27" s="66">
        <f t="shared" si="7"/>
        <v>103280.43357844255</v>
      </c>
      <c r="O27" s="66"/>
      <c r="P27" s="100">
        <f>SUM(C27:O27)</f>
        <v>540627.3010818755</v>
      </c>
      <c r="Q27" s="52"/>
      <c r="R27" s="52"/>
      <c r="S27" s="52"/>
      <c r="T27" s="52"/>
      <c r="U27" s="52"/>
      <c r="V27" s="52"/>
      <c r="W27" s="41"/>
      <c r="AC27" s="41"/>
      <c r="AD27" s="41"/>
      <c r="AE27" s="41"/>
      <c r="AF27" s="41"/>
      <c r="AG27" s="41"/>
      <c r="AH27" s="41"/>
      <c r="AI27" s="41"/>
    </row>
    <row r="28" spans="3:35" s="44" customFormat="1" ht="12.7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52"/>
      <c r="R28" s="52"/>
      <c r="S28" s="52"/>
      <c r="T28" s="52"/>
      <c r="U28" s="52"/>
      <c r="V28" s="52"/>
      <c r="W28" s="41"/>
      <c r="AC28" s="41"/>
      <c r="AD28" s="41"/>
      <c r="AE28" s="41"/>
      <c r="AF28" s="41"/>
      <c r="AG28" s="41"/>
      <c r="AH28" s="41"/>
      <c r="AI28" s="41"/>
    </row>
    <row r="29" spans="2:35" s="44" customFormat="1" ht="12.75">
      <c r="B29" s="45" t="s">
        <v>37</v>
      </c>
      <c r="C29" s="66">
        <f aca="true" t="shared" si="8" ref="C29:N29">C15+C27</f>
        <v>17373.649058344054</v>
      </c>
      <c r="D29" s="66">
        <f t="shared" si="8"/>
        <v>17961.645979691188</v>
      </c>
      <c r="E29" s="66">
        <f t="shared" si="8"/>
        <v>245801.2751395079</v>
      </c>
      <c r="F29" s="66">
        <f t="shared" si="8"/>
        <v>6956.472324027194</v>
      </c>
      <c r="G29" s="66">
        <f t="shared" si="8"/>
        <v>30719.586574020395</v>
      </c>
      <c r="H29" s="66">
        <f t="shared" si="8"/>
        <v>23908.083040912425</v>
      </c>
      <c r="I29" s="66">
        <f t="shared" si="8"/>
        <v>266085.57614681526</v>
      </c>
      <c r="J29" s="66">
        <f t="shared" si="8"/>
        <v>26809.847019702218</v>
      </c>
      <c r="K29" s="66">
        <f t="shared" si="8"/>
        <v>3029.7963422808025</v>
      </c>
      <c r="L29" s="66">
        <f t="shared" si="8"/>
        <v>20346.828059401523</v>
      </c>
      <c r="M29" s="66">
        <f t="shared" si="8"/>
        <v>19134.368042981805</v>
      </c>
      <c r="N29" s="66">
        <f t="shared" si="8"/>
        <v>218916.48022760148</v>
      </c>
      <c r="O29" s="66"/>
      <c r="P29" s="100">
        <f>SUM(C29:O29)</f>
        <v>897043.6079552862</v>
      </c>
      <c r="Q29" s="52"/>
      <c r="R29" s="52"/>
      <c r="S29" s="52"/>
      <c r="T29" s="52"/>
      <c r="U29" s="52"/>
      <c r="V29" s="52"/>
      <c r="W29" s="41"/>
      <c r="AC29" s="41"/>
      <c r="AD29" s="41"/>
      <c r="AE29" s="41"/>
      <c r="AF29" s="41"/>
      <c r="AG29" s="41"/>
      <c r="AH29" s="41"/>
      <c r="AI29" s="41"/>
    </row>
    <row r="30" spans="3:35" s="44" customFormat="1" ht="12.7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52"/>
      <c r="R30" s="52"/>
      <c r="S30" s="52"/>
      <c r="T30" s="52"/>
      <c r="U30" s="52"/>
      <c r="V30" s="52"/>
      <c r="W30" s="42"/>
      <c r="AC30" s="38"/>
      <c r="AD30" s="38"/>
      <c r="AE30" s="38"/>
      <c r="AF30" s="38"/>
      <c r="AG30" s="38"/>
      <c r="AH30" s="38"/>
      <c r="AI30" s="38"/>
    </row>
    <row r="31" spans="2:22" s="21" customFormat="1" ht="12.75">
      <c r="B31" s="20">
        <v>2005</v>
      </c>
      <c r="Q31" s="27"/>
      <c r="R31" s="27"/>
      <c r="S31" s="27"/>
      <c r="T31" s="27"/>
      <c r="U31" s="27"/>
      <c r="V31" s="27"/>
    </row>
    <row r="32" spans="2:22" s="2" customFormat="1" ht="12.75">
      <c r="B32" s="43"/>
      <c r="Q32" s="53"/>
      <c r="R32" s="53"/>
      <c r="S32" s="53"/>
      <c r="T32" s="53"/>
      <c r="U32" s="53"/>
      <c r="V32" s="53"/>
    </row>
    <row r="33" spans="2:35" s="44" customFormat="1" ht="12.75">
      <c r="B33" s="137" t="s">
        <v>176</v>
      </c>
      <c r="C33" s="155">
        <v>7449</v>
      </c>
      <c r="D33" s="155">
        <v>8178.482303490797</v>
      </c>
      <c r="E33" s="155">
        <v>82115.22582159459</v>
      </c>
      <c r="F33" s="155">
        <v>3137.5</v>
      </c>
      <c r="G33" s="155">
        <v>7156.2608870019685</v>
      </c>
      <c r="H33" s="155">
        <v>8725.128276938762</v>
      </c>
      <c r="I33" s="155">
        <v>91866.4714237189</v>
      </c>
      <c r="J33" s="155">
        <v>7152.59465</v>
      </c>
      <c r="K33" s="155">
        <v>1748.089</v>
      </c>
      <c r="L33" s="155">
        <v>3944.8339999999994</v>
      </c>
      <c r="M33" s="155">
        <v>5477.575</v>
      </c>
      <c r="N33" s="155">
        <v>95089</v>
      </c>
      <c r="O33" s="155">
        <v>0</v>
      </c>
      <c r="P33" s="100">
        <f>SUM(C33:O33)</f>
        <v>322040.1613627451</v>
      </c>
      <c r="Q33" s="52"/>
      <c r="R33" s="52"/>
      <c r="S33" s="52"/>
      <c r="T33" s="52"/>
      <c r="U33" s="52"/>
      <c r="V33" s="52"/>
      <c r="W33" s="40"/>
      <c r="AC33" s="40"/>
      <c r="AD33" s="40"/>
      <c r="AE33" s="40"/>
      <c r="AF33" s="40"/>
      <c r="AG33" s="40"/>
      <c r="AH33" s="40"/>
      <c r="AI33" s="40"/>
    </row>
    <row r="34" spans="2:35" s="44" customFormat="1" ht="12.75">
      <c r="B34" s="4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52"/>
      <c r="R34" s="52"/>
      <c r="S34" s="52"/>
      <c r="T34" s="52"/>
      <c r="U34" s="52"/>
      <c r="V34" s="52"/>
      <c r="W34" s="42"/>
      <c r="AC34" s="38"/>
      <c r="AD34" s="38"/>
      <c r="AE34" s="38"/>
      <c r="AF34" s="38"/>
      <c r="AG34" s="38"/>
      <c r="AH34" s="38"/>
      <c r="AI34" s="38"/>
    </row>
    <row r="35" spans="2:35" s="44" customFormat="1" ht="12.75">
      <c r="B35" s="157" t="s">
        <v>177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52"/>
      <c r="R35" s="52"/>
      <c r="S35" s="52"/>
      <c r="T35" s="52"/>
      <c r="U35" s="52"/>
      <c r="V35" s="52"/>
      <c r="W35" s="42"/>
      <c r="AC35" s="38"/>
      <c r="AD35" s="38"/>
      <c r="AE35" s="38"/>
      <c r="AF35" s="38"/>
      <c r="AG35" s="38"/>
      <c r="AH35" s="38"/>
      <c r="AI35" s="38"/>
    </row>
    <row r="36" spans="2:35" s="44" customFormat="1" ht="12.75">
      <c r="B36" s="1" t="s">
        <v>173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0">
        <f>SUM(Q36:V36)</f>
        <v>-211</v>
      </c>
      <c r="O36" s="59">
        <v>0</v>
      </c>
      <c r="P36" s="100">
        <f aca="true" t="shared" si="9" ref="P36:P45">SUM(C36:O36)</f>
        <v>-211</v>
      </c>
      <c r="Q36" s="88">
        <v>-211</v>
      </c>
      <c r="R36" s="88">
        <v>0</v>
      </c>
      <c r="S36" s="52"/>
      <c r="T36" s="52"/>
      <c r="U36" s="52"/>
      <c r="V36" s="52"/>
      <c r="W36" s="42"/>
      <c r="AC36" s="38"/>
      <c r="AD36" s="38"/>
      <c r="AE36" s="38"/>
      <c r="AF36" s="38"/>
      <c r="AG36" s="38"/>
      <c r="AH36" s="38"/>
      <c r="AI36" s="38"/>
    </row>
    <row r="37" spans="2:35" s="44" customFormat="1" ht="12.75">
      <c r="B37" s="44" t="s">
        <v>70</v>
      </c>
      <c r="C37" s="64">
        <f aca="true" t="shared" si="10" ref="C37:O37">C$7</f>
        <v>3120.396655948553</v>
      </c>
      <c r="D37" s="64">
        <f t="shared" si="10"/>
        <v>3167.102997032641</v>
      </c>
      <c r="E37" s="64">
        <f t="shared" si="10"/>
        <v>47078.59539432177</v>
      </c>
      <c r="F37" s="64">
        <f t="shared" si="10"/>
        <v>964.5479876160992</v>
      </c>
      <c r="G37" s="64">
        <f t="shared" si="10"/>
        <v>6209.01973474801</v>
      </c>
      <c r="H37" s="64">
        <f t="shared" si="10"/>
        <v>5665.1909171597645</v>
      </c>
      <c r="I37" s="64">
        <f t="shared" si="10"/>
        <v>52606.71232758621</v>
      </c>
      <c r="J37" s="64">
        <f t="shared" si="10"/>
        <v>5381.252895522388</v>
      </c>
      <c r="K37" s="64">
        <f t="shared" si="10"/>
        <v>489.35871060171917</v>
      </c>
      <c r="L37" s="64">
        <f t="shared" si="10"/>
        <v>5441.896595092025</v>
      </c>
      <c r="M37" s="64">
        <f t="shared" si="10"/>
        <v>4964.231007194245</v>
      </c>
      <c r="N37" s="64">
        <f t="shared" si="10"/>
        <v>31102.319026548674</v>
      </c>
      <c r="O37" s="64">
        <f t="shared" si="10"/>
        <v>0</v>
      </c>
      <c r="P37" s="100">
        <f t="shared" si="9"/>
        <v>166190.6242493721</v>
      </c>
      <c r="Q37" s="52"/>
      <c r="R37" s="52"/>
      <c r="S37" s="52"/>
      <c r="T37" s="52"/>
      <c r="U37" s="52"/>
      <c r="V37" s="52"/>
      <c r="W37" s="42"/>
      <c r="AC37" s="38"/>
      <c r="AD37" s="38"/>
      <c r="AE37" s="38"/>
      <c r="AF37" s="38"/>
      <c r="AG37" s="38"/>
      <c r="AH37" s="38"/>
      <c r="AI37" s="38"/>
    </row>
    <row r="38" spans="2:35" s="44" customFormat="1" ht="12.75">
      <c r="B38" s="44" t="s">
        <v>181</v>
      </c>
      <c r="C38" s="63">
        <v>35</v>
      </c>
      <c r="D38" s="63">
        <v>91</v>
      </c>
      <c r="E38" s="63">
        <v>428</v>
      </c>
      <c r="F38" s="63">
        <v>12.458776414141415</v>
      </c>
      <c r="G38" s="63">
        <v>763.9901753838384</v>
      </c>
      <c r="H38" s="63">
        <v>28.749008705050507</v>
      </c>
      <c r="I38" s="63">
        <v>424.757</v>
      </c>
      <c r="J38" s="63">
        <v>16.4779902020202</v>
      </c>
      <c r="K38" s="63">
        <v>41.91913</v>
      </c>
      <c r="L38" s="63">
        <v>262.5125939393939</v>
      </c>
      <c r="M38" s="63">
        <v>39.944352525252526</v>
      </c>
      <c r="N38" s="60">
        <f>SUM(Q38:V38)</f>
        <v>1923</v>
      </c>
      <c r="O38" s="63">
        <v>0</v>
      </c>
      <c r="P38" s="100">
        <f t="shared" si="9"/>
        <v>4067.8090271696974</v>
      </c>
      <c r="Q38" s="58">
        <v>1893</v>
      </c>
      <c r="R38" s="58">
        <v>30</v>
      </c>
      <c r="S38" s="58"/>
      <c r="T38" s="58"/>
      <c r="U38" s="58"/>
      <c r="V38" s="58"/>
      <c r="W38" s="42"/>
      <c r="AC38" s="38"/>
      <c r="AD38" s="38"/>
      <c r="AE38" s="38"/>
      <c r="AF38" s="38"/>
      <c r="AG38" s="38"/>
      <c r="AH38" s="38"/>
      <c r="AI38" s="38"/>
    </row>
    <row r="39" spans="2:35" s="44" customFormat="1" ht="12.75">
      <c r="B39" s="43" t="s">
        <v>137</v>
      </c>
      <c r="C39" s="60">
        <f>SUM(C37:C38)</f>
        <v>3155.396655948553</v>
      </c>
      <c r="D39" s="60">
        <f aca="true" t="shared" si="11" ref="D39:O39">SUM(D37:D38)</f>
        <v>3258.102997032641</v>
      </c>
      <c r="E39" s="60">
        <f t="shared" si="11"/>
        <v>47506.59539432177</v>
      </c>
      <c r="F39" s="60">
        <f t="shared" si="11"/>
        <v>977.0067640302407</v>
      </c>
      <c r="G39" s="60">
        <f t="shared" si="11"/>
        <v>6973.009910131848</v>
      </c>
      <c r="H39" s="60">
        <f t="shared" si="11"/>
        <v>5693.9399258648145</v>
      </c>
      <c r="I39" s="60">
        <f t="shared" si="11"/>
        <v>53031.46932758621</v>
      </c>
      <c r="J39" s="60">
        <f t="shared" si="11"/>
        <v>5397.730885724408</v>
      </c>
      <c r="K39" s="60">
        <f t="shared" si="11"/>
        <v>531.2778406017192</v>
      </c>
      <c r="L39" s="60">
        <f t="shared" si="11"/>
        <v>5704.4091890314185</v>
      </c>
      <c r="M39" s="60">
        <f t="shared" si="11"/>
        <v>5004.1753597194975</v>
      </c>
      <c r="N39" s="60">
        <f t="shared" si="11"/>
        <v>33025.31902654868</v>
      </c>
      <c r="O39" s="60">
        <f t="shared" si="11"/>
        <v>0</v>
      </c>
      <c r="P39" s="100">
        <f t="shared" si="9"/>
        <v>170258.4332765418</v>
      </c>
      <c r="Q39" s="52"/>
      <c r="R39" s="52"/>
      <c r="S39" s="52"/>
      <c r="T39" s="52"/>
      <c r="U39" s="52"/>
      <c r="V39" s="52"/>
      <c r="W39" s="42"/>
      <c r="AC39" s="38"/>
      <c r="AD39" s="38"/>
      <c r="AE39" s="38"/>
      <c r="AF39" s="38"/>
      <c r="AG39" s="38"/>
      <c r="AH39" s="38"/>
      <c r="AI39" s="38"/>
    </row>
    <row r="40" spans="2:35" s="44" customFormat="1" ht="12.75">
      <c r="B40" s="2" t="s">
        <v>71</v>
      </c>
      <c r="C40" s="61">
        <f aca="true" t="shared" si="12" ref="C40:O40">C22-C37</f>
        <v>90803.54268810288</v>
      </c>
      <c r="D40" s="61">
        <f t="shared" si="12"/>
        <v>100397.16500593473</v>
      </c>
      <c r="E40" s="61">
        <f t="shared" si="12"/>
        <v>1398234.2832113565</v>
      </c>
      <c r="F40" s="61">
        <f t="shared" si="12"/>
        <v>29225.8040247678</v>
      </c>
      <c r="G40" s="61">
        <f t="shared" si="12"/>
        <v>221662.004530504</v>
      </c>
      <c r="H40" s="61">
        <f t="shared" si="12"/>
        <v>180153.0711656805</v>
      </c>
      <c r="I40" s="61">
        <f t="shared" si="12"/>
        <v>1725500.1643448274</v>
      </c>
      <c r="J40" s="61">
        <f t="shared" si="12"/>
        <v>169509.46620895521</v>
      </c>
      <c r="K40" s="61">
        <f t="shared" si="12"/>
        <v>16099.901578796562</v>
      </c>
      <c r="L40" s="61">
        <f t="shared" si="12"/>
        <v>166522.03580981595</v>
      </c>
      <c r="M40" s="61">
        <f t="shared" si="12"/>
        <v>128077.15998561152</v>
      </c>
      <c r="N40" s="61">
        <f t="shared" si="12"/>
        <v>992163.9769469027</v>
      </c>
      <c r="O40" s="61">
        <f t="shared" si="12"/>
        <v>0</v>
      </c>
      <c r="P40" s="100">
        <f t="shared" si="9"/>
        <v>5218348.575501256</v>
      </c>
      <c r="Q40" s="51"/>
      <c r="R40" s="51"/>
      <c r="S40" s="52"/>
      <c r="T40" s="52"/>
      <c r="U40" s="52"/>
      <c r="V40" s="52"/>
      <c r="W40" s="42"/>
      <c r="AC40" s="38"/>
      <c r="AD40" s="38"/>
      <c r="AE40" s="38"/>
      <c r="AF40" s="38"/>
      <c r="AG40" s="38"/>
      <c r="AH40" s="38"/>
      <c r="AI40" s="38"/>
    </row>
    <row r="41" spans="2:35" s="44" customFormat="1" ht="12.75">
      <c r="B41" s="2" t="s">
        <v>174</v>
      </c>
      <c r="C41" s="61">
        <f>C23-C38+C36</f>
        <v>1333.21025</v>
      </c>
      <c r="D41" s="61">
        <f aca="true" t="shared" si="13" ref="D41:O41">D23-D38+D36</f>
        <v>3499</v>
      </c>
      <c r="E41" s="61">
        <f t="shared" si="13"/>
        <v>17975</v>
      </c>
      <c r="F41" s="61">
        <f t="shared" si="13"/>
        <v>524.868155378788</v>
      </c>
      <c r="G41" s="61">
        <f t="shared" si="13"/>
        <v>13376.419336924242</v>
      </c>
      <c r="H41" s="61">
        <f t="shared" si="13"/>
        <v>1284.7127369424243</v>
      </c>
      <c r="I41" s="61">
        <f t="shared" si="13"/>
        <v>18014.82597828283</v>
      </c>
      <c r="J41" s="61">
        <f t="shared" si="13"/>
        <v>595.7181746969696</v>
      </c>
      <c r="K41" s="61">
        <f t="shared" si="13"/>
        <v>302.32986999999997</v>
      </c>
      <c r="L41" s="61">
        <f t="shared" si="13"/>
        <v>2186.425109090909</v>
      </c>
      <c r="M41" s="61">
        <f t="shared" si="13"/>
        <v>1216.3684712121212</v>
      </c>
      <c r="N41" s="61">
        <f t="shared" si="13"/>
        <v>21905.40150246869</v>
      </c>
      <c r="O41" s="61">
        <f t="shared" si="13"/>
        <v>0</v>
      </c>
      <c r="P41" s="100">
        <f t="shared" si="9"/>
        <v>82214.27958499698</v>
      </c>
      <c r="Q41" s="51"/>
      <c r="R41" s="51"/>
      <c r="S41" s="51"/>
      <c r="T41" s="51"/>
      <c r="U41" s="51"/>
      <c r="V41" s="51"/>
      <c r="W41" s="42"/>
      <c r="AC41" s="38"/>
      <c r="AD41" s="38"/>
      <c r="AE41" s="38"/>
      <c r="AF41" s="38"/>
      <c r="AG41" s="38"/>
      <c r="AH41" s="38"/>
      <c r="AI41" s="38"/>
    </row>
    <row r="42" spans="2:35" s="44" customFormat="1" ht="12.75">
      <c r="B42" s="3" t="s">
        <v>36</v>
      </c>
      <c r="C42" s="60">
        <f>SUM(C40:C41)</f>
        <v>92136.75293810289</v>
      </c>
      <c r="D42" s="60">
        <f aca="true" t="shared" si="14" ref="D42:O42">SUM(D40:D41)</f>
        <v>103896.16500593473</v>
      </c>
      <c r="E42" s="60">
        <f t="shared" si="14"/>
        <v>1416209.2832113565</v>
      </c>
      <c r="F42" s="60">
        <f t="shared" si="14"/>
        <v>29750.672180146586</v>
      </c>
      <c r="G42" s="60">
        <f t="shared" si="14"/>
        <v>235038.42386742824</v>
      </c>
      <c r="H42" s="60">
        <f t="shared" si="14"/>
        <v>181437.78390262293</v>
      </c>
      <c r="I42" s="60">
        <f t="shared" si="14"/>
        <v>1743514.9903231103</v>
      </c>
      <c r="J42" s="60">
        <f t="shared" si="14"/>
        <v>170105.18438365217</v>
      </c>
      <c r="K42" s="60">
        <f t="shared" si="14"/>
        <v>16402.231448796563</v>
      </c>
      <c r="L42" s="60">
        <f t="shared" si="14"/>
        <v>168708.46091890684</v>
      </c>
      <c r="M42" s="60">
        <f t="shared" si="14"/>
        <v>129293.52845682364</v>
      </c>
      <c r="N42" s="60">
        <f t="shared" si="14"/>
        <v>1014069.3784493714</v>
      </c>
      <c r="O42" s="60">
        <f t="shared" si="14"/>
        <v>0</v>
      </c>
      <c r="P42" s="100">
        <f t="shared" si="9"/>
        <v>5300562.855086253</v>
      </c>
      <c r="Q42" s="52"/>
      <c r="R42" s="52"/>
      <c r="S42" s="52"/>
      <c r="T42" s="52"/>
      <c r="U42" s="52"/>
      <c r="V42" s="52"/>
      <c r="W42" s="42"/>
      <c r="AC42" s="38"/>
      <c r="AD42" s="38"/>
      <c r="AE42" s="38"/>
      <c r="AF42" s="38"/>
      <c r="AG42" s="38"/>
      <c r="AH42" s="38"/>
      <c r="AI42" s="38"/>
    </row>
    <row r="43" spans="2:35" s="44" customFormat="1" ht="12.75">
      <c r="B43" s="137" t="s">
        <v>138</v>
      </c>
      <c r="C43" s="60">
        <f>$P$10*C42</f>
        <v>6265.299199790997</v>
      </c>
      <c r="D43" s="60">
        <f aca="true" t="shared" si="15" ref="D43:O43">$P$10*D42</f>
        <v>7064.939220403562</v>
      </c>
      <c r="E43" s="60">
        <f t="shared" si="15"/>
        <v>96302.23125837225</v>
      </c>
      <c r="F43" s="60">
        <f t="shared" si="15"/>
        <v>2023.0457082499681</v>
      </c>
      <c r="G43" s="60">
        <f t="shared" si="15"/>
        <v>15982.612822985122</v>
      </c>
      <c r="H43" s="60">
        <f t="shared" si="15"/>
        <v>12337.76930537836</v>
      </c>
      <c r="I43" s="60">
        <f t="shared" si="15"/>
        <v>118559.0193419715</v>
      </c>
      <c r="J43" s="60">
        <f t="shared" si="15"/>
        <v>11567.152538088349</v>
      </c>
      <c r="K43" s="60">
        <f t="shared" si="15"/>
        <v>1115.3517385181665</v>
      </c>
      <c r="L43" s="60">
        <f t="shared" si="15"/>
        <v>11472.175342485667</v>
      </c>
      <c r="M43" s="60">
        <f t="shared" si="15"/>
        <v>8791.959935064007</v>
      </c>
      <c r="N43" s="60">
        <f t="shared" si="15"/>
        <v>68956.71773455726</v>
      </c>
      <c r="O43" s="60">
        <f t="shared" si="15"/>
        <v>0</v>
      </c>
      <c r="P43" s="100">
        <f t="shared" si="9"/>
        <v>360438.27414586523</v>
      </c>
      <c r="Q43" s="52"/>
      <c r="R43" s="52"/>
      <c r="S43" s="52"/>
      <c r="T43" s="52"/>
      <c r="U43" s="52"/>
      <c r="V43" s="52"/>
      <c r="W43" s="42"/>
      <c r="AC43" s="38"/>
      <c r="AD43" s="38"/>
      <c r="AE43" s="38"/>
      <c r="AF43" s="38"/>
      <c r="AG43" s="38"/>
      <c r="AH43" s="38"/>
      <c r="AI43" s="38"/>
    </row>
    <row r="44" spans="2:35" s="44" customFormat="1" ht="12.75">
      <c r="B44" s="44" t="s">
        <v>139</v>
      </c>
      <c r="C44" s="60">
        <f aca="true" t="shared" si="16" ref="C44:O44">C39+C43</f>
        <v>9420.69585573955</v>
      </c>
      <c r="D44" s="60">
        <f t="shared" si="16"/>
        <v>10323.042217436203</v>
      </c>
      <c r="E44" s="60">
        <f t="shared" si="16"/>
        <v>143808.82665269403</v>
      </c>
      <c r="F44" s="60">
        <f t="shared" si="16"/>
        <v>3000.052472280209</v>
      </c>
      <c r="G44" s="60">
        <f t="shared" si="16"/>
        <v>22955.622733116972</v>
      </c>
      <c r="H44" s="60">
        <f t="shared" si="16"/>
        <v>18031.709231243174</v>
      </c>
      <c r="I44" s="60">
        <f t="shared" si="16"/>
        <v>171590.48866955773</v>
      </c>
      <c r="J44" s="60">
        <f t="shared" si="16"/>
        <v>16964.883423812757</v>
      </c>
      <c r="K44" s="60">
        <f t="shared" si="16"/>
        <v>1646.6295791198856</v>
      </c>
      <c r="L44" s="60">
        <f t="shared" si="16"/>
        <v>17176.584531517085</v>
      </c>
      <c r="M44" s="60">
        <f t="shared" si="16"/>
        <v>13796.135294783504</v>
      </c>
      <c r="N44" s="60">
        <f t="shared" si="16"/>
        <v>101982.03676110593</v>
      </c>
      <c r="O44" s="60">
        <f t="shared" si="16"/>
        <v>0</v>
      </c>
      <c r="P44" s="100">
        <f t="shared" si="9"/>
        <v>530696.707422407</v>
      </c>
      <c r="Q44" s="52"/>
      <c r="R44" s="52"/>
      <c r="S44" s="52"/>
      <c r="T44" s="52"/>
      <c r="U44" s="52"/>
      <c r="V44" s="52"/>
      <c r="W44" s="42"/>
      <c r="AC44" s="38"/>
      <c r="AD44" s="38"/>
      <c r="AE44" s="38"/>
      <c r="AF44" s="38"/>
      <c r="AG44" s="38"/>
      <c r="AH44" s="38"/>
      <c r="AI44" s="38"/>
    </row>
    <row r="45" spans="2:35" s="44" customFormat="1" ht="12.75">
      <c r="B45" s="137" t="s">
        <v>140</v>
      </c>
      <c r="C45" s="60">
        <f>C44*(1+CPI!$D$15)</f>
        <v>9524.323510152684</v>
      </c>
      <c r="D45" s="60">
        <f>D44*(1+CPI!$D$15)</f>
        <v>10436.595681828</v>
      </c>
      <c r="E45" s="60">
        <f>E44*(1+CPI!$D$15)</f>
        <v>145390.72374587363</v>
      </c>
      <c r="F45" s="60">
        <f>F44*(1+CPI!$D$15)</f>
        <v>3033.0530494752907</v>
      </c>
      <c r="G45" s="60">
        <f>G44*(1+CPI!$D$15)</f>
        <v>23208.134583181258</v>
      </c>
      <c r="H45" s="60">
        <f>H44*(1+CPI!$D$15)</f>
        <v>18230.05803278685</v>
      </c>
      <c r="I45" s="60">
        <f>I44*(1+CPI!$D$15)</f>
        <v>173477.98404492284</v>
      </c>
      <c r="J45" s="60">
        <f>J44*(1+CPI!$D$15)</f>
        <v>17151.497141474694</v>
      </c>
      <c r="K45" s="60">
        <f>K44*(1+CPI!$D$15)</f>
        <v>1664.7425044902043</v>
      </c>
      <c r="L45" s="60">
        <f>L44*(1+CPI!$D$15)</f>
        <v>17365.526961363772</v>
      </c>
      <c r="M45" s="60">
        <f>M44*(1+CPI!$D$15)</f>
        <v>13947.892783026122</v>
      </c>
      <c r="N45" s="60">
        <f>N44*(1+CPI!$D$15)</f>
        <v>103103.83916547809</v>
      </c>
      <c r="O45" s="60">
        <f>O44*(1+CPI!$D$15)</f>
        <v>0</v>
      </c>
      <c r="P45" s="100">
        <f t="shared" si="9"/>
        <v>536534.3712040534</v>
      </c>
      <c r="Q45" s="52"/>
      <c r="R45" s="52"/>
      <c r="S45" s="52"/>
      <c r="T45" s="52"/>
      <c r="U45" s="52"/>
      <c r="V45" s="52"/>
      <c r="W45" s="42"/>
      <c r="AC45" s="38"/>
      <c r="AD45" s="38"/>
      <c r="AE45" s="38"/>
      <c r="AF45" s="38"/>
      <c r="AG45" s="38"/>
      <c r="AH45" s="38"/>
      <c r="AI45" s="38"/>
    </row>
    <row r="46" spans="3:35" s="44" customFormat="1" ht="12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52"/>
      <c r="R46" s="52"/>
      <c r="S46" s="52"/>
      <c r="T46" s="52"/>
      <c r="U46" s="52"/>
      <c r="V46" s="52"/>
      <c r="W46" s="42"/>
      <c r="AC46" s="38"/>
      <c r="AD46" s="38"/>
      <c r="AE46" s="38"/>
      <c r="AF46" s="38"/>
      <c r="AG46" s="38"/>
      <c r="AH46" s="38"/>
      <c r="AI46" s="38"/>
    </row>
    <row r="47" spans="2:35" s="44" customFormat="1" ht="12.75">
      <c r="B47" s="72" t="s">
        <v>178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52"/>
      <c r="R47" s="52"/>
      <c r="S47" s="52"/>
      <c r="T47" s="52"/>
      <c r="U47" s="52"/>
      <c r="V47" s="52"/>
      <c r="W47" s="42"/>
      <c r="AC47" s="38"/>
      <c r="AD47" s="38"/>
      <c r="AE47" s="38"/>
      <c r="AF47" s="38"/>
      <c r="AG47" s="38"/>
      <c r="AH47" s="38"/>
      <c r="AI47" s="38"/>
    </row>
    <row r="48" spans="2:35" s="44" customFormat="1" ht="12.75">
      <c r="B48" s="1" t="s">
        <v>179</v>
      </c>
      <c r="C48" s="63">
        <v>475</v>
      </c>
      <c r="D48" s="63">
        <v>2420</v>
      </c>
      <c r="E48" s="63">
        <v>17457</v>
      </c>
      <c r="F48" s="63">
        <v>281.87646</v>
      </c>
      <c r="G48" s="63">
        <v>1876.5431944009913</v>
      </c>
      <c r="H48" s="63">
        <v>1740.9918699999998</v>
      </c>
      <c r="I48" s="63">
        <v>14489.768</v>
      </c>
      <c r="J48" s="63">
        <v>795.21087</v>
      </c>
      <c r="K48" s="63">
        <v>517.125</v>
      </c>
      <c r="L48" s="63">
        <v>2490.837</v>
      </c>
      <c r="M48" s="63">
        <v>1540.0624</v>
      </c>
      <c r="N48" s="60">
        <f>SUM(Q48:V48)</f>
        <v>12872</v>
      </c>
      <c r="O48" s="63">
        <v>0</v>
      </c>
      <c r="P48" s="100">
        <f>SUM(C48:O48)</f>
        <v>56956.41479440099</v>
      </c>
      <c r="Q48" s="58">
        <v>12566</v>
      </c>
      <c r="R48" s="58">
        <v>306</v>
      </c>
      <c r="S48" s="52"/>
      <c r="T48" s="52"/>
      <c r="U48" s="52"/>
      <c r="V48" s="52"/>
      <c r="W48" s="42"/>
      <c r="AC48" s="38"/>
      <c r="AD48" s="38"/>
      <c r="AE48" s="38"/>
      <c r="AF48" s="38"/>
      <c r="AG48" s="38"/>
      <c r="AH48" s="38"/>
      <c r="AI48" s="38"/>
    </row>
    <row r="49" spans="2:35" s="44" customFormat="1" ht="12.75">
      <c r="B49" s="137" t="s">
        <v>180</v>
      </c>
      <c r="C49" s="156">
        <v>6</v>
      </c>
      <c r="D49" s="156">
        <v>27</v>
      </c>
      <c r="E49" s="156">
        <v>194</v>
      </c>
      <c r="F49" s="156">
        <v>3.169624777777778</v>
      </c>
      <c r="G49" s="156">
        <v>149.73310147819285</v>
      </c>
      <c r="H49" s="156">
        <v>22.3263288520202</v>
      </c>
      <c r="I49" s="156">
        <v>164.025</v>
      </c>
      <c r="J49" s="156">
        <v>9.226797111111111</v>
      </c>
      <c r="K49" s="156">
        <v>11.426</v>
      </c>
      <c r="L49" s="156">
        <v>71.01137828282828</v>
      </c>
      <c r="M49" s="156">
        <v>20.964119797979798</v>
      </c>
      <c r="N49" s="156">
        <v>360</v>
      </c>
      <c r="O49" s="156">
        <v>0</v>
      </c>
      <c r="P49" s="100">
        <f>SUM(C49:O49)</f>
        <v>1038.8823502999098</v>
      </c>
      <c r="Q49" s="52"/>
      <c r="R49" s="52"/>
      <c r="S49" s="52"/>
      <c r="T49" s="52"/>
      <c r="U49" s="52"/>
      <c r="V49" s="52"/>
      <c r="W49" s="42"/>
      <c r="AC49" s="38"/>
      <c r="AD49" s="38"/>
      <c r="AE49" s="38"/>
      <c r="AF49" s="38"/>
      <c r="AG49" s="38"/>
      <c r="AH49" s="38"/>
      <c r="AI49" s="38"/>
    </row>
    <row r="50" spans="2:35" s="44" customFormat="1" ht="12.75">
      <c r="B50" s="3" t="s">
        <v>41</v>
      </c>
      <c r="C50" s="60">
        <f>C48-C49</f>
        <v>469</v>
      </c>
      <c r="D50" s="60">
        <f aca="true" t="shared" si="17" ref="D50:O50">D48-D49</f>
        <v>2393</v>
      </c>
      <c r="E50" s="60">
        <f t="shared" si="17"/>
        <v>17263</v>
      </c>
      <c r="F50" s="60">
        <f t="shared" si="17"/>
        <v>278.70683522222225</v>
      </c>
      <c r="G50" s="60">
        <f t="shared" si="17"/>
        <v>1726.8100929227985</v>
      </c>
      <c r="H50" s="60">
        <f t="shared" si="17"/>
        <v>1718.6655411479796</v>
      </c>
      <c r="I50" s="60">
        <f t="shared" si="17"/>
        <v>14325.743</v>
      </c>
      <c r="J50" s="60">
        <f t="shared" si="17"/>
        <v>785.9840728888889</v>
      </c>
      <c r="K50" s="60">
        <f t="shared" si="17"/>
        <v>505.699</v>
      </c>
      <c r="L50" s="60">
        <f t="shared" si="17"/>
        <v>2419.8256217171715</v>
      </c>
      <c r="M50" s="60">
        <f t="shared" si="17"/>
        <v>1519.0982802020203</v>
      </c>
      <c r="N50" s="60">
        <f t="shared" si="17"/>
        <v>12512</v>
      </c>
      <c r="O50" s="60">
        <f t="shared" si="17"/>
        <v>0</v>
      </c>
      <c r="P50" s="100">
        <f>SUM(C50:O50)</f>
        <v>55917.53244410109</v>
      </c>
      <c r="Q50" s="52"/>
      <c r="R50" s="52"/>
      <c r="S50" s="52"/>
      <c r="T50" s="52"/>
      <c r="U50" s="52"/>
      <c r="V50" s="52"/>
      <c r="W50" s="42"/>
      <c r="AC50" s="38"/>
      <c r="AD50" s="38"/>
      <c r="AE50" s="38"/>
      <c r="AF50" s="38"/>
      <c r="AG50" s="38"/>
      <c r="AH50" s="38"/>
      <c r="AI50" s="38"/>
    </row>
    <row r="51" spans="2:35" s="44" customFormat="1" ht="12.75">
      <c r="B51" s="137" t="s">
        <v>141</v>
      </c>
      <c r="C51" s="60">
        <f>$P$10*C50</f>
        <v>31.892000000000003</v>
      </c>
      <c r="D51" s="60">
        <f aca="true" t="shared" si="18" ref="D51:O51">$P$10*D50</f>
        <v>162.72400000000002</v>
      </c>
      <c r="E51" s="60">
        <f t="shared" si="18"/>
        <v>1173.884</v>
      </c>
      <c r="F51" s="60">
        <f t="shared" si="18"/>
        <v>18.952064795111113</v>
      </c>
      <c r="G51" s="60">
        <f t="shared" si="18"/>
        <v>117.42308631875031</v>
      </c>
      <c r="H51" s="60">
        <f t="shared" si="18"/>
        <v>116.86925679806262</v>
      </c>
      <c r="I51" s="60">
        <f t="shared" si="18"/>
        <v>974.1505240000001</v>
      </c>
      <c r="J51" s="60">
        <f t="shared" si="18"/>
        <v>53.446916956444454</v>
      </c>
      <c r="K51" s="60">
        <f t="shared" si="18"/>
        <v>34.387532</v>
      </c>
      <c r="L51" s="60">
        <f t="shared" si="18"/>
        <v>164.54814227676766</v>
      </c>
      <c r="M51" s="60">
        <f t="shared" si="18"/>
        <v>103.29868305373739</v>
      </c>
      <c r="N51" s="60">
        <f t="shared" si="18"/>
        <v>850.816</v>
      </c>
      <c r="O51" s="60">
        <f t="shared" si="18"/>
        <v>0</v>
      </c>
      <c r="P51" s="100">
        <f>SUM(C51:O51)</f>
        <v>3802.392206198874</v>
      </c>
      <c r="Q51" s="52"/>
      <c r="R51" s="52"/>
      <c r="S51" s="52"/>
      <c r="T51" s="52"/>
      <c r="U51" s="52"/>
      <c r="V51" s="52"/>
      <c r="W51" s="42"/>
      <c r="AC51" s="38"/>
      <c r="AD51" s="38"/>
      <c r="AE51" s="38"/>
      <c r="AF51" s="38"/>
      <c r="AG51" s="38"/>
      <c r="AH51" s="38"/>
      <c r="AI51" s="38"/>
    </row>
    <row r="52" spans="2:35" s="44" customFormat="1" ht="12.75">
      <c r="B52" s="137" t="s">
        <v>142</v>
      </c>
      <c r="C52" s="60">
        <f aca="true" t="shared" si="19" ref="C52:O52">C49+C51</f>
        <v>37.892</v>
      </c>
      <c r="D52" s="60">
        <f t="shared" si="19"/>
        <v>189.72400000000002</v>
      </c>
      <c r="E52" s="60">
        <f t="shared" si="19"/>
        <v>1367.884</v>
      </c>
      <c r="F52" s="60">
        <f t="shared" si="19"/>
        <v>22.12168957288889</v>
      </c>
      <c r="G52" s="60">
        <f t="shared" si="19"/>
        <v>267.1561877969432</v>
      </c>
      <c r="H52" s="60">
        <f t="shared" si="19"/>
        <v>139.19558565008282</v>
      </c>
      <c r="I52" s="60">
        <f t="shared" si="19"/>
        <v>1138.1755240000002</v>
      </c>
      <c r="J52" s="60">
        <f t="shared" si="19"/>
        <v>62.673714067555565</v>
      </c>
      <c r="K52" s="60">
        <f t="shared" si="19"/>
        <v>45.813532</v>
      </c>
      <c r="L52" s="60">
        <f t="shared" si="19"/>
        <v>235.55952055959594</v>
      </c>
      <c r="M52" s="60">
        <f t="shared" si="19"/>
        <v>124.2628028517172</v>
      </c>
      <c r="N52" s="60">
        <f t="shared" si="19"/>
        <v>1210.816</v>
      </c>
      <c r="O52" s="60">
        <f t="shared" si="19"/>
        <v>0</v>
      </c>
      <c r="P52" s="100">
        <f>SUM(C52:O52)</f>
        <v>4841.274556498784</v>
      </c>
      <c r="Q52" s="52"/>
      <c r="R52" s="52"/>
      <c r="S52" s="52"/>
      <c r="T52" s="52"/>
      <c r="U52" s="52"/>
      <c r="V52" s="52"/>
      <c r="W52" s="42"/>
      <c r="AC52" s="38"/>
      <c r="AD52" s="38"/>
      <c r="AE52" s="38"/>
      <c r="AF52" s="38"/>
      <c r="AG52" s="38"/>
      <c r="AH52" s="38"/>
      <c r="AI52" s="38"/>
    </row>
    <row r="53" spans="3:35" s="44" customFormat="1" ht="12.7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52"/>
      <c r="R53" s="52"/>
      <c r="S53" s="52"/>
      <c r="T53" s="52"/>
      <c r="U53" s="52"/>
      <c r="V53" s="52"/>
      <c r="W53" s="42"/>
      <c r="AC53" s="38"/>
      <c r="AD53" s="38"/>
      <c r="AE53" s="38"/>
      <c r="AF53" s="38"/>
      <c r="AG53" s="38"/>
      <c r="AH53" s="38"/>
      <c r="AI53" s="38"/>
    </row>
    <row r="54" spans="2:35" s="44" customFormat="1" ht="12.75">
      <c r="B54" s="137" t="s">
        <v>136</v>
      </c>
      <c r="C54" s="66">
        <f aca="true" t="shared" si="20" ref="C54:P54">C45+C52</f>
        <v>9562.215510152684</v>
      </c>
      <c r="D54" s="66">
        <f t="shared" si="20"/>
        <v>10626.319681828</v>
      </c>
      <c r="E54" s="66">
        <f t="shared" si="20"/>
        <v>146758.60774587363</v>
      </c>
      <c r="F54" s="66">
        <f t="shared" si="20"/>
        <v>3055.1747390481796</v>
      </c>
      <c r="G54" s="66">
        <f t="shared" si="20"/>
        <v>23475.2907709782</v>
      </c>
      <c r="H54" s="66">
        <f t="shared" si="20"/>
        <v>18369.25361843693</v>
      </c>
      <c r="I54" s="66">
        <f t="shared" si="20"/>
        <v>174616.15956892283</v>
      </c>
      <c r="J54" s="66">
        <f t="shared" si="20"/>
        <v>17214.17085554225</v>
      </c>
      <c r="K54" s="66">
        <f t="shared" si="20"/>
        <v>1710.5560364902042</v>
      </c>
      <c r="L54" s="66">
        <f t="shared" si="20"/>
        <v>17601.08648192337</v>
      </c>
      <c r="M54" s="66">
        <f t="shared" si="20"/>
        <v>14072.15558587784</v>
      </c>
      <c r="N54" s="66">
        <f t="shared" si="20"/>
        <v>104314.65516547809</v>
      </c>
      <c r="O54" s="66">
        <f t="shared" si="20"/>
        <v>0</v>
      </c>
      <c r="P54" s="66">
        <f t="shared" si="20"/>
        <v>541375.6457605521</v>
      </c>
      <c r="Q54" s="52"/>
      <c r="R54" s="52"/>
      <c r="S54" s="52"/>
      <c r="T54" s="52"/>
      <c r="U54" s="52"/>
      <c r="V54" s="52"/>
      <c r="W54" s="42"/>
      <c r="AC54" s="38"/>
      <c r="AD54" s="38"/>
      <c r="AE54" s="38"/>
      <c r="AF54" s="38"/>
      <c r="AG54" s="38"/>
      <c r="AH54" s="38"/>
      <c r="AI54" s="38"/>
    </row>
    <row r="55" spans="3:35" s="44" customFormat="1" ht="12.7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2"/>
      <c r="R55" s="52"/>
      <c r="S55" s="52"/>
      <c r="T55" s="52"/>
      <c r="U55" s="52"/>
      <c r="V55" s="52"/>
      <c r="W55" s="42"/>
      <c r="AC55" s="38"/>
      <c r="AD55" s="38"/>
      <c r="AE55" s="38"/>
      <c r="AF55" s="38"/>
      <c r="AG55" s="38"/>
      <c r="AH55" s="38"/>
      <c r="AI55" s="38"/>
    </row>
    <row r="56" spans="2:35" s="44" customFormat="1" ht="12.75">
      <c r="B56" s="45" t="s">
        <v>42</v>
      </c>
      <c r="C56" s="66">
        <f aca="true" t="shared" si="21" ref="C56:O56">C33+C54</f>
        <v>17011.215510152684</v>
      </c>
      <c r="D56" s="66">
        <f t="shared" si="21"/>
        <v>18804.801985318794</v>
      </c>
      <c r="E56" s="66">
        <f t="shared" si="21"/>
        <v>228873.83356746822</v>
      </c>
      <c r="F56" s="66">
        <f t="shared" si="21"/>
        <v>6192.67473904818</v>
      </c>
      <c r="G56" s="66">
        <f t="shared" si="21"/>
        <v>30631.55165798017</v>
      </c>
      <c r="H56" s="66">
        <f t="shared" si="21"/>
        <v>27094.381895375693</v>
      </c>
      <c r="I56" s="66">
        <f t="shared" si="21"/>
        <v>266482.63099264173</v>
      </c>
      <c r="J56" s="66">
        <f t="shared" si="21"/>
        <v>24366.765505542247</v>
      </c>
      <c r="K56" s="66">
        <f t="shared" si="21"/>
        <v>3458.645036490204</v>
      </c>
      <c r="L56" s="66">
        <f t="shared" si="21"/>
        <v>21545.920481923367</v>
      </c>
      <c r="M56" s="66">
        <f t="shared" si="21"/>
        <v>19549.730585877838</v>
      </c>
      <c r="N56" s="66">
        <f t="shared" si="21"/>
        <v>199403.6551654781</v>
      </c>
      <c r="O56" s="66">
        <f t="shared" si="21"/>
        <v>0</v>
      </c>
      <c r="P56" s="124">
        <f>SUM(C56:O56)</f>
        <v>863415.8071232972</v>
      </c>
      <c r="Q56" s="52"/>
      <c r="R56" s="52"/>
      <c r="S56" s="52"/>
      <c r="T56" s="52"/>
      <c r="U56" s="52"/>
      <c r="V56" s="52"/>
      <c r="W56" s="41"/>
      <c r="AC56" s="41"/>
      <c r="AD56" s="41"/>
      <c r="AE56" s="41"/>
      <c r="AF56" s="41"/>
      <c r="AG56" s="41"/>
      <c r="AH56" s="41"/>
      <c r="AI56" s="41"/>
    </row>
    <row r="58" spans="2:22" s="21" customFormat="1" ht="12.75">
      <c r="B58" s="20" t="s">
        <v>126</v>
      </c>
      <c r="Q58" s="27"/>
      <c r="R58" s="27"/>
      <c r="S58" s="27"/>
      <c r="T58" s="27"/>
      <c r="U58" s="27"/>
      <c r="V58" s="27"/>
    </row>
    <row r="59" spans="2:22" s="2" customFormat="1" ht="12.75">
      <c r="B59" s="43"/>
      <c r="Q59" s="53"/>
      <c r="R59" s="53"/>
      <c r="S59" s="53"/>
      <c r="T59" s="53"/>
      <c r="U59" s="53"/>
      <c r="V59" s="53"/>
    </row>
    <row r="60" spans="2:35" s="44" customFormat="1" ht="12.75">
      <c r="B60" s="137" t="s">
        <v>128</v>
      </c>
      <c r="C60" s="155">
        <v>9002</v>
      </c>
      <c r="D60" s="155">
        <v>8837.107884467205</v>
      </c>
      <c r="E60" s="155">
        <v>86231.22597654202</v>
      </c>
      <c r="F60" s="155">
        <v>4087</v>
      </c>
      <c r="G60" s="155">
        <v>5199.943053665512</v>
      </c>
      <c r="H60" s="155">
        <v>4223.702840857012</v>
      </c>
      <c r="I60" s="155">
        <v>96297.47391245856</v>
      </c>
      <c r="J60" s="155">
        <v>9224</v>
      </c>
      <c r="K60" s="155">
        <v>1977.59</v>
      </c>
      <c r="L60" s="155">
        <v>5029.363</v>
      </c>
      <c r="M60" s="155">
        <v>5823.561420356665</v>
      </c>
      <c r="N60" s="155">
        <v>82719</v>
      </c>
      <c r="O60" s="155">
        <v>0</v>
      </c>
      <c r="P60" s="100">
        <f>SUM(C60:O60)</f>
        <v>318651.968088347</v>
      </c>
      <c r="Q60" s="52"/>
      <c r="R60" s="52"/>
      <c r="S60" s="52"/>
      <c r="T60" s="52"/>
      <c r="U60" s="52"/>
      <c r="V60" s="52"/>
      <c r="W60" s="40"/>
      <c r="AC60" s="40"/>
      <c r="AD60" s="40"/>
      <c r="AE60" s="40"/>
      <c r="AF60" s="40"/>
      <c r="AG60" s="40"/>
      <c r="AH60" s="40"/>
      <c r="AI60" s="40"/>
    </row>
    <row r="61" spans="2:35" s="44" customFormat="1" ht="12.75">
      <c r="B61" s="4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52"/>
      <c r="R61" s="52"/>
      <c r="S61" s="52"/>
      <c r="T61" s="52"/>
      <c r="U61" s="52"/>
      <c r="V61" s="52"/>
      <c r="W61" s="42"/>
      <c r="AC61" s="38"/>
      <c r="AD61" s="38"/>
      <c r="AE61" s="38"/>
      <c r="AF61" s="38"/>
      <c r="AG61" s="38"/>
      <c r="AH61" s="38"/>
      <c r="AI61" s="38"/>
    </row>
    <row r="62" spans="2:35" s="44" customFormat="1" ht="12.75">
      <c r="B62" s="157" t="s">
        <v>177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52"/>
      <c r="R62" s="52"/>
      <c r="S62" s="52"/>
      <c r="T62" s="52"/>
      <c r="U62" s="52"/>
      <c r="V62" s="52"/>
      <c r="W62" s="42"/>
      <c r="AC62" s="38"/>
      <c r="AD62" s="38"/>
      <c r="AE62" s="38"/>
      <c r="AF62" s="38"/>
      <c r="AG62" s="38"/>
      <c r="AH62" s="38"/>
      <c r="AI62" s="38"/>
    </row>
    <row r="63" spans="2:35" s="44" customFormat="1" ht="12.75">
      <c r="B63" s="1" t="s">
        <v>173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-28.035</v>
      </c>
      <c r="J63" s="59">
        <v>0</v>
      </c>
      <c r="K63" s="59">
        <v>0</v>
      </c>
      <c r="L63" s="59">
        <v>-136.345</v>
      </c>
      <c r="M63" s="59">
        <v>0</v>
      </c>
      <c r="N63" s="59">
        <v>0</v>
      </c>
      <c r="O63" s="59">
        <v>0</v>
      </c>
      <c r="P63" s="100">
        <f>SUM(C63:O63)</f>
        <v>-164.38</v>
      </c>
      <c r="Q63" s="52"/>
      <c r="R63" s="52"/>
      <c r="S63" s="52"/>
      <c r="T63" s="52"/>
      <c r="U63" s="52"/>
      <c r="V63" s="52"/>
      <c r="W63" s="42"/>
      <c r="AC63" s="38"/>
      <c r="AD63" s="38"/>
      <c r="AE63" s="38"/>
      <c r="AF63" s="38"/>
      <c r="AG63" s="38"/>
      <c r="AH63" s="38"/>
      <c r="AI63" s="38"/>
    </row>
    <row r="64" spans="2:35" s="44" customFormat="1" ht="12.75">
      <c r="B64" s="44" t="s">
        <v>70</v>
      </c>
      <c r="C64" s="60">
        <f aca="true" t="shared" si="22" ref="C64:O64">C7</f>
        <v>3120.396655948553</v>
      </c>
      <c r="D64" s="60">
        <f t="shared" si="22"/>
        <v>3167.102997032641</v>
      </c>
      <c r="E64" s="60">
        <f t="shared" si="22"/>
        <v>47078.59539432177</v>
      </c>
      <c r="F64" s="60">
        <f t="shared" si="22"/>
        <v>964.5479876160992</v>
      </c>
      <c r="G64" s="60">
        <f t="shared" si="22"/>
        <v>6209.01973474801</v>
      </c>
      <c r="H64" s="60">
        <f t="shared" si="22"/>
        <v>5665.1909171597645</v>
      </c>
      <c r="I64" s="60">
        <f t="shared" si="22"/>
        <v>52606.71232758621</v>
      </c>
      <c r="J64" s="60">
        <f t="shared" si="22"/>
        <v>5381.252895522388</v>
      </c>
      <c r="K64" s="60">
        <f t="shared" si="22"/>
        <v>489.35871060171917</v>
      </c>
      <c r="L64" s="60">
        <f t="shared" si="22"/>
        <v>5441.896595092025</v>
      </c>
      <c r="M64" s="60">
        <f t="shared" si="22"/>
        <v>4964.231007194245</v>
      </c>
      <c r="N64" s="60">
        <f t="shared" si="22"/>
        <v>31102.319026548674</v>
      </c>
      <c r="O64" s="60">
        <f t="shared" si="22"/>
        <v>0</v>
      </c>
      <c r="P64" s="100">
        <f>SUM(C64:O64)</f>
        <v>166190.6242493721</v>
      </c>
      <c r="Q64" s="52"/>
      <c r="R64" s="52"/>
      <c r="S64" s="52"/>
      <c r="T64" s="52"/>
      <c r="U64" s="52"/>
      <c r="V64" s="52"/>
      <c r="W64" s="42"/>
      <c r="AC64" s="38"/>
      <c r="AD64" s="38"/>
      <c r="AE64" s="38"/>
      <c r="AF64" s="38"/>
      <c r="AG64" s="38"/>
      <c r="AH64" s="38"/>
      <c r="AI64" s="38"/>
    </row>
    <row r="65" spans="2:35" s="44" customFormat="1" ht="12.75">
      <c r="B65" s="44" t="s">
        <v>181</v>
      </c>
      <c r="C65" s="59">
        <v>35</v>
      </c>
      <c r="D65" s="59">
        <v>91</v>
      </c>
      <c r="E65" s="59">
        <v>428</v>
      </c>
      <c r="F65" s="59">
        <v>12.458776414141415</v>
      </c>
      <c r="G65" s="59">
        <v>19.240175383838384</v>
      </c>
      <c r="H65" s="59">
        <v>28.749008705050507</v>
      </c>
      <c r="I65" s="59">
        <v>424.757</v>
      </c>
      <c r="J65" s="59">
        <v>16.4779902020202</v>
      </c>
      <c r="K65" s="59">
        <v>41.9</v>
      </c>
      <c r="L65" s="59">
        <v>262.5125939393939</v>
      </c>
      <c r="M65" s="59">
        <v>39.944352525252526</v>
      </c>
      <c r="N65" s="59">
        <v>1816</v>
      </c>
      <c r="O65" s="59">
        <v>0</v>
      </c>
      <c r="P65" s="100">
        <f>SUM(C65:O65)</f>
        <v>3216.039897169697</v>
      </c>
      <c r="Q65" s="52"/>
      <c r="R65" s="52"/>
      <c r="S65" s="52"/>
      <c r="T65" s="52"/>
      <c r="U65" s="52"/>
      <c r="V65" s="52"/>
      <c r="W65" s="42"/>
      <c r="AC65" s="38"/>
      <c r="AD65" s="38"/>
      <c r="AE65" s="38"/>
      <c r="AF65" s="38"/>
      <c r="AG65" s="38"/>
      <c r="AH65" s="38"/>
      <c r="AI65" s="38"/>
    </row>
    <row r="66" spans="2:35" s="44" customFormat="1" ht="12.75">
      <c r="B66" s="43" t="s">
        <v>137</v>
      </c>
      <c r="C66" s="60">
        <f>C64+C65</f>
        <v>3155.396655948553</v>
      </c>
      <c r="D66" s="60">
        <f aca="true" t="shared" si="23" ref="D66:O66">D64+D65</f>
        <v>3258.102997032641</v>
      </c>
      <c r="E66" s="60">
        <f t="shared" si="23"/>
        <v>47506.59539432177</v>
      </c>
      <c r="F66" s="60">
        <f t="shared" si="23"/>
        <v>977.0067640302407</v>
      </c>
      <c r="G66" s="60">
        <f t="shared" si="23"/>
        <v>6228.259910131848</v>
      </c>
      <c r="H66" s="60">
        <f t="shared" si="23"/>
        <v>5693.9399258648145</v>
      </c>
      <c r="I66" s="60">
        <f t="shared" si="23"/>
        <v>53031.46932758621</v>
      </c>
      <c r="J66" s="60">
        <f t="shared" si="23"/>
        <v>5397.730885724408</v>
      </c>
      <c r="K66" s="60">
        <f t="shared" si="23"/>
        <v>531.2587106017191</v>
      </c>
      <c r="L66" s="60">
        <f t="shared" si="23"/>
        <v>5704.4091890314185</v>
      </c>
      <c r="M66" s="60">
        <f t="shared" si="23"/>
        <v>5004.1753597194975</v>
      </c>
      <c r="N66" s="60">
        <f t="shared" si="23"/>
        <v>32918.31902654868</v>
      </c>
      <c r="O66" s="60">
        <f t="shared" si="23"/>
        <v>0</v>
      </c>
      <c r="P66" s="100">
        <f aca="true" t="shared" si="24" ref="P66:P72">SUM(C66:O66)</f>
        <v>169406.6641465418</v>
      </c>
      <c r="Q66" s="52"/>
      <c r="R66" s="52"/>
      <c r="S66" s="52"/>
      <c r="T66" s="52"/>
      <c r="U66" s="52"/>
      <c r="V66" s="52"/>
      <c r="W66" s="42"/>
      <c r="AC66" s="38"/>
      <c r="AD66" s="38"/>
      <c r="AE66" s="38"/>
      <c r="AF66" s="38"/>
      <c r="AG66" s="38"/>
      <c r="AH66" s="38"/>
      <c r="AI66" s="38"/>
    </row>
    <row r="67" spans="2:35" s="44" customFormat="1" ht="12.75">
      <c r="B67" s="2" t="s">
        <v>71</v>
      </c>
      <c r="C67" s="61">
        <f aca="true" t="shared" si="25" ref="C67:O67">C40-C64</f>
        <v>87683.14603215433</v>
      </c>
      <c r="D67" s="61">
        <f t="shared" si="25"/>
        <v>97230.0620089021</v>
      </c>
      <c r="E67" s="61">
        <f t="shared" si="25"/>
        <v>1351155.6878170348</v>
      </c>
      <c r="F67" s="61">
        <f t="shared" si="25"/>
        <v>28261.2560371517</v>
      </c>
      <c r="G67" s="61">
        <f t="shared" si="25"/>
        <v>215452.984795756</v>
      </c>
      <c r="H67" s="61">
        <f t="shared" si="25"/>
        <v>174487.88024852076</v>
      </c>
      <c r="I67" s="61">
        <f t="shared" si="25"/>
        <v>1672893.4520172412</v>
      </c>
      <c r="J67" s="61">
        <f t="shared" si="25"/>
        <v>164128.21331343282</v>
      </c>
      <c r="K67" s="61">
        <f t="shared" si="25"/>
        <v>15610.542868194843</v>
      </c>
      <c r="L67" s="61">
        <f t="shared" si="25"/>
        <v>161080.13921472392</v>
      </c>
      <c r="M67" s="61">
        <f t="shared" si="25"/>
        <v>123112.92897841727</v>
      </c>
      <c r="N67" s="61">
        <f t="shared" si="25"/>
        <v>961061.657920354</v>
      </c>
      <c r="O67" s="61">
        <f t="shared" si="25"/>
        <v>0</v>
      </c>
      <c r="P67" s="100">
        <f t="shared" si="24"/>
        <v>5052157.951251883</v>
      </c>
      <c r="Q67" s="52"/>
      <c r="R67" s="52"/>
      <c r="S67" s="52"/>
      <c r="T67" s="52"/>
      <c r="U67" s="52"/>
      <c r="V67" s="52"/>
      <c r="W67" s="42"/>
      <c r="AC67" s="38"/>
      <c r="AD67" s="38"/>
      <c r="AE67" s="38"/>
      <c r="AF67" s="38"/>
      <c r="AG67" s="38"/>
      <c r="AH67" s="38"/>
      <c r="AI67" s="38"/>
    </row>
    <row r="68" spans="2:35" s="44" customFormat="1" ht="12.75">
      <c r="B68" s="2" t="s">
        <v>174</v>
      </c>
      <c r="C68" s="61">
        <f>C41-C65+C63</f>
        <v>1298.21025</v>
      </c>
      <c r="D68" s="61">
        <f aca="true" t="shared" si="26" ref="D68:O68">D41-D65+D63</f>
        <v>3408</v>
      </c>
      <c r="E68" s="61">
        <f t="shared" si="26"/>
        <v>17547</v>
      </c>
      <c r="F68" s="61">
        <f t="shared" si="26"/>
        <v>512.4093789646465</v>
      </c>
      <c r="G68" s="61">
        <f t="shared" si="26"/>
        <v>13357.179161540404</v>
      </c>
      <c r="H68" s="61">
        <f t="shared" si="26"/>
        <v>1255.9637282373737</v>
      </c>
      <c r="I68" s="61">
        <f t="shared" si="26"/>
        <v>17562.03397828283</v>
      </c>
      <c r="J68" s="61">
        <f t="shared" si="26"/>
        <v>579.2401844949494</v>
      </c>
      <c r="K68" s="61">
        <f t="shared" si="26"/>
        <v>260.42987</v>
      </c>
      <c r="L68" s="61">
        <f t="shared" si="26"/>
        <v>1787.567515151515</v>
      </c>
      <c r="M68" s="61">
        <f t="shared" si="26"/>
        <v>1176.4241186868687</v>
      </c>
      <c r="N68" s="61">
        <f t="shared" si="26"/>
        <v>20089.40150246869</v>
      </c>
      <c r="O68" s="61">
        <f t="shared" si="26"/>
        <v>0</v>
      </c>
      <c r="P68" s="100">
        <f t="shared" si="24"/>
        <v>78833.85968782728</v>
      </c>
      <c r="Q68" s="52"/>
      <c r="R68" s="52"/>
      <c r="S68" s="52"/>
      <c r="T68" s="52"/>
      <c r="U68" s="52"/>
      <c r="V68" s="52"/>
      <c r="W68" s="42"/>
      <c r="AC68" s="38"/>
      <c r="AD68" s="38"/>
      <c r="AE68" s="38"/>
      <c r="AF68" s="38"/>
      <c r="AG68" s="38"/>
      <c r="AH68" s="38"/>
      <c r="AI68" s="38"/>
    </row>
    <row r="69" spans="2:35" s="44" customFormat="1" ht="12.75">
      <c r="B69" s="3" t="s">
        <v>36</v>
      </c>
      <c r="C69" s="61">
        <f>C67+C68</f>
        <v>88981.35628215433</v>
      </c>
      <c r="D69" s="61">
        <f aca="true" t="shared" si="27" ref="D69:O69">D67+D68</f>
        <v>100638.0620089021</v>
      </c>
      <c r="E69" s="61">
        <f t="shared" si="27"/>
        <v>1368702.6878170348</v>
      </c>
      <c r="F69" s="61">
        <f t="shared" si="27"/>
        <v>28773.665416116346</v>
      </c>
      <c r="G69" s="61">
        <f t="shared" si="27"/>
        <v>228810.1639572964</v>
      </c>
      <c r="H69" s="61">
        <f t="shared" si="27"/>
        <v>175743.84397675813</v>
      </c>
      <c r="I69" s="61">
        <f t="shared" si="27"/>
        <v>1690455.485995524</v>
      </c>
      <c r="J69" s="61">
        <f t="shared" si="27"/>
        <v>164707.45349792778</v>
      </c>
      <c r="K69" s="61">
        <f t="shared" si="27"/>
        <v>15870.972738194843</v>
      </c>
      <c r="L69" s="61">
        <f t="shared" si="27"/>
        <v>162867.70672987544</v>
      </c>
      <c r="M69" s="61">
        <f t="shared" si="27"/>
        <v>124289.35309710415</v>
      </c>
      <c r="N69" s="61">
        <f t="shared" si="27"/>
        <v>981151.0594228228</v>
      </c>
      <c r="O69" s="61">
        <f t="shared" si="27"/>
        <v>0</v>
      </c>
      <c r="P69" s="100">
        <f t="shared" si="24"/>
        <v>5130991.8109397115</v>
      </c>
      <c r="Q69" s="52"/>
      <c r="R69" s="52"/>
      <c r="S69" s="52"/>
      <c r="T69" s="52"/>
      <c r="U69" s="52"/>
      <c r="V69" s="52"/>
      <c r="W69" s="42"/>
      <c r="AC69" s="38"/>
      <c r="AD69" s="38"/>
      <c r="AE69" s="38"/>
      <c r="AF69" s="38"/>
      <c r="AG69" s="38"/>
      <c r="AH69" s="38"/>
      <c r="AI69" s="38"/>
    </row>
    <row r="70" spans="2:35" s="44" customFormat="1" ht="12.75">
      <c r="B70" s="137" t="s">
        <v>138</v>
      </c>
      <c r="C70" s="60">
        <f>$P$10*C69</f>
        <v>6050.732227186495</v>
      </c>
      <c r="D70" s="60">
        <f aca="true" t="shared" si="28" ref="D70:O70">$P$10*D69</f>
        <v>6843.388216605343</v>
      </c>
      <c r="E70" s="60">
        <f t="shared" si="28"/>
        <v>93071.78277155837</v>
      </c>
      <c r="F70" s="60">
        <f t="shared" si="28"/>
        <v>1956.6092482959116</v>
      </c>
      <c r="G70" s="60">
        <f t="shared" si="28"/>
        <v>15559.091149096157</v>
      </c>
      <c r="H70" s="60">
        <f t="shared" si="28"/>
        <v>11950.581390419553</v>
      </c>
      <c r="I70" s="60">
        <f t="shared" si="28"/>
        <v>114950.97304769565</v>
      </c>
      <c r="J70" s="60">
        <f t="shared" si="28"/>
        <v>11200.10683785909</v>
      </c>
      <c r="K70" s="60">
        <f t="shared" si="28"/>
        <v>1079.2261461972494</v>
      </c>
      <c r="L70" s="60">
        <f t="shared" si="28"/>
        <v>11075.004057631531</v>
      </c>
      <c r="M70" s="60">
        <f t="shared" si="28"/>
        <v>8451.676010603083</v>
      </c>
      <c r="N70" s="60">
        <f t="shared" si="28"/>
        <v>66718.27204075195</v>
      </c>
      <c r="O70" s="60">
        <f t="shared" si="28"/>
        <v>0</v>
      </c>
      <c r="P70" s="100">
        <f t="shared" si="24"/>
        <v>348907.44314390037</v>
      </c>
      <c r="Q70" s="52"/>
      <c r="R70" s="52"/>
      <c r="S70" s="52"/>
      <c r="T70" s="52"/>
      <c r="U70" s="52"/>
      <c r="V70" s="52"/>
      <c r="W70" s="42"/>
      <c r="AC70" s="38"/>
      <c r="AD70" s="38"/>
      <c r="AE70" s="38"/>
      <c r="AF70" s="38"/>
      <c r="AG70" s="38"/>
      <c r="AH70" s="38"/>
      <c r="AI70" s="38"/>
    </row>
    <row r="71" spans="2:35" s="44" customFormat="1" ht="12.75">
      <c r="B71" s="44" t="s">
        <v>139</v>
      </c>
      <c r="C71" s="60">
        <f>C66+C70</f>
        <v>9206.128883135048</v>
      </c>
      <c r="D71" s="60">
        <f aca="true" t="shared" si="29" ref="D71:O71">D66+D70</f>
        <v>10101.491213637983</v>
      </c>
      <c r="E71" s="60">
        <f t="shared" si="29"/>
        <v>140578.37816588013</v>
      </c>
      <c r="F71" s="60">
        <f t="shared" si="29"/>
        <v>2933.6160123261525</v>
      </c>
      <c r="G71" s="60">
        <f t="shared" si="29"/>
        <v>21787.351059228007</v>
      </c>
      <c r="H71" s="60">
        <f t="shared" si="29"/>
        <v>17644.52131628437</v>
      </c>
      <c r="I71" s="60">
        <f t="shared" si="29"/>
        <v>167982.44237528185</v>
      </c>
      <c r="J71" s="60">
        <f t="shared" si="29"/>
        <v>16597.8377235835</v>
      </c>
      <c r="K71" s="60">
        <f t="shared" si="29"/>
        <v>1610.4848567989684</v>
      </c>
      <c r="L71" s="60">
        <f t="shared" si="29"/>
        <v>16779.41324666295</v>
      </c>
      <c r="M71" s="60">
        <f t="shared" si="29"/>
        <v>13455.85137032258</v>
      </c>
      <c r="N71" s="60">
        <f t="shared" si="29"/>
        <v>99636.59106730063</v>
      </c>
      <c r="O71" s="60">
        <f t="shared" si="29"/>
        <v>0</v>
      </c>
      <c r="P71" s="100">
        <f t="shared" si="24"/>
        <v>518314.10729044216</v>
      </c>
      <c r="Q71" s="52"/>
      <c r="R71" s="52"/>
      <c r="S71" s="52"/>
      <c r="T71" s="52"/>
      <c r="U71" s="52"/>
      <c r="V71" s="52"/>
      <c r="W71" s="42"/>
      <c r="AC71" s="38"/>
      <c r="AD71" s="38"/>
      <c r="AE71" s="38"/>
      <c r="AF71" s="38"/>
      <c r="AG71" s="38"/>
      <c r="AH71" s="38"/>
      <c r="AI71" s="38"/>
    </row>
    <row r="72" spans="2:35" s="44" customFormat="1" ht="12.75">
      <c r="B72" s="137" t="s">
        <v>143</v>
      </c>
      <c r="C72" s="60">
        <f>C71*(1+CPI!$D$16)</f>
        <v>9474.929434264825</v>
      </c>
      <c r="D72" s="60">
        <f>D71*(1+CPI!$D$16)</f>
        <v>10396.434554093783</v>
      </c>
      <c r="E72" s="60">
        <f>E71*(1+CPI!$D$16)</f>
        <v>144682.98565156746</v>
      </c>
      <c r="F72" s="60">
        <f>F71*(1+CPI!$D$16)</f>
        <v>3019.271732654051</v>
      </c>
      <c r="G72" s="60">
        <f>G71*(1+CPI!$D$16)</f>
        <v>22423.498135455342</v>
      </c>
      <c r="H72" s="60">
        <f>H71*(1+CPI!$D$16)</f>
        <v>18159.706049677236</v>
      </c>
      <c r="I72" s="60">
        <f>I71*(1+CPI!$D$16)</f>
        <v>172887.1937277553</v>
      </c>
      <c r="J72" s="60">
        <f>J71*(1+CPI!$D$16)</f>
        <v>17082.46138943669</v>
      </c>
      <c r="K72" s="60">
        <f>K71*(1+CPI!$D$16)</f>
        <v>1657.5077936477844</v>
      </c>
      <c r="L72" s="60">
        <f>L71*(1+CPI!$D$16)</f>
        <v>17269.338554639013</v>
      </c>
      <c r="M72" s="60">
        <f>M71*(1+CPI!$D$16)</f>
        <v>13848.735318633257</v>
      </c>
      <c r="N72" s="60">
        <f>N71*(1+CPI!$D$16)</f>
        <v>102545.78025328365</v>
      </c>
      <c r="O72" s="60">
        <f>O71*(1+CPI!$D$16)</f>
        <v>0</v>
      </c>
      <c r="P72" s="100">
        <f t="shared" si="24"/>
        <v>533447.8425951084</v>
      </c>
      <c r="Q72" s="52"/>
      <c r="R72" s="52"/>
      <c r="S72" s="52"/>
      <c r="T72" s="52"/>
      <c r="U72" s="52"/>
      <c r="V72" s="52"/>
      <c r="W72" s="42"/>
      <c r="AC72" s="38"/>
      <c r="AD72" s="38"/>
      <c r="AE72" s="38"/>
      <c r="AF72" s="38"/>
      <c r="AG72" s="38"/>
      <c r="AH72" s="38"/>
      <c r="AI72" s="38"/>
    </row>
    <row r="73" spans="2:35" s="44" customFormat="1" ht="12.75">
      <c r="B73" s="157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2"/>
      <c r="R73" s="52"/>
      <c r="S73" s="52"/>
      <c r="T73" s="52"/>
      <c r="U73" s="52"/>
      <c r="V73" s="52"/>
      <c r="W73" s="42"/>
      <c r="AC73" s="38"/>
      <c r="AD73" s="38"/>
      <c r="AE73" s="38"/>
      <c r="AF73" s="38"/>
      <c r="AG73" s="38"/>
      <c r="AH73" s="38"/>
      <c r="AI73" s="38"/>
    </row>
    <row r="74" spans="2:35" s="44" customFormat="1" ht="12.75">
      <c r="B74" s="72" t="s">
        <v>178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/>
      <c r="R74" s="52"/>
      <c r="S74" s="52"/>
      <c r="T74" s="52"/>
      <c r="U74" s="52"/>
      <c r="V74" s="52"/>
      <c r="W74" s="42"/>
      <c r="AC74" s="38"/>
      <c r="AD74" s="38"/>
      <c r="AE74" s="38"/>
      <c r="AF74" s="38"/>
      <c r="AG74" s="38"/>
      <c r="AH74" s="38"/>
      <c r="AI74" s="38"/>
    </row>
    <row r="75" spans="2:35" s="44" customFormat="1" ht="12.75">
      <c r="B75" s="1" t="s">
        <v>179</v>
      </c>
      <c r="C75" s="59"/>
      <c r="D75" s="59"/>
      <c r="E75" s="59"/>
      <c r="F75" s="59"/>
      <c r="G75" s="59"/>
      <c r="H75" s="59"/>
      <c r="I75" s="59"/>
      <c r="J75" s="59"/>
      <c r="K75" s="59"/>
      <c r="L75" s="59">
        <v>-204.714</v>
      </c>
      <c r="M75" s="59"/>
      <c r="N75" s="59"/>
      <c r="O75" s="59"/>
      <c r="P75" s="100">
        <f aca="true" t="shared" si="30" ref="P75:P80">SUM(C75:O75)</f>
        <v>-204.714</v>
      </c>
      <c r="Q75" s="52"/>
      <c r="R75" s="52"/>
      <c r="S75" s="52"/>
      <c r="T75" s="52"/>
      <c r="U75" s="52"/>
      <c r="V75" s="52"/>
      <c r="W75" s="42"/>
      <c r="AC75" s="38"/>
      <c r="AD75" s="38"/>
      <c r="AE75" s="38"/>
      <c r="AF75" s="38"/>
      <c r="AG75" s="38"/>
      <c r="AH75" s="38"/>
      <c r="AI75" s="38"/>
    </row>
    <row r="76" spans="2:35" s="44" customFormat="1" ht="12.75">
      <c r="B76" s="137" t="s">
        <v>180</v>
      </c>
      <c r="C76" s="59">
        <v>12</v>
      </c>
      <c r="D76" s="59">
        <v>54</v>
      </c>
      <c r="E76" s="59">
        <v>388</v>
      </c>
      <c r="F76" s="59">
        <v>6.339249555555556</v>
      </c>
      <c r="G76" s="59">
        <v>299.4662029563857</v>
      </c>
      <c r="H76" s="59">
        <v>44.6526577040404</v>
      </c>
      <c r="I76" s="59">
        <v>323.367</v>
      </c>
      <c r="J76" s="59">
        <v>18.453594222222222</v>
      </c>
      <c r="K76" s="59">
        <v>22.852</v>
      </c>
      <c r="L76" s="59">
        <v>142.02275656565655</v>
      </c>
      <c r="M76" s="59">
        <v>41.928239595959596</v>
      </c>
      <c r="N76" s="59">
        <v>720</v>
      </c>
      <c r="O76" s="59">
        <v>0</v>
      </c>
      <c r="P76" s="100">
        <f t="shared" si="30"/>
        <v>2073.0817005998197</v>
      </c>
      <c r="Q76" s="52"/>
      <c r="R76" s="52"/>
      <c r="S76" s="52"/>
      <c r="T76" s="52"/>
      <c r="U76" s="52"/>
      <c r="V76" s="52"/>
      <c r="W76" s="42"/>
      <c r="AC76" s="38"/>
      <c r="AD76" s="38"/>
      <c r="AE76" s="38"/>
      <c r="AF76" s="38"/>
      <c r="AG76" s="38"/>
      <c r="AH76" s="38"/>
      <c r="AI76" s="38"/>
    </row>
    <row r="77" spans="2:35" s="44" customFormat="1" ht="12.75">
      <c r="B77" s="3" t="s">
        <v>41</v>
      </c>
      <c r="C77" s="60">
        <f>C50-C76+C75</f>
        <v>457</v>
      </c>
      <c r="D77" s="60">
        <f aca="true" t="shared" si="31" ref="D77:O77">D50-D76+D75</f>
        <v>2339</v>
      </c>
      <c r="E77" s="60">
        <f t="shared" si="31"/>
        <v>16875</v>
      </c>
      <c r="F77" s="60">
        <f t="shared" si="31"/>
        <v>272.3675856666667</v>
      </c>
      <c r="G77" s="60">
        <f t="shared" si="31"/>
        <v>1427.343889966413</v>
      </c>
      <c r="H77" s="60">
        <f t="shared" si="31"/>
        <v>1674.0128834439392</v>
      </c>
      <c r="I77" s="60">
        <f t="shared" si="31"/>
        <v>14002.376</v>
      </c>
      <c r="J77" s="60">
        <f t="shared" si="31"/>
        <v>767.5304786666667</v>
      </c>
      <c r="K77" s="60">
        <f t="shared" si="31"/>
        <v>482.84700000000004</v>
      </c>
      <c r="L77" s="60">
        <f t="shared" si="31"/>
        <v>2073.088865151515</v>
      </c>
      <c r="M77" s="60">
        <f t="shared" si="31"/>
        <v>1477.1700406060606</v>
      </c>
      <c r="N77" s="60">
        <f t="shared" si="31"/>
        <v>11792</v>
      </c>
      <c r="O77" s="60">
        <f t="shared" si="31"/>
        <v>0</v>
      </c>
      <c r="P77" s="100">
        <f t="shared" si="30"/>
        <v>53639.736743501264</v>
      </c>
      <c r="Q77" s="52"/>
      <c r="R77" s="52"/>
      <c r="S77" s="52"/>
      <c r="T77" s="52"/>
      <c r="U77" s="52"/>
      <c r="V77" s="52"/>
      <c r="W77" s="42"/>
      <c r="AC77" s="38"/>
      <c r="AD77" s="38"/>
      <c r="AE77" s="38"/>
      <c r="AF77" s="38"/>
      <c r="AG77" s="38"/>
      <c r="AH77" s="38"/>
      <c r="AI77" s="38"/>
    </row>
    <row r="78" spans="2:35" s="44" customFormat="1" ht="12.75">
      <c r="B78" s="137" t="s">
        <v>141</v>
      </c>
      <c r="C78" s="60">
        <f>$P$10*C77</f>
        <v>31.076</v>
      </c>
      <c r="D78" s="60">
        <f aca="true" t="shared" si="32" ref="D78:O78">$P$10*D77</f>
        <v>159.05200000000002</v>
      </c>
      <c r="E78" s="60">
        <f t="shared" si="32"/>
        <v>1147.5</v>
      </c>
      <c r="F78" s="60">
        <f t="shared" si="32"/>
        <v>18.520995825333337</v>
      </c>
      <c r="G78" s="60">
        <f t="shared" si="32"/>
        <v>97.05938451771608</v>
      </c>
      <c r="H78" s="60">
        <f t="shared" si="32"/>
        <v>113.83287607418788</v>
      </c>
      <c r="I78" s="60">
        <f t="shared" si="32"/>
        <v>952.1615680000001</v>
      </c>
      <c r="J78" s="60">
        <f t="shared" si="32"/>
        <v>52.19207254933334</v>
      </c>
      <c r="K78" s="60">
        <f t="shared" si="32"/>
        <v>32.83359600000001</v>
      </c>
      <c r="L78" s="60">
        <f t="shared" si="32"/>
        <v>140.97004283030304</v>
      </c>
      <c r="M78" s="60">
        <f t="shared" si="32"/>
        <v>100.44756276121213</v>
      </c>
      <c r="N78" s="60">
        <f t="shared" si="32"/>
        <v>801.8560000000001</v>
      </c>
      <c r="O78" s="60">
        <f t="shared" si="32"/>
        <v>0</v>
      </c>
      <c r="P78" s="100">
        <f t="shared" si="30"/>
        <v>3647.5020985580863</v>
      </c>
      <c r="Q78" s="52"/>
      <c r="R78" s="52"/>
      <c r="S78" s="52"/>
      <c r="T78" s="52"/>
      <c r="U78" s="52"/>
      <c r="V78" s="52"/>
      <c r="W78" s="42"/>
      <c r="AC78" s="38"/>
      <c r="AD78" s="38"/>
      <c r="AE78" s="38"/>
      <c r="AF78" s="38"/>
      <c r="AG78" s="38"/>
      <c r="AH78" s="38"/>
      <c r="AI78" s="38"/>
    </row>
    <row r="79" spans="2:35" s="44" customFormat="1" ht="12.75">
      <c r="B79" s="2" t="s">
        <v>142</v>
      </c>
      <c r="C79" s="60">
        <f>C76+C78</f>
        <v>43.076</v>
      </c>
      <c r="D79" s="60">
        <f aca="true" t="shared" si="33" ref="D79:O79">D76+D78</f>
        <v>213.05200000000002</v>
      </c>
      <c r="E79" s="60">
        <f t="shared" si="33"/>
        <v>1535.5</v>
      </c>
      <c r="F79" s="60">
        <f t="shared" si="33"/>
        <v>24.86024538088889</v>
      </c>
      <c r="G79" s="60">
        <f t="shared" si="33"/>
        <v>396.52558747410177</v>
      </c>
      <c r="H79" s="60">
        <f t="shared" si="33"/>
        <v>158.48553377822827</v>
      </c>
      <c r="I79" s="60">
        <f t="shared" si="33"/>
        <v>1275.5285680000002</v>
      </c>
      <c r="J79" s="60">
        <f t="shared" si="33"/>
        <v>70.64566677155557</v>
      </c>
      <c r="K79" s="60">
        <f t="shared" si="33"/>
        <v>55.685596000000004</v>
      </c>
      <c r="L79" s="60">
        <f t="shared" si="33"/>
        <v>282.9927993959596</v>
      </c>
      <c r="M79" s="60">
        <f t="shared" si="33"/>
        <v>142.37580235717172</v>
      </c>
      <c r="N79" s="60">
        <f t="shared" si="33"/>
        <v>1521.8560000000002</v>
      </c>
      <c r="O79" s="60">
        <f t="shared" si="33"/>
        <v>0</v>
      </c>
      <c r="P79" s="100">
        <f t="shared" si="30"/>
        <v>5720.5837991579065</v>
      </c>
      <c r="Q79" s="52"/>
      <c r="R79" s="52"/>
      <c r="S79" s="52"/>
      <c r="T79" s="52"/>
      <c r="U79" s="52"/>
      <c r="V79" s="52"/>
      <c r="W79" s="42"/>
      <c r="AC79" s="38"/>
      <c r="AD79" s="38"/>
      <c r="AE79" s="38"/>
      <c r="AF79" s="38"/>
      <c r="AG79" s="38"/>
      <c r="AH79" s="38"/>
      <c r="AI79" s="38"/>
    </row>
    <row r="80" spans="2:35" s="44" customFormat="1" ht="12.75">
      <c r="B80" s="137" t="s">
        <v>144</v>
      </c>
      <c r="C80" s="60">
        <f>C79*(1+CPI!$E$16)</f>
        <v>43.851368</v>
      </c>
      <c r="D80" s="60">
        <f>D79*(1+CPI!$E$16)</f>
        <v>216.88693600000002</v>
      </c>
      <c r="E80" s="60">
        <f>E79*(1+CPI!$E$16)</f>
        <v>1563.1390000000001</v>
      </c>
      <c r="F80" s="60">
        <f>F79*(1+CPI!$E$16)</f>
        <v>25.30772979774489</v>
      </c>
      <c r="G80" s="60">
        <f>G79*(1+CPI!$E$16)</f>
        <v>403.66304804863563</v>
      </c>
      <c r="H80" s="60">
        <f>H79*(1+CPI!$E$16)</f>
        <v>161.33827338623638</v>
      </c>
      <c r="I80" s="60">
        <f>I79*(1+CPI!$E$16)</f>
        <v>1298.4880822240002</v>
      </c>
      <c r="J80" s="60">
        <f>J79*(1+CPI!$E$16)</f>
        <v>71.91728877344357</v>
      </c>
      <c r="K80" s="60">
        <f>K79*(1+CPI!$E$16)</f>
        <v>56.687936728000004</v>
      </c>
      <c r="L80" s="60">
        <f>L79*(1+CPI!$E$16)</f>
        <v>288.0866697850869</v>
      </c>
      <c r="M80" s="60">
        <f>M79*(1+CPI!$E$16)</f>
        <v>144.9385667996008</v>
      </c>
      <c r="N80" s="60">
        <f>N79*(1+CPI!$E$16)</f>
        <v>1549.2494080000004</v>
      </c>
      <c r="O80" s="60">
        <f>O79*(1+CPI!$E$16)</f>
        <v>0</v>
      </c>
      <c r="P80" s="100">
        <f t="shared" si="30"/>
        <v>5823.5543075427495</v>
      </c>
      <c r="Q80" s="52"/>
      <c r="R80" s="52"/>
      <c r="S80" s="52"/>
      <c r="T80" s="52"/>
      <c r="U80" s="52"/>
      <c r="V80" s="52"/>
      <c r="W80" s="42"/>
      <c r="AC80" s="38"/>
      <c r="AD80" s="38"/>
      <c r="AE80" s="38"/>
      <c r="AF80" s="38"/>
      <c r="AG80" s="38"/>
      <c r="AH80" s="38"/>
      <c r="AI80" s="38"/>
    </row>
    <row r="81" spans="2:35" s="44" customFormat="1" ht="12.75">
      <c r="B81" s="157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2"/>
      <c r="R81" s="52"/>
      <c r="S81" s="52"/>
      <c r="T81" s="52"/>
      <c r="U81" s="52"/>
      <c r="V81" s="52"/>
      <c r="W81" s="42"/>
      <c r="AC81" s="38"/>
      <c r="AD81" s="38"/>
      <c r="AE81" s="38"/>
      <c r="AF81" s="38"/>
      <c r="AG81" s="38"/>
      <c r="AH81" s="38"/>
      <c r="AI81" s="38"/>
    </row>
    <row r="82" spans="2:35" s="44" customFormat="1" ht="12.75">
      <c r="B82" s="72" t="s">
        <v>182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2"/>
      <c r="R82" s="52"/>
      <c r="S82" s="52"/>
      <c r="T82" s="52"/>
      <c r="U82" s="52"/>
      <c r="V82" s="52"/>
      <c r="W82" s="42"/>
      <c r="AC82" s="38"/>
      <c r="AD82" s="38"/>
      <c r="AE82" s="38"/>
      <c r="AF82" s="38"/>
      <c r="AG82" s="38"/>
      <c r="AH82" s="38"/>
      <c r="AI82" s="38"/>
    </row>
    <row r="83" spans="2:35" s="44" customFormat="1" ht="12.75">
      <c r="B83" s="1" t="s">
        <v>183</v>
      </c>
      <c r="C83" s="59">
        <v>388</v>
      </c>
      <c r="D83" s="59">
        <v>519</v>
      </c>
      <c r="E83" s="59">
        <v>28372</v>
      </c>
      <c r="F83" s="59">
        <v>285.39106000000004</v>
      </c>
      <c r="G83" s="59">
        <v>1414.81228</v>
      </c>
      <c r="H83" s="59">
        <v>1473.1436899999999</v>
      </c>
      <c r="I83" s="59">
        <v>16352.74</v>
      </c>
      <c r="J83" s="59">
        <v>941.5768499999999</v>
      </c>
      <c r="K83" s="59">
        <v>639.4</v>
      </c>
      <c r="L83" s="59">
        <v>3504.2639999999997</v>
      </c>
      <c r="M83" s="59">
        <v>2298.002</v>
      </c>
      <c r="N83" s="59">
        <v>26283</v>
      </c>
      <c r="O83" s="59">
        <v>0</v>
      </c>
      <c r="P83" s="100">
        <f aca="true" t="shared" si="34" ref="P83:P91">SUM(C83:O83)</f>
        <v>82471.32988</v>
      </c>
      <c r="Q83" s="52"/>
      <c r="R83" s="52"/>
      <c r="S83" s="52"/>
      <c r="T83" s="52"/>
      <c r="U83" s="52"/>
      <c r="V83" s="52"/>
      <c r="W83" s="42"/>
      <c r="AC83" s="38"/>
      <c r="AD83" s="38"/>
      <c r="AE83" s="38"/>
      <c r="AF83" s="38"/>
      <c r="AG83" s="38"/>
      <c r="AH83" s="38"/>
      <c r="AI83" s="38"/>
    </row>
    <row r="84" spans="2:35" s="44" customFormat="1" ht="12.75">
      <c r="B84" s="137" t="s">
        <v>184</v>
      </c>
      <c r="C84" s="59">
        <v>5</v>
      </c>
      <c r="D84" s="59">
        <v>5</v>
      </c>
      <c r="E84" s="59">
        <v>326.06384335396297</v>
      </c>
      <c r="F84" s="59">
        <v>3.1706062222222227</v>
      </c>
      <c r="G84" s="59">
        <v>129.2757123989899</v>
      </c>
      <c r="H84" s="59">
        <v>18.64320466969697</v>
      </c>
      <c r="I84" s="59">
        <v>185.651</v>
      </c>
      <c r="J84" s="59">
        <v>10.902170555555555</v>
      </c>
      <c r="K84" s="59">
        <v>30.19</v>
      </c>
      <c r="L84" s="59">
        <v>175.17234393939393</v>
      </c>
      <c r="M84" s="59">
        <v>41.96423585858586</v>
      </c>
      <c r="N84" s="59">
        <v>600</v>
      </c>
      <c r="O84" s="59">
        <v>0</v>
      </c>
      <c r="P84" s="100">
        <f t="shared" si="34"/>
        <v>1531.0331169984074</v>
      </c>
      <c r="Q84" s="52"/>
      <c r="R84" s="52"/>
      <c r="S84" s="52"/>
      <c r="T84" s="52"/>
      <c r="U84" s="52"/>
      <c r="V84" s="52"/>
      <c r="W84" s="42"/>
      <c r="AC84" s="38"/>
      <c r="AD84" s="38"/>
      <c r="AE84" s="38"/>
      <c r="AF84" s="38"/>
      <c r="AG84" s="38"/>
      <c r="AH84" s="38"/>
      <c r="AI84" s="38"/>
    </row>
    <row r="85" spans="2:35" s="44" customFormat="1" ht="12.75">
      <c r="B85" s="3" t="s">
        <v>44</v>
      </c>
      <c r="C85" s="60">
        <f>C83-C84</f>
        <v>383</v>
      </c>
      <c r="D85" s="60">
        <f aca="true" t="shared" si="35" ref="D85:O85">D83-D84</f>
        <v>514</v>
      </c>
      <c r="E85" s="60">
        <f t="shared" si="35"/>
        <v>28045.936156646036</v>
      </c>
      <c r="F85" s="60">
        <f t="shared" si="35"/>
        <v>282.22045377777783</v>
      </c>
      <c r="G85" s="60">
        <f t="shared" si="35"/>
        <v>1285.5365676010101</v>
      </c>
      <c r="H85" s="60">
        <f t="shared" si="35"/>
        <v>1454.5004853303028</v>
      </c>
      <c r="I85" s="60">
        <f t="shared" si="35"/>
        <v>16167.089</v>
      </c>
      <c r="J85" s="60">
        <f t="shared" si="35"/>
        <v>930.6746794444443</v>
      </c>
      <c r="K85" s="60">
        <f t="shared" si="35"/>
        <v>609.2099999999999</v>
      </c>
      <c r="L85" s="60">
        <f t="shared" si="35"/>
        <v>3329.0916560606056</v>
      </c>
      <c r="M85" s="60">
        <f t="shared" si="35"/>
        <v>2256.0377641414143</v>
      </c>
      <c r="N85" s="60">
        <f t="shared" si="35"/>
        <v>25683</v>
      </c>
      <c r="O85" s="60">
        <f t="shared" si="35"/>
        <v>0</v>
      </c>
      <c r="P85" s="100">
        <f t="shared" si="34"/>
        <v>80940.29676300159</v>
      </c>
      <c r="Q85" s="52"/>
      <c r="R85" s="52"/>
      <c r="S85" s="52"/>
      <c r="T85" s="52"/>
      <c r="U85" s="52"/>
      <c r="V85" s="52"/>
      <c r="W85" s="42"/>
      <c r="AC85" s="38"/>
      <c r="AD85" s="38"/>
      <c r="AE85" s="38"/>
      <c r="AF85" s="38"/>
      <c r="AG85" s="38"/>
      <c r="AH85" s="38"/>
      <c r="AI85" s="38"/>
    </row>
    <row r="86" spans="2:35" s="44" customFormat="1" ht="12.75">
      <c r="B86" s="137" t="s">
        <v>145</v>
      </c>
      <c r="C86" s="60">
        <f>$P$10*C85</f>
        <v>26.044</v>
      </c>
      <c r="D86" s="60">
        <f aca="true" t="shared" si="36" ref="D86:O86">$P$10*D85</f>
        <v>34.952000000000005</v>
      </c>
      <c r="E86" s="60">
        <f t="shared" si="36"/>
        <v>1907.1236586519306</v>
      </c>
      <c r="F86" s="60">
        <f t="shared" si="36"/>
        <v>19.190990856888895</v>
      </c>
      <c r="G86" s="60">
        <f t="shared" si="36"/>
        <v>87.4164865968687</v>
      </c>
      <c r="H86" s="60">
        <f t="shared" si="36"/>
        <v>98.9060330024606</v>
      </c>
      <c r="I86" s="60">
        <f t="shared" si="36"/>
        <v>1099.3620520000002</v>
      </c>
      <c r="J86" s="60">
        <f t="shared" si="36"/>
        <v>63.28587820222222</v>
      </c>
      <c r="K86" s="60">
        <f t="shared" si="36"/>
        <v>41.42628</v>
      </c>
      <c r="L86" s="60">
        <f t="shared" si="36"/>
        <v>226.3782326121212</v>
      </c>
      <c r="M86" s="60">
        <f t="shared" si="36"/>
        <v>153.41056796161618</v>
      </c>
      <c r="N86" s="60">
        <f t="shared" si="36"/>
        <v>1746.4440000000002</v>
      </c>
      <c r="O86" s="60">
        <f t="shared" si="36"/>
        <v>0</v>
      </c>
      <c r="P86" s="100">
        <f t="shared" si="34"/>
        <v>5503.940179884109</v>
      </c>
      <c r="Q86" s="52"/>
      <c r="R86" s="52"/>
      <c r="S86" s="52"/>
      <c r="T86" s="52"/>
      <c r="U86" s="52"/>
      <c r="V86" s="52"/>
      <c r="W86" s="42"/>
      <c r="AC86" s="38"/>
      <c r="AD86" s="38"/>
      <c r="AE86" s="38"/>
      <c r="AF86" s="38"/>
      <c r="AG86" s="38"/>
      <c r="AH86" s="38"/>
      <c r="AI86" s="38"/>
    </row>
    <row r="87" spans="2:35" s="44" customFormat="1" ht="12.75">
      <c r="B87" s="137" t="s">
        <v>146</v>
      </c>
      <c r="C87" s="60">
        <f>C84+C86</f>
        <v>31.044</v>
      </c>
      <c r="D87" s="60">
        <f aca="true" t="shared" si="37" ref="D87:O87">D84+D86</f>
        <v>39.952000000000005</v>
      </c>
      <c r="E87" s="60">
        <f t="shared" si="37"/>
        <v>2233.1875020058933</v>
      </c>
      <c r="F87" s="60">
        <f t="shared" si="37"/>
        <v>22.361597079111117</v>
      </c>
      <c r="G87" s="60">
        <f t="shared" si="37"/>
        <v>216.69219899585858</v>
      </c>
      <c r="H87" s="60">
        <f t="shared" si="37"/>
        <v>117.54923767215757</v>
      </c>
      <c r="I87" s="60">
        <f t="shared" si="37"/>
        <v>1285.0130520000002</v>
      </c>
      <c r="J87" s="60">
        <f t="shared" si="37"/>
        <v>74.18804875777778</v>
      </c>
      <c r="K87" s="60">
        <f t="shared" si="37"/>
        <v>71.61628</v>
      </c>
      <c r="L87" s="60">
        <f t="shared" si="37"/>
        <v>401.5505765515151</v>
      </c>
      <c r="M87" s="60">
        <f t="shared" si="37"/>
        <v>195.37480382020203</v>
      </c>
      <c r="N87" s="60">
        <f t="shared" si="37"/>
        <v>2346.4440000000004</v>
      </c>
      <c r="O87" s="60">
        <f t="shared" si="37"/>
        <v>0</v>
      </c>
      <c r="P87" s="100">
        <f t="shared" si="34"/>
        <v>7034.9732968825165</v>
      </c>
      <c r="Q87" s="52"/>
      <c r="R87" s="52"/>
      <c r="S87" s="52"/>
      <c r="T87" s="52"/>
      <c r="U87" s="52"/>
      <c r="V87" s="52"/>
      <c r="W87" s="42"/>
      <c r="AC87" s="38"/>
      <c r="AD87" s="38"/>
      <c r="AE87" s="38"/>
      <c r="AF87" s="38"/>
      <c r="AG87" s="38"/>
      <c r="AH87" s="38"/>
      <c r="AI87" s="38"/>
    </row>
    <row r="89" spans="2:35" s="44" customFormat="1" ht="12.75">
      <c r="B89" s="137" t="s">
        <v>147</v>
      </c>
      <c r="C89" s="66">
        <f>C72+C80+C87</f>
        <v>9549.824802264824</v>
      </c>
      <c r="D89" s="66">
        <f aca="true" t="shared" si="38" ref="D89:O89">D72+D80+D87</f>
        <v>10653.273490093783</v>
      </c>
      <c r="E89" s="66">
        <f t="shared" si="38"/>
        <v>148479.31215357335</v>
      </c>
      <c r="F89" s="66">
        <f t="shared" si="38"/>
        <v>3066.941059530907</v>
      </c>
      <c r="G89" s="66">
        <f t="shared" si="38"/>
        <v>23043.853382499834</v>
      </c>
      <c r="H89" s="66">
        <f t="shared" si="38"/>
        <v>18438.59356073563</v>
      </c>
      <c r="I89" s="66">
        <f t="shared" si="38"/>
        <v>175470.6948619793</v>
      </c>
      <c r="J89" s="66">
        <f t="shared" si="38"/>
        <v>17228.566726967907</v>
      </c>
      <c r="K89" s="66">
        <f t="shared" si="38"/>
        <v>1785.8120103757844</v>
      </c>
      <c r="L89" s="66">
        <f t="shared" si="38"/>
        <v>17958.975800975615</v>
      </c>
      <c r="M89" s="66">
        <f t="shared" si="38"/>
        <v>14189.04868925306</v>
      </c>
      <c r="N89" s="66">
        <f t="shared" si="38"/>
        <v>106441.47366128366</v>
      </c>
      <c r="O89" s="66">
        <f t="shared" si="38"/>
        <v>0</v>
      </c>
      <c r="P89" s="66">
        <f t="shared" si="34"/>
        <v>546306.3701995336</v>
      </c>
      <c r="Q89" s="52"/>
      <c r="R89" s="52"/>
      <c r="S89" s="52"/>
      <c r="T89" s="52"/>
      <c r="U89" s="52"/>
      <c r="V89" s="52"/>
      <c r="W89" s="42"/>
      <c r="AC89" s="38"/>
      <c r="AD89" s="38"/>
      <c r="AE89" s="38"/>
      <c r="AF89" s="38"/>
      <c r="AG89" s="38"/>
      <c r="AH89" s="38"/>
      <c r="AI89" s="38"/>
    </row>
    <row r="90" spans="3:35" s="44" customFormat="1" ht="12.7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2"/>
      <c r="R90" s="52"/>
      <c r="S90" s="52"/>
      <c r="T90" s="52"/>
      <c r="U90" s="52"/>
      <c r="V90" s="52"/>
      <c r="W90" s="42"/>
      <c r="AC90" s="38"/>
      <c r="AD90" s="38"/>
      <c r="AE90" s="38"/>
      <c r="AF90" s="38"/>
      <c r="AG90" s="38"/>
      <c r="AH90" s="38"/>
      <c r="AI90" s="38"/>
    </row>
    <row r="91" spans="2:35" s="44" customFormat="1" ht="12.75">
      <c r="B91" s="45" t="s">
        <v>46</v>
      </c>
      <c r="C91" s="66">
        <f aca="true" t="shared" si="39" ref="C91:O91">C60+C89</f>
        <v>18551.824802264826</v>
      </c>
      <c r="D91" s="66">
        <f t="shared" si="39"/>
        <v>19490.381374560988</v>
      </c>
      <c r="E91" s="66">
        <f t="shared" si="39"/>
        <v>234710.53813011537</v>
      </c>
      <c r="F91" s="66">
        <f t="shared" si="39"/>
        <v>7153.941059530907</v>
      </c>
      <c r="G91" s="66">
        <f t="shared" si="39"/>
        <v>28243.796436165347</v>
      </c>
      <c r="H91" s="66">
        <f t="shared" si="39"/>
        <v>22662.29640159264</v>
      </c>
      <c r="I91" s="66">
        <f t="shared" si="39"/>
        <v>271768.16877443786</v>
      </c>
      <c r="J91" s="66">
        <f t="shared" si="39"/>
        <v>26452.566726967907</v>
      </c>
      <c r="K91" s="66">
        <f t="shared" si="39"/>
        <v>3763.4020103757844</v>
      </c>
      <c r="L91" s="66">
        <f t="shared" si="39"/>
        <v>22988.338800975616</v>
      </c>
      <c r="M91" s="66">
        <f t="shared" si="39"/>
        <v>20012.610109609726</v>
      </c>
      <c r="N91" s="66">
        <f t="shared" si="39"/>
        <v>189160.47366128367</v>
      </c>
      <c r="O91" s="66">
        <f t="shared" si="39"/>
        <v>0</v>
      </c>
      <c r="P91" s="66">
        <f t="shared" si="34"/>
        <v>864958.3382878806</v>
      </c>
      <c r="Q91" s="52"/>
      <c r="R91" s="52"/>
      <c r="S91" s="52"/>
      <c r="T91" s="52"/>
      <c r="U91" s="52"/>
      <c r="V91" s="52"/>
      <c r="W91" s="41"/>
      <c r="AC91" s="41"/>
      <c r="AD91" s="41"/>
      <c r="AE91" s="41"/>
      <c r="AF91" s="41"/>
      <c r="AG91" s="41"/>
      <c r="AH91" s="41"/>
      <c r="AI91" s="41"/>
    </row>
    <row r="93" spans="2:22" s="21" customFormat="1" ht="12.75">
      <c r="B93" s="20" t="s">
        <v>127</v>
      </c>
      <c r="Q93" s="27"/>
      <c r="R93" s="27"/>
      <c r="S93" s="27"/>
      <c r="T93" s="27"/>
      <c r="U93" s="27"/>
      <c r="V93" s="27"/>
    </row>
    <row r="95" spans="2:16" ht="12.75">
      <c r="B95" s="45" t="s">
        <v>185</v>
      </c>
      <c r="C95" s="57">
        <v>0</v>
      </c>
      <c r="D95" s="57">
        <v>1091.5384391055477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85.90837249999998</v>
      </c>
      <c r="O95" s="57">
        <v>1053.3791275</v>
      </c>
      <c r="P95" s="100">
        <f>SUM(C95:O95)</f>
        <v>2230.825939105548</v>
      </c>
    </row>
    <row r="97" spans="2:16" ht="12.75">
      <c r="B97" s="48" t="s">
        <v>40</v>
      </c>
      <c r="C97" s="62">
        <f>C60+C95</f>
        <v>9002</v>
      </c>
      <c r="D97" s="62">
        <f aca="true" t="shared" si="40" ref="D97:O97">D60+D95</f>
        <v>9928.646323572753</v>
      </c>
      <c r="E97" s="62">
        <f t="shared" si="40"/>
        <v>86231.22597654202</v>
      </c>
      <c r="F97" s="62">
        <f t="shared" si="40"/>
        <v>4087</v>
      </c>
      <c r="G97" s="62">
        <f t="shared" si="40"/>
        <v>5199.943053665512</v>
      </c>
      <c r="H97" s="62">
        <f t="shared" si="40"/>
        <v>4223.702840857012</v>
      </c>
      <c r="I97" s="62">
        <f t="shared" si="40"/>
        <v>96297.47391245856</v>
      </c>
      <c r="J97" s="62">
        <f t="shared" si="40"/>
        <v>9224</v>
      </c>
      <c r="K97" s="62">
        <f t="shared" si="40"/>
        <v>1977.59</v>
      </c>
      <c r="L97" s="62">
        <f t="shared" si="40"/>
        <v>5029.363</v>
      </c>
      <c r="M97" s="62">
        <f t="shared" si="40"/>
        <v>5823.561420356665</v>
      </c>
      <c r="N97" s="62">
        <f t="shared" si="40"/>
        <v>82804.9083725</v>
      </c>
      <c r="O97" s="62">
        <f t="shared" si="40"/>
        <v>1053.3791275</v>
      </c>
      <c r="P97" s="100">
        <f>SUM(C97:O97)</f>
        <v>320882.79402745253</v>
      </c>
    </row>
    <row r="99" ht="12.75">
      <c r="B99" s="72" t="s">
        <v>186</v>
      </c>
    </row>
    <row r="100" spans="2:35" s="44" customFormat="1" ht="12.75">
      <c r="B100" s="2" t="s">
        <v>188</v>
      </c>
      <c r="C100" s="59"/>
      <c r="D100" s="59">
        <v>11304.802723444445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60">
        <f>SUM(Q100:R100)</f>
        <v>339.23826374999993</v>
      </c>
      <c r="O100" s="59">
        <v>44840.59648755694</v>
      </c>
      <c r="P100" s="100">
        <f aca="true" t="shared" si="41" ref="P100:P112">SUM(C100:O100)</f>
        <v>56484.637474751384</v>
      </c>
      <c r="Q100" s="67">
        <v>339.23826374999993</v>
      </c>
      <c r="R100" s="67"/>
      <c r="S100" s="52"/>
      <c r="T100" s="52"/>
      <c r="U100" s="52"/>
      <c r="V100" s="52"/>
      <c r="W100" s="42"/>
      <c r="AC100" s="38"/>
      <c r="AD100" s="38"/>
      <c r="AE100" s="38"/>
      <c r="AF100" s="38"/>
      <c r="AG100" s="38"/>
      <c r="AH100" s="38"/>
      <c r="AI100" s="38"/>
    </row>
    <row r="101" spans="2:16" ht="12.75">
      <c r="B101" s="1" t="s">
        <v>187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41.211769999999994</v>
      </c>
      <c r="P101" s="100">
        <f t="shared" si="41"/>
        <v>41.211769999999994</v>
      </c>
    </row>
    <row r="102" spans="2:18" ht="12.75">
      <c r="B102" s="137" t="s">
        <v>189</v>
      </c>
      <c r="C102" s="63"/>
      <c r="D102" s="63">
        <v>244.21601955712333</v>
      </c>
      <c r="E102" s="63">
        <v>0</v>
      </c>
      <c r="F102" s="63"/>
      <c r="G102" s="63"/>
      <c r="H102" s="63"/>
      <c r="I102" s="63"/>
      <c r="J102" s="63"/>
      <c r="K102" s="63"/>
      <c r="L102" s="63"/>
      <c r="M102" s="63"/>
      <c r="N102" s="60">
        <f>SUM(Q102:R102)</f>
        <v>7.101472037827224</v>
      </c>
      <c r="O102" s="63">
        <v>998.9794806833663</v>
      </c>
      <c r="P102" s="100">
        <f t="shared" si="41"/>
        <v>1250.2969722783168</v>
      </c>
      <c r="Q102" s="67">
        <v>7.101472037827224</v>
      </c>
      <c r="R102" s="58"/>
    </row>
    <row r="103" spans="2:16" ht="12.75">
      <c r="B103" s="3" t="s">
        <v>190</v>
      </c>
      <c r="C103" s="61">
        <f>C100-C102+C101</f>
        <v>0</v>
      </c>
      <c r="D103" s="61">
        <f aca="true" t="shared" si="42" ref="D103:O103">D100-D102+D101</f>
        <v>11060.586703887322</v>
      </c>
      <c r="E103" s="61">
        <f t="shared" si="42"/>
        <v>0</v>
      </c>
      <c r="F103" s="61">
        <f t="shared" si="42"/>
        <v>0</v>
      </c>
      <c r="G103" s="61">
        <f t="shared" si="42"/>
        <v>0</v>
      </c>
      <c r="H103" s="61">
        <f t="shared" si="42"/>
        <v>0</v>
      </c>
      <c r="I103" s="61">
        <f t="shared" si="42"/>
        <v>0</v>
      </c>
      <c r="J103" s="61">
        <f t="shared" si="42"/>
        <v>0</v>
      </c>
      <c r="K103" s="61">
        <f t="shared" si="42"/>
        <v>0</v>
      </c>
      <c r="L103" s="61">
        <f t="shared" si="42"/>
        <v>0</v>
      </c>
      <c r="M103" s="61">
        <f t="shared" si="42"/>
        <v>0</v>
      </c>
      <c r="N103" s="61">
        <f t="shared" si="42"/>
        <v>332.1367917121727</v>
      </c>
      <c r="O103" s="61">
        <f t="shared" si="42"/>
        <v>43882.828776873575</v>
      </c>
      <c r="P103" s="100">
        <f t="shared" si="41"/>
        <v>55275.55227247307</v>
      </c>
    </row>
    <row r="104" ht="12.75">
      <c r="B104" s="137"/>
    </row>
    <row r="105" spans="2:16" ht="12.75">
      <c r="B105" s="2" t="s">
        <v>148</v>
      </c>
      <c r="C105" s="61">
        <f>C69*(1+CPI!$D$16)*$P$11</f>
        <v>5036.868865758436</v>
      </c>
      <c r="D105" s="61">
        <f>D69*(1+CPI!$D$16)*$P$11</f>
        <v>5696.7070678890905</v>
      </c>
      <c r="E105" s="61">
        <f>E69*(1+CPI!$D$16)*$P$11</f>
        <v>77476.6337892754</v>
      </c>
      <c r="F105" s="61">
        <f>F69*(1+CPI!$D$16)*$P$11</f>
        <v>1628.7589394414858</v>
      </c>
      <c r="G105" s="61">
        <f>G69*(1+CPI!$D$16)*$P$11</f>
        <v>12952.002971848684</v>
      </c>
      <c r="H105" s="61">
        <f>H69*(1+CPI!$D$16)*$P$11</f>
        <v>9948.136700325533</v>
      </c>
      <c r="I105" s="61">
        <f>I69*(1+CPI!$D$16)*$P$11</f>
        <v>95689.73729015917</v>
      </c>
      <c r="J105" s="61">
        <f>J69*(1+CPI!$D$16)*$P$11</f>
        <v>9323.411994883814</v>
      </c>
      <c r="K105" s="61">
        <f>K69*(1+CPI!$D$16)*$P$11</f>
        <v>898.3905370112559</v>
      </c>
      <c r="L105" s="61">
        <f>L69*(1+CPI!$D$16)*$P$11</f>
        <v>9219.271491703588</v>
      </c>
      <c r="M105" s="61">
        <f>M69*(1+CPI!$D$16)*$P$11</f>
        <v>7035.509449585836</v>
      </c>
      <c r="N105" s="61">
        <f>N69*(1+CPI!$D$16)*$P$11</f>
        <v>55538.92894307176</v>
      </c>
      <c r="O105" s="61">
        <f>O69*(1+CPI!$D$16)*$P$11</f>
        <v>0</v>
      </c>
      <c r="P105" s="100">
        <f t="shared" si="41"/>
        <v>290444.35804095404</v>
      </c>
    </row>
    <row r="106" spans="2:16" ht="12.75">
      <c r="B106" s="2" t="s">
        <v>149</v>
      </c>
      <c r="C106" s="61">
        <f>C77*(1+CPI!$E$16)*$P$11</f>
        <v>25.58743</v>
      </c>
      <c r="D106" s="61">
        <f>D77*(1+CPI!$E$16)*$P$11</f>
        <v>130.96061</v>
      </c>
      <c r="E106" s="61">
        <f>E77*(1+CPI!$E$16)*$P$11</f>
        <v>944.83125</v>
      </c>
      <c r="F106" s="61">
        <f>F77*(1+CPI!$E$16)*$P$11</f>
        <v>15.24986112147667</v>
      </c>
      <c r="G106" s="61">
        <f>G77*(1+CPI!$E$16)*$P$11</f>
        <v>79.91698439921946</v>
      </c>
      <c r="H106" s="61">
        <f>H77*(1+CPI!$E$16)*$P$11</f>
        <v>93.72798134402616</v>
      </c>
      <c r="I106" s="61">
        <f>I77*(1+CPI!$E$16)*$P$11</f>
        <v>783.9930322399999</v>
      </c>
      <c r="J106" s="61">
        <f>J77*(1+CPI!$E$16)*$P$11</f>
        <v>42.974031500546666</v>
      </c>
      <c r="K106" s="61">
        <f>K77*(1+CPI!$E$16)*$P$11</f>
        <v>27.034603530000005</v>
      </c>
      <c r="L106" s="61">
        <f>L77*(1+CPI!$E$16)*$P$11</f>
        <v>116.07224555983335</v>
      </c>
      <c r="M106" s="61">
        <f>M77*(1+CPI!$E$16)*$P$11</f>
        <v>82.70675057353334</v>
      </c>
      <c r="N106" s="61">
        <f>N77*(1+CPI!$E$16)*$P$11</f>
        <v>660.23408</v>
      </c>
      <c r="O106" s="61">
        <f>O77*(1+CPI!$E$16)*$P$11</f>
        <v>0</v>
      </c>
      <c r="P106" s="100">
        <f t="shared" si="41"/>
        <v>3003.2888602686353</v>
      </c>
    </row>
    <row r="107" spans="2:16" ht="12.75">
      <c r="B107" s="2" t="s">
        <v>150</v>
      </c>
      <c r="C107" s="61">
        <f>(C85+C103)*$P$11</f>
        <v>21.065</v>
      </c>
      <c r="D107" s="61">
        <f aca="true" t="shared" si="43" ref="D107:O107">(D85+D103)*$P$11</f>
        <v>636.6022687138027</v>
      </c>
      <c r="E107" s="61">
        <f t="shared" si="43"/>
        <v>1542.526488615532</v>
      </c>
      <c r="F107" s="61">
        <f t="shared" si="43"/>
        <v>15.52212495777778</v>
      </c>
      <c r="G107" s="61">
        <f t="shared" si="43"/>
        <v>70.70451121805556</v>
      </c>
      <c r="H107" s="61">
        <f t="shared" si="43"/>
        <v>79.99752669316665</v>
      </c>
      <c r="I107" s="61">
        <f t="shared" si="43"/>
        <v>889.189895</v>
      </c>
      <c r="J107" s="61">
        <f t="shared" si="43"/>
        <v>51.18710736944444</v>
      </c>
      <c r="K107" s="61">
        <f t="shared" si="43"/>
        <v>33.50655</v>
      </c>
      <c r="L107" s="61">
        <f t="shared" si="43"/>
        <v>183.1000410833333</v>
      </c>
      <c r="M107" s="61">
        <f t="shared" si="43"/>
        <v>124.08207702777779</v>
      </c>
      <c r="N107" s="61">
        <f t="shared" si="43"/>
        <v>1430.8325235441694</v>
      </c>
      <c r="O107" s="61">
        <f t="shared" si="43"/>
        <v>2413.555582728047</v>
      </c>
      <c r="P107" s="100">
        <f t="shared" si="41"/>
        <v>7491.871696951105</v>
      </c>
    </row>
    <row r="108" spans="2:16" ht="12.75">
      <c r="B108" s="1" t="s">
        <v>151</v>
      </c>
      <c r="C108" s="61">
        <f>SUM(C105:C107)</f>
        <v>5083.521295758435</v>
      </c>
      <c r="D108" s="61">
        <f aca="true" t="shared" si="44" ref="D108:O108">SUM(D105:D107)</f>
        <v>6464.2699466028935</v>
      </c>
      <c r="E108" s="61">
        <f t="shared" si="44"/>
        <v>79963.99152789093</v>
      </c>
      <c r="F108" s="61">
        <f t="shared" si="44"/>
        <v>1659.5309255207403</v>
      </c>
      <c r="G108" s="61">
        <f t="shared" si="44"/>
        <v>13102.624467465957</v>
      </c>
      <c r="H108" s="61">
        <f t="shared" si="44"/>
        <v>10121.862208362725</v>
      </c>
      <c r="I108" s="61">
        <f t="shared" si="44"/>
        <v>97362.92021739918</v>
      </c>
      <c r="J108" s="61">
        <f t="shared" si="44"/>
        <v>9417.573133753805</v>
      </c>
      <c r="K108" s="61">
        <f t="shared" si="44"/>
        <v>958.9316905412559</v>
      </c>
      <c r="L108" s="61">
        <f t="shared" si="44"/>
        <v>9518.443778346755</v>
      </c>
      <c r="M108" s="61">
        <f t="shared" si="44"/>
        <v>7242.298277187147</v>
      </c>
      <c r="N108" s="61">
        <f t="shared" si="44"/>
        <v>57629.99554661593</v>
      </c>
      <c r="O108" s="61">
        <f t="shared" si="44"/>
        <v>2413.555582728047</v>
      </c>
      <c r="P108" s="100">
        <f t="shared" si="41"/>
        <v>300939.5185981738</v>
      </c>
    </row>
    <row r="109" ht="12.75">
      <c r="B109" s="2"/>
    </row>
    <row r="110" spans="2:16" ht="12.75">
      <c r="B110" s="1" t="s">
        <v>43</v>
      </c>
      <c r="C110" s="61">
        <f>C66*(1+CPI!$D$16)+C76*(1+CPI!$E$16)+C84+C102</f>
        <v>3264.743927508938</v>
      </c>
      <c r="D110" s="61">
        <f>D66*(1+CPI!$D$16)+D76*(1+CPI!$E$16)+D84+D102</f>
        <v>3657.421107897123</v>
      </c>
      <c r="E110" s="61">
        <f>E66*(1+CPI!$D$16)+E76*(1+CPI!$E$16)+E84+E102</f>
        <v>49614.74080999913</v>
      </c>
      <c r="F110" s="61">
        <f>F66*(1+CPI!$D$16)+F76*(1+CPI!$E$16)+F84+F102</f>
        <v>1015.1573697961733</v>
      </c>
      <c r="G110" s="61">
        <f>G66*(1+CPI!$D$16)+G76*(1+CPI!$E$16)+G84+G102</f>
        <v>6844.244949996467</v>
      </c>
      <c r="H110" s="61">
        <f>H66*(1+CPI!$D$16)+H76*(1+CPI!$E$16)+H84+H102</f>
        <v>5924.291194032625</v>
      </c>
      <c r="I110" s="61">
        <f>I66*(1+CPI!$D$16)+I76*(1+CPI!$E$16)+I84+I102</f>
        <v>55094.72077501306</v>
      </c>
      <c r="J110" s="61">
        <f>J66*(1+CPI!$D$16)+J76*(1+CPI!$E$16)+J84+J102</f>
        <v>5585.021761599565</v>
      </c>
      <c r="K110" s="61">
        <f>K66*(1+CPI!$D$16)+K76*(1+CPI!$E$16)+K84+K102</f>
        <v>600.2237384338681</v>
      </c>
      <c r="L110" s="61">
        <f>L66*(1+CPI!$D$16)+L76*(1+CPI!$E$16)+L84+L102</f>
        <v>6190.7180386559885</v>
      </c>
      <c r="M110" s="61">
        <f>M66*(1+CPI!$D$16)+M76*(1+CPI!$E$16)+M84+M102</f>
        <v>5234.93445563986</v>
      </c>
      <c r="N110" s="61">
        <f>N66*(1+CPI!$D$16)+N76*(1+CPI!$E$16)+N84+N102</f>
        <v>35219.52957752367</v>
      </c>
      <c r="O110" s="61">
        <f>O66*(1+CPI!$D$16)+O76*(1+CPI!$E$16)+O84+O102</f>
        <v>998.9794806833663</v>
      </c>
      <c r="P110" s="100">
        <f t="shared" si="41"/>
        <v>179244.72718677984</v>
      </c>
    </row>
    <row r="112" spans="2:16" ht="12.75">
      <c r="B112" s="48" t="s">
        <v>45</v>
      </c>
      <c r="C112" s="66">
        <f>C108+C110</f>
        <v>8348.265223267374</v>
      </c>
      <c r="D112" s="66">
        <f aca="true" t="shared" si="45" ref="D112:O112">D108+D110</f>
        <v>10121.691054500017</v>
      </c>
      <c r="E112" s="66">
        <f t="shared" si="45"/>
        <v>129578.73233789006</v>
      </c>
      <c r="F112" s="66">
        <f t="shared" si="45"/>
        <v>2674.6882953169134</v>
      </c>
      <c r="G112" s="66">
        <f t="shared" si="45"/>
        <v>19946.869417462425</v>
      </c>
      <c r="H112" s="66">
        <f t="shared" si="45"/>
        <v>16046.15340239535</v>
      </c>
      <c r="I112" s="66">
        <f t="shared" si="45"/>
        <v>152457.64099241223</v>
      </c>
      <c r="J112" s="66">
        <f t="shared" si="45"/>
        <v>15002.59489535337</v>
      </c>
      <c r="K112" s="66">
        <f t="shared" si="45"/>
        <v>1559.1554289751239</v>
      </c>
      <c r="L112" s="66">
        <f t="shared" si="45"/>
        <v>15709.161817002743</v>
      </c>
      <c r="M112" s="66">
        <f t="shared" si="45"/>
        <v>12477.232732827008</v>
      </c>
      <c r="N112" s="66">
        <f t="shared" si="45"/>
        <v>92849.52512413959</v>
      </c>
      <c r="O112" s="66">
        <f t="shared" si="45"/>
        <v>3412.535063411413</v>
      </c>
      <c r="P112" s="66">
        <f t="shared" si="41"/>
        <v>480184.2457849535</v>
      </c>
    </row>
    <row r="114" spans="2:16" ht="12.75">
      <c r="B114" s="45" t="s">
        <v>46</v>
      </c>
      <c r="C114" s="66">
        <f aca="true" t="shared" si="46" ref="C114:O114">C97+C112</f>
        <v>17350.26522326737</v>
      </c>
      <c r="D114" s="66">
        <f t="shared" si="46"/>
        <v>20050.33737807277</v>
      </c>
      <c r="E114" s="66">
        <f t="shared" si="46"/>
        <v>215809.95831443206</v>
      </c>
      <c r="F114" s="66">
        <f t="shared" si="46"/>
        <v>6761.688295316913</v>
      </c>
      <c r="G114" s="66">
        <f t="shared" si="46"/>
        <v>25146.812471127938</v>
      </c>
      <c r="H114" s="66">
        <f t="shared" si="46"/>
        <v>20269.85624325236</v>
      </c>
      <c r="I114" s="66">
        <f t="shared" si="46"/>
        <v>248755.1149048708</v>
      </c>
      <c r="J114" s="66">
        <f t="shared" si="46"/>
        <v>24226.59489535337</v>
      </c>
      <c r="K114" s="66">
        <f t="shared" si="46"/>
        <v>3536.745428975124</v>
      </c>
      <c r="L114" s="66">
        <f t="shared" si="46"/>
        <v>20738.524817002744</v>
      </c>
      <c r="M114" s="66">
        <f t="shared" si="46"/>
        <v>18300.794153183673</v>
      </c>
      <c r="N114" s="66">
        <f t="shared" si="46"/>
        <v>175654.4334966396</v>
      </c>
      <c r="O114" s="66">
        <f t="shared" si="46"/>
        <v>4465.914190911413</v>
      </c>
      <c r="P114" s="124">
        <f>SUM(C114:O114)</f>
        <v>801067.0398124062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6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5.7109375" style="1" bestFit="1" customWidth="1"/>
    <col min="3" max="3" width="10.28125" style="1" bestFit="1" customWidth="1"/>
    <col min="4" max="4" width="10.421875" style="1" bestFit="1" customWidth="1"/>
    <col min="5" max="5" width="11.28125" style="1" bestFit="1" customWidth="1"/>
    <col min="6" max="8" width="10.421875" style="1" bestFit="1" customWidth="1"/>
    <col min="9" max="9" width="11.28125" style="1" bestFit="1" customWidth="1"/>
    <col min="10" max="13" width="10.421875" style="1" bestFit="1" customWidth="1"/>
    <col min="14" max="14" width="11.28125" style="1" bestFit="1" customWidth="1"/>
    <col min="15" max="16" width="9.7109375" style="1" customWidth="1"/>
    <col min="17" max="16384" width="9.140625" style="1" customWidth="1"/>
  </cols>
  <sheetData>
    <row r="1" ht="12.75"/>
    <row r="2" spans="2:21" s="4" customFormat="1" ht="201">
      <c r="B2" s="18" t="s">
        <v>28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19" t="s">
        <v>65</v>
      </c>
      <c r="Q2" s="26" t="s">
        <v>6</v>
      </c>
      <c r="R2" s="26" t="s">
        <v>0</v>
      </c>
      <c r="S2" s="26" t="s">
        <v>1</v>
      </c>
      <c r="T2" s="26" t="s">
        <v>2</v>
      </c>
      <c r="U2" s="26" t="s">
        <v>3</v>
      </c>
    </row>
    <row r="4" spans="2:21" s="21" customFormat="1" ht="12.75">
      <c r="B4" s="20">
        <v>2004</v>
      </c>
      <c r="Q4" s="27"/>
      <c r="R4" s="27"/>
      <c r="S4" s="27"/>
      <c r="T4" s="27"/>
      <c r="U4" s="27"/>
    </row>
    <row r="5" spans="17:21" s="3" customFormat="1" ht="12.75">
      <c r="Q5" s="29"/>
      <c r="R5" s="29"/>
      <c r="S5" s="29"/>
      <c r="T5" s="29"/>
      <c r="U5" s="29"/>
    </row>
    <row r="6" spans="2:21" s="5" customFormat="1" ht="11.25">
      <c r="B6" s="22" t="s">
        <v>19</v>
      </c>
      <c r="Q6" s="28"/>
      <c r="R6" s="28"/>
      <c r="S6" s="28"/>
      <c r="T6" s="28"/>
      <c r="U6" s="28"/>
    </row>
    <row r="7" spans="2:21" s="5" customFormat="1" ht="11.25">
      <c r="B7" s="16" t="s">
        <v>20</v>
      </c>
      <c r="C7" s="7">
        <f>Sectortarieven!$C57*Volumes!C7</f>
        <v>2342193.5215099375</v>
      </c>
      <c r="D7" s="7">
        <f>Sectortarieven!$C57*Volumes!D7</f>
        <v>3262643.377901818</v>
      </c>
      <c r="E7" s="7">
        <f>Sectortarieven!$C57*Volumes!E7</f>
        <v>32724091.7565581</v>
      </c>
      <c r="F7" s="7">
        <f>Sectortarieven!$C57*Volumes!F7</f>
        <v>990410.2168300151</v>
      </c>
      <c r="G7" s="7">
        <f>Sectortarieven!$C57*Volumes!G7</f>
        <v>2595035.2967242613</v>
      </c>
      <c r="H7" s="7">
        <f>Sectortarieven!$C57*Volumes!H7</f>
        <v>3333540.461464748</v>
      </c>
      <c r="I7" s="7">
        <f>Sectortarieven!$C57*Volumes!I7</f>
        <v>37840528.56554969</v>
      </c>
      <c r="J7" s="7">
        <f>Sectortarieven!$C57*Volumes!J7</f>
        <v>3473626.486421863</v>
      </c>
      <c r="K7" s="7">
        <f>Sectortarieven!$C57*Volumes!K7</f>
        <v>637026.826221008</v>
      </c>
      <c r="L7" s="7">
        <f>Sectortarieven!$C57*Volumes!L7</f>
        <v>1750404.9120805087</v>
      </c>
      <c r="M7" s="7">
        <f>Sectortarieven!$C57*Volumes!M7</f>
        <v>843536.4743479319</v>
      </c>
      <c r="N7" s="7">
        <f>Sectortarieven!$C57*Volumes!N7</f>
        <v>32574565.03187266</v>
      </c>
      <c r="P7" s="7">
        <f>SUM(C7:N7)</f>
        <v>122367602.92748255</v>
      </c>
      <c r="Q7" s="28"/>
      <c r="R7" s="28"/>
      <c r="S7" s="28"/>
      <c r="T7" s="28"/>
      <c r="U7" s="28"/>
    </row>
    <row r="8" spans="2:21" s="5" customFormat="1" ht="11.25">
      <c r="B8" s="17" t="s">
        <v>21</v>
      </c>
      <c r="C8" s="7">
        <f>Sectortarieven!$C58*Volumes!C8</f>
        <v>8673836.64288928</v>
      </c>
      <c r="D8" s="7">
        <f>Sectortarieven!$C58*Volumes!D8</f>
        <v>12152492.639204536</v>
      </c>
      <c r="E8" s="7">
        <f>Sectortarieven!$C58*Volumes!E8</f>
        <v>122106522.63257839</v>
      </c>
      <c r="F8" s="7">
        <f>Sectortarieven!$C58*Volumes!F8</f>
        <v>3690312.262935692</v>
      </c>
      <c r="G8" s="7">
        <f>Sectortarieven!$C58*Volumes!G8</f>
        <v>10105580.831534628</v>
      </c>
      <c r="H8" s="7">
        <f>Sectortarieven!$C58*Volumes!H8</f>
        <v>13239211.36315814</v>
      </c>
      <c r="I8" s="7">
        <f>Sectortarieven!$C58*Volumes!I8</f>
        <v>141753652.83743948</v>
      </c>
      <c r="J8" s="7">
        <f>Sectortarieven!$C58*Volumes!J8</f>
        <v>13063654.341896301</v>
      </c>
      <c r="K8" s="7">
        <f>Sectortarieven!$C58*Volumes!K8</f>
        <v>2325726.7490322324</v>
      </c>
      <c r="L8" s="7">
        <f>Sectortarieven!$C58*Volumes!L8</f>
        <v>6626758.403465231</v>
      </c>
      <c r="M8" s="7">
        <f>Sectortarieven!$C58*Volumes!M8</f>
        <v>5479890.393283828</v>
      </c>
      <c r="N8" s="7">
        <f>Sectortarieven!$C58*Volumes!N8</f>
        <v>122585524.54606003</v>
      </c>
      <c r="P8" s="7">
        <f>SUM(C8:N8)</f>
        <v>461803163.6434778</v>
      </c>
      <c r="Q8" s="28"/>
      <c r="R8" s="28"/>
      <c r="S8" s="28"/>
      <c r="T8" s="28"/>
      <c r="U8" s="28"/>
    </row>
    <row r="9" spans="2:21" s="5" customFormat="1" ht="11.25">
      <c r="B9" s="17" t="s">
        <v>22</v>
      </c>
      <c r="C9" s="7">
        <f>Sectortarieven!$C59*Volumes!C10</f>
        <v>4547982.460186295</v>
      </c>
      <c r="D9" s="7">
        <f>Sectortarieven!$C59*Volumes!D10</f>
        <v>4550545.844241234</v>
      </c>
      <c r="E9" s="7">
        <f>Sectortarieven!$C59*Volumes!E10</f>
        <v>47299468.02074381</v>
      </c>
      <c r="F9" s="7">
        <f>Sectortarieven!$C59*Volumes!F10</f>
        <v>1485163.006820342</v>
      </c>
      <c r="G9" s="7">
        <f>Sectortarieven!$C59*Volumes!G10</f>
        <v>4499524.045549826</v>
      </c>
      <c r="H9" s="7">
        <f>Sectortarieven!$C59*Volumes!H10</f>
        <v>5820510.783116248</v>
      </c>
      <c r="I9" s="7">
        <f>Sectortarieven!$C59*Volumes!I10</f>
        <v>55200949.73780731</v>
      </c>
      <c r="J9" s="7">
        <f>Sectortarieven!$C59*Volumes!J10</f>
        <v>6300156.806048134</v>
      </c>
      <c r="K9" s="7">
        <f>Sectortarieven!$C59*Volumes!K10</f>
        <v>777042.7932397866</v>
      </c>
      <c r="L9" s="7">
        <f>Sectortarieven!$C59*Volumes!L10</f>
        <v>2953152.868959829</v>
      </c>
      <c r="M9" s="7">
        <f>Sectortarieven!$C59*Volumes!M10</f>
        <v>1913794.978606669</v>
      </c>
      <c r="N9" s="7">
        <f>Sectortarieven!$C59*Volumes!N10</f>
        <v>52037942.89288584</v>
      </c>
      <c r="P9" s="7">
        <f>SUM(C9:N9)</f>
        <v>187386234.2382053</v>
      </c>
      <c r="Q9" s="28"/>
      <c r="R9" s="28"/>
      <c r="S9" s="28"/>
      <c r="T9" s="28"/>
      <c r="U9" s="28"/>
    </row>
    <row r="10" spans="17:21" s="5" customFormat="1" ht="11.25">
      <c r="Q10" s="28"/>
      <c r="R10" s="28"/>
      <c r="S10" s="28"/>
      <c r="T10" s="28"/>
      <c r="U10" s="28"/>
    </row>
    <row r="11" spans="2:21" s="5" customFormat="1" ht="11.25">
      <c r="B11" s="22" t="s">
        <v>23</v>
      </c>
      <c r="Q11" s="28"/>
      <c r="R11" s="28"/>
      <c r="S11" s="28"/>
      <c r="T11" s="28"/>
      <c r="U11" s="28"/>
    </row>
    <row r="12" spans="2:21" s="5" customFormat="1" ht="11.25">
      <c r="B12" s="24" t="s">
        <v>20</v>
      </c>
      <c r="C12" s="7">
        <f>Sectortarieven!$C62*Volumes!C13</f>
        <v>70714.1904274255</v>
      </c>
      <c r="D12" s="7">
        <f>Sectortarieven!$C62*Volumes!D13</f>
        <v>118252.03538887916</v>
      </c>
      <c r="E12" s="7">
        <f>Sectortarieven!$C62*Volumes!E13</f>
        <v>1794323.2006780258</v>
      </c>
      <c r="F12" s="7">
        <f>Sectortarieven!$C62*Volumes!F13</f>
        <v>95602.42504713392</v>
      </c>
      <c r="G12" s="7">
        <f>Sectortarieven!$C62*Volumes!G13</f>
        <v>138267.9701094912</v>
      </c>
      <c r="H12" s="7">
        <f>Sectortarieven!$C62*Volumes!H13</f>
        <v>125955.53658069369</v>
      </c>
      <c r="I12" s="7">
        <f>Sectortarieven!$C62*Volumes!I13</f>
        <v>1926270.3492967975</v>
      </c>
      <c r="J12" s="7">
        <f>Sectortarieven!$C62*Volumes!J13</f>
        <v>235450.60052930503</v>
      </c>
      <c r="K12" s="7">
        <f>Sectortarieven!$C62*Volumes!K13</f>
        <v>16592.156413138946</v>
      </c>
      <c r="L12" s="7">
        <f>Sectortarieven!$C62*Volumes!L13</f>
        <v>56887.39341647638</v>
      </c>
      <c r="M12" s="7">
        <f>Sectortarieven!$C62*Volumes!M13</f>
        <v>1155130.1274290066</v>
      </c>
      <c r="N12" s="7">
        <f>Sectortarieven!$C62*Volumes!N13</f>
        <v>1782471.6603829267</v>
      </c>
      <c r="P12" s="7">
        <f>SUM(C12:N12)</f>
        <v>7515917.645699301</v>
      </c>
      <c r="Q12" s="28"/>
      <c r="R12" s="28"/>
      <c r="S12" s="28"/>
      <c r="T12" s="28"/>
      <c r="U12" s="28"/>
    </row>
    <row r="13" spans="2:21" s="5" customFormat="1" ht="11.25">
      <c r="B13" s="25" t="s">
        <v>26</v>
      </c>
      <c r="C13" s="7">
        <f>Sectortarieven!$C63*Volumes!C16</f>
        <v>980643.7196257749</v>
      </c>
      <c r="D13" s="7">
        <f>Sectortarieven!$C63*Volumes!D16</f>
        <v>1247115.4826897664</v>
      </c>
      <c r="E13" s="7">
        <f>Sectortarieven!$C63*Volumes!E16</f>
        <v>17989201.32345316</v>
      </c>
      <c r="F13" s="7">
        <f>Sectortarieven!$C63*Volumes!F16</f>
        <v>936295.0814178467</v>
      </c>
      <c r="G13" s="7">
        <f>Sectortarieven!$C63*Volumes!G16</f>
        <v>1310124.0521997453</v>
      </c>
      <c r="H13" s="7">
        <f>Sectortarieven!$C63*Volumes!H16</f>
        <v>1307507.6897821047</v>
      </c>
      <c r="I13" s="7">
        <f>Sectortarieven!$C63*Volumes!I16</f>
        <v>18009665.94038322</v>
      </c>
      <c r="J13" s="7">
        <f>Sectortarieven!$C63*Volumes!J16</f>
        <v>2120496.97805174</v>
      </c>
      <c r="K13" s="7">
        <f>Sectortarieven!$C63*Volumes!K16</f>
        <v>170503.93497931238</v>
      </c>
      <c r="L13" s="7">
        <f>Sectortarieven!$C63*Volumes!L16</f>
        <v>716979.1493735816</v>
      </c>
      <c r="M13" s="7">
        <f>Sectortarieven!$C63*Volumes!M16</f>
        <v>9113593.342572441</v>
      </c>
      <c r="N13" s="7">
        <f>Sectortarieven!$C63*Volumes!N16</f>
        <v>19636333.146964755</v>
      </c>
      <c r="P13" s="7">
        <f>SUM(C13:N13)</f>
        <v>73538459.84149344</v>
      </c>
      <c r="Q13" s="28"/>
      <c r="R13" s="28"/>
      <c r="S13" s="28"/>
      <c r="T13" s="28"/>
      <c r="U13" s="28"/>
    </row>
    <row r="14" spans="15:21" ht="12.75">
      <c r="O14" s="5"/>
      <c r="Q14" s="28"/>
      <c r="R14" s="28"/>
      <c r="S14" s="28"/>
      <c r="T14" s="28"/>
      <c r="U14" s="28"/>
    </row>
    <row r="15" spans="2:21" ht="12.75">
      <c r="B15" s="1" t="s">
        <v>97</v>
      </c>
      <c r="C15" s="36">
        <f aca="true" t="shared" si="0" ref="C15:N15">SUM(C7:C9,C12:C13)</f>
        <v>16615370.534638714</v>
      </c>
      <c r="D15" s="36">
        <f t="shared" si="0"/>
        <v>21331049.379426233</v>
      </c>
      <c r="E15" s="36">
        <f t="shared" si="0"/>
        <v>221913606.9340115</v>
      </c>
      <c r="F15" s="36">
        <f t="shared" si="0"/>
        <v>7197782.99305103</v>
      </c>
      <c r="G15" s="36">
        <f t="shared" si="0"/>
        <v>18648532.196117952</v>
      </c>
      <c r="H15" s="36">
        <f t="shared" si="0"/>
        <v>23826725.834101934</v>
      </c>
      <c r="I15" s="36">
        <f t="shared" si="0"/>
        <v>254731067.4304765</v>
      </c>
      <c r="J15" s="36">
        <f t="shared" si="0"/>
        <v>25193385.212947343</v>
      </c>
      <c r="K15" s="36">
        <f t="shared" si="0"/>
        <v>3926892.4598854785</v>
      </c>
      <c r="L15" s="36">
        <f t="shared" si="0"/>
        <v>12104182.727295626</v>
      </c>
      <c r="M15" s="36">
        <f t="shared" si="0"/>
        <v>18505945.31623988</v>
      </c>
      <c r="N15" s="36">
        <f t="shared" si="0"/>
        <v>228616837.2781662</v>
      </c>
      <c r="O15" s="5"/>
      <c r="P15" s="123">
        <f>SUM(C15:N15)</f>
        <v>852611378.2963583</v>
      </c>
      <c r="Q15" s="28"/>
      <c r="R15" s="28"/>
      <c r="S15" s="28"/>
      <c r="T15" s="28"/>
      <c r="U15" s="28"/>
    </row>
    <row r="17" spans="2:21" s="21" customFormat="1" ht="12.75">
      <c r="B17" s="20">
        <v>2005</v>
      </c>
      <c r="Q17" s="27"/>
      <c r="R17" s="27"/>
      <c r="S17" s="27"/>
      <c r="T17" s="27"/>
      <c r="U17" s="27"/>
    </row>
    <row r="18" spans="17:21" s="3" customFormat="1" ht="12.75">
      <c r="Q18" s="29"/>
      <c r="R18" s="29"/>
      <c r="S18" s="29"/>
      <c r="T18" s="29"/>
      <c r="U18" s="29"/>
    </row>
    <row r="19" spans="2:21" s="5" customFormat="1" ht="11.25">
      <c r="B19" s="22" t="s">
        <v>19</v>
      </c>
      <c r="Q19" s="28"/>
      <c r="R19" s="28"/>
      <c r="S19" s="28"/>
      <c r="T19" s="28"/>
      <c r="U19" s="28"/>
    </row>
    <row r="20" spans="2:21" s="5" customFormat="1" ht="11.25">
      <c r="B20" s="16" t="s">
        <v>20</v>
      </c>
      <c r="C20" s="7">
        <f>Sectortarieven!$C57*Volumes!C21</f>
        <v>2357028.5031243404</v>
      </c>
      <c r="D20" s="7">
        <f>Sectortarieven!$C57*Volumes!D21</f>
        <v>3291204.2496480243</v>
      </c>
      <c r="E20" s="7">
        <f>Sectortarieven!$C57*Volumes!E21</f>
        <v>32228914.342182808</v>
      </c>
      <c r="F20" s="7">
        <f>Sectortarieven!$C57*Volumes!F21</f>
        <v>1022424.1071538976</v>
      </c>
      <c r="G20" s="7">
        <f>Sectortarieven!$C57*Volumes!G21</f>
        <v>2585172.1532337707</v>
      </c>
      <c r="H20" s="7">
        <f>Sectortarieven!$C57*Volumes!H21</f>
        <v>3311470.0801527454</v>
      </c>
      <c r="I20" s="7">
        <f>Sectortarieven!$C57*Volumes!I21</f>
        <v>38190771.17862262</v>
      </c>
      <c r="J20" s="7">
        <f>Sectortarieven!$C57*Volumes!J21</f>
        <v>3518515.727931656</v>
      </c>
      <c r="K20" s="7">
        <f>Sectortarieven!$C57*Volumes!K21</f>
        <v>619467.8594111218</v>
      </c>
      <c r="L20" s="7">
        <f>Sectortarieven!$C57*Volumes!L21</f>
        <v>1764539.8803624671</v>
      </c>
      <c r="M20" s="7">
        <f>Sectortarieven!$C57*Volumes!M21</f>
        <v>864905.3655381328</v>
      </c>
      <c r="N20" s="7">
        <f>Sectortarieven!$C57*Volumes!N21</f>
        <v>32771442.192160483</v>
      </c>
      <c r="P20" s="7">
        <f>SUM(C20:N20)</f>
        <v>122525855.63952208</v>
      </c>
      <c r="Q20" s="28"/>
      <c r="R20" s="28"/>
      <c r="S20" s="28"/>
      <c r="T20" s="28"/>
      <c r="U20" s="28"/>
    </row>
    <row r="21" spans="2:21" s="5" customFormat="1" ht="11.25">
      <c r="B21" s="17" t="s">
        <v>21</v>
      </c>
      <c r="C21" s="7">
        <f>Sectortarieven!$C58*Volumes!C22</f>
        <v>9206881.26108998</v>
      </c>
      <c r="D21" s="7">
        <f>Sectortarieven!$C58*Volumes!D22</f>
        <v>12164620.828148555</v>
      </c>
      <c r="E21" s="7">
        <f>Sectortarieven!$C58*Volumes!E22</f>
        <v>119817869.34079435</v>
      </c>
      <c r="F21" s="7">
        <f>Sectortarieven!$C58*Volumes!F22</f>
        <v>3912288.9110189537</v>
      </c>
      <c r="G21" s="7">
        <f>Sectortarieven!$C58*Volumes!G22</f>
        <v>9975262.853428058</v>
      </c>
      <c r="H21" s="7">
        <f>Sectortarieven!$C58*Volumes!H22</f>
        <v>12684648.797600115</v>
      </c>
      <c r="I21" s="7">
        <f>Sectortarieven!$C58*Volumes!I22</f>
        <v>143065719.8284883</v>
      </c>
      <c r="J21" s="7">
        <f>Sectortarieven!$C58*Volumes!J22</f>
        <v>13517990.621445963</v>
      </c>
      <c r="K21" s="7">
        <f>Sectortarieven!$C58*Volumes!K22</f>
        <v>2265420.8433232135</v>
      </c>
      <c r="L21" s="7">
        <f>Sectortarieven!$C58*Volumes!L22</f>
        <v>6685194.603055405</v>
      </c>
      <c r="M21" s="7">
        <f>Sectortarieven!$C58*Volumes!M22</f>
        <v>5505092.519411305</v>
      </c>
      <c r="N21" s="7">
        <f>Sectortarieven!$C58*Volumes!N22</f>
        <v>124242660.74609399</v>
      </c>
      <c r="P21" s="7">
        <f>SUM(C21:N21)</f>
        <v>463043651.15389824</v>
      </c>
      <c r="Q21" s="28"/>
      <c r="R21" s="28"/>
      <c r="S21" s="28"/>
      <c r="T21" s="28"/>
      <c r="U21" s="28"/>
    </row>
    <row r="22" spans="2:21" s="5" customFormat="1" ht="11.25">
      <c r="B22" s="17" t="s">
        <v>22</v>
      </c>
      <c r="C22" s="7">
        <f>Sectortarieven!$C59*Volumes!C24</f>
        <v>4222812.094411406</v>
      </c>
      <c r="D22" s="7">
        <f>Sectortarieven!$C59*Volumes!D24</f>
        <v>4553485.256076678</v>
      </c>
      <c r="E22" s="7">
        <f>Sectortarieven!$C59*Volumes!E24</f>
        <v>44719539.80438065</v>
      </c>
      <c r="F22" s="7">
        <f>Sectortarieven!$C59*Volumes!F24</f>
        <v>1544110.1682193107</v>
      </c>
      <c r="G22" s="7">
        <f>Sectortarieven!$C59*Volumes!G24</f>
        <v>4013590.9024594296</v>
      </c>
      <c r="H22" s="7">
        <f>Sectortarieven!$C59*Volumes!H24</f>
        <v>5466368.326008549</v>
      </c>
      <c r="I22" s="7">
        <f>Sectortarieven!$C59*Volumes!I24</f>
        <v>56597198.87397854</v>
      </c>
      <c r="J22" s="7">
        <f>Sectortarieven!$C59*Volumes!J24</f>
        <v>6281185.145884026</v>
      </c>
      <c r="K22" s="7">
        <f>Sectortarieven!$C59*Volumes!K24</f>
        <v>710959.3734059503</v>
      </c>
      <c r="L22" s="7">
        <f>Sectortarieven!$C59*Volumes!L24</f>
        <v>2942222.433384518</v>
      </c>
      <c r="M22" s="7">
        <f>Sectortarieven!$C59*Volumes!M24</f>
        <v>1688248.1444305365</v>
      </c>
      <c r="N22" s="7">
        <f>Sectortarieven!$C59*Volumes!N24</f>
        <v>52362037.04737386</v>
      </c>
      <c r="P22" s="7">
        <f>SUM(C22:N22)</f>
        <v>185101757.57001346</v>
      </c>
      <c r="Q22" s="28"/>
      <c r="R22" s="28"/>
      <c r="S22" s="28"/>
      <c r="T22" s="28"/>
      <c r="U22" s="28"/>
    </row>
    <row r="23" spans="17:21" s="5" customFormat="1" ht="11.25">
      <c r="Q23" s="28"/>
      <c r="R23" s="28"/>
      <c r="S23" s="28"/>
      <c r="T23" s="28"/>
      <c r="U23" s="28"/>
    </row>
    <row r="24" spans="2:21" s="5" customFormat="1" ht="11.25">
      <c r="B24" s="22" t="s">
        <v>23</v>
      </c>
      <c r="Q24" s="28"/>
      <c r="R24" s="28"/>
      <c r="S24" s="28"/>
      <c r="T24" s="28"/>
      <c r="U24" s="28"/>
    </row>
    <row r="25" spans="2:21" s="5" customFormat="1" ht="11.25">
      <c r="B25" s="24" t="s">
        <v>20</v>
      </c>
      <c r="C25" s="7">
        <f>Sectortarieven!$C62*Volumes!C27</f>
        <v>87701.39818373442</v>
      </c>
      <c r="D25" s="7">
        <f>Sectortarieven!$C62*Volumes!D27</f>
        <v>122465.91638269222</v>
      </c>
      <c r="E25" s="7">
        <f>Sectortarieven!$C62*Volumes!E27</f>
        <v>1795903.4060507058</v>
      </c>
      <c r="F25" s="7">
        <f>Sectortarieven!$C62*Volumes!F27</f>
        <v>93232.11698811407</v>
      </c>
      <c r="G25" s="7">
        <f>Sectortarieven!$C62*Volumes!G27</f>
        <v>138267.9701094912</v>
      </c>
      <c r="H25" s="7">
        <f>Sectortarieven!$C62*Volumes!H27</f>
        <v>136687.7647368113</v>
      </c>
      <c r="I25" s="7">
        <f>Sectortarieven!$C62*Volumes!I27</f>
        <v>2107993.9671549858</v>
      </c>
      <c r="J25" s="7">
        <f>Sectortarieven!$C62*Volumes!J27</f>
        <v>251252.65425610403</v>
      </c>
      <c r="K25" s="7">
        <f>Sectortarieven!$C62*Volumes!K27</f>
        <v>16592.156413138946</v>
      </c>
      <c r="L25" s="7">
        <f>Sectortarieven!$C62*Volumes!L27</f>
        <v>56097.29073013643</v>
      </c>
      <c r="M25" s="7">
        <f>Sectortarieven!$C62*Volumes!M27</f>
        <v>1196783.2875826003</v>
      </c>
      <c r="N25" s="7">
        <f>Sectortarieven!$C62*Volumes!N27</f>
        <v>2516477.0559927397</v>
      </c>
      <c r="P25" s="7">
        <f>SUM(C25:N25)</f>
        <v>8519454.984581253</v>
      </c>
      <c r="Q25" s="28"/>
      <c r="R25" s="28"/>
      <c r="S25" s="28"/>
      <c r="T25" s="28"/>
      <c r="U25" s="28"/>
    </row>
    <row r="26" spans="2:21" s="5" customFormat="1" ht="11.25">
      <c r="B26" s="25" t="s">
        <v>26</v>
      </c>
      <c r="C26" s="7">
        <f>Sectortarieven!$C63*Volumes!C30</f>
        <v>1010641.2214042683</v>
      </c>
      <c r="D26" s="7">
        <f>Sectortarieven!$C63*Volumes!D30</f>
        <v>1266397.1238732368</v>
      </c>
      <c r="E26" s="7">
        <f>Sectortarieven!$C63*Volumes!E30</f>
        <v>17011640.248656087</v>
      </c>
      <c r="F26" s="7">
        <f>Sectortarieven!$C63*Volumes!F30</f>
        <v>917514.2620832977</v>
      </c>
      <c r="G26" s="7">
        <f>Sectortarieven!$C63*Volumes!G30</f>
        <v>1312403.655098284</v>
      </c>
      <c r="H26" s="7">
        <f>Sectortarieven!$C63*Volumes!H30</f>
        <v>1356581.492800097</v>
      </c>
      <c r="I26" s="7">
        <f>Sectortarieven!$C63*Volumes!I30</f>
        <v>18118801.92915074</v>
      </c>
      <c r="J26" s="7">
        <f>Sectortarieven!$C63*Volumes!J30</f>
        <v>2165026.9483084157</v>
      </c>
      <c r="K26" s="7">
        <f>Sectortarieven!$C63*Volumes!K30</f>
        <v>178327.11765384176</v>
      </c>
      <c r="L26" s="7">
        <f>Sectortarieven!$C63*Volumes!L30</f>
        <v>720665.3708788318</v>
      </c>
      <c r="M26" s="7">
        <f>Sectortarieven!$C63*Volumes!M30</f>
        <v>9558756.176943222</v>
      </c>
      <c r="N26" s="7">
        <f>Sectortarieven!$C63*Volumes!N30</f>
        <v>18988340.912051164</v>
      </c>
      <c r="P26" s="7">
        <f>SUM(C26:N26)</f>
        <v>72605096.45890148</v>
      </c>
      <c r="Q26" s="28"/>
      <c r="R26" s="28"/>
      <c r="S26" s="28"/>
      <c r="T26" s="28"/>
      <c r="U26" s="28"/>
    </row>
    <row r="27" spans="15:21" ht="12.75">
      <c r="O27" s="5"/>
      <c r="Q27" s="28"/>
      <c r="R27" s="28"/>
      <c r="S27" s="28"/>
      <c r="T27" s="28"/>
      <c r="U27" s="28"/>
    </row>
    <row r="28" spans="2:21" ht="12.75">
      <c r="B28" s="1" t="s">
        <v>98</v>
      </c>
      <c r="C28" s="36">
        <f aca="true" t="shared" si="1" ref="C28:N28">SUM(C20:C22,C25:C26)</f>
        <v>16885064.47821373</v>
      </c>
      <c r="D28" s="36">
        <f t="shared" si="1"/>
        <v>21398173.374129187</v>
      </c>
      <c r="E28" s="36">
        <f t="shared" si="1"/>
        <v>215573867.14206463</v>
      </c>
      <c r="F28" s="36">
        <f t="shared" si="1"/>
        <v>7489569.565463574</v>
      </c>
      <c r="G28" s="36">
        <f t="shared" si="1"/>
        <v>18024697.534329034</v>
      </c>
      <c r="H28" s="36">
        <f t="shared" si="1"/>
        <v>22955756.461298317</v>
      </c>
      <c r="I28" s="36">
        <f t="shared" si="1"/>
        <v>258080485.77739516</v>
      </c>
      <c r="J28" s="36">
        <f t="shared" si="1"/>
        <v>25733971.097826164</v>
      </c>
      <c r="K28" s="36">
        <f t="shared" si="1"/>
        <v>3790767.350207266</v>
      </c>
      <c r="L28" s="36">
        <f t="shared" si="1"/>
        <v>12168719.57841136</v>
      </c>
      <c r="M28" s="36">
        <f t="shared" si="1"/>
        <v>18813785.493905798</v>
      </c>
      <c r="N28" s="36">
        <f t="shared" si="1"/>
        <v>230880957.95367226</v>
      </c>
      <c r="O28" s="5"/>
      <c r="P28" s="123">
        <f>SUM(C28:N28)</f>
        <v>851795815.8069164</v>
      </c>
      <c r="Q28" s="28"/>
      <c r="R28" s="28"/>
      <c r="S28" s="28"/>
      <c r="T28" s="28"/>
      <c r="U28" s="28"/>
    </row>
    <row r="30" spans="2:21" s="21" customFormat="1" ht="12.75">
      <c r="B30" s="20">
        <v>2006</v>
      </c>
      <c r="Q30" s="27"/>
      <c r="R30" s="27"/>
      <c r="S30" s="27"/>
      <c r="T30" s="27"/>
      <c r="U30" s="27"/>
    </row>
    <row r="31" spans="17:21" s="3" customFormat="1" ht="12.75">
      <c r="Q31" s="29"/>
      <c r="R31" s="29"/>
      <c r="S31" s="29"/>
      <c r="T31" s="29"/>
      <c r="U31" s="29"/>
    </row>
    <row r="32" spans="2:21" s="5" customFormat="1" ht="11.25">
      <c r="B32" s="22" t="s">
        <v>19</v>
      </c>
      <c r="Q32" s="28"/>
      <c r="R32" s="28"/>
      <c r="S32" s="28"/>
      <c r="T32" s="28"/>
      <c r="U32" s="28"/>
    </row>
    <row r="33" spans="2:21" s="5" customFormat="1" ht="11.25">
      <c r="B33" s="16" t="s">
        <v>20</v>
      </c>
      <c r="C33" s="7">
        <f>Sectortarieven!$C57*Volumes!C35</f>
        <v>2391601.07456286</v>
      </c>
      <c r="D33" s="7">
        <f>Sectortarieven!$C57*Volumes!D35</f>
        <v>3309488.717701624</v>
      </c>
      <c r="E33" s="7">
        <f>Sectortarieven!$C57*Volumes!E35</f>
        <v>31603116.394545052</v>
      </c>
      <c r="F33" s="7">
        <f>Sectortarieven!$C57*Volumes!F35</f>
        <v>1038141.4055870238</v>
      </c>
      <c r="G33" s="7">
        <f>Sectortarieven!$C57*Volumes!G35</f>
        <v>2613765.1674401416</v>
      </c>
      <c r="H33" s="7">
        <f>Sectortarieven!$C57*Volumes!H35</f>
        <v>3342445.5501979636</v>
      </c>
      <c r="I33" s="7">
        <f>Sectortarieven!$C57*Volumes!I35</f>
        <v>38367543.68925553</v>
      </c>
      <c r="J33" s="7">
        <f>Sectortarieven!$C57*Volumes!J35</f>
        <v>3534840.9084285093</v>
      </c>
      <c r="K33" s="7">
        <f>Sectortarieven!$C57*Volumes!K35</f>
        <v>626924.9101692953</v>
      </c>
      <c r="L33" s="7">
        <f>Sectortarieven!$C57*Volumes!L35</f>
        <v>1792263.5787747877</v>
      </c>
      <c r="M33" s="7">
        <f>Sectortarieven!$C57*Volumes!M35</f>
        <v>874693.4602858354</v>
      </c>
      <c r="N33" s="7">
        <f>Sectortarieven!$C57*Volumes!N35</f>
        <v>33226642.331071988</v>
      </c>
      <c r="P33" s="7">
        <f>SUM(C33:N33)</f>
        <v>122721467.18802062</v>
      </c>
      <c r="Q33" s="28"/>
      <c r="R33" s="28"/>
      <c r="S33" s="28"/>
      <c r="T33" s="28"/>
      <c r="U33" s="28"/>
    </row>
    <row r="34" spans="2:21" s="5" customFormat="1" ht="11.25">
      <c r="B34" s="17" t="s">
        <v>21</v>
      </c>
      <c r="C34" s="7">
        <f>Sectortarieven!$C58*Volumes!C36</f>
        <v>9146346.988908831</v>
      </c>
      <c r="D34" s="7">
        <f>Sectortarieven!$C58*Volumes!D36</f>
        <v>12231404.386046268</v>
      </c>
      <c r="E34" s="7">
        <f>Sectortarieven!$C58*Volumes!E36</f>
        <v>118737868.8372089</v>
      </c>
      <c r="F34" s="7">
        <f>Sectortarieven!$C58*Volumes!F36</f>
        <v>4018952.171952655</v>
      </c>
      <c r="G34" s="7">
        <f>Sectortarieven!$C58*Volumes!G36</f>
        <v>10132908.843799045</v>
      </c>
      <c r="H34" s="7">
        <f>Sectortarieven!$C58*Volumes!H36</f>
        <v>12803300.921688175</v>
      </c>
      <c r="I34" s="7">
        <f>Sectortarieven!$C58*Volumes!I36</f>
        <v>141981331.0099454</v>
      </c>
      <c r="J34" s="7">
        <f>Sectortarieven!$C58*Volumes!J36</f>
        <v>13687904.836953957</v>
      </c>
      <c r="K34" s="7">
        <f>Sectortarieven!$C58*Volumes!K36</f>
        <v>2290363.0767391487</v>
      </c>
      <c r="L34" s="7">
        <f>Sectortarieven!$C58*Volumes!L36</f>
        <v>6733026.3156169355</v>
      </c>
      <c r="M34" s="7">
        <f>Sectortarieven!$C58*Volumes!M36</f>
        <v>5287658.96084599</v>
      </c>
      <c r="N34" s="7">
        <f>Sectortarieven!$C58*Volumes!N36</f>
        <v>124587569.37647708</v>
      </c>
      <c r="P34" s="7">
        <f>SUM(C34:N34)</f>
        <v>461638635.72618234</v>
      </c>
      <c r="Q34" s="28"/>
      <c r="R34" s="28"/>
      <c r="S34" s="28"/>
      <c r="T34" s="28"/>
      <c r="U34" s="28"/>
    </row>
    <row r="35" spans="2:21" s="5" customFormat="1" ht="11.25">
      <c r="B35" s="17" t="s">
        <v>22</v>
      </c>
      <c r="C35" s="7">
        <f>Sectortarieven!$C59*Volumes!C38</f>
        <v>4119664.20889009</v>
      </c>
      <c r="D35" s="7">
        <f>Sectortarieven!$C59*Volumes!D38</f>
        <v>4631304.215389827</v>
      </c>
      <c r="E35" s="7">
        <f>Sectortarieven!$C59*Volumes!E38</f>
        <v>44106171.135178365</v>
      </c>
      <c r="F35" s="7">
        <f>Sectortarieven!$C59*Volumes!F38</f>
        <v>1562583.9732931172</v>
      </c>
      <c r="G35" s="7">
        <f>Sectortarieven!$C59*Volumes!G38</f>
        <v>4348551.630930328</v>
      </c>
      <c r="H35" s="7">
        <f>Sectortarieven!$C59*Volumes!H38</f>
        <v>5581343.263469095</v>
      </c>
      <c r="I35" s="7">
        <f>Sectortarieven!$C59*Volumes!I38</f>
        <v>57020200.87506341</v>
      </c>
      <c r="J35" s="7">
        <f>Sectortarieven!$C59*Volumes!J38</f>
        <v>6244072.001006999</v>
      </c>
      <c r="K35" s="7">
        <f>Sectortarieven!$C59*Volumes!K38</f>
        <v>728584.6775470823</v>
      </c>
      <c r="L35" s="7">
        <f>Sectortarieven!$C59*Volumes!L38</f>
        <v>3009527.6285938723</v>
      </c>
      <c r="M35" s="7">
        <f>Sectortarieven!$C59*Volumes!M38</f>
        <v>1673860.0604948886</v>
      </c>
      <c r="N35" s="7">
        <f>Sectortarieven!$C59*Volumes!N38</f>
        <v>56064729.99348455</v>
      </c>
      <c r="P35" s="7">
        <f>SUM(C35:N35)</f>
        <v>189090593.66334164</v>
      </c>
      <c r="Q35" s="28"/>
      <c r="R35" s="28"/>
      <c r="S35" s="28"/>
      <c r="T35" s="28"/>
      <c r="U35" s="28"/>
    </row>
    <row r="36" spans="17:21" s="5" customFormat="1" ht="11.25">
      <c r="Q36" s="28"/>
      <c r="R36" s="28"/>
      <c r="S36" s="28"/>
      <c r="T36" s="28"/>
      <c r="U36" s="28"/>
    </row>
    <row r="37" spans="2:21" s="5" customFormat="1" ht="11.25">
      <c r="B37" s="22" t="s">
        <v>23</v>
      </c>
      <c r="Q37" s="28"/>
      <c r="R37" s="28"/>
      <c r="S37" s="28"/>
      <c r="T37" s="28"/>
      <c r="U37" s="28"/>
    </row>
    <row r="38" spans="2:21" s="5" customFormat="1" ht="11.25">
      <c r="B38" s="24" t="s">
        <v>20</v>
      </c>
      <c r="C38" s="7">
        <f>Sectortarieven!$C62*Volumes!C41</f>
        <v>83750.88475203468</v>
      </c>
      <c r="D38" s="7">
        <f>Sectortarieven!$C62*Volumes!D41</f>
        <v>120095.60832367236</v>
      </c>
      <c r="E38" s="7">
        <f>Sectortarieven!$C62*Volumes!E41</f>
        <v>1633142.2526646762</v>
      </c>
      <c r="F38" s="7">
        <f>Sectortarieven!$C62*Volumes!F41</f>
        <v>86387.70162990871</v>
      </c>
      <c r="G38" s="7">
        <f>Sectortarieven!$C62*Volumes!G41</f>
        <v>138267.9701094912</v>
      </c>
      <c r="H38" s="7">
        <f>Sectortarieven!$C62*Volumes!H41</f>
        <v>136027.57502444193</v>
      </c>
      <c r="I38" s="7">
        <f>Sectortarieven!$C62*Volumes!I41</f>
        <v>2077390.6564374187</v>
      </c>
      <c r="J38" s="7">
        <f>Sectortarieven!$C62*Volumes!J41</f>
        <v>263245.4505460163</v>
      </c>
      <c r="K38" s="7">
        <f>Sectortarieven!$C62*Volumes!K41</f>
        <v>16592.156413138946</v>
      </c>
      <c r="L38" s="7">
        <f>Sectortarieven!$C62*Volumes!L41</f>
        <v>63737.58370704375</v>
      </c>
      <c r="M38" s="7">
        <f>Sectortarieven!$C62*Volumes!M41</f>
        <v>1069442.2472650635</v>
      </c>
      <c r="N38" s="7">
        <f>Sectortarieven!$C62*Volumes!N41</f>
        <v>2940893.8823383497</v>
      </c>
      <c r="P38" s="7">
        <f>SUM(C38:N38)</f>
        <v>8628973.969211254</v>
      </c>
      <c r="Q38" s="28"/>
      <c r="R38" s="28"/>
      <c r="S38" s="28"/>
      <c r="T38" s="28"/>
      <c r="U38" s="28"/>
    </row>
    <row r="39" spans="2:21" s="5" customFormat="1" ht="11.25">
      <c r="B39" s="25" t="s">
        <v>26</v>
      </c>
      <c r="C39" s="7">
        <f>Sectortarieven!$C63*Volumes!C44</f>
        <v>877750.7342508389</v>
      </c>
      <c r="D39" s="7">
        <f>Sectortarieven!$C63*Volumes!D44</f>
        <v>1252978.5522659316</v>
      </c>
      <c r="E39" s="7">
        <f>Sectortarieven!$C63*Volumes!E44</f>
        <v>16806216.94200371</v>
      </c>
      <c r="F39" s="7">
        <f>Sectortarieven!$C63*Volumes!F44</f>
        <v>816364.834312475</v>
      </c>
      <c r="G39" s="7">
        <f>Sectortarieven!$C63*Volumes!G44</f>
        <v>1312403.655098284</v>
      </c>
      <c r="H39" s="7">
        <f>Sectortarieven!$C63*Volumes!H44</f>
        <v>1446252.611652235</v>
      </c>
      <c r="I39" s="7">
        <f>Sectortarieven!$C63*Volumes!I44</f>
        <v>18058163.196820702</v>
      </c>
      <c r="J39" s="7">
        <f>Sectortarieven!$C63*Volumes!J44</f>
        <v>2261013.854348692</v>
      </c>
      <c r="K39" s="7">
        <f>Sectortarieven!$C63*Volumes!K44</f>
        <v>178301.21307544928</v>
      </c>
      <c r="L39" s="7">
        <f>Sectortarieven!$C63*Volumes!L44</f>
        <v>743539.1135993928</v>
      </c>
      <c r="M39" s="7">
        <f>Sectortarieven!$C63*Volumes!M44</f>
        <v>8900887.047837768</v>
      </c>
      <c r="N39" s="7">
        <f>Sectortarieven!$C63*Volumes!N44</f>
        <v>18059791.29957267</v>
      </c>
      <c r="P39" s="7">
        <f>SUM(C39:N39)</f>
        <v>70713663.05483815</v>
      </c>
      <c r="Q39" s="28"/>
      <c r="R39" s="28"/>
      <c r="S39" s="28"/>
      <c r="T39" s="28"/>
      <c r="U39" s="28"/>
    </row>
    <row r="40" spans="15:21" ht="12.75">
      <c r="O40" s="5"/>
      <c r="Q40" s="28"/>
      <c r="R40" s="28"/>
      <c r="S40" s="28"/>
      <c r="T40" s="28"/>
      <c r="U40" s="28"/>
    </row>
    <row r="41" spans="2:21" ht="12.75">
      <c r="B41" s="1" t="s">
        <v>99</v>
      </c>
      <c r="C41" s="36">
        <f aca="true" t="shared" si="2" ref="C41:N41">SUM(C33:C35,C38:C39)</f>
        <v>16619113.891364656</v>
      </c>
      <c r="D41" s="36">
        <f t="shared" si="2"/>
        <v>21545271.479727324</v>
      </c>
      <c r="E41" s="36">
        <f t="shared" si="2"/>
        <v>212886515.5616007</v>
      </c>
      <c r="F41" s="36">
        <f t="shared" si="2"/>
        <v>7522430.08677518</v>
      </c>
      <c r="G41" s="36">
        <f t="shared" si="2"/>
        <v>18545897.26737729</v>
      </c>
      <c r="H41" s="36">
        <f t="shared" si="2"/>
        <v>23309369.922031913</v>
      </c>
      <c r="I41" s="36">
        <f t="shared" si="2"/>
        <v>257504629.42752248</v>
      </c>
      <c r="J41" s="36">
        <f t="shared" si="2"/>
        <v>25991077.05128417</v>
      </c>
      <c r="K41" s="36">
        <f t="shared" si="2"/>
        <v>3840766.0339441146</v>
      </c>
      <c r="L41" s="36">
        <f t="shared" si="2"/>
        <v>12342094.220292034</v>
      </c>
      <c r="M41" s="36">
        <f t="shared" si="2"/>
        <v>17806541.776729546</v>
      </c>
      <c r="N41" s="36">
        <f t="shared" si="2"/>
        <v>234879626.88294464</v>
      </c>
      <c r="O41" s="5"/>
      <c r="P41" s="123">
        <f>SUM(C41:N41)</f>
        <v>852793333.6015942</v>
      </c>
      <c r="Q41" s="28"/>
      <c r="R41" s="28"/>
      <c r="S41" s="28"/>
      <c r="T41" s="28"/>
      <c r="U41" s="28"/>
    </row>
    <row r="43" spans="2:21" s="21" customFormat="1" ht="12.75">
      <c r="B43" s="20">
        <v>2007</v>
      </c>
      <c r="Q43" s="27"/>
      <c r="R43" s="27"/>
      <c r="S43" s="27"/>
      <c r="T43" s="27"/>
      <c r="U43" s="27"/>
    </row>
    <row r="44" spans="16:21" s="3" customFormat="1" ht="12.75">
      <c r="P44" s="5"/>
      <c r="Q44" s="29"/>
      <c r="R44" s="29"/>
      <c r="S44" s="29"/>
      <c r="T44" s="29"/>
      <c r="U44" s="29"/>
    </row>
    <row r="45" spans="2:21" s="5" customFormat="1" ht="12.75">
      <c r="B45" s="22" t="s">
        <v>19</v>
      </c>
      <c r="P45" s="1"/>
      <c r="Q45" s="28"/>
      <c r="R45" s="28"/>
      <c r="S45" s="28"/>
      <c r="T45" s="28"/>
      <c r="U45" s="28"/>
    </row>
    <row r="46" spans="2:21" s="5" customFormat="1" ht="11.25">
      <c r="B46" s="16" t="s">
        <v>20</v>
      </c>
      <c r="C46" s="7">
        <f>Sectortarieven!$C57*Rekenvol!C7</f>
        <v>2391601.07456286</v>
      </c>
      <c r="D46" s="7">
        <f>Sectortarieven!$C57*Rekenvol!D7</f>
        <v>3309488.717701624</v>
      </c>
      <c r="E46" s="7">
        <f>Sectortarieven!$C57*Rekenvol!E7</f>
        <v>31603116.394545052</v>
      </c>
      <c r="F46" s="7">
        <f>Sectortarieven!$C57*Rekenvol!F7</f>
        <v>1038141.4055870238</v>
      </c>
      <c r="G46" s="7">
        <f>Sectortarieven!$C57*Rekenvol!G7</f>
        <v>2613765.1674401416</v>
      </c>
      <c r="H46" s="7">
        <f>Sectortarieven!$C57*Rekenvol!H7</f>
        <v>3342445.5501979636</v>
      </c>
      <c r="I46" s="7">
        <f>Sectortarieven!$C57*Rekenvol!I7</f>
        <v>38367543.68925553</v>
      </c>
      <c r="J46" s="7">
        <f>Sectortarieven!$C57*Rekenvol!J7</f>
        <v>3534840.9084285093</v>
      </c>
      <c r="K46" s="7">
        <f>Sectortarieven!$C57*Rekenvol!K7</f>
        <v>626924.9101692953</v>
      </c>
      <c r="L46" s="7">
        <f>Sectortarieven!$C57*Rekenvol!L7</f>
        <v>1792263.5787747877</v>
      </c>
      <c r="M46" s="7">
        <f>Sectortarieven!$C57*Rekenvol!M7</f>
        <v>874693.4602858354</v>
      </c>
      <c r="N46" s="7">
        <f>Sectortarieven!$C57*Rekenvol!N7</f>
        <v>33226642.331071988</v>
      </c>
      <c r="O46" s="7">
        <f>Sectortarieven!$C57*Rekenvol!O7</f>
        <v>0</v>
      </c>
      <c r="P46" s="7">
        <f>SUM(C46:N46)</f>
        <v>122721467.18802062</v>
      </c>
      <c r="Q46" s="28"/>
      <c r="R46" s="28"/>
      <c r="S46" s="28"/>
      <c r="T46" s="28"/>
      <c r="U46" s="28"/>
    </row>
    <row r="47" spans="2:21" s="5" customFormat="1" ht="11.25">
      <c r="B47" s="17" t="s">
        <v>21</v>
      </c>
      <c r="C47" s="7">
        <f>Sectortarieven!$C58*Rekenvol!C8</f>
        <v>9146346.988908831</v>
      </c>
      <c r="D47" s="7">
        <f>Sectortarieven!$C58*Rekenvol!D8</f>
        <v>12231404.386046268</v>
      </c>
      <c r="E47" s="7">
        <f>Sectortarieven!$C58*Rekenvol!E8</f>
        <v>118737868.8372089</v>
      </c>
      <c r="F47" s="7">
        <f>Sectortarieven!$C58*Rekenvol!F8</f>
        <v>4018952.171952655</v>
      </c>
      <c r="G47" s="7">
        <f>Sectortarieven!$C58*Rekenvol!G8</f>
        <v>10132908.843799045</v>
      </c>
      <c r="H47" s="7">
        <f>Sectortarieven!$C58*Rekenvol!H8</f>
        <v>12803300.921688175</v>
      </c>
      <c r="I47" s="7">
        <f>Sectortarieven!$C58*Rekenvol!I8</f>
        <v>141981331.0099454</v>
      </c>
      <c r="J47" s="7">
        <f>Sectortarieven!$C58*Rekenvol!J8</f>
        <v>13687904.836953957</v>
      </c>
      <c r="K47" s="7">
        <f>Sectortarieven!$C58*Rekenvol!K8</f>
        <v>2290363.0767391487</v>
      </c>
      <c r="L47" s="7">
        <f>Sectortarieven!$C58*Rekenvol!L8</f>
        <v>6733026.3156169355</v>
      </c>
      <c r="M47" s="7">
        <f>Sectortarieven!$C58*Rekenvol!M8</f>
        <v>5287658.96084599</v>
      </c>
      <c r="N47" s="7">
        <f>Sectortarieven!$C58*Rekenvol!N8</f>
        <v>124587569.37647708</v>
      </c>
      <c r="O47" s="7">
        <f>Sectortarieven!$C58*Rekenvol!O8</f>
        <v>0</v>
      </c>
      <c r="P47" s="7">
        <f>SUM(C47:N47)</f>
        <v>461638635.72618234</v>
      </c>
      <c r="Q47" s="28"/>
      <c r="R47" s="28"/>
      <c r="S47" s="28"/>
      <c r="T47" s="28"/>
      <c r="U47" s="28"/>
    </row>
    <row r="48" spans="2:21" s="5" customFormat="1" ht="11.25">
      <c r="B48" s="17" t="s">
        <v>22</v>
      </c>
      <c r="C48" s="7">
        <f>Sectortarieven!$C59*Rekenvol!C9</f>
        <v>4088595.3127238764</v>
      </c>
      <c r="D48" s="7">
        <f>Sectortarieven!$C59*Rekenvol!D9</f>
        <v>4596376.730408992</v>
      </c>
      <c r="E48" s="7">
        <f>Sectortarieven!$C59*Rekenvol!E9</f>
        <v>43773539.64343422</v>
      </c>
      <c r="F48" s="7">
        <f>Sectortarieven!$C59*Rekenvol!F9</f>
        <v>1550799.5761297587</v>
      </c>
      <c r="G48" s="7">
        <f>Sectortarieven!$C59*Rekenvol!G9</f>
        <v>4315756.555350322</v>
      </c>
      <c r="H48" s="7">
        <f>Sectortarieven!$C59*Rekenvol!H9</f>
        <v>5539250.9555701865</v>
      </c>
      <c r="I48" s="7">
        <f>Sectortarieven!$C59*Rekenvol!I9</f>
        <v>56590176.822000764</v>
      </c>
      <c r="J48" s="7">
        <f>Sectortarieven!$C59*Rekenvol!J9</f>
        <v>6196981.652178322</v>
      </c>
      <c r="K48" s="7">
        <f>Sectortarieven!$C59*Rekenvol!K9</f>
        <v>723089.9768755673</v>
      </c>
      <c r="L48" s="7">
        <f>Sectortarieven!$C59*Rekenvol!L9</f>
        <v>2986830.948315815</v>
      </c>
      <c r="M48" s="7">
        <f>Sectortarieven!$C59*Rekenvol!M9</f>
        <v>1661236.4626045404</v>
      </c>
      <c r="N48" s="7">
        <f>Sectortarieven!$C59*Rekenvol!N9</f>
        <v>55641911.72810372</v>
      </c>
      <c r="O48" s="7">
        <f>Sectortarieven!$C59*Rekenvol!O9</f>
        <v>0</v>
      </c>
      <c r="P48" s="7">
        <f>SUM(C48:N48)</f>
        <v>187664546.36369607</v>
      </c>
      <c r="Q48" s="28"/>
      <c r="R48" s="28"/>
      <c r="S48" s="28"/>
      <c r="T48" s="28"/>
      <c r="U48" s="28"/>
    </row>
    <row r="49" spans="17:21" s="5" customFormat="1" ht="11.25">
      <c r="Q49" s="28"/>
      <c r="R49" s="28"/>
      <c r="S49" s="28"/>
      <c r="T49" s="28"/>
      <c r="U49" s="28"/>
    </row>
    <row r="50" spans="2:21" s="5" customFormat="1" ht="11.25">
      <c r="B50" s="22" t="s">
        <v>23</v>
      </c>
      <c r="Q50" s="28"/>
      <c r="R50" s="28"/>
      <c r="S50" s="28"/>
      <c r="T50" s="28"/>
      <c r="U50" s="28"/>
    </row>
    <row r="51" spans="2:21" s="5" customFormat="1" ht="11.25">
      <c r="B51" s="24" t="s">
        <v>20</v>
      </c>
      <c r="C51" s="7">
        <f>Sectortarieven!$C62*Rekenvol!C12</f>
        <v>83750.88475203468</v>
      </c>
      <c r="D51" s="7">
        <f>Sectortarieven!$C62*Rekenvol!D12</f>
        <v>120095.60832367236</v>
      </c>
      <c r="E51" s="7">
        <f>Sectortarieven!$C62*Rekenvol!E12</f>
        <v>1633142.2526646762</v>
      </c>
      <c r="F51" s="7">
        <f>Sectortarieven!$C62*Rekenvol!F12</f>
        <v>86387.70162990871</v>
      </c>
      <c r="G51" s="7">
        <f>Sectortarieven!$C62*Rekenvol!G12</f>
        <v>138267.9701094912</v>
      </c>
      <c r="H51" s="7">
        <f>Sectortarieven!$C62*Rekenvol!H12</f>
        <v>136027.57502444193</v>
      </c>
      <c r="I51" s="7">
        <f>Sectortarieven!$C62*Rekenvol!I12</f>
        <v>2077390.6564374187</v>
      </c>
      <c r="J51" s="7">
        <f>Sectortarieven!$C62*Rekenvol!J12</f>
        <v>263245.4505460163</v>
      </c>
      <c r="K51" s="7">
        <f>Sectortarieven!$C62*Rekenvol!K12</f>
        <v>16592.156413138946</v>
      </c>
      <c r="L51" s="7">
        <f>Sectortarieven!$C62*Rekenvol!L12</f>
        <v>63737.58370704375</v>
      </c>
      <c r="M51" s="7">
        <f>Sectortarieven!$C62*Rekenvol!M12</f>
        <v>1069442.2472650635</v>
      </c>
      <c r="N51" s="7">
        <f>Sectortarieven!$C62*Rekenvol!N12</f>
        <v>2940893.8823383497</v>
      </c>
      <c r="O51" s="7">
        <f>Sectortarieven!$C62*Rekenvol!O12</f>
        <v>0</v>
      </c>
      <c r="P51" s="7">
        <f>SUM(C51:N51)</f>
        <v>8628973.969211254</v>
      </c>
      <c r="Q51" s="28"/>
      <c r="R51" s="28"/>
      <c r="S51" s="28"/>
      <c r="T51" s="28"/>
      <c r="U51" s="28"/>
    </row>
    <row r="52" spans="2:21" s="5" customFormat="1" ht="11.25">
      <c r="B52" s="25" t="s">
        <v>26</v>
      </c>
      <c r="C52" s="7">
        <f>Sectortarieven!$C63*Rekenvol!C15</f>
        <v>877750.7342508389</v>
      </c>
      <c r="D52" s="7">
        <f>Sectortarieven!$C63*Rekenvol!D15</f>
        <v>1252978.5522659316</v>
      </c>
      <c r="E52" s="7">
        <f>Sectortarieven!$C63*Rekenvol!E15</f>
        <v>16806216.94200371</v>
      </c>
      <c r="F52" s="7">
        <f>Sectortarieven!$C63*Rekenvol!F15</f>
        <v>816364.834312475</v>
      </c>
      <c r="G52" s="7">
        <f>Sectortarieven!$C63*Rekenvol!G15</f>
        <v>1312403.655098284</v>
      </c>
      <c r="H52" s="7">
        <f>Sectortarieven!$C63*Rekenvol!H15</f>
        <v>1446252.611652235</v>
      </c>
      <c r="I52" s="7">
        <f>Sectortarieven!$C63*Rekenvol!I15</f>
        <v>18058163.196820702</v>
      </c>
      <c r="J52" s="7">
        <f>Sectortarieven!$C63*Rekenvol!J15</f>
        <v>2261013.854348692</v>
      </c>
      <c r="K52" s="7">
        <f>Sectortarieven!$C63*Rekenvol!K15</f>
        <v>178301.21307544928</v>
      </c>
      <c r="L52" s="7">
        <f>Sectortarieven!$C63*Rekenvol!L15</f>
        <v>743539.1135993928</v>
      </c>
      <c r="M52" s="7">
        <f>Sectortarieven!$C63*Rekenvol!M15</f>
        <v>8900887.047837768</v>
      </c>
      <c r="N52" s="7">
        <f>Sectortarieven!$C63*Rekenvol!N15</f>
        <v>18059791.29957267</v>
      </c>
      <c r="O52" s="7">
        <f>Sectortarieven!$C63*Rekenvol!O15</f>
        <v>0</v>
      </c>
      <c r="P52" s="7">
        <f>SUM(C52:N52)</f>
        <v>70713663.05483815</v>
      </c>
      <c r="Q52" s="28"/>
      <c r="R52" s="28"/>
      <c r="S52" s="28"/>
      <c r="T52" s="28"/>
      <c r="U52" s="28"/>
    </row>
    <row r="53" spans="2:21" s="5" customFormat="1" ht="12.75">
      <c r="B53" s="2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8"/>
      <c r="R53" s="28"/>
      <c r="S53" s="28"/>
      <c r="T53" s="28"/>
      <c r="U53" s="28"/>
    </row>
    <row r="54" spans="2:21" s="5" customFormat="1" ht="12.75">
      <c r="B54" s="69" t="s">
        <v>50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8"/>
      <c r="R54" s="28"/>
      <c r="S54" s="28"/>
      <c r="T54" s="28"/>
      <c r="U54" s="28"/>
    </row>
    <row r="55" spans="2:21" s="5" customFormat="1" ht="11.25">
      <c r="B55" s="24" t="s">
        <v>20</v>
      </c>
      <c r="C55" s="148">
        <v>0</v>
      </c>
      <c r="D55" s="7">
        <f>Sectortarieven!$C66*Rekenvol!D18</f>
        <v>28971.410000000003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7">
        <f>Sectortarieven!$C70*Rekenvol!N18</f>
        <v>0</v>
      </c>
      <c r="O55" s="7">
        <f>Sectortarieven!$C74*Rekenvol!O18</f>
        <v>0</v>
      </c>
      <c r="P55" s="7">
        <f>SUM(C55:N55)</f>
        <v>28971.410000000003</v>
      </c>
      <c r="Q55" s="28"/>
      <c r="R55" s="28"/>
      <c r="S55" s="28"/>
      <c r="T55" s="28"/>
      <c r="U55" s="28"/>
    </row>
    <row r="56" spans="2:21" s="5" customFormat="1" ht="11.25">
      <c r="B56" s="25" t="s">
        <v>49</v>
      </c>
      <c r="C56" s="148">
        <v>0</v>
      </c>
      <c r="D56" s="7">
        <f>Sectortarieven!$C67*Rekenvol!D19</f>
        <v>3762491.0000000005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7">
        <f>Sectortarieven!$C71*Rekenvol!N19</f>
        <v>496788.6708249035</v>
      </c>
      <c r="O56" s="7">
        <f>Sectortarieven!$C75*Rekenvol!O19</f>
        <v>9749217</v>
      </c>
      <c r="P56" s="7">
        <f>SUM(C56:N56)</f>
        <v>4259279.670824904</v>
      </c>
      <c r="Q56" s="28"/>
      <c r="R56" s="28"/>
      <c r="S56" s="28"/>
      <c r="T56" s="28"/>
      <c r="U56" s="28"/>
    </row>
    <row r="57" spans="17:21" ht="12.75">
      <c r="Q57" s="28"/>
      <c r="R57" s="28"/>
      <c r="S57" s="28"/>
      <c r="T57" s="28"/>
      <c r="U57" s="28"/>
    </row>
    <row r="58" spans="2:21" ht="12.75">
      <c r="B58" s="1" t="s">
        <v>100</v>
      </c>
      <c r="C58" s="36">
        <f>SUM(C46:C48,C51:C52,C55:C56)</f>
        <v>16588044.995198444</v>
      </c>
      <c r="D58" s="36">
        <f aca="true" t="shared" si="3" ref="D58:O58">SUM(D46:D48,D51:D52,D55:D56)</f>
        <v>25301806.404746488</v>
      </c>
      <c r="E58" s="36">
        <f t="shared" si="3"/>
        <v>212553884.06985655</v>
      </c>
      <c r="F58" s="36">
        <f t="shared" si="3"/>
        <v>7510645.689611821</v>
      </c>
      <c r="G58" s="36">
        <f t="shared" si="3"/>
        <v>18513102.191797286</v>
      </c>
      <c r="H58" s="36">
        <f t="shared" si="3"/>
        <v>23267277.614133004</v>
      </c>
      <c r="I58" s="36">
        <f t="shared" si="3"/>
        <v>257074605.37445983</v>
      </c>
      <c r="J58" s="36">
        <f t="shared" si="3"/>
        <v>25943986.702455495</v>
      </c>
      <c r="K58" s="36">
        <f t="shared" si="3"/>
        <v>3835271.3332725996</v>
      </c>
      <c r="L58" s="36">
        <f t="shared" si="3"/>
        <v>12319397.540013975</v>
      </c>
      <c r="M58" s="36">
        <f t="shared" si="3"/>
        <v>17793918.1788392</v>
      </c>
      <c r="N58" s="36">
        <f t="shared" si="3"/>
        <v>234953597.28838873</v>
      </c>
      <c r="O58" s="36">
        <f t="shared" si="3"/>
        <v>9749217</v>
      </c>
      <c r="P58" s="123">
        <f>SUM(C58:N58)</f>
        <v>855655537.3827735</v>
      </c>
      <c r="Q58" s="28"/>
      <c r="R58" s="28"/>
      <c r="S58" s="28"/>
      <c r="T58" s="28"/>
      <c r="U58" s="28"/>
    </row>
    <row r="59" ht="12.75">
      <c r="O59" s="5"/>
    </row>
    <row r="60" ht="12.75">
      <c r="O60" s="5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R75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41.421875" style="1" customWidth="1"/>
    <col min="3" max="3" width="9.8515625" style="1" bestFit="1" customWidth="1"/>
    <col min="4" max="9" width="9.7109375" style="1" customWidth="1"/>
    <col min="10" max="10" width="10.7109375" style="1" bestFit="1" customWidth="1"/>
    <col min="11" max="18" width="9.7109375" style="1" customWidth="1"/>
    <col min="19" max="16384" width="9.140625" style="1" customWidth="1"/>
  </cols>
  <sheetData>
    <row r="1" ht="12.75"/>
    <row r="2" spans="2:18" s="4" customFormat="1" ht="201">
      <c r="B2" s="18" t="s">
        <v>82</v>
      </c>
      <c r="C2" s="18"/>
      <c r="D2" s="19" t="s">
        <v>9</v>
      </c>
      <c r="E2" s="19" t="s">
        <v>5</v>
      </c>
      <c r="F2" s="19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16</v>
      </c>
      <c r="P2" s="19" t="s">
        <v>15</v>
      </c>
      <c r="Q2" s="26" t="s">
        <v>48</v>
      </c>
      <c r="R2" s="26" t="s">
        <v>6</v>
      </c>
    </row>
    <row r="4" spans="2:18" s="21" customFormat="1" ht="12.75">
      <c r="B4" s="20" t="s">
        <v>122</v>
      </c>
      <c r="Q4" s="27"/>
      <c r="R4" s="27"/>
    </row>
    <row r="5" spans="17:18" ht="12.75">
      <c r="Q5" s="51"/>
      <c r="R5" s="51"/>
    </row>
    <row r="6" spans="2:18" ht="12.75">
      <c r="B6" s="22" t="s">
        <v>19</v>
      </c>
      <c r="Q6" s="51"/>
      <c r="R6" s="51"/>
    </row>
    <row r="7" spans="2:18" ht="12.75">
      <c r="B7" s="16" t="s">
        <v>20</v>
      </c>
      <c r="D7" s="74">
        <v>25.8</v>
      </c>
      <c r="E7" s="74">
        <v>18</v>
      </c>
      <c r="F7" s="74">
        <v>18</v>
      </c>
      <c r="G7" s="74">
        <v>18</v>
      </c>
      <c r="H7" s="74">
        <v>28.1</v>
      </c>
      <c r="I7" s="74">
        <v>18</v>
      </c>
      <c r="J7" s="74">
        <v>18</v>
      </c>
      <c r="K7" s="74">
        <v>18</v>
      </c>
      <c r="L7" s="74">
        <v>18</v>
      </c>
      <c r="M7" s="74">
        <v>18</v>
      </c>
      <c r="N7" s="74">
        <v>18</v>
      </c>
      <c r="O7" s="74">
        <v>18</v>
      </c>
      <c r="P7" s="34"/>
      <c r="Q7" s="51"/>
      <c r="R7" s="51"/>
    </row>
    <row r="8" spans="2:18" ht="12.75">
      <c r="B8" s="17" t="s">
        <v>21</v>
      </c>
      <c r="D8" s="75">
        <v>15.04</v>
      </c>
      <c r="E8" s="75">
        <v>14.78772</v>
      </c>
      <c r="F8" s="75">
        <v>14.8104</v>
      </c>
      <c r="G8" s="75">
        <v>14.62</v>
      </c>
      <c r="H8" s="75">
        <v>13.5024</v>
      </c>
      <c r="I8" s="75">
        <v>16.19</v>
      </c>
      <c r="J8" s="75">
        <v>15.36</v>
      </c>
      <c r="K8" s="75">
        <v>16.52</v>
      </c>
      <c r="L8" s="75">
        <v>13.56</v>
      </c>
      <c r="M8" s="75">
        <v>16.715</v>
      </c>
      <c r="N8" s="75">
        <v>11.105</v>
      </c>
      <c r="O8" s="75">
        <v>16.7</v>
      </c>
      <c r="P8" s="34"/>
      <c r="Q8" s="51"/>
      <c r="R8" s="51"/>
    </row>
    <row r="9" spans="2:18" ht="12.75">
      <c r="B9" s="17" t="s">
        <v>22</v>
      </c>
      <c r="D9" s="75">
        <v>0.010987</v>
      </c>
      <c r="E9" s="75">
        <v>0.01213</v>
      </c>
      <c r="F9" s="75">
        <v>0.0126</v>
      </c>
      <c r="G9" s="75">
        <v>0.01112</v>
      </c>
      <c r="H9" s="75">
        <v>0.011327</v>
      </c>
      <c r="I9" s="75">
        <v>0.01118</v>
      </c>
      <c r="J9" s="75">
        <v>0.01217</v>
      </c>
      <c r="K9" s="75">
        <v>0.01074</v>
      </c>
      <c r="L9" s="75">
        <v>0.015</v>
      </c>
      <c r="M9" s="75">
        <v>0.0111</v>
      </c>
      <c r="N9" s="75">
        <v>0.009797</v>
      </c>
      <c r="O9" s="75">
        <v>0.01144451463</v>
      </c>
      <c r="P9" s="34"/>
      <c r="Q9" s="51"/>
      <c r="R9" s="51"/>
    </row>
    <row r="10" spans="17:18" ht="12.75">
      <c r="Q10" s="51"/>
      <c r="R10" s="51"/>
    </row>
    <row r="11" spans="2:18" ht="12.75">
      <c r="B11" s="22" t="s">
        <v>23</v>
      </c>
      <c r="Q11" s="51"/>
      <c r="R11" s="51"/>
    </row>
    <row r="12" spans="2:18" ht="12.75">
      <c r="B12" s="24" t="s">
        <v>20</v>
      </c>
      <c r="D12" s="74">
        <v>25.8</v>
      </c>
      <c r="E12" s="74">
        <v>541.68</v>
      </c>
      <c r="F12" s="74">
        <v>800.04</v>
      </c>
      <c r="G12" s="74">
        <v>1165</v>
      </c>
      <c r="H12" s="74">
        <v>1244.2059</v>
      </c>
      <c r="I12" s="74">
        <v>600</v>
      </c>
      <c r="J12" s="74">
        <v>540</v>
      </c>
      <c r="K12" s="74">
        <v>1165</v>
      </c>
      <c r="L12" s="74">
        <v>1458</v>
      </c>
      <c r="M12" s="74">
        <v>687</v>
      </c>
      <c r="N12" s="74">
        <v>60</v>
      </c>
      <c r="O12" s="74">
        <v>1200</v>
      </c>
      <c r="P12" s="34"/>
      <c r="Q12" s="51"/>
      <c r="R12" s="51"/>
    </row>
    <row r="13" spans="2:18" ht="12.75">
      <c r="B13" s="25" t="s">
        <v>24</v>
      </c>
      <c r="D13" s="75">
        <v>28.73</v>
      </c>
      <c r="E13" s="75">
        <v>81.71052</v>
      </c>
      <c r="F13" s="75"/>
      <c r="G13" s="75"/>
      <c r="H13" s="75"/>
      <c r="I13" s="75"/>
      <c r="J13" s="75">
        <v>41.916</v>
      </c>
      <c r="K13" s="75"/>
      <c r="L13" s="75"/>
      <c r="M13" s="75">
        <v>34.56</v>
      </c>
      <c r="N13" s="75"/>
      <c r="O13" s="75"/>
      <c r="P13" s="34"/>
      <c r="Q13" s="51"/>
      <c r="R13" s="51"/>
    </row>
    <row r="14" spans="2:18" ht="12.75">
      <c r="B14" s="25" t="s">
        <v>25</v>
      </c>
      <c r="D14" s="75">
        <v>19.49</v>
      </c>
      <c r="E14" s="75">
        <v>23.21513</v>
      </c>
      <c r="F14" s="75"/>
      <c r="G14" s="75"/>
      <c r="H14" s="75"/>
      <c r="I14" s="75"/>
      <c r="J14" s="75">
        <v>21.288</v>
      </c>
      <c r="K14" s="75"/>
      <c r="L14" s="75"/>
      <c r="M14" s="75">
        <v>23.9</v>
      </c>
      <c r="N14" s="75"/>
      <c r="O14" s="75"/>
      <c r="P14" s="34"/>
      <c r="Q14" s="51"/>
      <c r="R14" s="51"/>
    </row>
    <row r="15" spans="2:18" ht="12.75">
      <c r="B15" s="25" t="s">
        <v>26</v>
      </c>
      <c r="D15" s="75"/>
      <c r="E15" s="75"/>
      <c r="F15" s="75">
        <v>26.04</v>
      </c>
      <c r="G15" s="75">
        <v>31.95</v>
      </c>
      <c r="H15" s="75">
        <v>25.9505</v>
      </c>
      <c r="I15" s="75">
        <v>24.49</v>
      </c>
      <c r="J15" s="75"/>
      <c r="K15" s="75">
        <v>19.25</v>
      </c>
      <c r="L15" s="75">
        <v>20.52</v>
      </c>
      <c r="M15" s="75"/>
      <c r="N15" s="75">
        <v>31.265</v>
      </c>
      <c r="O15" s="75">
        <v>24.6</v>
      </c>
      <c r="P15" s="34"/>
      <c r="Q15" s="51"/>
      <c r="R15" s="51"/>
    </row>
    <row r="16" spans="2:18" ht="12.75">
      <c r="B16" s="25" t="s">
        <v>120</v>
      </c>
      <c r="D16" s="125">
        <f>SUMPRODUCT(D13:D14,Rekenvol!C13:C14)/SUM(Rekenvol!C13:C14)</f>
        <v>22.385203635934364</v>
      </c>
      <c r="E16" s="125">
        <f>SUMPRODUCT(E13:E14,Rekenvol!D13:D14)/SUM(Rekenvol!D13:D14)</f>
        <v>37.2606025022225</v>
      </c>
      <c r="F16" s="125">
        <f>F15</f>
        <v>26.04</v>
      </c>
      <c r="G16" s="125">
        <f>G15</f>
        <v>31.95</v>
      </c>
      <c r="H16" s="125">
        <f>H15</f>
        <v>25.9505</v>
      </c>
      <c r="I16" s="125">
        <f>I15</f>
        <v>24.49</v>
      </c>
      <c r="J16" s="125">
        <f>SUMPRODUCT(J13:J14,Rekenvol!I13:I14)/SUM(Rekenvol!I13:I14)</f>
        <v>26.460205720487703</v>
      </c>
      <c r="K16" s="125">
        <f>K15</f>
        <v>19.25</v>
      </c>
      <c r="L16" s="125">
        <f>L15</f>
        <v>20.52</v>
      </c>
      <c r="M16" s="125">
        <f>SUMPRODUCT(M13:M14,Rekenvol!L13:L14)/SUM(Rekenvol!L13:L14)</f>
        <v>27.67926209803853</v>
      </c>
      <c r="N16" s="125">
        <f>N15</f>
        <v>31.265</v>
      </c>
      <c r="O16" s="125">
        <f>O15</f>
        <v>24.6</v>
      </c>
      <c r="P16" s="35"/>
      <c r="Q16" s="51"/>
      <c r="R16" s="51"/>
    </row>
    <row r="17" spans="17:18" ht="12.75">
      <c r="Q17" s="51"/>
      <c r="R17" s="51"/>
    </row>
    <row r="18" spans="2:18" ht="12.75">
      <c r="B18" s="69" t="s">
        <v>50</v>
      </c>
      <c r="Q18" s="51"/>
      <c r="R18" s="51"/>
    </row>
    <row r="19" spans="2:18" ht="12.75">
      <c r="B19" s="24" t="s">
        <v>20</v>
      </c>
      <c r="D19" s="74"/>
      <c r="E19" s="74">
        <v>2228.57</v>
      </c>
      <c r="F19" s="74"/>
      <c r="G19" s="74"/>
      <c r="H19" s="74"/>
      <c r="I19" s="74"/>
      <c r="J19" s="74"/>
      <c r="K19" s="74"/>
      <c r="L19" s="74"/>
      <c r="M19" s="74"/>
      <c r="N19" s="74"/>
      <c r="O19" s="74">
        <v>0</v>
      </c>
      <c r="P19" s="74">
        <v>0</v>
      </c>
      <c r="Q19" s="51"/>
      <c r="R19" s="51"/>
    </row>
    <row r="20" spans="2:18" ht="12.75">
      <c r="B20" s="25" t="s">
        <v>49</v>
      </c>
      <c r="D20" s="74"/>
      <c r="E20" s="74">
        <v>47.09</v>
      </c>
      <c r="F20" s="74"/>
      <c r="G20" s="74"/>
      <c r="H20" s="74"/>
      <c r="I20" s="74"/>
      <c r="J20" s="74"/>
      <c r="K20" s="74"/>
      <c r="L20" s="74"/>
      <c r="M20" s="74"/>
      <c r="N20" s="74"/>
      <c r="O20" s="74">
        <v>12.47</v>
      </c>
      <c r="P20" s="74">
        <v>21.78</v>
      </c>
      <c r="Q20" s="51"/>
      <c r="R20" s="51"/>
    </row>
    <row r="21" spans="2:18" ht="12.75">
      <c r="B21" s="25"/>
      <c r="Q21" s="51"/>
      <c r="R21" s="51"/>
    </row>
    <row r="22" spans="2:18" ht="12.75">
      <c r="B22" s="1" t="s">
        <v>132</v>
      </c>
      <c r="D22" s="76">
        <f>SUMPRODUCT(D7:D15,Rekenvol!C24:C32)</f>
        <v>16649182.651051318</v>
      </c>
      <c r="E22" s="76">
        <f>SUMPRODUCT(E7:E15,Rekenvol!D24:D32)</f>
        <v>21063828.444341525</v>
      </c>
      <c r="F22" s="76">
        <f>SUMPRODUCT(F7:F15,Rekenvol!E24:E32)</f>
        <v>216590552.91975442</v>
      </c>
      <c r="G22" s="76">
        <f>SUMPRODUCT(G7:G15,Rekenvol!F24:F32)</f>
        <v>7011941.797481434</v>
      </c>
      <c r="H22" s="76">
        <f>SUMPRODUCT(H7:H15,Rekenvol!G24:G32)</f>
        <v>18580134.862002384</v>
      </c>
      <c r="I22" s="76">
        <f>SUMPRODUCT(I7:I15,Rekenvol!H24:H32)</f>
        <v>23433339.40390439</v>
      </c>
      <c r="J22" s="76">
        <f>SUMPRODUCT(J7:J15,Rekenvol!I24:I32)</f>
        <v>253383493.8900972</v>
      </c>
      <c r="K22" s="76">
        <f>SUMPRODUCT(K7:K15,Rekenvol!J24:J32)</f>
        <v>25117489.218816206</v>
      </c>
      <c r="L22" s="76">
        <f>SUMPRODUCT(L7:L15,Rekenvol!K24:K32)</f>
        <v>3716552.853603117</v>
      </c>
      <c r="M22" s="76">
        <f>SUMPRODUCT(M7:M15,Rekenvol!L24:L32)</f>
        <v>12544078.270724315</v>
      </c>
      <c r="N22" s="76">
        <f>SUMPRODUCT(N7:N15,Rekenvol!M24:M32)</f>
        <v>17659697.286909867</v>
      </c>
      <c r="O22" s="76">
        <f>SUMPRODUCT(O7:O15,Rekenvol!N24:N32)</f>
        <v>222881585.95280528</v>
      </c>
      <c r="Q22" s="51"/>
      <c r="R22" s="51"/>
    </row>
    <row r="23" spans="17:18" ht="12.75">
      <c r="Q23" s="51"/>
      <c r="R23" s="51"/>
    </row>
    <row r="24" spans="2:18" s="21" customFormat="1" ht="12.75">
      <c r="B24" s="20" t="s">
        <v>123</v>
      </c>
      <c r="Q24" s="27"/>
      <c r="R24" s="27"/>
    </row>
    <row r="25" spans="17:18" ht="12.75">
      <c r="Q25" s="51"/>
      <c r="R25" s="51"/>
    </row>
    <row r="26" spans="2:18" ht="12.75">
      <c r="B26" s="1" t="s">
        <v>73</v>
      </c>
      <c r="D26" s="77">
        <v>1261.9148747416655</v>
      </c>
      <c r="E26" s="77">
        <v>-64970.463464527915</v>
      </c>
      <c r="F26" s="77">
        <v>-490804.1720624293</v>
      </c>
      <c r="G26" s="77">
        <v>-169829.59402123143</v>
      </c>
      <c r="H26" s="77">
        <v>23205.081689644958</v>
      </c>
      <c r="I26" s="77">
        <v>-41758.78767487552</v>
      </c>
      <c r="J26" s="77">
        <v>-1609629.7386407426</v>
      </c>
      <c r="K26" s="77">
        <v>-828111.6280780226</v>
      </c>
      <c r="L26" s="77">
        <v>32756.604827600775</v>
      </c>
      <c r="M26" s="77">
        <v>14849.686822398715</v>
      </c>
      <c r="N26" s="77">
        <v>7793.267851035236</v>
      </c>
      <c r="O26" s="77">
        <v>-12940626.336277023</v>
      </c>
      <c r="Q26" s="51"/>
      <c r="R26" s="51"/>
    </row>
    <row r="27" spans="2:18" ht="12.75">
      <c r="B27" s="1" t="s">
        <v>74</v>
      </c>
      <c r="D27" s="77">
        <v>162638.35074848426</v>
      </c>
      <c r="E27" s="77">
        <v>293070.3352570203</v>
      </c>
      <c r="F27" s="77">
        <v>2917207.248116739</v>
      </c>
      <c r="G27" s="77">
        <v>206319.76522662988</v>
      </c>
      <c r="H27" s="77">
        <v>250627.57484697225</v>
      </c>
      <c r="I27" s="77">
        <v>226486.52101222717</v>
      </c>
      <c r="J27" s="77">
        <v>3253981.0855268817</v>
      </c>
      <c r="K27" s="77">
        <v>401901.55700449634</v>
      </c>
      <c r="L27" s="77">
        <v>28081.548224118338</v>
      </c>
      <c r="M27" s="77">
        <v>132385.67782387856</v>
      </c>
      <c r="N27" s="77">
        <v>1265480.2546987974</v>
      </c>
      <c r="O27" s="77">
        <v>14550377.466118561</v>
      </c>
      <c r="Q27" s="51"/>
      <c r="R27" s="51"/>
    </row>
    <row r="28" spans="17:18" ht="12.75">
      <c r="Q28" s="51"/>
      <c r="R28" s="51"/>
    </row>
    <row r="29" spans="2:18" ht="12.75">
      <c r="B29" s="1" t="s">
        <v>75</v>
      </c>
      <c r="D29" s="76">
        <f>SUM(D26,D27)</f>
        <v>163900.26562322592</v>
      </c>
      <c r="E29" s="76">
        <f aca="true" t="shared" si="0" ref="E29:O29">SUM(E26,E27)</f>
        <v>228099.8717924924</v>
      </c>
      <c r="F29" s="76">
        <f t="shared" si="0"/>
        <v>2426403.07605431</v>
      </c>
      <c r="G29" s="76">
        <f t="shared" si="0"/>
        <v>36490.17120539845</v>
      </c>
      <c r="H29" s="76">
        <f t="shared" si="0"/>
        <v>273832.6565366172</v>
      </c>
      <c r="I29" s="76">
        <f t="shared" si="0"/>
        <v>184727.73333735164</v>
      </c>
      <c r="J29" s="76">
        <f t="shared" si="0"/>
        <v>1644351.3468861391</v>
      </c>
      <c r="K29" s="76">
        <f t="shared" si="0"/>
        <v>-426210.0710735263</v>
      </c>
      <c r="L29" s="76">
        <f t="shared" si="0"/>
        <v>60838.15305171911</v>
      </c>
      <c r="M29" s="76">
        <f t="shared" si="0"/>
        <v>147235.36464627727</v>
      </c>
      <c r="N29" s="76">
        <f t="shared" si="0"/>
        <v>1273273.5225498327</v>
      </c>
      <c r="O29" s="76">
        <f t="shared" si="0"/>
        <v>1609751.1298415381</v>
      </c>
      <c r="Q29" s="51"/>
      <c r="R29" s="51"/>
    </row>
    <row r="30" spans="2:18" ht="12.75">
      <c r="B30" s="1" t="s">
        <v>154</v>
      </c>
      <c r="D30" s="76">
        <f>Rekenvol!C24*D7+Rekenvol!C29*D12</f>
        <v>3280599</v>
      </c>
      <c r="E30" s="76">
        <f>Rekenvol!D24*E7+Rekenvol!D29*E12</f>
        <v>3258288</v>
      </c>
      <c r="F30" s="76">
        <f>Rekenvol!E24*F7+Rekenvol!E29*F12</f>
        <v>33694271.82</v>
      </c>
      <c r="G30" s="76">
        <f>Rekenvol!F24*G7+Rekenvol!F29*G12</f>
        <v>1064671</v>
      </c>
      <c r="H30" s="76">
        <f>Rekenvol!G24*H7+Rekenvol!G29*H12</f>
        <v>4187956.9325000006</v>
      </c>
      <c r="I30" s="76">
        <f>Rekenvol!H24*I7+Rekenvol!H29*I12</f>
        <v>3349926</v>
      </c>
      <c r="J30" s="76">
        <f>Rekenvol!I24*J7+Rekenvol!I29*J12</f>
        <v>38164032</v>
      </c>
      <c r="K30" s="76">
        <f>Rekenvol!J24*K7+Rekenvol!J29*K12</f>
        <v>3710164</v>
      </c>
      <c r="L30" s="76">
        <f>Rekenvol!K24*L7+Rekenvol!K29*L12</f>
        <v>654642</v>
      </c>
      <c r="M30" s="76">
        <f>Rekenvol!L24*M7+Rekenvol!L29*M12</f>
        <v>1756800</v>
      </c>
      <c r="N30" s="76">
        <f>Rekenvol!M24*N7+Rekenvol!M29*N12</f>
        <v>913767</v>
      </c>
      <c r="O30" s="76">
        <f>Rekenvol!N24*O7+Rekenvol!N29*O12</f>
        <v>34109881.59456623</v>
      </c>
      <c r="Q30" s="51"/>
      <c r="R30" s="51"/>
    </row>
    <row r="31" spans="2:18" ht="12.75">
      <c r="B31" s="1" t="s">
        <v>155</v>
      </c>
      <c r="D31" s="76">
        <f aca="true" t="shared" si="1" ref="D31:O31">D22-D30</f>
        <v>13368583.651051318</v>
      </c>
      <c r="E31" s="76">
        <f t="shared" si="1"/>
        <v>17805540.444341525</v>
      </c>
      <c r="F31" s="76">
        <f t="shared" si="1"/>
        <v>182896281.09975442</v>
      </c>
      <c r="G31" s="76">
        <f t="shared" si="1"/>
        <v>5947270.797481434</v>
      </c>
      <c r="H31" s="76">
        <f t="shared" si="1"/>
        <v>14392177.929502383</v>
      </c>
      <c r="I31" s="76">
        <f t="shared" si="1"/>
        <v>20083413.40390439</v>
      </c>
      <c r="J31" s="76">
        <f t="shared" si="1"/>
        <v>215219461.8900972</v>
      </c>
      <c r="K31" s="76">
        <f t="shared" si="1"/>
        <v>21407325.218816206</v>
      </c>
      <c r="L31" s="76">
        <f t="shared" si="1"/>
        <v>3061910.853603117</v>
      </c>
      <c r="M31" s="76">
        <f t="shared" si="1"/>
        <v>10787278.270724315</v>
      </c>
      <c r="N31" s="76">
        <f t="shared" si="1"/>
        <v>16745930.286909867</v>
      </c>
      <c r="O31" s="76">
        <f t="shared" si="1"/>
        <v>188771704.35823905</v>
      </c>
      <c r="Q31" s="51"/>
      <c r="R31" s="51"/>
    </row>
    <row r="32" spans="2:18" ht="12.75">
      <c r="B32" s="1" t="s">
        <v>156</v>
      </c>
      <c r="D32" s="76">
        <f aca="true" t="shared" si="2" ref="D32:O32">D31-D29</f>
        <v>13204683.385428092</v>
      </c>
      <c r="E32" s="76">
        <f t="shared" si="2"/>
        <v>17577440.572549034</v>
      </c>
      <c r="F32" s="76">
        <f t="shared" si="2"/>
        <v>180469878.02370012</v>
      </c>
      <c r="G32" s="76">
        <f t="shared" si="2"/>
        <v>5910780.626276036</v>
      </c>
      <c r="H32" s="76">
        <f t="shared" si="2"/>
        <v>14118345.272965766</v>
      </c>
      <c r="I32" s="76">
        <f t="shared" si="2"/>
        <v>19898685.67056704</v>
      </c>
      <c r="J32" s="76">
        <f t="shared" si="2"/>
        <v>213575110.54321107</v>
      </c>
      <c r="K32" s="76">
        <f t="shared" si="2"/>
        <v>21833535.28988973</v>
      </c>
      <c r="L32" s="76">
        <f t="shared" si="2"/>
        <v>3001072.700551398</v>
      </c>
      <c r="M32" s="76">
        <f t="shared" si="2"/>
        <v>10640042.906078039</v>
      </c>
      <c r="N32" s="76">
        <f t="shared" si="2"/>
        <v>15472656.764360035</v>
      </c>
      <c r="O32" s="76">
        <f t="shared" si="2"/>
        <v>187161953.22839752</v>
      </c>
      <c r="Q32" s="51"/>
      <c r="R32" s="51"/>
    </row>
    <row r="33" spans="17:18" ht="12.75">
      <c r="Q33" s="51"/>
      <c r="R33" s="51"/>
    </row>
    <row r="34" spans="2:18" s="21" customFormat="1" ht="12.75">
      <c r="B34" s="20" t="s">
        <v>76</v>
      </c>
      <c r="Q34" s="27"/>
      <c r="R34" s="27"/>
    </row>
    <row r="35" spans="17:18" ht="12.75">
      <c r="Q35" s="51"/>
      <c r="R35" s="51"/>
    </row>
    <row r="36" spans="2:18" ht="12.75">
      <c r="B36" s="22" t="s">
        <v>19</v>
      </c>
      <c r="Q36" s="51"/>
      <c r="R36" s="51"/>
    </row>
    <row r="37" spans="2:18" ht="12.75">
      <c r="B37" s="16" t="s">
        <v>20</v>
      </c>
      <c r="D37" s="78">
        <f>D7</f>
        <v>25.8</v>
      </c>
      <c r="E37" s="78">
        <f aca="true" t="shared" si="3" ref="E37:O37">E7</f>
        <v>18</v>
      </c>
      <c r="F37" s="78">
        <f t="shared" si="3"/>
        <v>18</v>
      </c>
      <c r="G37" s="78">
        <f t="shared" si="3"/>
        <v>18</v>
      </c>
      <c r="H37" s="78">
        <f t="shared" si="3"/>
        <v>28.1</v>
      </c>
      <c r="I37" s="78">
        <f t="shared" si="3"/>
        <v>18</v>
      </c>
      <c r="J37" s="78">
        <f t="shared" si="3"/>
        <v>18</v>
      </c>
      <c r="K37" s="78">
        <f t="shared" si="3"/>
        <v>18</v>
      </c>
      <c r="L37" s="78">
        <f t="shared" si="3"/>
        <v>18</v>
      </c>
      <c r="M37" s="78">
        <f t="shared" si="3"/>
        <v>18</v>
      </c>
      <c r="N37" s="78">
        <f t="shared" si="3"/>
        <v>18</v>
      </c>
      <c r="O37" s="78">
        <f t="shared" si="3"/>
        <v>18</v>
      </c>
      <c r="P37" s="103"/>
      <c r="Q37" s="51"/>
      <c r="R37" s="51"/>
    </row>
    <row r="38" spans="2:18" ht="12.75">
      <c r="B38" s="17" t="s">
        <v>21</v>
      </c>
      <c r="D38" s="79">
        <f>D8*(D$32/D$31)</f>
        <v>14.855607991144261</v>
      </c>
      <c r="E38" s="79">
        <f aca="true" t="shared" si="4" ref="E38:O39">E8*(E$32/E$31)</f>
        <v>14.598280255295412</v>
      </c>
      <c r="F38" s="79">
        <f t="shared" si="4"/>
        <v>14.613917054029137</v>
      </c>
      <c r="G38" s="79">
        <f t="shared" si="4"/>
        <v>14.530297290775987</v>
      </c>
      <c r="H38" s="79">
        <f t="shared" si="4"/>
        <v>13.245496696015636</v>
      </c>
      <c r="I38" s="79">
        <f t="shared" si="4"/>
        <v>16.041083979471825</v>
      </c>
      <c r="J38" s="79">
        <f t="shared" si="4"/>
        <v>15.242644271729157</v>
      </c>
      <c r="K38" s="79">
        <f t="shared" si="4"/>
        <v>16.848905657393658</v>
      </c>
      <c r="L38" s="79">
        <f t="shared" si="4"/>
        <v>13.290571726341891</v>
      </c>
      <c r="M38" s="79">
        <f t="shared" si="4"/>
        <v>16.486857269433614</v>
      </c>
      <c r="N38" s="79">
        <f t="shared" si="4"/>
        <v>10.26063350463911</v>
      </c>
      <c r="O38" s="79">
        <f t="shared" si="4"/>
        <v>16.55759071276203</v>
      </c>
      <c r="P38" s="104"/>
      <c r="Q38" s="51"/>
      <c r="R38" s="51"/>
    </row>
    <row r="39" spans="2:18" ht="12.75">
      <c r="B39" s="17" t="s">
        <v>22</v>
      </c>
      <c r="D39" s="79">
        <f>D9*(D$32/D$31)</f>
        <v>0.010852298204700931</v>
      </c>
      <c r="E39" s="79">
        <f t="shared" si="4"/>
        <v>0.011974607275275252</v>
      </c>
      <c r="F39" s="79">
        <f t="shared" si="4"/>
        <v>0.01243284144120126</v>
      </c>
      <c r="G39" s="79">
        <f t="shared" si="4"/>
        <v>0.011051771947566963</v>
      </c>
      <c r="H39" s="79">
        <f t="shared" si="4"/>
        <v>0.01111148692645523</v>
      </c>
      <c r="I39" s="79">
        <f t="shared" si="4"/>
        <v>0.01107716608341538</v>
      </c>
      <c r="J39" s="79">
        <f t="shared" si="4"/>
        <v>0.012077016978316658</v>
      </c>
      <c r="K39" s="79">
        <f t="shared" si="4"/>
        <v>0.01095382849639273</v>
      </c>
      <c r="L39" s="79">
        <f t="shared" si="4"/>
        <v>0.014701959874272004</v>
      </c>
      <c r="M39" s="79">
        <f t="shared" si="4"/>
        <v>0.010948496302166504</v>
      </c>
      <c r="N39" s="79">
        <f t="shared" si="4"/>
        <v>0.009052087027910794</v>
      </c>
      <c r="O39" s="79">
        <f t="shared" si="4"/>
        <v>0.011346921505973483</v>
      </c>
      <c r="P39" s="104"/>
      <c r="Q39" s="51"/>
      <c r="R39" s="51"/>
    </row>
    <row r="40" spans="17:18" ht="12.75">
      <c r="Q40" s="51"/>
      <c r="R40" s="51"/>
    </row>
    <row r="41" spans="2:18" ht="12.75">
      <c r="B41" s="22" t="s">
        <v>23</v>
      </c>
      <c r="Q41" s="51"/>
      <c r="R41" s="51"/>
    </row>
    <row r="42" spans="2:18" ht="12.75">
      <c r="B42" s="24" t="s">
        <v>20</v>
      </c>
      <c r="D42" s="78">
        <f>D12</f>
        <v>25.8</v>
      </c>
      <c r="E42" s="78">
        <f aca="true" t="shared" si="5" ref="E42:O42">E12</f>
        <v>541.68</v>
      </c>
      <c r="F42" s="78">
        <f t="shared" si="5"/>
        <v>800.04</v>
      </c>
      <c r="G42" s="78">
        <f t="shared" si="5"/>
        <v>1165</v>
      </c>
      <c r="H42" s="78">
        <f t="shared" si="5"/>
        <v>1244.2059</v>
      </c>
      <c r="I42" s="78">
        <f t="shared" si="5"/>
        <v>600</v>
      </c>
      <c r="J42" s="78">
        <f t="shared" si="5"/>
        <v>540</v>
      </c>
      <c r="K42" s="78">
        <f t="shared" si="5"/>
        <v>1165</v>
      </c>
      <c r="L42" s="78">
        <f t="shared" si="5"/>
        <v>1458</v>
      </c>
      <c r="M42" s="78">
        <f t="shared" si="5"/>
        <v>687</v>
      </c>
      <c r="N42" s="78">
        <f t="shared" si="5"/>
        <v>60</v>
      </c>
      <c r="O42" s="78">
        <f t="shared" si="5"/>
        <v>1200</v>
      </c>
      <c r="P42" s="103"/>
      <c r="Q42" s="51"/>
      <c r="R42" s="51"/>
    </row>
    <row r="43" spans="2:18" ht="12.75">
      <c r="B43" s="25" t="s">
        <v>24</v>
      </c>
      <c r="D43" s="79">
        <f>D13*(D$32/D$31)</f>
        <v>28.37776712670044</v>
      </c>
      <c r="E43" s="79">
        <f aca="true" t="shared" si="6" ref="E43:O43">E13*(E$32/E$31)</f>
        <v>80.66375822411575</v>
      </c>
      <c r="F43" s="79">
        <f t="shared" si="6"/>
        <v>0</v>
      </c>
      <c r="G43" s="79">
        <f t="shared" si="6"/>
        <v>0</v>
      </c>
      <c r="H43" s="79">
        <f t="shared" si="6"/>
        <v>0</v>
      </c>
      <c r="I43" s="79">
        <f t="shared" si="6"/>
        <v>0</v>
      </c>
      <c r="J43" s="79">
        <f t="shared" si="6"/>
        <v>41.595747219648395</v>
      </c>
      <c r="K43" s="79">
        <f t="shared" si="6"/>
        <v>0</v>
      </c>
      <c r="L43" s="79">
        <f t="shared" si="6"/>
        <v>0</v>
      </c>
      <c r="M43" s="79">
        <f t="shared" si="6"/>
        <v>34.08829118944814</v>
      </c>
      <c r="N43" s="79">
        <f t="shared" si="6"/>
        <v>0</v>
      </c>
      <c r="O43" s="79">
        <f t="shared" si="6"/>
        <v>0</v>
      </c>
      <c r="P43" s="103"/>
      <c r="Q43" s="51"/>
      <c r="R43" s="51"/>
    </row>
    <row r="44" spans="2:18" ht="12.75">
      <c r="B44" s="25" t="s">
        <v>25</v>
      </c>
      <c r="D44" s="79">
        <f aca="true" t="shared" si="7" ref="D44:O45">D14*(D$32/D$31)</f>
        <v>19.25105051511979</v>
      </c>
      <c r="E44" s="79">
        <f t="shared" si="7"/>
        <v>22.917729974811273</v>
      </c>
      <c r="F44" s="79">
        <f t="shared" si="7"/>
        <v>0</v>
      </c>
      <c r="G44" s="79">
        <f t="shared" si="7"/>
        <v>0</v>
      </c>
      <c r="H44" s="79">
        <f t="shared" si="7"/>
        <v>0</v>
      </c>
      <c r="I44" s="79">
        <f t="shared" si="7"/>
        <v>0</v>
      </c>
      <c r="J44" s="79">
        <f t="shared" si="7"/>
        <v>21.12535229534963</v>
      </c>
      <c r="K44" s="79">
        <f t="shared" si="7"/>
        <v>0</v>
      </c>
      <c r="L44" s="79">
        <f t="shared" si="7"/>
        <v>0</v>
      </c>
      <c r="M44" s="79">
        <f t="shared" si="7"/>
        <v>23.57378933529544</v>
      </c>
      <c r="N44" s="79">
        <f t="shared" si="7"/>
        <v>0</v>
      </c>
      <c r="O44" s="79">
        <f t="shared" si="7"/>
        <v>0</v>
      </c>
      <c r="P44" s="103"/>
      <c r="Q44" s="51"/>
      <c r="R44" s="51"/>
    </row>
    <row r="45" spans="2:18" ht="12.75">
      <c r="B45" s="25" t="s">
        <v>26</v>
      </c>
      <c r="D45" s="79">
        <f t="shared" si="7"/>
        <v>0</v>
      </c>
      <c r="E45" s="79">
        <f t="shared" si="7"/>
        <v>0</v>
      </c>
      <c r="F45" s="79">
        <f t="shared" si="7"/>
        <v>25.6945389784826</v>
      </c>
      <c r="G45" s="79">
        <f t="shared" si="7"/>
        <v>31.753967061579537</v>
      </c>
      <c r="H45" s="79">
        <f t="shared" si="7"/>
        <v>25.45675302242222</v>
      </c>
      <c r="I45" s="79">
        <f t="shared" si="7"/>
        <v>24.26474037413619</v>
      </c>
      <c r="J45" s="79">
        <f t="shared" si="7"/>
        <v>0</v>
      </c>
      <c r="K45" s="79">
        <f t="shared" si="7"/>
        <v>19.633258710946002</v>
      </c>
      <c r="L45" s="79">
        <f t="shared" si="7"/>
        <v>20.1122811080041</v>
      </c>
      <c r="M45" s="79">
        <f t="shared" si="7"/>
        <v>0</v>
      </c>
      <c r="N45" s="79">
        <f t="shared" si="7"/>
        <v>28.88777186155261</v>
      </c>
      <c r="O45" s="79">
        <f t="shared" si="7"/>
        <v>24.390223445146464</v>
      </c>
      <c r="P45" s="103"/>
      <c r="Q45" s="51"/>
      <c r="R45" s="51"/>
    </row>
    <row r="46" spans="17:18" ht="12.75">
      <c r="Q46" s="51"/>
      <c r="R46" s="51"/>
    </row>
    <row r="47" spans="2:18" ht="12.75">
      <c r="B47" s="69" t="s">
        <v>50</v>
      </c>
      <c r="Q47" s="51"/>
      <c r="R47" s="51"/>
    </row>
    <row r="48" spans="2:18" ht="12.75">
      <c r="B48" s="24" t="s">
        <v>20</v>
      </c>
      <c r="D48" s="79">
        <f>D19</f>
        <v>0</v>
      </c>
      <c r="E48" s="79">
        <f>E19</f>
        <v>2228.57</v>
      </c>
      <c r="F48" s="79">
        <f aca="true" t="shared" si="8" ref="E48:P49">F19</f>
        <v>0</v>
      </c>
      <c r="G48" s="79">
        <f t="shared" si="8"/>
        <v>0</v>
      </c>
      <c r="H48" s="79">
        <f t="shared" si="8"/>
        <v>0</v>
      </c>
      <c r="I48" s="79">
        <f t="shared" si="8"/>
        <v>0</v>
      </c>
      <c r="J48" s="79">
        <f t="shared" si="8"/>
        <v>0</v>
      </c>
      <c r="K48" s="79">
        <f t="shared" si="8"/>
        <v>0</v>
      </c>
      <c r="L48" s="79">
        <f t="shared" si="8"/>
        <v>0</v>
      </c>
      <c r="M48" s="79">
        <f t="shared" si="8"/>
        <v>0</v>
      </c>
      <c r="N48" s="79">
        <f t="shared" si="8"/>
        <v>0</v>
      </c>
      <c r="O48" s="79">
        <f t="shared" si="8"/>
        <v>0</v>
      </c>
      <c r="P48" s="104">
        <f t="shared" si="8"/>
        <v>0</v>
      </c>
      <c r="Q48" s="51"/>
      <c r="R48" s="51"/>
    </row>
    <row r="49" spans="2:18" ht="12.75">
      <c r="B49" s="25" t="s">
        <v>49</v>
      </c>
      <c r="D49" s="79">
        <f>D20</f>
        <v>0</v>
      </c>
      <c r="E49" s="79">
        <f t="shared" si="8"/>
        <v>47.09</v>
      </c>
      <c r="F49" s="79">
        <f t="shared" si="8"/>
        <v>0</v>
      </c>
      <c r="G49" s="79">
        <f t="shared" si="8"/>
        <v>0</v>
      </c>
      <c r="H49" s="79">
        <f t="shared" si="8"/>
        <v>0</v>
      </c>
      <c r="I49" s="79">
        <f t="shared" si="8"/>
        <v>0</v>
      </c>
      <c r="J49" s="79">
        <f t="shared" si="8"/>
        <v>0</v>
      </c>
      <c r="K49" s="79">
        <f t="shared" si="8"/>
        <v>0</v>
      </c>
      <c r="L49" s="79">
        <f t="shared" si="8"/>
        <v>0</v>
      </c>
      <c r="M49" s="79">
        <f t="shared" si="8"/>
        <v>0</v>
      </c>
      <c r="N49" s="79">
        <f t="shared" si="8"/>
        <v>0</v>
      </c>
      <c r="O49" s="79">
        <f t="shared" si="8"/>
        <v>12.47</v>
      </c>
      <c r="P49" s="104">
        <f t="shared" si="8"/>
        <v>21.78</v>
      </c>
      <c r="Q49" s="51"/>
      <c r="R49" s="51"/>
    </row>
    <row r="50" spans="2:18" ht="12.75">
      <c r="B50" s="25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51"/>
      <c r="R50" s="51"/>
    </row>
    <row r="51" spans="2:18" ht="12.75">
      <c r="B51" s="145" t="s">
        <v>157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51"/>
      <c r="R51" s="51"/>
    </row>
    <row r="52" spans="2:18" ht="12.75">
      <c r="B52" s="25" t="s">
        <v>120</v>
      </c>
      <c r="D52" s="79">
        <f aca="true" t="shared" si="9" ref="D52:O52">D16*(D$32/D$31)</f>
        <v>22.11075864477248</v>
      </c>
      <c r="E52" s="79">
        <f t="shared" si="9"/>
        <v>36.78327137710245</v>
      </c>
      <c r="F52" s="79">
        <f t="shared" si="9"/>
        <v>25.6945389784826</v>
      </c>
      <c r="G52" s="79">
        <f t="shared" si="9"/>
        <v>31.753967061579537</v>
      </c>
      <c r="H52" s="79">
        <f t="shared" si="9"/>
        <v>25.45675302242222</v>
      </c>
      <c r="I52" s="79">
        <f t="shared" si="9"/>
        <v>24.26474037413619</v>
      </c>
      <c r="J52" s="79">
        <f t="shared" si="9"/>
        <v>26.258040569932746</v>
      </c>
      <c r="K52" s="79">
        <f t="shared" si="9"/>
        <v>19.633258710946002</v>
      </c>
      <c r="L52" s="79">
        <f t="shared" si="9"/>
        <v>20.1122811080041</v>
      </c>
      <c r="M52" s="79">
        <f t="shared" si="9"/>
        <v>27.3014683537903</v>
      </c>
      <c r="N52" s="79">
        <f t="shared" si="9"/>
        <v>28.88777186155261</v>
      </c>
      <c r="O52" s="79">
        <f t="shared" si="9"/>
        <v>24.390223445146464</v>
      </c>
      <c r="P52" s="103"/>
      <c r="Q52" s="51"/>
      <c r="R52" s="51"/>
    </row>
    <row r="53" spans="17:18" ht="12.75">
      <c r="Q53" s="51"/>
      <c r="R53" s="51"/>
    </row>
    <row r="54" spans="2:18" s="21" customFormat="1" ht="12.75">
      <c r="B54" s="20" t="s">
        <v>72</v>
      </c>
      <c r="Q54" s="27"/>
      <c r="R54" s="27"/>
    </row>
    <row r="56" ht="12.75">
      <c r="B56" s="22" t="s">
        <v>19</v>
      </c>
    </row>
    <row r="57" spans="2:3" ht="12.75">
      <c r="B57" s="16" t="s">
        <v>20</v>
      </c>
      <c r="C57" s="85">
        <f>SUMPRODUCT(D37:P37,Rekenvol!C7:O7)/SUM(Rekenvol!C7:O7)</f>
        <v>18.36712009402324</v>
      </c>
    </row>
    <row r="58" spans="2:3" ht="12.75">
      <c r="B58" s="17" t="s">
        <v>21</v>
      </c>
      <c r="C58" s="85">
        <f>SUMPRODUCT(D38:P38,Rekenvol!C8:O8)/SUM(Rekenvol!C8:O8)</f>
        <v>15.382197604647164</v>
      </c>
    </row>
    <row r="59" spans="2:3" ht="12.75">
      <c r="B59" s="17" t="s">
        <v>22</v>
      </c>
      <c r="C59" s="143">
        <f>SUMPRODUCT(D39:P39,Rekenvol!C9:O9)/SUM(Rekenvol!C9:O9)</f>
        <v>0.011782449859271028</v>
      </c>
    </row>
    <row r="60" ht="12.75">
      <c r="C60" s="144"/>
    </row>
    <row r="61" spans="2:3" ht="12.75">
      <c r="B61" s="22" t="s">
        <v>23</v>
      </c>
      <c r="C61" s="144"/>
    </row>
    <row r="62" spans="2:3" ht="12.75">
      <c r="B62" s="24" t="s">
        <v>20</v>
      </c>
      <c r="C62" s="85">
        <f>SUMPRODUCT(D42:P42,Rekenvol!C12:O12)/SUM(Rekenvol!C12:O12)</f>
        <v>790.1026863399497</v>
      </c>
    </row>
    <row r="63" spans="2:3" ht="12.75">
      <c r="B63" s="25" t="s">
        <v>120</v>
      </c>
      <c r="C63" s="85">
        <f>SUMPRODUCT(D52:P52,Rekenvol!C15:O15)/SUM(Rekenvol!C15:O15)</f>
        <v>25.904578392481373</v>
      </c>
    </row>
    <row r="65" ht="12.75">
      <c r="B65" s="69" t="s">
        <v>166</v>
      </c>
    </row>
    <row r="66" spans="2:3" ht="12.75">
      <c r="B66" s="24" t="s">
        <v>20</v>
      </c>
      <c r="C66" s="86">
        <f>E48</f>
        <v>2228.57</v>
      </c>
    </row>
    <row r="67" spans="2:3" ht="12.75">
      <c r="B67" s="25" t="s">
        <v>49</v>
      </c>
      <c r="C67" s="86">
        <f>E49</f>
        <v>47.09</v>
      </c>
    </row>
    <row r="69" ht="12.75">
      <c r="B69" s="69" t="s">
        <v>167</v>
      </c>
    </row>
    <row r="70" spans="2:3" ht="12.75">
      <c r="B70" s="24" t="s">
        <v>20</v>
      </c>
      <c r="C70" s="86">
        <f>O48</f>
        <v>0</v>
      </c>
    </row>
    <row r="71" spans="2:3" ht="12.75">
      <c r="B71" s="25" t="s">
        <v>49</v>
      </c>
      <c r="C71" s="86">
        <f>O49</f>
        <v>12.47</v>
      </c>
    </row>
    <row r="73" ht="12.75">
      <c r="B73" s="69" t="s">
        <v>168</v>
      </c>
    </row>
    <row r="74" spans="2:3" ht="12.75">
      <c r="B74" s="24" t="s">
        <v>20</v>
      </c>
      <c r="C74" s="86">
        <f>P48</f>
        <v>0</v>
      </c>
    </row>
    <row r="75" spans="2:3" ht="12.75">
      <c r="B75" s="25" t="s">
        <v>49</v>
      </c>
      <c r="C75" s="86">
        <f>P49</f>
        <v>21.78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W4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5.140625" style="3" bestFit="1" customWidth="1"/>
    <col min="3" max="3" width="6.7109375" style="3" customWidth="1"/>
    <col min="4" max="4" width="10.140625" style="3" customWidth="1"/>
    <col min="5" max="6" width="9.57421875" style="3" bestFit="1" customWidth="1"/>
    <col min="7" max="7" width="12.140625" style="3" bestFit="1" customWidth="1"/>
    <col min="8" max="10" width="10.7109375" style="3" bestFit="1" customWidth="1"/>
    <col min="11" max="11" width="12.140625" style="3" bestFit="1" customWidth="1"/>
    <col min="12" max="12" width="10.7109375" style="3" bestFit="1" customWidth="1"/>
    <col min="13" max="13" width="9.8515625" style="3" bestFit="1" customWidth="1"/>
    <col min="14" max="16" width="10.7109375" style="3" bestFit="1" customWidth="1"/>
    <col min="17" max="17" width="9.8515625" style="3" customWidth="1"/>
    <col min="18" max="21" width="10.7109375" style="29" bestFit="1" customWidth="1"/>
    <col min="22" max="23" width="12.140625" style="29" bestFit="1" customWidth="1"/>
    <col min="24" max="16384" width="9.140625" style="3" customWidth="1"/>
  </cols>
  <sheetData>
    <row r="1" ht="12.75"/>
    <row r="2" spans="2:23" s="4" customFormat="1" ht="201">
      <c r="B2" s="18" t="s">
        <v>114</v>
      </c>
      <c r="C2" s="18"/>
      <c r="D2" s="18"/>
      <c r="E2" s="19" t="s">
        <v>9</v>
      </c>
      <c r="F2" s="19" t="s">
        <v>5</v>
      </c>
      <c r="G2" s="19" t="s">
        <v>115</v>
      </c>
      <c r="H2" s="19" t="s">
        <v>4</v>
      </c>
      <c r="I2" s="19" t="s">
        <v>7</v>
      </c>
      <c r="J2" s="19" t="s">
        <v>10</v>
      </c>
      <c r="K2" s="19" t="s">
        <v>8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16</v>
      </c>
      <c r="Q2" s="19" t="s">
        <v>15</v>
      </c>
      <c r="R2" s="26" t="s">
        <v>48</v>
      </c>
      <c r="S2" s="26" t="s">
        <v>6</v>
      </c>
      <c r="T2" s="26" t="s">
        <v>0</v>
      </c>
      <c r="U2" s="26" t="s">
        <v>1</v>
      </c>
      <c r="V2" s="26" t="s">
        <v>2</v>
      </c>
      <c r="W2" s="26" t="s">
        <v>3</v>
      </c>
    </row>
    <row r="4" spans="2:23" s="21" customFormat="1" ht="12.75">
      <c r="B4" s="20">
        <v>2004</v>
      </c>
      <c r="C4" s="20"/>
      <c r="R4" s="27"/>
      <c r="S4" s="27"/>
      <c r="T4" s="27"/>
      <c r="U4" s="27"/>
      <c r="V4" s="27"/>
      <c r="W4" s="27"/>
    </row>
    <row r="6" spans="2:23" s="5" customFormat="1" ht="11.25">
      <c r="B6" s="105" t="s">
        <v>19</v>
      </c>
      <c r="C6" s="105"/>
      <c r="D6" s="106"/>
      <c r="R6" s="28"/>
      <c r="S6" s="28"/>
      <c r="T6" s="28"/>
      <c r="U6" s="28"/>
      <c r="V6" s="28"/>
      <c r="W6" s="28"/>
    </row>
    <row r="7" spans="2:23" s="5" customFormat="1" ht="11.25">
      <c r="B7" s="16" t="s">
        <v>20</v>
      </c>
      <c r="C7" s="16"/>
      <c r="D7" s="107" t="s">
        <v>116</v>
      </c>
      <c r="E7" s="108">
        <f>E21/(1-$C$10+CPI!$C$7)</f>
        <v>29.001341877690848</v>
      </c>
      <c r="F7" s="108">
        <f>F21/(1-$C$10+CPI!$C$7)</f>
        <v>57.38563392819679</v>
      </c>
      <c r="G7" s="108">
        <f>G21/(1-$C$10+CPI!$C$7)</f>
        <v>43.56371779925477</v>
      </c>
      <c r="H7" s="108">
        <f>H21/(1-$C$10+CPI!$C$7)</f>
        <v>29.618391704875762</v>
      </c>
      <c r="I7" s="108">
        <f>I21/(1-$C$10+CPI!$C$7)</f>
        <v>42.62785889469099</v>
      </c>
      <c r="J7" s="108">
        <f>J21/(1-$C$10+CPI!$C$7)</f>
        <v>40.31392204274757</v>
      </c>
      <c r="K7" s="108">
        <f>K21/(1-$C$10+CPI!$C$7)</f>
        <v>37.0229896310947</v>
      </c>
      <c r="L7" s="108">
        <f>L21/(1-$C$10+CPI!$C$7)</f>
        <v>29.618391704875762</v>
      </c>
      <c r="M7" s="108">
        <f>M21/(1-$C$10+CPI!$C$7)</f>
        <v>63.52527970868666</v>
      </c>
      <c r="N7" s="108">
        <f>N21/(1-$C$10+CPI!$C$7)</f>
        <v>18.449789832828863</v>
      </c>
      <c r="O7" s="108">
        <f>O21/(1-$C$10+CPI!$C$7)</f>
        <v>35.994573252453186</v>
      </c>
      <c r="P7" s="108">
        <f>P21/(1-$C$10+CPI!$C$7)</f>
        <v>18.51149481554735</v>
      </c>
      <c r="R7" s="28"/>
      <c r="S7" s="28"/>
      <c r="T7" s="28"/>
      <c r="U7" s="28"/>
      <c r="V7" s="28"/>
      <c r="W7" s="28"/>
    </row>
    <row r="8" spans="2:23" s="5" customFormat="1" ht="11.25">
      <c r="B8" s="17" t="s">
        <v>21</v>
      </c>
      <c r="C8" s="17"/>
      <c r="D8" s="107" t="s">
        <v>117</v>
      </c>
      <c r="E8" s="108">
        <f>E22/(1-$C$10+CPI!$C$7)</f>
        <v>14.130441042534478</v>
      </c>
      <c r="F8" s="108">
        <f>F22/(1-$C$10+CPI!$C$7)</f>
        <v>0</v>
      </c>
      <c r="G8" s="108">
        <f>G22/(1-$C$10+CPI!$C$7)</f>
        <v>9.859942030225568</v>
      </c>
      <c r="H8" s="108">
        <f>H22/(1-$C$10+CPI!$C$7)</f>
        <v>14.202430189039385</v>
      </c>
      <c r="I8" s="108">
        <f>I22/(1-$C$10+CPI!$C$7)</f>
        <v>11.056401645137113</v>
      </c>
      <c r="J8" s="108">
        <f>J22/(1-$C$10+CPI!$C$7)</f>
        <v>10.633825355153311</v>
      </c>
      <c r="K8" s="108">
        <f>K22/(1-$C$10+CPI!$C$7)</f>
        <v>11.847356681950304</v>
      </c>
      <c r="L8" s="108">
        <f>L22/(1-$C$10+CPI!$C$7)</f>
        <v>15.724486429428833</v>
      </c>
      <c r="M8" s="108">
        <f>M22/(1-$C$10+CPI!$C$7)</f>
        <v>3.0852491359245584</v>
      </c>
      <c r="N8" s="108">
        <f>N22/(1-$C$10+CPI!$C$7)</f>
        <v>19.740452388023968</v>
      </c>
      <c r="O8" s="108">
        <f>O22/(1-$C$10+CPI!$C$7)</f>
        <v>4.708090181420877</v>
      </c>
      <c r="P8" s="108">
        <f>P22/(1-$C$10+CPI!$C$7)</f>
        <v>12.340996543698234</v>
      </c>
      <c r="R8" s="28"/>
      <c r="S8" s="28"/>
      <c r="T8" s="28"/>
      <c r="U8" s="28"/>
      <c r="V8" s="28"/>
      <c r="W8" s="28"/>
    </row>
    <row r="9" spans="2:23" s="5" customFormat="1" ht="11.25">
      <c r="B9" s="17" t="s">
        <v>22</v>
      </c>
      <c r="C9" s="17"/>
      <c r="D9" s="17" t="s">
        <v>118</v>
      </c>
      <c r="E9" s="108">
        <f>E23/(1-$C$10+CPI!$C$7)</f>
        <v>0.010832309716231127</v>
      </c>
      <c r="F9" s="108">
        <f>F23/(1-$C$10+CPI!$C$7)</f>
        <v>0.02385720315172597</v>
      </c>
      <c r="G9" s="108">
        <f>G23/(1-$C$10+CPI!$C$7)</f>
        <v>0.01300123985878609</v>
      </c>
      <c r="H9" s="108">
        <f>H23/(1-$C$10+CPI!$C$7)</f>
        <v>0.012394474195387594</v>
      </c>
      <c r="I9" s="108">
        <f>I23/(1-$C$10+CPI!$C$7)</f>
        <v>0.011806220026804645</v>
      </c>
      <c r="J9" s="108">
        <f>J23/(1-$C$10+CPI!$C$7)</f>
        <v>0.010769576317133992</v>
      </c>
      <c r="K9" s="108">
        <f>K23/(1-$C$10+CPI!$C$7)</f>
        <v>0.012768766336394174</v>
      </c>
      <c r="L9" s="108">
        <f>L23/(1-$C$10+CPI!$C$7)</f>
        <v>0.011642701822600642</v>
      </c>
      <c r="M9" s="108">
        <f>M23/(1-$C$10+CPI!$C$7)</f>
        <v>0.015426245679622792</v>
      </c>
      <c r="N9" s="108">
        <f>N23/(1-$C$10+CPI!$C$7)</f>
        <v>0.012793499750300502</v>
      </c>
      <c r="O9" s="108">
        <f>O23/(1-$C$10+CPI!$C$7)</f>
        <v>0.016536935368555633</v>
      </c>
      <c r="P9" s="108">
        <f>P23/(1-$C$10+CPI!$C$7)</f>
        <v>0.02613385466908048</v>
      </c>
      <c r="R9" s="28"/>
      <c r="S9" s="28"/>
      <c r="T9" s="28"/>
      <c r="U9" s="28"/>
      <c r="V9" s="28"/>
      <c r="W9" s="28"/>
    </row>
    <row r="10" spans="2:23" s="5" customFormat="1" ht="11.25">
      <c r="B10" s="107" t="s">
        <v>124</v>
      </c>
      <c r="C10" s="136">
        <v>0.0386312</v>
      </c>
      <c r="R10" s="28"/>
      <c r="S10" s="28"/>
      <c r="T10" s="28"/>
      <c r="U10" s="28"/>
      <c r="V10" s="28"/>
      <c r="W10" s="28"/>
    </row>
    <row r="11" spans="2:23" s="5" customFormat="1" ht="11.25">
      <c r="B11" s="106"/>
      <c r="C11" s="106"/>
      <c r="D11" s="17"/>
      <c r="R11" s="28"/>
      <c r="S11" s="28"/>
      <c r="T11" s="28"/>
      <c r="U11" s="28"/>
      <c r="V11" s="28"/>
      <c r="W11" s="28"/>
    </row>
    <row r="12" spans="2:23" s="5" customFormat="1" ht="11.25">
      <c r="B12" s="105" t="s">
        <v>23</v>
      </c>
      <c r="C12" s="105"/>
      <c r="D12" s="17"/>
      <c r="R12" s="28"/>
      <c r="S12" s="28"/>
      <c r="T12" s="28"/>
      <c r="U12" s="28"/>
      <c r="V12" s="28"/>
      <c r="W12" s="28"/>
    </row>
    <row r="13" spans="2:23" s="5" customFormat="1" ht="11.25">
      <c r="B13" s="24" t="s">
        <v>20</v>
      </c>
      <c r="C13" s="24"/>
      <c r="D13" s="107" t="s">
        <v>116</v>
      </c>
      <c r="E13" s="109">
        <v>19.92</v>
      </c>
      <c r="F13" s="109">
        <v>648</v>
      </c>
      <c r="G13" s="109">
        <v>612.5631880228974</v>
      </c>
      <c r="H13" s="109">
        <v>1020</v>
      </c>
      <c r="I13" s="109">
        <v>1299.81</v>
      </c>
      <c r="J13" s="110">
        <v>600</v>
      </c>
      <c r="K13" s="110">
        <v>1140</v>
      </c>
      <c r="L13" s="110">
        <v>1020</v>
      </c>
      <c r="M13" s="110">
        <v>1457.26</v>
      </c>
      <c r="N13" s="109">
        <v>668.04</v>
      </c>
      <c r="O13" s="110">
        <v>58</v>
      </c>
      <c r="P13" s="23">
        <v>1447.2304964539007</v>
      </c>
      <c r="R13" s="28"/>
      <c r="S13" s="28"/>
      <c r="T13" s="28"/>
      <c r="U13" s="28"/>
      <c r="V13" s="28"/>
      <c r="W13" s="28"/>
    </row>
    <row r="14" spans="2:23" s="5" customFormat="1" ht="11.25">
      <c r="B14" s="25" t="s">
        <v>24</v>
      </c>
      <c r="C14" s="25"/>
      <c r="D14" s="107" t="s">
        <v>117</v>
      </c>
      <c r="E14" s="109">
        <v>26.81</v>
      </c>
      <c r="F14" s="109"/>
      <c r="G14" s="109"/>
      <c r="H14" s="109"/>
      <c r="I14" s="109"/>
      <c r="J14" s="110"/>
      <c r="K14" s="110">
        <v>46.53</v>
      </c>
      <c r="L14" s="110"/>
      <c r="M14" s="110"/>
      <c r="N14" s="109">
        <v>31.512371179984818</v>
      </c>
      <c r="O14" s="110"/>
      <c r="P14" s="23"/>
      <c r="R14" s="28"/>
      <c r="S14" s="28"/>
      <c r="T14" s="28"/>
      <c r="U14" s="28"/>
      <c r="V14" s="28"/>
      <c r="W14" s="28"/>
    </row>
    <row r="15" spans="2:23" s="5" customFormat="1" ht="11.25">
      <c r="B15" s="25" t="s">
        <v>25</v>
      </c>
      <c r="C15" s="25"/>
      <c r="D15" s="107" t="s">
        <v>117</v>
      </c>
      <c r="E15" s="109">
        <v>18.19</v>
      </c>
      <c r="F15" s="109"/>
      <c r="G15" s="109"/>
      <c r="H15" s="109"/>
      <c r="I15" s="109"/>
      <c r="J15" s="110"/>
      <c r="K15" s="110">
        <v>20.66</v>
      </c>
      <c r="L15" s="110"/>
      <c r="M15" s="110"/>
      <c r="N15" s="109">
        <v>30.74946035355941</v>
      </c>
      <c r="O15" s="110"/>
      <c r="P15" s="23"/>
      <c r="R15" s="28"/>
      <c r="S15" s="28"/>
      <c r="T15" s="28"/>
      <c r="U15" s="28"/>
      <c r="V15" s="28"/>
      <c r="W15" s="28"/>
    </row>
    <row r="16" spans="2:23" s="5" customFormat="1" ht="11.25">
      <c r="B16" s="25" t="s">
        <v>26</v>
      </c>
      <c r="C16" s="25"/>
      <c r="D16" s="107" t="s">
        <v>117</v>
      </c>
      <c r="E16" s="109"/>
      <c r="F16" s="109">
        <v>27.096490985127538</v>
      </c>
      <c r="G16" s="109">
        <v>25.78494718949486</v>
      </c>
      <c r="H16" s="109">
        <v>33.48</v>
      </c>
      <c r="I16" s="109">
        <v>27.41</v>
      </c>
      <c r="J16" s="110">
        <v>25.99</v>
      </c>
      <c r="K16" s="110">
        <v>26.77</v>
      </c>
      <c r="L16" s="110">
        <v>26</v>
      </c>
      <c r="M16" s="110">
        <v>22.2</v>
      </c>
      <c r="N16" s="109"/>
      <c r="O16" s="110">
        <v>27.21</v>
      </c>
      <c r="P16" s="23">
        <v>24.284787610411637</v>
      </c>
      <c r="R16" s="28"/>
      <c r="S16" s="28"/>
      <c r="T16" s="28"/>
      <c r="U16" s="28"/>
      <c r="V16" s="28"/>
      <c r="W16" s="28"/>
    </row>
    <row r="17" spans="2:4" ht="12.75">
      <c r="B17" s="2"/>
      <c r="C17" s="2"/>
      <c r="D17" s="2"/>
    </row>
    <row r="18" spans="2:23" s="21" customFormat="1" ht="12.75">
      <c r="B18" s="20">
        <v>2005</v>
      </c>
      <c r="C18" s="20"/>
      <c r="R18" s="27"/>
      <c r="S18" s="27"/>
      <c r="T18" s="27"/>
      <c r="U18" s="27"/>
      <c r="V18" s="27"/>
      <c r="W18" s="27"/>
    </row>
    <row r="20" spans="2:23" s="5" customFormat="1" ht="11.25">
      <c r="B20" s="105" t="s">
        <v>19</v>
      </c>
      <c r="C20" s="105"/>
      <c r="D20" s="106"/>
      <c r="R20" s="28"/>
      <c r="S20" s="28"/>
      <c r="T20" s="28"/>
      <c r="U20" s="28"/>
      <c r="V20" s="28"/>
      <c r="W20" s="28"/>
    </row>
    <row r="21" spans="2:23" s="5" customFormat="1" ht="11.25">
      <c r="B21" s="16" t="s">
        <v>20</v>
      </c>
      <c r="C21" s="16"/>
      <c r="D21" s="107" t="s">
        <v>116</v>
      </c>
      <c r="E21" s="111">
        <v>28.2</v>
      </c>
      <c r="F21" s="111">
        <v>55.8</v>
      </c>
      <c r="G21" s="111">
        <v>42.36</v>
      </c>
      <c r="H21" s="111">
        <v>28.8</v>
      </c>
      <c r="I21" s="111">
        <v>41.45</v>
      </c>
      <c r="J21" s="112">
        <v>39.2</v>
      </c>
      <c r="K21" s="112">
        <v>36</v>
      </c>
      <c r="L21" s="112">
        <v>28.8</v>
      </c>
      <c r="M21" s="112">
        <v>61.77</v>
      </c>
      <c r="N21" s="111">
        <v>17.94</v>
      </c>
      <c r="O21" s="112">
        <v>35</v>
      </c>
      <c r="P21" s="113">
        <v>18</v>
      </c>
      <c r="R21" s="114">
        <v>18</v>
      </c>
      <c r="S21" s="114">
        <v>18</v>
      </c>
      <c r="T21" s="28"/>
      <c r="U21" s="28"/>
      <c r="V21" s="28"/>
      <c r="W21" s="28"/>
    </row>
    <row r="22" spans="2:23" s="5" customFormat="1" ht="11.25">
      <c r="B22" s="17" t="s">
        <v>21</v>
      </c>
      <c r="C22" s="17"/>
      <c r="D22" s="107" t="s">
        <v>117</v>
      </c>
      <c r="E22" s="115">
        <v>13.74</v>
      </c>
      <c r="F22" s="115">
        <v>0</v>
      </c>
      <c r="G22" s="115">
        <v>9.5875</v>
      </c>
      <c r="H22" s="115">
        <v>13.81</v>
      </c>
      <c r="I22" s="115">
        <v>10.7509</v>
      </c>
      <c r="J22" s="112">
        <v>10.34</v>
      </c>
      <c r="K22" s="112">
        <v>11.52</v>
      </c>
      <c r="L22" s="112">
        <v>15.29</v>
      </c>
      <c r="M22" s="112">
        <v>3</v>
      </c>
      <c r="N22" s="115">
        <v>19.195</v>
      </c>
      <c r="O22" s="112">
        <v>4.578</v>
      </c>
      <c r="P22" s="113">
        <v>12</v>
      </c>
      <c r="R22" s="116">
        <v>12</v>
      </c>
      <c r="S22" s="116">
        <v>12</v>
      </c>
      <c r="T22" s="28"/>
      <c r="U22" s="28"/>
      <c r="V22" s="28"/>
      <c r="W22" s="28"/>
    </row>
    <row r="23" spans="2:23" s="5" customFormat="1" ht="11.25">
      <c r="B23" s="17" t="s">
        <v>22</v>
      </c>
      <c r="C23" s="17"/>
      <c r="D23" s="17" t="s">
        <v>118</v>
      </c>
      <c r="E23" s="112">
        <v>0.010533</v>
      </c>
      <c r="F23" s="112">
        <v>0.023198</v>
      </c>
      <c r="G23" s="112">
        <v>0.012642</v>
      </c>
      <c r="H23" s="112">
        <v>0.012052</v>
      </c>
      <c r="I23" s="112">
        <v>0.01148</v>
      </c>
      <c r="J23" s="112">
        <v>0.010472</v>
      </c>
      <c r="K23" s="112">
        <v>0.01241595</v>
      </c>
      <c r="L23" s="112">
        <v>0.011321</v>
      </c>
      <c r="M23" s="112">
        <v>0.015</v>
      </c>
      <c r="N23" s="112">
        <v>0.01244</v>
      </c>
      <c r="O23" s="112">
        <v>0.01608</v>
      </c>
      <c r="P23" s="117">
        <f>(SUM(Volumes!S23:V23)*Tarieven!R23+Volumes!R23*Tarieven!S23)/SUM(Volumes!R23:V23)</f>
        <v>0.025411744903948184</v>
      </c>
      <c r="R23" s="118">
        <v>0.025593</v>
      </c>
      <c r="S23" s="118">
        <v>0.01848</v>
      </c>
      <c r="T23" s="28"/>
      <c r="U23" s="28"/>
      <c r="V23" s="28"/>
      <c r="W23" s="28"/>
    </row>
    <row r="24" spans="2:23" s="5" customFormat="1" ht="11.25">
      <c r="B24" s="106"/>
      <c r="C24" s="106"/>
      <c r="D24" s="1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R24" s="120"/>
      <c r="S24" s="120"/>
      <c r="T24" s="28"/>
      <c r="U24" s="28"/>
      <c r="V24" s="28"/>
      <c r="W24" s="28"/>
    </row>
    <row r="25" spans="2:23" s="5" customFormat="1" ht="11.25">
      <c r="B25" s="105" t="s">
        <v>23</v>
      </c>
      <c r="C25" s="105"/>
      <c r="D25" s="1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R25" s="120"/>
      <c r="S25" s="120"/>
      <c r="T25" s="28"/>
      <c r="U25" s="28"/>
      <c r="V25" s="28"/>
      <c r="W25" s="28"/>
    </row>
    <row r="26" spans="2:23" s="5" customFormat="1" ht="11.25">
      <c r="B26" s="24" t="s">
        <v>20</v>
      </c>
      <c r="C26" s="24"/>
      <c r="D26" s="107" t="s">
        <v>116</v>
      </c>
      <c r="E26" s="111">
        <v>19.93</v>
      </c>
      <c r="F26" s="111">
        <v>655.08</v>
      </c>
      <c r="G26" s="111">
        <v>660</v>
      </c>
      <c r="H26" s="111">
        <v>1045.5</v>
      </c>
      <c r="I26" s="111">
        <v>1299.91</v>
      </c>
      <c r="J26" s="112">
        <v>600</v>
      </c>
      <c r="K26" s="112">
        <v>1152.54</v>
      </c>
      <c r="L26" s="112">
        <v>1045.5</v>
      </c>
      <c r="M26" s="112">
        <v>2625</v>
      </c>
      <c r="N26" s="111">
        <v>675</v>
      </c>
      <c r="O26" s="112">
        <v>60</v>
      </c>
      <c r="P26" s="117">
        <f>(SUM(Volumes!S27:V27)*Tarieven!R26+Volumes!R27*Tarieven!S26)/SUM(Volumes!R27:V27)</f>
        <v>1321.4945054945056</v>
      </c>
      <c r="R26" s="114">
        <v>1325</v>
      </c>
      <c r="S26" s="114">
        <v>1122</v>
      </c>
      <c r="T26" s="28"/>
      <c r="U26" s="28"/>
      <c r="V26" s="28"/>
      <c r="W26" s="28"/>
    </row>
    <row r="27" spans="2:23" s="5" customFormat="1" ht="11.25">
      <c r="B27" s="25" t="s">
        <v>24</v>
      </c>
      <c r="C27" s="25"/>
      <c r="D27" s="107" t="s">
        <v>117</v>
      </c>
      <c r="E27" s="111">
        <v>27.368237619236268</v>
      </c>
      <c r="F27" s="111">
        <v>60.72</v>
      </c>
      <c r="G27" s="111"/>
      <c r="H27" s="111"/>
      <c r="I27" s="111"/>
      <c r="J27" s="112"/>
      <c r="K27" s="112">
        <v>47.04</v>
      </c>
      <c r="L27" s="112"/>
      <c r="M27" s="112"/>
      <c r="N27" s="111">
        <v>41.5</v>
      </c>
      <c r="O27" s="112"/>
      <c r="P27" s="113"/>
      <c r="R27" s="114"/>
      <c r="S27" s="114"/>
      <c r="T27" s="28"/>
      <c r="U27" s="28"/>
      <c r="V27" s="28"/>
      <c r="W27" s="28"/>
    </row>
    <row r="28" spans="2:23" s="5" customFormat="1" ht="11.25">
      <c r="B28" s="25" t="s">
        <v>25</v>
      </c>
      <c r="C28" s="25"/>
      <c r="D28" s="107" t="s">
        <v>117</v>
      </c>
      <c r="E28" s="111">
        <v>18.56875204378619</v>
      </c>
      <c r="F28" s="111">
        <v>17.16</v>
      </c>
      <c r="G28" s="111"/>
      <c r="H28" s="111"/>
      <c r="I28" s="111"/>
      <c r="J28" s="112"/>
      <c r="K28" s="112">
        <v>20.889996</v>
      </c>
      <c r="L28" s="112"/>
      <c r="M28" s="112"/>
      <c r="N28" s="111">
        <v>26.2</v>
      </c>
      <c r="O28" s="112"/>
      <c r="P28" s="113"/>
      <c r="R28" s="114"/>
      <c r="S28" s="114"/>
      <c r="T28" s="28"/>
      <c r="U28" s="28"/>
      <c r="V28" s="28"/>
      <c r="W28" s="28"/>
    </row>
    <row r="29" spans="2:23" s="5" customFormat="1" ht="11.25">
      <c r="B29" s="25" t="s">
        <v>26</v>
      </c>
      <c r="C29" s="25"/>
      <c r="D29" s="107" t="s">
        <v>117</v>
      </c>
      <c r="E29" s="111"/>
      <c r="F29" s="111"/>
      <c r="G29" s="111">
        <v>25.78</v>
      </c>
      <c r="H29" s="111">
        <v>34.32</v>
      </c>
      <c r="I29" s="111">
        <v>27.41</v>
      </c>
      <c r="J29" s="112">
        <v>26.38</v>
      </c>
      <c r="K29" s="112"/>
      <c r="L29" s="112">
        <v>34.32</v>
      </c>
      <c r="M29" s="112">
        <v>14.837303893085416</v>
      </c>
      <c r="N29" s="111"/>
      <c r="O29" s="112">
        <v>27.81</v>
      </c>
      <c r="P29" s="117">
        <f>(SUM(Volumes!S30:V30)*Tarieven!R29+Volumes!R30*Tarieven!S29)/SUM(Volumes!R30:V30)</f>
        <v>25.882112546742135</v>
      </c>
      <c r="R29" s="114">
        <v>26</v>
      </c>
      <c r="S29" s="114">
        <v>22.56</v>
      </c>
      <c r="T29" s="28"/>
      <c r="U29" s="28"/>
      <c r="V29" s="28"/>
      <c r="W29" s="28"/>
    </row>
    <row r="30" spans="2:23" s="5" customFormat="1" ht="11.25">
      <c r="B30" s="25"/>
      <c r="C30" s="25"/>
      <c r="D30" s="106"/>
      <c r="E30" s="31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3"/>
      <c r="R30" s="28"/>
      <c r="S30" s="28"/>
      <c r="T30" s="28"/>
      <c r="U30" s="28"/>
      <c r="V30" s="28"/>
      <c r="W30" s="28"/>
    </row>
    <row r="31" spans="2:23" s="21" customFormat="1" ht="12.75">
      <c r="B31" s="20">
        <v>2006</v>
      </c>
      <c r="C31" s="20"/>
      <c r="R31" s="27"/>
      <c r="S31" s="27"/>
      <c r="T31" s="27"/>
      <c r="U31" s="27"/>
      <c r="V31" s="27"/>
      <c r="W31" s="27"/>
    </row>
    <row r="33" spans="2:23" s="5" customFormat="1" ht="11.25">
      <c r="B33" s="105" t="s">
        <v>19</v>
      </c>
      <c r="C33" s="105"/>
      <c r="D33" s="106"/>
      <c r="R33" s="28"/>
      <c r="S33" s="28"/>
      <c r="T33" s="28"/>
      <c r="U33" s="28"/>
      <c r="V33" s="28"/>
      <c r="W33" s="28"/>
    </row>
    <row r="34" spans="2:23" s="5" customFormat="1" ht="11.25">
      <c r="B34" s="16" t="s">
        <v>20</v>
      </c>
      <c r="C34" s="16"/>
      <c r="D34" s="107" t="s">
        <v>116</v>
      </c>
      <c r="E34" s="111">
        <v>28.56</v>
      </c>
      <c r="F34" s="111">
        <v>40.56</v>
      </c>
      <c r="G34" s="111">
        <v>30</v>
      </c>
      <c r="H34" s="111">
        <v>27.6</v>
      </c>
      <c r="I34" s="111">
        <v>30</v>
      </c>
      <c r="J34" s="112">
        <v>18</v>
      </c>
      <c r="K34" s="112">
        <v>27.6</v>
      </c>
      <c r="L34" s="112">
        <v>27.6</v>
      </c>
      <c r="M34" s="112">
        <v>18.12</v>
      </c>
      <c r="N34" s="111">
        <v>16.57</v>
      </c>
      <c r="O34" s="112">
        <v>30</v>
      </c>
      <c r="P34" s="117">
        <f>(SUM(Volumes!S35:V35)*Tarieven!R34+Volumes!R35*Tarieven!S34)/SUM(Volumes!R35:V35)</f>
        <v>18</v>
      </c>
      <c r="Q34" s="121"/>
      <c r="R34" s="114">
        <v>18</v>
      </c>
      <c r="S34" s="114">
        <v>18</v>
      </c>
      <c r="T34" s="28"/>
      <c r="U34" s="28"/>
      <c r="V34" s="28"/>
      <c r="W34" s="28"/>
    </row>
    <row r="35" spans="2:23" s="5" customFormat="1" ht="11.25">
      <c r="B35" s="17" t="s">
        <v>21</v>
      </c>
      <c r="C35" s="17"/>
      <c r="D35" s="107" t="s">
        <v>117</v>
      </c>
      <c r="E35" s="115">
        <v>13.94</v>
      </c>
      <c r="F35" s="115">
        <v>5.4</v>
      </c>
      <c r="G35" s="115">
        <v>12.1216</v>
      </c>
      <c r="H35" s="115">
        <v>12.65</v>
      </c>
      <c r="I35" s="115">
        <v>13</v>
      </c>
      <c r="J35" s="112">
        <v>15.47</v>
      </c>
      <c r="K35" s="112">
        <v>13.2</v>
      </c>
      <c r="L35" s="112">
        <v>14.77</v>
      </c>
      <c r="M35" s="112">
        <v>13.08</v>
      </c>
      <c r="N35" s="115">
        <v>18</v>
      </c>
      <c r="O35" s="112">
        <v>8.628</v>
      </c>
      <c r="P35" s="117">
        <f>(SUM(Volumes!S36:V36)*Tarieven!R35+Volumes!R36*Tarieven!S35)/SUM(Volumes!R36:V36)</f>
        <v>16.44</v>
      </c>
      <c r="Q35" s="121"/>
      <c r="R35" s="116">
        <v>16.44</v>
      </c>
      <c r="S35" s="116">
        <v>16.44</v>
      </c>
      <c r="T35" s="28"/>
      <c r="U35" s="28"/>
      <c r="V35" s="28"/>
      <c r="W35" s="28"/>
    </row>
    <row r="36" spans="2:23" s="5" customFormat="1" ht="11.25">
      <c r="B36" s="17" t="s">
        <v>22</v>
      </c>
      <c r="C36" s="17"/>
      <c r="D36" s="17" t="s">
        <v>118</v>
      </c>
      <c r="E36" s="112">
        <v>0.010725</v>
      </c>
      <c r="F36" s="112">
        <v>0.02005</v>
      </c>
      <c r="G36" s="112">
        <v>0.0125</v>
      </c>
      <c r="H36" s="112">
        <v>0.011201</v>
      </c>
      <c r="I36" s="112">
        <v>0.01137</v>
      </c>
      <c r="J36" s="112">
        <v>0.01075</v>
      </c>
      <c r="K36" s="112">
        <v>0.012296</v>
      </c>
      <c r="L36" s="112">
        <v>0.01098</v>
      </c>
      <c r="M36" s="112">
        <v>0.014999988520550058</v>
      </c>
      <c r="N36" s="112">
        <v>0.01168</v>
      </c>
      <c r="O36" s="112">
        <v>0.009073</v>
      </c>
      <c r="P36" s="117">
        <f>(SUM(Volumes!S37:V37)*Tarieven!R36+Volumes!R37*Tarieven!S36)/SUM(Volumes!R37:V37)</f>
        <v>0.011288299999999998</v>
      </c>
      <c r="Q36" s="121"/>
      <c r="R36" s="118">
        <v>0.0112883</v>
      </c>
      <c r="S36" s="118">
        <v>0.0112883</v>
      </c>
      <c r="T36" s="28"/>
      <c r="U36" s="28"/>
      <c r="V36" s="28"/>
      <c r="W36" s="28"/>
    </row>
    <row r="37" spans="2:23" s="5" customFormat="1" ht="11.25">
      <c r="B37" s="106"/>
      <c r="C37" s="106"/>
      <c r="D37" s="17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  <c r="S37" s="120"/>
      <c r="T37" s="28"/>
      <c r="U37" s="28"/>
      <c r="V37" s="28"/>
      <c r="W37" s="28"/>
    </row>
    <row r="38" spans="2:23" s="5" customFormat="1" ht="11.25">
      <c r="B38" s="105" t="s">
        <v>23</v>
      </c>
      <c r="C38" s="105"/>
      <c r="D38" s="17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20"/>
      <c r="S38" s="120"/>
      <c r="T38" s="28"/>
      <c r="U38" s="28"/>
      <c r="V38" s="28"/>
      <c r="W38" s="28"/>
    </row>
    <row r="39" spans="2:23" s="5" customFormat="1" ht="11.25">
      <c r="B39" s="24" t="s">
        <v>20</v>
      </c>
      <c r="C39" s="24"/>
      <c r="D39" s="107" t="s">
        <v>116</v>
      </c>
      <c r="E39" s="111">
        <v>20.28</v>
      </c>
      <c r="F39" s="111">
        <v>572.64</v>
      </c>
      <c r="G39" s="111">
        <v>726.24</v>
      </c>
      <c r="H39" s="111">
        <v>1100</v>
      </c>
      <c r="I39" s="111">
        <v>1114.73</v>
      </c>
      <c r="J39" s="112">
        <v>600</v>
      </c>
      <c r="K39" s="112">
        <v>540</v>
      </c>
      <c r="L39" s="112">
        <v>1100</v>
      </c>
      <c r="M39" s="112">
        <v>1458</v>
      </c>
      <c r="N39" s="111">
        <v>630</v>
      </c>
      <c r="O39" s="112">
        <v>58.44</v>
      </c>
      <c r="P39" s="117">
        <f>(Volumes!Q41*Tarieven!R39+Volumes!R41*Tarieven!S39)/SUM(Volumes!Q41:R41)</f>
        <v>1200</v>
      </c>
      <c r="Q39" s="121"/>
      <c r="R39" s="114">
        <v>1200</v>
      </c>
      <c r="S39" s="114">
        <v>1200</v>
      </c>
      <c r="T39" s="28"/>
      <c r="U39" s="28"/>
      <c r="V39" s="28"/>
      <c r="W39" s="28"/>
    </row>
    <row r="40" spans="2:23" s="5" customFormat="1" ht="11.25">
      <c r="B40" s="25" t="s">
        <v>24</v>
      </c>
      <c r="C40" s="25"/>
      <c r="D40" s="107" t="s">
        <v>117</v>
      </c>
      <c r="E40" s="111">
        <v>27.21</v>
      </c>
      <c r="F40" s="111">
        <v>53.64</v>
      </c>
      <c r="G40" s="111"/>
      <c r="H40" s="111"/>
      <c r="I40" s="111"/>
      <c r="J40" s="112"/>
      <c r="K40" s="112">
        <v>40.536</v>
      </c>
      <c r="L40" s="112"/>
      <c r="M40" s="112"/>
      <c r="N40" s="111">
        <v>38.28</v>
      </c>
      <c r="O40" s="112"/>
      <c r="P40" s="117"/>
      <c r="Q40" s="121"/>
      <c r="R40" s="114"/>
      <c r="S40" s="114"/>
      <c r="T40" s="28"/>
      <c r="U40" s="28"/>
      <c r="V40" s="28"/>
      <c r="W40" s="28"/>
    </row>
    <row r="41" spans="2:23" s="5" customFormat="1" ht="11.25">
      <c r="B41" s="25" t="s">
        <v>25</v>
      </c>
      <c r="C41" s="25"/>
      <c r="D41" s="107" t="s">
        <v>117</v>
      </c>
      <c r="E41" s="111">
        <v>18.46</v>
      </c>
      <c r="F41" s="111">
        <v>15.24</v>
      </c>
      <c r="G41" s="111"/>
      <c r="H41" s="111"/>
      <c r="I41" s="111"/>
      <c r="J41" s="112"/>
      <c r="K41" s="112">
        <v>20.244</v>
      </c>
      <c r="L41" s="112"/>
      <c r="M41" s="112"/>
      <c r="N41" s="111">
        <v>24.24</v>
      </c>
      <c r="O41" s="112"/>
      <c r="P41" s="117"/>
      <c r="Q41" s="121"/>
      <c r="R41" s="114"/>
      <c r="S41" s="114"/>
      <c r="T41" s="28"/>
      <c r="U41" s="28"/>
      <c r="V41" s="28"/>
      <c r="W41" s="28"/>
    </row>
    <row r="42" spans="2:23" s="5" customFormat="1" ht="11.25">
      <c r="B42" s="25" t="s">
        <v>26</v>
      </c>
      <c r="C42" s="25"/>
      <c r="D42" s="107" t="s">
        <v>117</v>
      </c>
      <c r="E42" s="111"/>
      <c r="F42" s="111"/>
      <c r="G42" s="111">
        <v>23.7</v>
      </c>
      <c r="H42" s="111">
        <v>31.95</v>
      </c>
      <c r="I42" s="111">
        <v>23.25</v>
      </c>
      <c r="J42" s="112">
        <v>23.44</v>
      </c>
      <c r="K42" s="112"/>
      <c r="L42" s="112">
        <v>24.69</v>
      </c>
      <c r="M42" s="112">
        <v>19.74</v>
      </c>
      <c r="N42" s="111"/>
      <c r="O42" s="112">
        <v>24.939</v>
      </c>
      <c r="P42" s="117">
        <f>(Volumes!Q44*Tarieven!R42+Volumes!R44*Tarieven!S42)/SUM(Volumes!Q44:R44)</f>
        <v>24</v>
      </c>
      <c r="Q42" s="121"/>
      <c r="R42" s="114">
        <v>24</v>
      </c>
      <c r="S42" s="114">
        <v>24</v>
      </c>
      <c r="T42" s="28"/>
      <c r="U42" s="28"/>
      <c r="V42" s="28"/>
      <c r="W42" s="28"/>
    </row>
    <row r="44" ht="12.75">
      <c r="B44" s="69" t="s">
        <v>50</v>
      </c>
    </row>
    <row r="45" spans="2:19" ht="12.75">
      <c r="B45" s="24" t="s">
        <v>20</v>
      </c>
      <c r="C45" s="24"/>
      <c r="D45" s="107" t="s">
        <v>116</v>
      </c>
      <c r="E45" s="111"/>
      <c r="F45" s="111">
        <v>2228.5714285714284</v>
      </c>
      <c r="G45" s="111"/>
      <c r="H45" s="111"/>
      <c r="I45" s="111"/>
      <c r="J45" s="112"/>
      <c r="K45" s="112"/>
      <c r="L45" s="112"/>
      <c r="M45" s="112"/>
      <c r="N45" s="111"/>
      <c r="O45" s="112"/>
      <c r="P45" s="117"/>
      <c r="Q45" s="121">
        <v>0</v>
      </c>
      <c r="R45" s="114"/>
      <c r="S45" s="114"/>
    </row>
    <row r="46" spans="2:23" s="5" customFormat="1" ht="11.25">
      <c r="B46" s="25" t="s">
        <v>49</v>
      </c>
      <c r="C46" s="25"/>
      <c r="D46" s="107" t="s">
        <v>117</v>
      </c>
      <c r="E46" s="111"/>
      <c r="F46" s="111">
        <v>47.09</v>
      </c>
      <c r="G46" s="111"/>
      <c r="H46" s="111"/>
      <c r="I46" s="111"/>
      <c r="J46" s="112"/>
      <c r="K46" s="112"/>
      <c r="L46" s="112"/>
      <c r="M46" s="112"/>
      <c r="N46" s="111"/>
      <c r="O46" s="112"/>
      <c r="P46" s="117">
        <f>(Volumes!Q48*Tarieven!R46+Volumes!R48*Tarieven!S46)/SUM(Volumes!Q48:R48)</f>
        <v>12.466862975</v>
      </c>
      <c r="Q46" s="121">
        <v>21.78</v>
      </c>
      <c r="R46" s="114">
        <v>12.466862975</v>
      </c>
      <c r="S46" s="114"/>
      <c r="T46" s="28"/>
      <c r="U46" s="28"/>
      <c r="V46" s="28"/>
      <c r="W46" s="28"/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U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28125" style="1" bestFit="1" customWidth="1"/>
    <col min="3" max="3" width="11.28125" style="1" bestFit="1" customWidth="1"/>
    <col min="4" max="4" width="10.7109375" style="1" bestFit="1" customWidth="1"/>
    <col min="5" max="5" width="12.140625" style="1" bestFit="1" customWidth="1"/>
    <col min="6" max="8" width="10.7109375" style="1" bestFit="1" customWidth="1"/>
    <col min="9" max="9" width="12.140625" style="1" bestFit="1" customWidth="1"/>
    <col min="10" max="10" width="10.7109375" style="1" bestFit="1" customWidth="1"/>
    <col min="11" max="11" width="9.8515625" style="1" bestFit="1" customWidth="1"/>
    <col min="12" max="13" width="10.7109375" style="1" bestFit="1" customWidth="1"/>
    <col min="14" max="14" width="12.140625" style="1" bestFit="1" customWidth="1"/>
    <col min="15" max="15" width="7.7109375" style="1" bestFit="1" customWidth="1"/>
    <col min="16" max="19" width="10.7109375" style="1" bestFit="1" customWidth="1"/>
    <col min="20" max="21" width="12.140625" style="1" bestFit="1" customWidth="1"/>
    <col min="22" max="16384" width="9.140625" style="1" customWidth="1"/>
  </cols>
  <sheetData>
    <row r="1" ht="12.75"/>
    <row r="2" spans="2:21" s="4" customFormat="1" ht="201">
      <c r="B2" s="18" t="s">
        <v>80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26" t="s">
        <v>48</v>
      </c>
      <c r="Q2" s="26" t="s">
        <v>6</v>
      </c>
      <c r="R2" s="26" t="s">
        <v>0</v>
      </c>
      <c r="S2" s="26" t="s">
        <v>1</v>
      </c>
      <c r="T2" s="26" t="s">
        <v>2</v>
      </c>
      <c r="U2" s="26" t="s">
        <v>3</v>
      </c>
    </row>
    <row r="4" spans="2:21" s="21" customFormat="1" ht="12.75">
      <c r="B4" s="20" t="s">
        <v>81</v>
      </c>
      <c r="P4" s="27"/>
      <c r="Q4" s="27"/>
      <c r="R4" s="27"/>
      <c r="S4" s="27"/>
      <c r="T4" s="27"/>
      <c r="U4" s="27"/>
    </row>
    <row r="6" ht="12.75">
      <c r="B6" s="22" t="s">
        <v>19</v>
      </c>
    </row>
    <row r="7" spans="2:15" ht="12.75">
      <c r="B7" s="16" t="s">
        <v>20</v>
      </c>
      <c r="C7" s="66">
        <f>Volumes!C35</f>
        <v>130211</v>
      </c>
      <c r="D7" s="66">
        <f>Volumes!D35</f>
        <v>180185.5</v>
      </c>
      <c r="E7" s="66">
        <f>Volumes!E35</f>
        <v>1720635.3654119612</v>
      </c>
      <c r="F7" s="66">
        <f>Volumes!F35</f>
        <v>56521.73014999998</v>
      </c>
      <c r="G7" s="66">
        <f>Volumes!G35</f>
        <v>142306.75</v>
      </c>
      <c r="H7" s="66">
        <f>Volumes!H35</f>
        <v>181979.83859677674</v>
      </c>
      <c r="I7" s="66">
        <f>Volumes!I35</f>
        <v>2088925.4</v>
      </c>
      <c r="J7" s="66">
        <f>Volumes!J35</f>
        <v>192454.82636</v>
      </c>
      <c r="K7" s="66">
        <f>Volumes!K35</f>
        <v>34133</v>
      </c>
      <c r="L7" s="66">
        <f>Volumes!L35</f>
        <v>97580</v>
      </c>
      <c r="M7" s="66">
        <f>Volumes!M35</f>
        <v>47622.78766666667</v>
      </c>
      <c r="N7" s="66">
        <f>Volumes!N35</f>
        <v>1809028.4247601843</v>
      </c>
      <c r="O7" s="66">
        <f>Volumes!O35</f>
        <v>0</v>
      </c>
    </row>
    <row r="8" spans="2:15" ht="12.75">
      <c r="B8" s="17" t="s">
        <v>21</v>
      </c>
      <c r="C8" s="66">
        <f>Volumes!C36</f>
        <v>594606</v>
      </c>
      <c r="D8" s="66">
        <f>Volumes!D36</f>
        <v>795166.25</v>
      </c>
      <c r="E8" s="66">
        <f>Volumes!E36</f>
        <v>7719174.586688226</v>
      </c>
      <c r="F8" s="66">
        <f>Volumes!F36</f>
        <v>261272.95170999994</v>
      </c>
      <c r="G8" s="66">
        <f>Volumes!G36</f>
        <v>658742.6</v>
      </c>
      <c r="H8" s="66">
        <f>Volumes!H36</f>
        <v>832345.3677269189</v>
      </c>
      <c r="I8" s="66">
        <f>Volumes!I36</f>
        <v>9230237.1</v>
      </c>
      <c r="J8" s="66">
        <f>Volumes!J36</f>
        <v>889853.659975</v>
      </c>
      <c r="K8" s="66">
        <f>Volumes!K36</f>
        <v>148897</v>
      </c>
      <c r="L8" s="66">
        <f>Volumes!L36</f>
        <v>437715.5</v>
      </c>
      <c r="M8" s="66">
        <f>Volumes!M36</f>
        <v>343751.8550176809</v>
      </c>
      <c r="N8" s="66">
        <f>Volumes!N36</f>
        <v>8099464.886528147</v>
      </c>
      <c r="O8" s="66">
        <f>Volumes!O36</f>
        <v>0</v>
      </c>
    </row>
    <row r="9" spans="2:15" ht="12.75">
      <c r="B9" s="17" t="s">
        <v>111</v>
      </c>
      <c r="C9" s="66">
        <f>Volumes!C38*Graaddagen!$G$8</f>
        <v>347007232.07464045</v>
      </c>
      <c r="D9" s="66">
        <f>Volumes!D38*Graaddagen!$G$8</f>
        <v>390103652.91665804</v>
      </c>
      <c r="E9" s="66">
        <f>Volumes!E38*Graaddagen!$G$8</f>
        <v>3715147542.8508596</v>
      </c>
      <c r="F9" s="66">
        <f>Volumes!F38*Graaddagen!$G$8</f>
        <v>131619450.5092259</v>
      </c>
      <c r="G9" s="66">
        <f>Volumes!G38*Graaddagen!$G$8</f>
        <v>366286859.430551</v>
      </c>
      <c r="H9" s="66">
        <f>Volumes!H38*Graaddagen!$G$8</f>
        <v>470127267.3960605</v>
      </c>
      <c r="I9" s="66">
        <f>Volumes!I38*Graaddagen!$G$8</f>
        <v>4802921081.601103</v>
      </c>
      <c r="J9" s="66">
        <f>Volumes!J38*Graaddagen!$G$8</f>
        <v>525950182.3640033</v>
      </c>
      <c r="K9" s="66">
        <f>Volumes!K38*Graaddagen!$G$8</f>
        <v>61370087.334307946</v>
      </c>
      <c r="L9" s="66">
        <f>Volumes!L38*Graaddagen!$G$8</f>
        <v>253498294.83599502</v>
      </c>
      <c r="M9" s="66">
        <f>Volumes!M38*Graaddagen!$G$8</f>
        <v>140992449.1465071</v>
      </c>
      <c r="N9" s="66">
        <f>Volumes!N38*Graaddagen!$G$8</f>
        <v>4722439933.348992</v>
      </c>
      <c r="O9" s="66">
        <f>Volumes!O38</f>
        <v>0</v>
      </c>
    </row>
    <row r="11" ht="12.75">
      <c r="B11" s="22" t="s">
        <v>23</v>
      </c>
    </row>
    <row r="12" spans="2:15" ht="12.75">
      <c r="B12" s="24" t="s">
        <v>20</v>
      </c>
      <c r="C12" s="66">
        <f>Volumes!C41</f>
        <v>106</v>
      </c>
      <c r="D12" s="66">
        <f>Volumes!D41</f>
        <v>152</v>
      </c>
      <c r="E12" s="66">
        <f>Volumes!E41</f>
        <v>2067</v>
      </c>
      <c r="F12" s="66">
        <f>Volumes!F41</f>
        <v>109.33730909090913</v>
      </c>
      <c r="G12" s="66">
        <f>Volumes!G41</f>
        <v>175</v>
      </c>
      <c r="H12" s="66">
        <f>Volumes!H41</f>
        <v>172.16442543003163</v>
      </c>
      <c r="I12" s="66">
        <f>Volumes!I41</f>
        <v>2629.266666666667</v>
      </c>
      <c r="J12" s="66">
        <f>Volumes!J41</f>
        <v>333.1787818181803</v>
      </c>
      <c r="K12" s="66">
        <f>Volumes!K41</f>
        <v>21</v>
      </c>
      <c r="L12" s="66">
        <f>Volumes!L41</f>
        <v>80.67</v>
      </c>
      <c r="M12" s="66">
        <f>Volumes!M41</f>
        <v>1353.5484257357973</v>
      </c>
      <c r="N12" s="66">
        <f>Volumes!N41</f>
        <v>3722.1666666666665</v>
      </c>
      <c r="O12" s="66">
        <f>Volumes!O41</f>
        <v>0</v>
      </c>
    </row>
    <row r="13" spans="2:15" ht="12.75">
      <c r="B13" s="25" t="s">
        <v>24</v>
      </c>
      <c r="C13" s="66">
        <f>Volumes!C42</f>
        <v>10617</v>
      </c>
      <c r="D13" s="66">
        <f>Volumes!D42</f>
        <v>11614</v>
      </c>
      <c r="E13" s="66">
        <f>Volumes!E42</f>
        <v>0</v>
      </c>
      <c r="F13" s="66">
        <f>Volumes!F42</f>
        <v>0</v>
      </c>
      <c r="G13" s="66">
        <f>Volumes!G42</f>
        <v>0</v>
      </c>
      <c r="H13" s="66">
        <f>Volumes!H42</f>
        <v>0</v>
      </c>
      <c r="I13" s="66">
        <f>Volumes!I42</f>
        <v>174789.65</v>
      </c>
      <c r="J13" s="66">
        <f>Volumes!J42</f>
        <v>0</v>
      </c>
      <c r="K13" s="66">
        <f>Volumes!K42</f>
        <v>0</v>
      </c>
      <c r="L13" s="66">
        <f>Volumes!L42</f>
        <v>10176</v>
      </c>
      <c r="M13" s="66">
        <f>Volumes!M42</f>
        <v>0</v>
      </c>
      <c r="N13" s="66">
        <f>Volumes!N42</f>
        <v>0</v>
      </c>
      <c r="O13" s="66">
        <f>Volumes!O42</f>
        <v>0</v>
      </c>
    </row>
    <row r="14" spans="2:15" ht="12.75">
      <c r="B14" s="25" t="s">
        <v>25</v>
      </c>
      <c r="C14" s="66">
        <f>Volumes!C43</f>
        <v>23267</v>
      </c>
      <c r="D14" s="66">
        <f>Volumes!D43</f>
        <v>36755</v>
      </c>
      <c r="E14" s="66">
        <f>Volumes!E43</f>
        <v>0</v>
      </c>
      <c r="F14" s="66">
        <f>Volumes!F43</f>
        <v>0</v>
      </c>
      <c r="G14" s="66">
        <f>Volumes!G43</f>
        <v>0</v>
      </c>
      <c r="H14" s="66">
        <f>Volumes!H43</f>
        <v>0</v>
      </c>
      <c r="I14" s="66">
        <f>Volumes!I43</f>
        <v>522313.5</v>
      </c>
      <c r="J14" s="66">
        <f>Volumes!J43</f>
        <v>0</v>
      </c>
      <c r="K14" s="66">
        <f>Volumes!K43</f>
        <v>0</v>
      </c>
      <c r="L14" s="66">
        <f>Volumes!L43</f>
        <v>18527</v>
      </c>
      <c r="M14" s="66">
        <f>Volumes!M43</f>
        <v>0</v>
      </c>
      <c r="N14" s="66">
        <f>Volumes!N43</f>
        <v>0</v>
      </c>
      <c r="O14" s="66">
        <f>Volumes!O43</f>
        <v>0</v>
      </c>
    </row>
    <row r="15" spans="2:15" ht="12.75">
      <c r="B15" s="25" t="s">
        <v>26</v>
      </c>
      <c r="C15" s="66">
        <f>Volumes!C44</f>
        <v>33884</v>
      </c>
      <c r="D15" s="66">
        <f>Volumes!D44</f>
        <v>48369</v>
      </c>
      <c r="E15" s="66">
        <f>Volumes!E44</f>
        <v>648774</v>
      </c>
      <c r="F15" s="66">
        <f>Volumes!F44</f>
        <v>31514.306928439313</v>
      </c>
      <c r="G15" s="66">
        <f>Volumes!G44</f>
        <v>50663</v>
      </c>
      <c r="H15" s="66">
        <f>Volumes!H44</f>
        <v>55830</v>
      </c>
      <c r="I15" s="66">
        <f>Volumes!I44</f>
        <v>697103.15</v>
      </c>
      <c r="J15" s="66">
        <f>Volumes!J44</f>
        <v>87282.4031370816</v>
      </c>
      <c r="K15" s="66">
        <f>Volumes!K44</f>
        <v>6883</v>
      </c>
      <c r="L15" s="66">
        <f>Volumes!L44</f>
        <v>28703</v>
      </c>
      <c r="M15" s="66">
        <f>Volumes!M44</f>
        <v>343602.85324779456</v>
      </c>
      <c r="N15" s="66">
        <f>Volumes!N44</f>
        <v>697166</v>
      </c>
      <c r="O15" s="66">
        <f>Volumes!O44</f>
        <v>0</v>
      </c>
    </row>
    <row r="17" ht="12.75">
      <c r="B17" s="69" t="s">
        <v>50</v>
      </c>
    </row>
    <row r="18" spans="2:15" ht="12.75">
      <c r="B18" s="24" t="s">
        <v>20</v>
      </c>
      <c r="C18" s="66">
        <f>Volumes!C47</f>
        <v>0</v>
      </c>
      <c r="D18" s="66">
        <f>Volumes!D47</f>
        <v>13</v>
      </c>
      <c r="E18" s="66">
        <f>Volumes!E47</f>
        <v>0</v>
      </c>
      <c r="F18" s="66">
        <f>Volumes!F47</f>
        <v>0</v>
      </c>
      <c r="G18" s="66">
        <f>Volumes!G47</f>
        <v>0</v>
      </c>
      <c r="H18" s="66">
        <f>Volumes!H47</f>
        <v>0</v>
      </c>
      <c r="I18" s="66">
        <f>Volumes!I47</f>
        <v>0</v>
      </c>
      <c r="J18" s="66">
        <f>Volumes!J47</f>
        <v>0</v>
      </c>
      <c r="K18" s="66">
        <f>Volumes!K47</f>
        <v>0</v>
      </c>
      <c r="L18" s="66">
        <f>Volumes!L47</f>
        <v>0</v>
      </c>
      <c r="M18" s="66">
        <f>Volumes!M47</f>
        <v>0</v>
      </c>
      <c r="N18" s="66">
        <f>Volumes!N47</f>
        <v>1</v>
      </c>
      <c r="O18" s="66">
        <f>Volumes!O47</f>
        <v>2</v>
      </c>
    </row>
    <row r="19" spans="2:15" ht="12.75">
      <c r="B19" s="25" t="s">
        <v>49</v>
      </c>
      <c r="C19" s="66">
        <f>Volumes!C48</f>
        <v>0</v>
      </c>
      <c r="D19" s="66">
        <f>Volumes!D48</f>
        <v>79900</v>
      </c>
      <c r="E19" s="66">
        <f>Volumes!E48</f>
        <v>0</v>
      </c>
      <c r="F19" s="66">
        <f>Volumes!F48</f>
        <v>0</v>
      </c>
      <c r="G19" s="66">
        <f>Volumes!G48</f>
        <v>0</v>
      </c>
      <c r="H19" s="66">
        <f>Volumes!H48</f>
        <v>0</v>
      </c>
      <c r="I19" s="66">
        <f>Volumes!I48</f>
        <v>0</v>
      </c>
      <c r="J19" s="66">
        <f>Volumes!J48</f>
        <v>0</v>
      </c>
      <c r="K19" s="66">
        <f>Volumes!K48</f>
        <v>0</v>
      </c>
      <c r="L19" s="66">
        <f>Volumes!L48</f>
        <v>0</v>
      </c>
      <c r="M19" s="66">
        <f>Volumes!M48</f>
        <v>0</v>
      </c>
      <c r="N19" s="66">
        <f>Volumes!N48</f>
        <v>39838.70656174045</v>
      </c>
      <c r="O19" s="66">
        <f>Volumes!O48</f>
        <v>447622.4517906336</v>
      </c>
    </row>
    <row r="21" spans="2:21" s="21" customFormat="1" ht="12.75">
      <c r="B21" s="20" t="s">
        <v>158</v>
      </c>
      <c r="P21" s="27"/>
      <c r="Q21" s="27"/>
      <c r="R21" s="27"/>
      <c r="S21" s="27"/>
      <c r="T21" s="27"/>
      <c r="U21" s="27"/>
    </row>
    <row r="23" ht="12.75">
      <c r="B23" s="22" t="s">
        <v>19</v>
      </c>
    </row>
    <row r="24" spans="2:14" ht="12.75">
      <c r="B24" s="16" t="s">
        <v>20</v>
      </c>
      <c r="C24" s="59">
        <v>127065</v>
      </c>
      <c r="D24" s="59">
        <v>176502</v>
      </c>
      <c r="E24" s="59">
        <v>1770965.61</v>
      </c>
      <c r="F24" s="59">
        <v>51317</v>
      </c>
      <c r="G24" s="59">
        <v>141289</v>
      </c>
      <c r="H24" s="59">
        <v>180807</v>
      </c>
      <c r="I24" s="59">
        <v>2047084</v>
      </c>
      <c r="J24" s="59">
        <v>186833</v>
      </c>
      <c r="K24" s="59">
        <v>34668</v>
      </c>
      <c r="L24" s="59">
        <v>94852</v>
      </c>
      <c r="M24" s="59">
        <v>45891.5</v>
      </c>
      <c r="N24" s="59">
        <v>1744593.4219203463</v>
      </c>
    </row>
    <row r="25" spans="2:14" ht="12.75">
      <c r="B25" s="17" t="s">
        <v>21</v>
      </c>
      <c r="C25" s="59">
        <v>583313</v>
      </c>
      <c r="D25" s="59">
        <v>790158.5</v>
      </c>
      <c r="E25" s="59">
        <v>7890407.64</v>
      </c>
      <c r="F25" s="59">
        <v>234042</v>
      </c>
      <c r="G25" s="59">
        <v>656974</v>
      </c>
      <c r="H25" s="59">
        <v>826981</v>
      </c>
      <c r="I25" s="59">
        <v>9156626.5</v>
      </c>
      <c r="J25" s="59">
        <v>856041</v>
      </c>
      <c r="K25" s="59">
        <v>149671</v>
      </c>
      <c r="L25" s="59">
        <v>429895.5</v>
      </c>
      <c r="M25" s="59">
        <v>369501.1318735736</v>
      </c>
      <c r="N25" s="59">
        <v>7058134.400405373</v>
      </c>
    </row>
    <row r="26" spans="2:14" ht="12.75">
      <c r="B26" s="17" t="s">
        <v>22</v>
      </c>
      <c r="C26" s="59">
        <v>367077640.9439627</v>
      </c>
      <c r="D26" s="59">
        <v>408848533.7589825</v>
      </c>
      <c r="E26" s="59">
        <v>3973008547.4125433</v>
      </c>
      <c r="F26" s="59">
        <v>130327801.93178369</v>
      </c>
      <c r="G26" s="59">
        <v>375166803.6463658</v>
      </c>
      <c r="H26" s="59">
        <v>497768249.5263317</v>
      </c>
      <c r="I26" s="59">
        <v>4900902553.664519</v>
      </c>
      <c r="J26" s="59">
        <v>543966680.5229243</v>
      </c>
      <c r="K26" s="59">
        <v>59820630.24020781</v>
      </c>
      <c r="L26" s="59">
        <v>267073227.7679565</v>
      </c>
      <c r="M26" s="59">
        <v>167719786.87324974</v>
      </c>
      <c r="N26" s="59">
        <v>4838976370.941938</v>
      </c>
    </row>
    <row r="28" spans="2:14" ht="12.75">
      <c r="B28" s="22" t="s">
        <v>23</v>
      </c>
      <c r="C28" s="83"/>
      <c r="D28" s="83"/>
      <c r="E28" s="83"/>
      <c r="F28" s="83"/>
      <c r="H28" s="83"/>
      <c r="I28" s="83"/>
      <c r="J28" s="83"/>
      <c r="K28" s="83"/>
      <c r="L28" s="83"/>
      <c r="M28" s="83"/>
      <c r="N28" s="83"/>
    </row>
    <row r="29" spans="2:14" ht="12.75">
      <c r="B29" s="24" t="s">
        <v>20</v>
      </c>
      <c r="C29" s="84">
        <v>90</v>
      </c>
      <c r="D29" s="84">
        <v>150</v>
      </c>
      <c r="E29" s="84">
        <v>2271</v>
      </c>
      <c r="F29" s="84">
        <v>121</v>
      </c>
      <c r="G29" s="84">
        <v>175</v>
      </c>
      <c r="H29" s="84">
        <v>159</v>
      </c>
      <c r="I29" s="84">
        <v>2438</v>
      </c>
      <c r="J29" s="84">
        <v>298</v>
      </c>
      <c r="K29" s="84">
        <v>21</v>
      </c>
      <c r="L29" s="84">
        <v>72</v>
      </c>
      <c r="M29" s="84">
        <v>1462</v>
      </c>
      <c r="N29" s="84">
        <v>2256</v>
      </c>
    </row>
    <row r="30" spans="2:14" ht="12.75">
      <c r="B30" s="25" t="s">
        <v>24</v>
      </c>
      <c r="C30" s="84">
        <v>5051</v>
      </c>
      <c r="D30" s="84">
        <v>6339.8381194287085</v>
      </c>
      <c r="E30" s="84"/>
      <c r="F30" s="84"/>
      <c r="G30" s="84"/>
      <c r="H30" s="84"/>
      <c r="I30" s="84">
        <v>130123</v>
      </c>
      <c r="J30" s="84"/>
      <c r="K30" s="84"/>
      <c r="L30" s="84">
        <v>3366</v>
      </c>
      <c r="M30" s="84"/>
      <c r="N30" s="84"/>
    </row>
    <row r="31" spans="2:14" ht="12.75">
      <c r="B31" s="25" t="s">
        <v>25</v>
      </c>
      <c r="C31" s="84">
        <v>21414</v>
      </c>
      <c r="D31" s="84">
        <v>27720.43950521588</v>
      </c>
      <c r="E31" s="84"/>
      <c r="F31" s="84"/>
      <c r="G31" s="84"/>
      <c r="H31" s="84"/>
      <c r="I31" s="84">
        <v>445108</v>
      </c>
      <c r="J31" s="84"/>
      <c r="K31" s="84"/>
      <c r="L31" s="84">
        <v>21788</v>
      </c>
      <c r="M31" s="84"/>
      <c r="N31" s="84"/>
    </row>
    <row r="32" spans="2:14" ht="12.75">
      <c r="B32" s="25" t="s">
        <v>26</v>
      </c>
      <c r="C32" s="84"/>
      <c r="D32" s="84"/>
      <c r="E32" s="84">
        <v>613528.4213095387</v>
      </c>
      <c r="F32" s="84">
        <v>33688</v>
      </c>
      <c r="G32" s="84">
        <v>49014</v>
      </c>
      <c r="H32" s="84">
        <v>46122.58</v>
      </c>
      <c r="I32" s="84"/>
      <c r="J32" s="84">
        <v>73939</v>
      </c>
      <c r="K32" s="84">
        <v>6582</v>
      </c>
      <c r="L32" s="84"/>
      <c r="M32" s="84">
        <v>351814.1521016025</v>
      </c>
      <c r="N32" s="84">
        <v>630940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1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" customWidth="1"/>
    <col min="2" max="2" width="45.140625" style="3" bestFit="1" customWidth="1"/>
    <col min="3" max="4" width="9.57421875" style="3" bestFit="1" customWidth="1"/>
    <col min="5" max="5" width="12.140625" style="3" bestFit="1" customWidth="1"/>
    <col min="6" max="8" width="10.7109375" style="3" bestFit="1" customWidth="1"/>
    <col min="9" max="9" width="12.140625" style="3" bestFit="1" customWidth="1"/>
    <col min="10" max="10" width="10.7109375" style="3" bestFit="1" customWidth="1"/>
    <col min="11" max="11" width="10.8515625" style="3" bestFit="1" customWidth="1"/>
    <col min="12" max="14" width="10.7109375" style="3" bestFit="1" customWidth="1"/>
    <col min="15" max="15" width="7.7109375" style="3" bestFit="1" customWidth="1"/>
    <col min="16" max="16" width="11.8515625" style="3" bestFit="1" customWidth="1"/>
    <col min="17" max="19" width="10.7109375" style="29" bestFit="1" customWidth="1"/>
    <col min="20" max="22" width="12.140625" style="29" bestFit="1" customWidth="1"/>
    <col min="23" max="16384" width="9.140625" style="3" customWidth="1"/>
  </cols>
  <sheetData>
    <row r="1" ht="12.75"/>
    <row r="2" spans="2:22" s="4" customFormat="1" ht="201">
      <c r="B2" s="18" t="s">
        <v>17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19" t="s">
        <v>65</v>
      </c>
      <c r="Q2" s="26" t="s">
        <v>47</v>
      </c>
      <c r="R2" s="26" t="s">
        <v>6</v>
      </c>
      <c r="S2" s="26" t="s">
        <v>0</v>
      </c>
      <c r="T2" s="26" t="s">
        <v>1</v>
      </c>
      <c r="U2" s="26" t="s">
        <v>2</v>
      </c>
      <c r="V2" s="26" t="s">
        <v>3</v>
      </c>
    </row>
    <row r="4" spans="2:22" s="21" customFormat="1" ht="12.75">
      <c r="B4" s="20">
        <v>2004</v>
      </c>
      <c r="Q4" s="27"/>
      <c r="R4" s="27"/>
      <c r="S4" s="27"/>
      <c r="T4" s="27"/>
      <c r="U4" s="27"/>
      <c r="V4" s="27"/>
    </row>
    <row r="6" spans="2:22" s="5" customFormat="1" ht="11.25">
      <c r="B6" s="22" t="s">
        <v>19</v>
      </c>
      <c r="Q6" s="28"/>
      <c r="R6" s="28"/>
      <c r="S6" s="28"/>
      <c r="T6" s="28"/>
      <c r="U6" s="28"/>
      <c r="V6" s="28"/>
    </row>
    <row r="7" spans="2:22" s="5" customFormat="1" ht="11.25">
      <c r="B7" s="16" t="s">
        <v>20</v>
      </c>
      <c r="C7" s="6">
        <v>127521</v>
      </c>
      <c r="D7" s="6">
        <v>177635</v>
      </c>
      <c r="E7" s="6">
        <v>1781667</v>
      </c>
      <c r="F7" s="6">
        <v>53923</v>
      </c>
      <c r="G7" s="6">
        <v>141287</v>
      </c>
      <c r="H7" s="6">
        <v>181495</v>
      </c>
      <c r="I7" s="6">
        <v>2060232</v>
      </c>
      <c r="J7" s="6">
        <v>189122</v>
      </c>
      <c r="K7" s="6">
        <v>34683</v>
      </c>
      <c r="L7" s="6">
        <v>95301</v>
      </c>
      <c r="M7" s="6">
        <v>45926.44192610377</v>
      </c>
      <c r="N7" s="7">
        <f>SUM(Q7:V7)</f>
        <v>1773526</v>
      </c>
      <c r="P7" s="7">
        <f>SUM(C7:N7)</f>
        <v>6662318.441926104</v>
      </c>
      <c r="Q7" s="28"/>
      <c r="R7" s="13">
        <v>47452</v>
      </c>
      <c r="S7" s="28"/>
      <c r="T7" s="13">
        <v>1726074</v>
      </c>
      <c r="U7" s="28"/>
      <c r="V7" s="28"/>
    </row>
    <row r="8" spans="2:22" s="5" customFormat="1" ht="11.25">
      <c r="B8" s="17" t="s">
        <v>21</v>
      </c>
      <c r="C8" s="8">
        <v>563888</v>
      </c>
      <c r="D8" s="8">
        <v>790036.1802355931</v>
      </c>
      <c r="E8" s="8">
        <v>7938171.5</v>
      </c>
      <c r="F8" s="8">
        <v>239908</v>
      </c>
      <c r="G8" s="8">
        <v>656966</v>
      </c>
      <c r="H8" s="8">
        <v>860684</v>
      </c>
      <c r="I8" s="8">
        <v>9215435.692661615</v>
      </c>
      <c r="J8" s="8">
        <v>849271</v>
      </c>
      <c r="K8" s="8">
        <v>151196</v>
      </c>
      <c r="L8" s="8">
        <v>430807</v>
      </c>
      <c r="M8" s="8">
        <v>356248.8621020108</v>
      </c>
      <c r="N8" s="7">
        <f>SUM(Q8:V8)</f>
        <v>7969311.518207601</v>
      </c>
      <c r="P8" s="7">
        <f aca="true" t="shared" si="0" ref="P8:P16">SUM(C8:N8)</f>
        <v>30021923.75320682</v>
      </c>
      <c r="Q8" s="28"/>
      <c r="R8" s="14">
        <v>205835</v>
      </c>
      <c r="S8" s="28"/>
      <c r="T8" s="14">
        <v>7763476.518207601</v>
      </c>
      <c r="U8" s="28"/>
      <c r="V8" s="28"/>
    </row>
    <row r="9" spans="2:22" s="5" customFormat="1" ht="11.25">
      <c r="B9" s="17" t="s">
        <v>22</v>
      </c>
      <c r="C9" s="9">
        <v>381158927</v>
      </c>
      <c r="D9" s="9">
        <v>381373760</v>
      </c>
      <c r="E9" s="10">
        <v>3964090591</v>
      </c>
      <c r="F9" s="10">
        <v>124469068</v>
      </c>
      <c r="G9" s="10">
        <v>377097707</v>
      </c>
      <c r="H9" s="11">
        <v>487807432</v>
      </c>
      <c r="I9" s="11">
        <v>4626300773.064483</v>
      </c>
      <c r="J9" s="11">
        <v>528005776</v>
      </c>
      <c r="K9" s="11">
        <v>65122678</v>
      </c>
      <c r="L9" s="10">
        <v>247498883</v>
      </c>
      <c r="M9" s="11">
        <v>160392008.30907023</v>
      </c>
      <c r="N9" s="7">
        <f>SUM(Q9:V9)</f>
        <v>4361214373.620774</v>
      </c>
      <c r="P9" s="7">
        <f t="shared" si="0"/>
        <v>15704531976.994328</v>
      </c>
      <c r="Q9" s="28"/>
      <c r="R9" s="15">
        <v>120319049</v>
      </c>
      <c r="S9" s="28"/>
      <c r="T9" s="30">
        <v>4240895324.6207743</v>
      </c>
      <c r="U9" s="28"/>
      <c r="V9" s="28"/>
    </row>
    <row r="10" spans="2:22" s="5" customFormat="1" ht="11.25">
      <c r="B10" s="17" t="s">
        <v>18</v>
      </c>
      <c r="C10" s="12">
        <f>C9*Graaddagen!$C$8</f>
        <v>385996334.7612052</v>
      </c>
      <c r="D10" s="12">
        <f>D9*Graaddagen!$C$8</f>
        <v>386213894.27434176</v>
      </c>
      <c r="E10" s="12">
        <f>E9*Graaddagen!$C$8</f>
        <v>4014400110.8161893</v>
      </c>
      <c r="F10" s="12">
        <f>F9*Graaddagen!$C$8</f>
        <v>126048744.06927696</v>
      </c>
      <c r="G10" s="12">
        <f>G9*Graaddagen!$C$8</f>
        <v>381883572.54152644</v>
      </c>
      <c r="H10" s="12">
        <f>H9*Graaddagen!$C$8</f>
        <v>493998349.4634926</v>
      </c>
      <c r="I10" s="12">
        <f>I9*Graaddagen!$C$8</f>
        <v>4685014610.469351</v>
      </c>
      <c r="J10" s="12">
        <f>J9*Graaddagen!$C$8</f>
        <v>534706863.2836873</v>
      </c>
      <c r="K10" s="12">
        <f>K9*Graaddagen!$C$8</f>
        <v>65949170.37804069</v>
      </c>
      <c r="L10" s="12">
        <f>L9*Graaddagen!$C$8</f>
        <v>250639969.12629667</v>
      </c>
      <c r="M10" s="12">
        <f>M9*Graaddagen!$C$8</f>
        <v>162427593.70631212</v>
      </c>
      <c r="N10" s="12">
        <f>N9*Graaddagen!$C$8</f>
        <v>4416563916.199461</v>
      </c>
      <c r="P10" s="7">
        <f t="shared" si="0"/>
        <v>15903843129.08918</v>
      </c>
      <c r="Q10" s="28"/>
      <c r="R10" s="28"/>
      <c r="S10" s="28"/>
      <c r="T10" s="28"/>
      <c r="U10" s="28"/>
      <c r="V10" s="28"/>
    </row>
    <row r="11" spans="17:22" s="5" customFormat="1" ht="11.25">
      <c r="Q11" s="28"/>
      <c r="R11" s="28"/>
      <c r="S11" s="28"/>
      <c r="T11" s="28"/>
      <c r="U11" s="28"/>
      <c r="V11" s="28"/>
    </row>
    <row r="12" spans="2:22" s="5" customFormat="1" ht="11.25">
      <c r="B12" s="22" t="s">
        <v>23</v>
      </c>
      <c r="Q12" s="28"/>
      <c r="R12" s="28"/>
      <c r="S12" s="28"/>
      <c r="T12" s="28"/>
      <c r="U12" s="28"/>
      <c r="V12" s="28"/>
    </row>
    <row r="13" spans="2:22" s="5" customFormat="1" ht="11.25">
      <c r="B13" s="24" t="s">
        <v>20</v>
      </c>
      <c r="C13" s="8">
        <v>89.5</v>
      </c>
      <c r="D13" s="6">
        <v>149.66666666666669</v>
      </c>
      <c r="E13" s="11">
        <v>2271</v>
      </c>
      <c r="F13" s="11">
        <v>121</v>
      </c>
      <c r="G13" s="11">
        <v>175</v>
      </c>
      <c r="H13" s="11">
        <v>159.4166666666667</v>
      </c>
      <c r="I13" s="11">
        <v>2438</v>
      </c>
      <c r="J13" s="11">
        <v>298</v>
      </c>
      <c r="K13" s="11">
        <v>21</v>
      </c>
      <c r="L13" s="11">
        <v>72</v>
      </c>
      <c r="M13" s="11">
        <v>1462</v>
      </c>
      <c r="N13" s="132">
        <f>SUM(R13:V13)</f>
        <v>2256</v>
      </c>
      <c r="P13" s="7">
        <f t="shared" si="0"/>
        <v>9512.583333333332</v>
      </c>
      <c r="Q13" s="28"/>
      <c r="R13" s="68">
        <v>46</v>
      </c>
      <c r="S13" s="68">
        <v>533</v>
      </c>
      <c r="T13" s="68">
        <v>157</v>
      </c>
      <c r="U13" s="68">
        <v>740</v>
      </c>
      <c r="V13" s="68">
        <v>780</v>
      </c>
    </row>
    <row r="14" spans="2:22" s="5" customFormat="1" ht="11.25">
      <c r="B14" s="25" t="s">
        <v>24</v>
      </c>
      <c r="C14" s="9">
        <v>6296</v>
      </c>
      <c r="D14" s="6"/>
      <c r="E14" s="11"/>
      <c r="F14" s="11"/>
      <c r="G14" s="11"/>
      <c r="H14" s="11"/>
      <c r="I14" s="11">
        <v>164320</v>
      </c>
      <c r="J14" s="11"/>
      <c r="K14" s="11"/>
      <c r="L14" s="11">
        <v>8409.762692307691</v>
      </c>
      <c r="M14" s="11"/>
      <c r="N14" s="132">
        <f>SUM(R14:V14)</f>
        <v>0</v>
      </c>
      <c r="P14" s="7">
        <f t="shared" si="0"/>
        <v>179025.7626923077</v>
      </c>
      <c r="Q14" s="28"/>
      <c r="R14" s="28"/>
      <c r="S14" s="28"/>
      <c r="T14" s="28"/>
      <c r="U14" s="28"/>
      <c r="V14" s="28"/>
    </row>
    <row r="15" spans="2:22" s="5" customFormat="1" ht="11.25">
      <c r="B15" s="25" t="s">
        <v>25</v>
      </c>
      <c r="C15" s="6">
        <v>31560</v>
      </c>
      <c r="D15" s="6"/>
      <c r="E15" s="11"/>
      <c r="F15" s="11"/>
      <c r="G15" s="11"/>
      <c r="H15" s="11"/>
      <c r="I15" s="11">
        <v>530911</v>
      </c>
      <c r="J15" s="11"/>
      <c r="K15" s="11"/>
      <c r="L15" s="11">
        <v>19267.937307692308</v>
      </c>
      <c r="M15" s="11"/>
      <c r="N15" s="132">
        <f>SUM(R15:V15)</f>
        <v>0</v>
      </c>
      <c r="P15" s="7">
        <f t="shared" si="0"/>
        <v>581738.9373076924</v>
      </c>
      <c r="Q15" s="28"/>
      <c r="R15" s="28"/>
      <c r="S15" s="28"/>
      <c r="T15" s="28"/>
      <c r="U15" s="28"/>
      <c r="V15" s="28"/>
    </row>
    <row r="16" spans="2:22" s="5" customFormat="1" ht="11.25">
      <c r="B16" s="25" t="s">
        <v>26</v>
      </c>
      <c r="C16" s="126">
        <f>SUM(C14:C15)</f>
        <v>37856</v>
      </c>
      <c r="D16" s="6">
        <v>48142.666666666664</v>
      </c>
      <c r="E16" s="11">
        <v>694441</v>
      </c>
      <c r="F16" s="11">
        <v>36144</v>
      </c>
      <c r="G16" s="11">
        <v>50575</v>
      </c>
      <c r="H16" s="11">
        <v>50474</v>
      </c>
      <c r="I16" s="11">
        <v>695231</v>
      </c>
      <c r="J16" s="11">
        <v>81858</v>
      </c>
      <c r="K16" s="11">
        <v>6582</v>
      </c>
      <c r="L16" s="126">
        <f>SUM(L14:L15)</f>
        <v>27677.699999999997</v>
      </c>
      <c r="M16" s="11">
        <v>351814</v>
      </c>
      <c r="N16" s="132">
        <f>SUM(R16:V16)</f>
        <v>758025.5833333334</v>
      </c>
      <c r="P16" s="7">
        <f t="shared" si="0"/>
        <v>2838820.9499999997</v>
      </c>
      <c r="Q16" s="28"/>
      <c r="R16" s="68">
        <v>24765</v>
      </c>
      <c r="S16" s="68">
        <v>168752</v>
      </c>
      <c r="T16" s="68">
        <v>55131.333333333336</v>
      </c>
      <c r="U16" s="68">
        <v>250162</v>
      </c>
      <c r="V16" s="68">
        <v>259215.25</v>
      </c>
    </row>
    <row r="17" spans="2:22" ht="12.75">
      <c r="B17" s="2"/>
      <c r="V17" s="28"/>
    </row>
    <row r="18" spans="2:22" s="21" customFormat="1" ht="12.75">
      <c r="B18" s="20">
        <v>2005</v>
      </c>
      <c r="Q18" s="27"/>
      <c r="R18" s="27"/>
      <c r="S18" s="27"/>
      <c r="T18" s="27"/>
      <c r="U18" s="27"/>
      <c r="V18" s="27"/>
    </row>
    <row r="20" spans="2:22" s="5" customFormat="1" ht="11.25">
      <c r="B20" s="22" t="s">
        <v>19</v>
      </c>
      <c r="Q20" s="28"/>
      <c r="R20" s="28"/>
      <c r="S20" s="28"/>
      <c r="T20" s="28"/>
      <c r="U20" s="28"/>
      <c r="V20" s="28"/>
    </row>
    <row r="21" spans="2:22" s="5" customFormat="1" ht="11.25">
      <c r="B21" s="16" t="s">
        <v>20</v>
      </c>
      <c r="C21" s="6">
        <v>128328.6923076923</v>
      </c>
      <c r="D21" s="6">
        <v>179190</v>
      </c>
      <c r="E21" s="6">
        <v>1754707.0078052287</v>
      </c>
      <c r="F21" s="6">
        <v>55666</v>
      </c>
      <c r="G21" s="6">
        <v>140750</v>
      </c>
      <c r="H21" s="6">
        <v>180293.375510204</v>
      </c>
      <c r="I21" s="6">
        <v>2079301</v>
      </c>
      <c r="J21" s="6">
        <v>191566</v>
      </c>
      <c r="K21" s="6">
        <v>33727</v>
      </c>
      <c r="L21" s="6">
        <v>96070.58</v>
      </c>
      <c r="M21" s="6">
        <v>47089.87370423836</v>
      </c>
      <c r="N21" s="7">
        <f>SUM(Q21:V21)</f>
        <v>1784244.9999999995</v>
      </c>
      <c r="P21" s="7">
        <f>SUM(C21:N21)</f>
        <v>6670934.529327363</v>
      </c>
      <c r="Q21" s="28"/>
      <c r="R21" s="13">
        <v>47606</v>
      </c>
      <c r="S21" s="13">
        <v>435635.82326220436</v>
      </c>
      <c r="T21" s="13">
        <v>181603.1152756758</v>
      </c>
      <c r="U21" s="13">
        <v>414147.8989159783</v>
      </c>
      <c r="V21" s="13">
        <v>705252.1625461411</v>
      </c>
    </row>
    <row r="22" spans="2:22" s="5" customFormat="1" ht="11.25">
      <c r="B22" s="17" t="s">
        <v>21</v>
      </c>
      <c r="C22" s="8">
        <v>598541.3461538461</v>
      </c>
      <c r="D22" s="8">
        <v>790824.6364273375</v>
      </c>
      <c r="E22" s="8">
        <v>7789385.6534904875</v>
      </c>
      <c r="F22" s="8">
        <v>254338.75</v>
      </c>
      <c r="G22" s="8">
        <v>648494</v>
      </c>
      <c r="H22" s="8">
        <v>824631.767424956</v>
      </c>
      <c r="I22" s="8">
        <v>9300733.452108705</v>
      </c>
      <c r="J22" s="8">
        <v>878807.5</v>
      </c>
      <c r="K22" s="8">
        <v>147275.5</v>
      </c>
      <c r="L22" s="8">
        <v>434605.95</v>
      </c>
      <c r="M22" s="8">
        <v>357887.2577835136</v>
      </c>
      <c r="N22" s="7">
        <f>SUM(Q22:V22)</f>
        <v>8077042.301716281</v>
      </c>
      <c r="P22" s="7">
        <f aca="true" t="shared" si="1" ref="P22:P30">SUM(C22:N22)</f>
        <v>30102568.11510513</v>
      </c>
      <c r="Q22" s="28"/>
      <c r="R22" s="14">
        <v>210543</v>
      </c>
      <c r="S22" s="14">
        <v>1973311.033262946</v>
      </c>
      <c r="T22" s="14">
        <v>822612.4021777728</v>
      </c>
      <c r="U22" s="14">
        <v>1875976.6178404437</v>
      </c>
      <c r="V22" s="14">
        <v>3194599.248435119</v>
      </c>
    </row>
    <row r="23" spans="2:22" s="5" customFormat="1" ht="11.25">
      <c r="B23" s="17" t="s">
        <v>22</v>
      </c>
      <c r="C23" s="9">
        <v>339600100</v>
      </c>
      <c r="D23" s="9">
        <v>366192957.1431012</v>
      </c>
      <c r="E23" s="10">
        <v>3596361820.03463</v>
      </c>
      <c r="F23" s="10">
        <v>124177907</v>
      </c>
      <c r="G23" s="10">
        <v>322774454.88</v>
      </c>
      <c r="H23" s="11">
        <v>439607349</v>
      </c>
      <c r="I23" s="11">
        <v>4551567526</v>
      </c>
      <c r="J23" s="11">
        <v>505135217</v>
      </c>
      <c r="K23" s="11">
        <v>57175614</v>
      </c>
      <c r="L23" s="10">
        <v>236614609</v>
      </c>
      <c r="M23" s="11">
        <v>135769536</v>
      </c>
      <c r="N23" s="7">
        <f>SUM(Q23:V23)</f>
        <v>4210974256</v>
      </c>
      <c r="P23" s="7">
        <f t="shared" si="1"/>
        <v>14885951346.057732</v>
      </c>
      <c r="Q23" s="28"/>
      <c r="R23" s="15">
        <v>107305011</v>
      </c>
      <c r="S23" s="15">
        <v>992569262</v>
      </c>
      <c r="T23" s="30">
        <v>411669442</v>
      </c>
      <c r="U23" s="30">
        <v>1035889266</v>
      </c>
      <c r="V23" s="30">
        <v>1663541275</v>
      </c>
    </row>
    <row r="24" spans="2:22" s="5" customFormat="1" ht="11.25">
      <c r="B24" s="17" t="s">
        <v>18</v>
      </c>
      <c r="C24" s="12">
        <f>C23*Graaddagen!$D$8</f>
        <v>358398477.8079648</v>
      </c>
      <c r="D24" s="12">
        <f>D23*Graaddagen!$D$8</f>
        <v>386463368.01457</v>
      </c>
      <c r="E24" s="12">
        <f>E23*Graaddagen!$D$8</f>
        <v>3795436461.7298203</v>
      </c>
      <c r="F24" s="12">
        <f>F23*Graaddagen!$D$8</f>
        <v>131051707.12899971</v>
      </c>
      <c r="G24" s="12">
        <f>G23*Graaddagen!$D$8</f>
        <v>340641458.3043044</v>
      </c>
      <c r="H24" s="12">
        <f>H23*Graaddagen!$D$8</f>
        <v>463941573.3823245</v>
      </c>
      <c r="I24" s="12">
        <f>I23*Graaddagen!$D$8</f>
        <v>4803517057.146227</v>
      </c>
      <c r="J24" s="12">
        <f>J23*Graaddagen!$D$8</f>
        <v>533096700.67822707</v>
      </c>
      <c r="K24" s="12">
        <f>K23*Graaddagen!$D$8</f>
        <v>60340538.84358621</v>
      </c>
      <c r="L24" s="12">
        <f>L23*Graaddagen!$D$8</f>
        <v>249712281.27649775</v>
      </c>
      <c r="M24" s="12">
        <f>M23*Graaddagen!$D$8</f>
        <v>143284984.4128246</v>
      </c>
      <c r="N24" s="12">
        <f>N23*Graaddagen!$D$8</f>
        <v>4444070432.956077</v>
      </c>
      <c r="P24" s="7">
        <f t="shared" si="1"/>
        <v>15709955041.68142</v>
      </c>
      <c r="Q24" s="28"/>
      <c r="R24" s="28"/>
      <c r="S24" s="28"/>
      <c r="T24" s="28"/>
      <c r="U24" s="28"/>
      <c r="V24" s="28"/>
    </row>
    <row r="25" spans="17:22" s="5" customFormat="1" ht="11.25">
      <c r="Q25" s="28"/>
      <c r="R25" s="28"/>
      <c r="S25" s="28"/>
      <c r="T25" s="28"/>
      <c r="U25" s="28"/>
      <c r="V25" s="28"/>
    </row>
    <row r="26" spans="2:22" s="5" customFormat="1" ht="11.25">
      <c r="B26" s="22" t="s">
        <v>23</v>
      </c>
      <c r="Q26" s="28"/>
      <c r="R26" s="28"/>
      <c r="S26" s="28"/>
      <c r="T26" s="28"/>
      <c r="U26" s="28"/>
      <c r="V26" s="28"/>
    </row>
    <row r="27" spans="2:22" s="5" customFormat="1" ht="11.25">
      <c r="B27" s="24" t="s">
        <v>20</v>
      </c>
      <c r="C27" s="8">
        <v>111</v>
      </c>
      <c r="D27" s="6">
        <v>155</v>
      </c>
      <c r="E27" s="11">
        <v>2273</v>
      </c>
      <c r="F27" s="11">
        <v>118</v>
      </c>
      <c r="G27" s="11">
        <v>175</v>
      </c>
      <c r="H27" s="11">
        <v>173</v>
      </c>
      <c r="I27" s="11">
        <v>2668</v>
      </c>
      <c r="J27" s="11">
        <v>318</v>
      </c>
      <c r="K27" s="11">
        <v>21</v>
      </c>
      <c r="L27" s="11">
        <v>71</v>
      </c>
      <c r="M27" s="11">
        <v>1514.7186666666666</v>
      </c>
      <c r="N27" s="60">
        <f>SUM(Q27:V27)</f>
        <v>3185</v>
      </c>
      <c r="P27" s="7">
        <f t="shared" si="1"/>
        <v>10782.718666666668</v>
      </c>
      <c r="Q27" s="28"/>
      <c r="R27" s="30">
        <v>55</v>
      </c>
      <c r="S27" s="30">
        <v>755</v>
      </c>
      <c r="T27" s="30">
        <v>222</v>
      </c>
      <c r="U27" s="30">
        <v>1048</v>
      </c>
      <c r="V27" s="30">
        <v>1105</v>
      </c>
    </row>
    <row r="28" spans="2:22" s="5" customFormat="1" ht="11.25">
      <c r="B28" s="25" t="s">
        <v>24</v>
      </c>
      <c r="C28" s="9">
        <v>9683</v>
      </c>
      <c r="D28" s="6">
        <v>11622</v>
      </c>
      <c r="E28" s="11"/>
      <c r="F28" s="11"/>
      <c r="G28" s="11"/>
      <c r="H28" s="11"/>
      <c r="I28" s="11">
        <v>178152</v>
      </c>
      <c r="J28" s="11"/>
      <c r="K28" s="11"/>
      <c r="L28" s="11">
        <v>8453</v>
      </c>
      <c r="M28" s="11"/>
      <c r="N28" s="60">
        <f>SUM(Q28:V28)</f>
        <v>0</v>
      </c>
      <c r="P28" s="7">
        <f t="shared" si="1"/>
        <v>207910</v>
      </c>
      <c r="Q28" s="28"/>
      <c r="R28" s="30"/>
      <c r="S28" s="30"/>
      <c r="T28" s="30"/>
      <c r="U28" s="30"/>
      <c r="V28" s="30"/>
    </row>
    <row r="29" spans="2:22" s="5" customFormat="1" ht="11.25">
      <c r="B29" s="25" t="s">
        <v>25</v>
      </c>
      <c r="C29" s="6">
        <v>29331</v>
      </c>
      <c r="D29" s="6">
        <v>37265</v>
      </c>
      <c r="E29" s="11"/>
      <c r="F29" s="11"/>
      <c r="G29" s="11"/>
      <c r="H29" s="11"/>
      <c r="I29" s="11">
        <v>521292</v>
      </c>
      <c r="J29" s="11"/>
      <c r="K29" s="11"/>
      <c r="L29" s="11">
        <v>19367</v>
      </c>
      <c r="M29" s="11"/>
      <c r="N29" s="60">
        <f>SUM(Q29:V29)</f>
        <v>0</v>
      </c>
      <c r="P29" s="7">
        <f t="shared" si="1"/>
        <v>607255</v>
      </c>
      <c r="Q29" s="28"/>
      <c r="R29" s="30"/>
      <c r="S29" s="30"/>
      <c r="T29" s="30"/>
      <c r="U29" s="30"/>
      <c r="V29" s="30"/>
    </row>
    <row r="30" spans="2:22" s="5" customFormat="1" ht="11.25">
      <c r="B30" s="25" t="s">
        <v>26</v>
      </c>
      <c r="C30" s="126">
        <f>SUM(C28:C29)</f>
        <v>39014</v>
      </c>
      <c r="D30" s="126">
        <f>SUM(D28:D29)</f>
        <v>48887</v>
      </c>
      <c r="E30" s="11">
        <v>656704</v>
      </c>
      <c r="F30" s="11">
        <v>35419</v>
      </c>
      <c r="G30" s="11">
        <v>50663</v>
      </c>
      <c r="H30" s="11">
        <v>52368.406551400796</v>
      </c>
      <c r="I30" s="126">
        <f>SUM(I28:I29)</f>
        <v>699444</v>
      </c>
      <c r="J30" s="11">
        <v>83577</v>
      </c>
      <c r="K30" s="11">
        <v>6884</v>
      </c>
      <c r="L30" s="126">
        <f>SUM(L28:L29)</f>
        <v>27820</v>
      </c>
      <c r="M30" s="11">
        <v>368998.7164476526</v>
      </c>
      <c r="N30" s="60">
        <f>SUM(Q30:V30)</f>
        <v>733011</v>
      </c>
      <c r="P30" s="7">
        <f t="shared" si="1"/>
        <v>2802790.1229990534</v>
      </c>
      <c r="Q30" s="28"/>
      <c r="R30" s="30">
        <v>25120</v>
      </c>
      <c r="S30" s="30">
        <v>162913.4645271059</v>
      </c>
      <c r="T30" s="30">
        <v>53223.881893737875</v>
      </c>
      <c r="U30" s="30">
        <v>241506.8154038463</v>
      </c>
      <c r="V30" s="30">
        <v>250246.83817530988</v>
      </c>
    </row>
    <row r="31" spans="2:22" s="5" customFormat="1" ht="11.25">
      <c r="B31" s="25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3"/>
      <c r="Q31" s="28"/>
      <c r="R31" s="28"/>
      <c r="S31" s="28"/>
      <c r="T31" s="28"/>
      <c r="U31" s="28"/>
      <c r="V31" s="28"/>
    </row>
    <row r="32" spans="2:22" s="21" customFormat="1" ht="12.75">
      <c r="B32" s="20">
        <v>2006</v>
      </c>
      <c r="Q32" s="27"/>
      <c r="R32" s="27"/>
      <c r="S32" s="27"/>
      <c r="T32" s="27"/>
      <c r="U32" s="27"/>
      <c r="V32" s="27"/>
    </row>
    <row r="34" spans="2:22" s="5" customFormat="1" ht="11.25">
      <c r="B34" s="22" t="s">
        <v>19</v>
      </c>
      <c r="Q34" s="28"/>
      <c r="R34" s="28"/>
      <c r="S34" s="28"/>
      <c r="T34" s="28"/>
      <c r="U34" s="28"/>
      <c r="V34" s="28"/>
    </row>
    <row r="35" spans="2:22" s="5" customFormat="1" ht="11.25">
      <c r="B35" s="16" t="s">
        <v>20</v>
      </c>
      <c r="C35" s="6">
        <v>130211</v>
      </c>
      <c r="D35" s="6">
        <v>180185.5</v>
      </c>
      <c r="E35" s="6">
        <v>1720635.3654119612</v>
      </c>
      <c r="F35" s="6">
        <v>56521.73014999998</v>
      </c>
      <c r="G35" s="6">
        <v>142306.75</v>
      </c>
      <c r="H35" s="6">
        <v>181979.83859677674</v>
      </c>
      <c r="I35" s="6">
        <v>2088925.4</v>
      </c>
      <c r="J35" s="6">
        <v>192454.82636</v>
      </c>
      <c r="K35" s="6">
        <v>34133</v>
      </c>
      <c r="L35" s="6">
        <v>97580</v>
      </c>
      <c r="M35" s="6">
        <v>47622.78766666667</v>
      </c>
      <c r="N35" s="60">
        <f>SUM(Q35:V35)</f>
        <v>1809028.4247601843</v>
      </c>
      <c r="O35" s="23">
        <v>0</v>
      </c>
      <c r="P35" s="7">
        <f>SUM(C35:O35)</f>
        <v>6681584.622945588</v>
      </c>
      <c r="Q35" s="68">
        <v>1761944.933254186</v>
      </c>
      <c r="R35" s="13">
        <v>47083.491505998216</v>
      </c>
      <c r="S35" s="28"/>
      <c r="T35" s="28"/>
      <c r="U35" s="28"/>
      <c r="V35" s="28"/>
    </row>
    <row r="36" spans="2:22" s="5" customFormat="1" ht="11.25">
      <c r="B36" s="17" t="s">
        <v>21</v>
      </c>
      <c r="C36" s="8">
        <v>594606</v>
      </c>
      <c r="D36" s="6">
        <v>795166.25</v>
      </c>
      <c r="E36" s="8">
        <v>7719174.586688226</v>
      </c>
      <c r="F36" s="8">
        <v>261272.95170999994</v>
      </c>
      <c r="G36" s="8">
        <v>658742.6</v>
      </c>
      <c r="H36" s="8">
        <v>832345.3677269189</v>
      </c>
      <c r="I36" s="8">
        <v>9230237.1</v>
      </c>
      <c r="J36" s="8">
        <v>889853.659975</v>
      </c>
      <c r="K36" s="8">
        <v>148897</v>
      </c>
      <c r="L36" s="8">
        <v>437715.5</v>
      </c>
      <c r="M36" s="8">
        <v>343751.8550176809</v>
      </c>
      <c r="N36" s="60">
        <f>SUM(Q36:V36)</f>
        <v>8099464.886528147</v>
      </c>
      <c r="O36" s="23">
        <v>0</v>
      </c>
      <c r="P36" s="7">
        <f aca="true" t="shared" si="2" ref="P36:P48">SUM(C36:O36)</f>
        <v>30011227.757645972</v>
      </c>
      <c r="Q36" s="68">
        <v>7892009.07766847</v>
      </c>
      <c r="R36" s="14">
        <v>207455.8088596775</v>
      </c>
      <c r="S36" s="28"/>
      <c r="T36" s="28"/>
      <c r="U36" s="28"/>
      <c r="V36" s="28"/>
    </row>
    <row r="37" spans="2:22" s="5" customFormat="1" ht="11.25">
      <c r="B37" s="17" t="s">
        <v>22</v>
      </c>
      <c r="C37" s="9">
        <v>325090772</v>
      </c>
      <c r="D37" s="9">
        <v>365465287.07337695</v>
      </c>
      <c r="E37" s="10">
        <v>3480504356</v>
      </c>
      <c r="F37" s="10">
        <v>123306562</v>
      </c>
      <c r="G37" s="10">
        <v>343152726.8</v>
      </c>
      <c r="H37" s="11">
        <v>440434729.2195959</v>
      </c>
      <c r="I37" s="11">
        <v>4499575737.767123</v>
      </c>
      <c r="J37" s="11">
        <v>492731952</v>
      </c>
      <c r="K37" s="11">
        <v>57494044</v>
      </c>
      <c r="L37" s="10">
        <v>237487720</v>
      </c>
      <c r="M37" s="11">
        <v>132087576.00000007</v>
      </c>
      <c r="N37" s="7">
        <f>SUM(Q37:R37)</f>
        <v>4424177659</v>
      </c>
      <c r="O37" s="23"/>
      <c r="P37" s="7">
        <f t="shared" si="2"/>
        <v>14921509121.860096</v>
      </c>
      <c r="Q37" s="68">
        <v>4316977852</v>
      </c>
      <c r="R37" s="15">
        <v>107199807</v>
      </c>
      <c r="S37" s="28"/>
      <c r="T37" s="28"/>
      <c r="U37" s="28"/>
      <c r="V37" s="28"/>
    </row>
    <row r="38" spans="2:22" s="5" customFormat="1" ht="11.25">
      <c r="B38" s="17" t="s">
        <v>18</v>
      </c>
      <c r="C38" s="12">
        <f>C37*Graaddagen!$E$8</f>
        <v>349644111.20735896</v>
      </c>
      <c r="D38" s="12">
        <f>D37*Graaddagen!$E$8</f>
        <v>393068018.17159295</v>
      </c>
      <c r="E38" s="12">
        <f>E37*Graaddagen!$E$8</f>
        <v>3743378640.433882</v>
      </c>
      <c r="F38" s="12">
        <f>F37*Graaddagen!$E$8</f>
        <v>132619615.78080446</v>
      </c>
      <c r="G38" s="12">
        <f>G37*Graaddagen!$E$8</f>
        <v>369070242.8501036</v>
      </c>
      <c r="H38" s="12">
        <f>H37*Graaddagen!$E$8</f>
        <v>473699725.45034105</v>
      </c>
      <c r="I38" s="12">
        <f>I37*Graaddagen!$E$8</f>
        <v>4839418079.950243</v>
      </c>
      <c r="J38" s="12">
        <f>J37*Graaddagen!$E$8</f>
        <v>529946834.1122493</v>
      </c>
      <c r="K38" s="12">
        <f>K37*Graaddagen!$E$8</f>
        <v>61836433.530315004</v>
      </c>
      <c r="L38" s="12">
        <f>L37*Graaddagen!$E$8</f>
        <v>255424607.32186556</v>
      </c>
      <c r="M38" s="12">
        <f>M37*Graaddagen!$E$8</f>
        <v>142063839.0561714</v>
      </c>
      <c r="N38" s="12">
        <f>N37*Graaddagen!$E$8</f>
        <v>4758325362.137652</v>
      </c>
      <c r="O38" s="12">
        <f>O37*Graaddagen!$E$8</f>
        <v>0</v>
      </c>
      <c r="P38" s="7">
        <f t="shared" si="2"/>
        <v>16048495510.002579</v>
      </c>
      <c r="Q38" s="28"/>
      <c r="R38" s="28"/>
      <c r="S38" s="28"/>
      <c r="T38" s="28"/>
      <c r="U38" s="28"/>
      <c r="V38" s="28"/>
    </row>
    <row r="39" spans="17:22" s="5" customFormat="1" ht="11.25">
      <c r="Q39" s="28"/>
      <c r="R39" s="28"/>
      <c r="S39" s="28"/>
      <c r="T39" s="28"/>
      <c r="U39" s="28"/>
      <c r="V39" s="28"/>
    </row>
    <row r="40" spans="2:22" s="5" customFormat="1" ht="11.25">
      <c r="B40" s="22" t="s">
        <v>23</v>
      </c>
      <c r="Q40" s="28"/>
      <c r="R40" s="28"/>
      <c r="S40" s="28"/>
      <c r="T40" s="28"/>
      <c r="U40" s="28"/>
      <c r="V40" s="28"/>
    </row>
    <row r="41" spans="2:22" s="5" customFormat="1" ht="11.25">
      <c r="B41" s="24" t="s">
        <v>20</v>
      </c>
      <c r="C41" s="8">
        <v>106</v>
      </c>
      <c r="D41" s="6">
        <v>152</v>
      </c>
      <c r="E41" s="11">
        <v>2067</v>
      </c>
      <c r="F41" s="11">
        <v>109.33730909090913</v>
      </c>
      <c r="G41" s="11">
        <v>175</v>
      </c>
      <c r="H41" s="11">
        <v>172.16442543003163</v>
      </c>
      <c r="I41" s="11">
        <v>2629.266666666667</v>
      </c>
      <c r="J41" s="11">
        <v>333.1787818181803</v>
      </c>
      <c r="K41" s="11">
        <v>21</v>
      </c>
      <c r="L41" s="11">
        <v>80.67</v>
      </c>
      <c r="M41" s="11">
        <v>1353.5484257357973</v>
      </c>
      <c r="N41" s="60">
        <f>SUM(Q41:V41)</f>
        <v>3722.1666666666665</v>
      </c>
      <c r="O41" s="23"/>
      <c r="P41" s="7">
        <f t="shared" si="2"/>
        <v>10921.332275408253</v>
      </c>
      <c r="Q41" s="30">
        <v>3672.1666666666665</v>
      </c>
      <c r="R41" s="30">
        <v>50</v>
      </c>
      <c r="S41" s="28"/>
      <c r="T41" s="28"/>
      <c r="U41" s="28"/>
      <c r="V41" s="28"/>
    </row>
    <row r="42" spans="2:22" s="5" customFormat="1" ht="11.25">
      <c r="B42" s="25" t="s">
        <v>24</v>
      </c>
      <c r="C42" s="9">
        <v>10617</v>
      </c>
      <c r="D42" s="6">
        <v>11614</v>
      </c>
      <c r="E42" s="11"/>
      <c r="F42" s="11"/>
      <c r="G42" s="11"/>
      <c r="H42" s="11"/>
      <c r="I42" s="11">
        <v>174789.65</v>
      </c>
      <c r="J42" s="11"/>
      <c r="K42" s="11"/>
      <c r="L42" s="11">
        <v>10176</v>
      </c>
      <c r="M42" s="11"/>
      <c r="N42" s="60">
        <f>SUM(Q42:V42)</f>
        <v>0</v>
      </c>
      <c r="O42" s="23"/>
      <c r="P42" s="7">
        <f t="shared" si="2"/>
        <v>207196.65</v>
      </c>
      <c r="Q42" s="30"/>
      <c r="R42" s="30"/>
      <c r="S42" s="28"/>
      <c r="T42" s="28"/>
      <c r="U42" s="28"/>
      <c r="V42" s="28"/>
    </row>
    <row r="43" spans="2:22" s="5" customFormat="1" ht="11.25">
      <c r="B43" s="25" t="s">
        <v>25</v>
      </c>
      <c r="C43" s="6">
        <v>23267</v>
      </c>
      <c r="D43" s="6">
        <v>36755</v>
      </c>
      <c r="E43" s="11"/>
      <c r="F43" s="11"/>
      <c r="G43" s="11"/>
      <c r="H43" s="11"/>
      <c r="I43" s="11">
        <v>522313.5</v>
      </c>
      <c r="J43" s="11"/>
      <c r="K43" s="11"/>
      <c r="L43" s="11">
        <v>18527</v>
      </c>
      <c r="M43" s="11"/>
      <c r="N43" s="60">
        <f>SUM(Q43:V43)</f>
        <v>0</v>
      </c>
      <c r="O43" s="23"/>
      <c r="P43" s="7">
        <f t="shared" si="2"/>
        <v>600862.5</v>
      </c>
      <c r="Q43" s="30"/>
      <c r="R43" s="30"/>
      <c r="S43" s="28"/>
      <c r="T43" s="28"/>
      <c r="U43" s="28"/>
      <c r="V43" s="28"/>
    </row>
    <row r="44" spans="2:22" s="5" customFormat="1" ht="11.25">
      <c r="B44" s="25" t="s">
        <v>26</v>
      </c>
      <c r="C44" s="126">
        <f>SUM(C42:C43)</f>
        <v>33884</v>
      </c>
      <c r="D44" s="126">
        <f>SUM(D42:D43)</f>
        <v>48369</v>
      </c>
      <c r="E44" s="11">
        <v>648774</v>
      </c>
      <c r="F44" s="11">
        <v>31514.306928439313</v>
      </c>
      <c r="G44" s="11">
        <v>50663</v>
      </c>
      <c r="H44" s="11">
        <v>55830</v>
      </c>
      <c r="I44" s="126">
        <f>SUM(I42:I43)</f>
        <v>697103.15</v>
      </c>
      <c r="J44" s="11">
        <v>87282.4031370816</v>
      </c>
      <c r="K44" s="11">
        <v>6883</v>
      </c>
      <c r="L44" s="126">
        <f>SUM(L42:L43)</f>
        <v>28703</v>
      </c>
      <c r="M44" s="11">
        <v>343602.85324779456</v>
      </c>
      <c r="N44" s="60">
        <f>SUM(Q44:V44)</f>
        <v>697166</v>
      </c>
      <c r="O44" s="23"/>
      <c r="P44" s="7">
        <f t="shared" si="2"/>
        <v>2729774.7133133155</v>
      </c>
      <c r="Q44" s="30">
        <v>674352</v>
      </c>
      <c r="R44" s="30">
        <v>22814</v>
      </c>
      <c r="S44" s="28"/>
      <c r="T44" s="28"/>
      <c r="U44" s="28"/>
      <c r="V44" s="28"/>
    </row>
    <row r="45" spans="19:22" ht="12.75">
      <c r="S45" s="28"/>
      <c r="T45" s="28"/>
      <c r="U45" s="28"/>
      <c r="V45" s="28"/>
    </row>
    <row r="46" ht="12.75">
      <c r="B46" s="69" t="s">
        <v>50</v>
      </c>
    </row>
    <row r="47" spans="2:18" ht="12.75">
      <c r="B47" s="24" t="s">
        <v>20</v>
      </c>
      <c r="C47" s="6"/>
      <c r="D47" s="6">
        <v>13</v>
      </c>
      <c r="E47" s="11"/>
      <c r="F47" s="11"/>
      <c r="G47" s="11"/>
      <c r="H47" s="11"/>
      <c r="I47" s="11"/>
      <c r="J47" s="11"/>
      <c r="K47" s="11"/>
      <c r="L47" s="11"/>
      <c r="M47" s="11"/>
      <c r="N47" s="60">
        <f>SUM(Q47:V47)</f>
        <v>1</v>
      </c>
      <c r="O47" s="23">
        <v>2</v>
      </c>
      <c r="P47" s="7">
        <f t="shared" si="2"/>
        <v>16</v>
      </c>
      <c r="Q47" s="30">
        <v>1</v>
      </c>
      <c r="R47" s="30"/>
    </row>
    <row r="48" spans="2:22" s="5" customFormat="1" ht="11.25">
      <c r="B48" s="25" t="s">
        <v>49</v>
      </c>
      <c r="C48" s="6"/>
      <c r="D48" s="6">
        <v>79900</v>
      </c>
      <c r="E48" s="11"/>
      <c r="F48" s="11"/>
      <c r="G48" s="11"/>
      <c r="H48" s="11"/>
      <c r="I48" s="11"/>
      <c r="J48" s="11"/>
      <c r="K48" s="11"/>
      <c r="L48" s="11"/>
      <c r="M48" s="11"/>
      <c r="N48" s="60">
        <f>SUM(Q48:V48)</f>
        <v>39838.70656174045</v>
      </c>
      <c r="O48" s="59">
        <v>447622.4517906336</v>
      </c>
      <c r="P48" s="7">
        <f t="shared" si="2"/>
        <v>567361.1583523741</v>
      </c>
      <c r="Q48" s="30">
        <v>39838.70656174045</v>
      </c>
      <c r="R48" s="30"/>
      <c r="S48" s="28"/>
      <c r="T48" s="28"/>
      <c r="U48" s="28"/>
      <c r="V48" s="28"/>
    </row>
    <row r="49" spans="3:16" ht="12.75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3:16" ht="12.75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3:16" ht="12.75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BPostema</cp:lastModifiedBy>
  <dcterms:created xsi:type="dcterms:W3CDTF">2007-06-12T13:09:23Z</dcterms:created>
  <dcterms:modified xsi:type="dcterms:W3CDTF">2008-07-24T15:56:05Z</dcterms:modified>
  <cp:category/>
  <cp:version/>
  <cp:contentType/>
  <cp:contentStatus/>
</cp:coreProperties>
</file>