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60" windowWidth="19020" windowHeight="11640"/>
  </bookViews>
  <sheets>
    <sheet name="Toelichting" sheetId="7" r:id="rId1"/>
    <sheet name="Maximumprijs" sheetId="6" r:id="rId2"/>
    <sheet name="Aansluitbijdrage" sheetId="9" r:id="rId3"/>
  </sheets>
  <definedNames>
    <definedName name="_xlnm.Print_Area" localSheetId="2">Aansluitbijdrage!$B$2:$F$29</definedName>
    <definedName name="_xlnm.Print_Area" localSheetId="1">Maximumprijs!$B$2:$H$208</definedName>
    <definedName name="_xlnm.Print_Area" localSheetId="0">Toelichting!$A$1:$B$17</definedName>
  </definedNames>
  <calcPr calcId="145621"/>
</workbook>
</file>

<file path=xl/calcChain.xml><?xml version="1.0" encoding="utf-8"?>
<calcChain xmlns="http://schemas.openxmlformats.org/spreadsheetml/2006/main">
  <c r="C15" i="6" l="1"/>
  <c r="C33" i="6" l="1"/>
  <c r="E68" i="6" l="1"/>
  <c r="E69" i="6"/>
  <c r="E70" i="6"/>
  <c r="E71" i="6"/>
  <c r="E72" i="6"/>
  <c r="E73" i="6"/>
  <c r="E74" i="6"/>
  <c r="E75" i="6" l="1"/>
  <c r="C25" i="6"/>
  <c r="C140" i="6" s="1"/>
  <c r="C22" i="6" l="1"/>
  <c r="C24" i="6"/>
  <c r="C21" i="6"/>
  <c r="C23" i="6"/>
  <c r="C28" i="9"/>
  <c r="C14" i="9"/>
  <c r="C27" i="9" l="1"/>
  <c r="C13" i="9"/>
  <c r="C15" i="9" s="1"/>
  <c r="C16" i="9" s="1"/>
  <c r="C29" i="9" l="1"/>
  <c r="C30" i="9" s="1"/>
  <c r="C169" i="6"/>
  <c r="C181" i="6"/>
  <c r="C180" i="6"/>
  <c r="C179" i="6"/>
  <c r="C178" i="6"/>
  <c r="C177" i="6"/>
  <c r="C182" i="6" s="1"/>
  <c r="C176" i="6"/>
  <c r="C171" i="6"/>
  <c r="C170" i="6"/>
  <c r="C123" i="6"/>
  <c r="C121" i="6"/>
  <c r="C101" i="6"/>
  <c r="C99" i="6"/>
  <c r="C86" i="6"/>
  <c r="C93" i="6" s="1"/>
  <c r="D53" i="6"/>
  <c r="C90" i="6" s="1"/>
  <c r="C64" i="6"/>
  <c r="C91" i="6" s="1"/>
  <c r="C103" i="6"/>
  <c r="C132" i="6"/>
  <c r="C114" i="6"/>
  <c r="C98" i="6"/>
  <c r="C100" i="6" s="1"/>
  <c r="C102" i="6" s="1"/>
  <c r="C120" i="6"/>
  <c r="C122" i="6" s="1"/>
  <c r="C124" i="6" l="1"/>
  <c r="C183" i="6"/>
  <c r="C104" i="6"/>
  <c r="C105" i="6" s="1"/>
  <c r="C113" i="6" s="1"/>
  <c r="C172" i="6"/>
  <c r="C115" i="6"/>
  <c r="C125" i="6"/>
  <c r="C92" i="6"/>
  <c r="C126" i="6" l="1"/>
  <c r="C127" i="6" s="1"/>
  <c r="C131" i="6" s="1"/>
  <c r="C190" i="6"/>
  <c r="C94" i="6"/>
  <c r="C116" i="6"/>
  <c r="C188" i="6"/>
  <c r="C187" i="6"/>
  <c r="C133" i="6"/>
  <c r="C191" i="6" l="1"/>
  <c r="C202" i="6" s="1"/>
  <c r="C134" i="6"/>
  <c r="C138" i="6"/>
  <c r="C145" i="6"/>
  <c r="D197" i="6" l="1"/>
  <c r="C139" i="6"/>
  <c r="C141" i="6" s="1"/>
  <c r="C146" i="6" l="1"/>
  <c r="C147" i="6" s="1"/>
  <c r="C148" i="6" s="1"/>
  <c r="C201" i="6" s="1"/>
  <c r="C197" i="6" l="1"/>
  <c r="C208" i="6"/>
</calcChain>
</file>

<file path=xl/sharedStrings.xml><?xml version="1.0" encoding="utf-8"?>
<sst xmlns="http://schemas.openxmlformats.org/spreadsheetml/2006/main" count="246" uniqueCount="175">
  <si>
    <t>N.V. RENDO</t>
  </si>
  <si>
    <t>η</t>
  </si>
  <si>
    <t xml:space="preserve">VR </t>
  </si>
  <si>
    <t>LVR</t>
  </si>
  <si>
    <t>LVT</t>
  </si>
  <si>
    <t>η ruimte</t>
  </si>
  <si>
    <t>η tap</t>
  </si>
  <si>
    <t>VT</t>
  </si>
  <si>
    <t>Liander N.V.</t>
  </si>
  <si>
    <t>Cogas Infra &amp; Beheer B.V.</t>
  </si>
  <si>
    <t>Enexis N.V.</t>
  </si>
  <si>
    <t>Stedin B.V.</t>
  </si>
  <si>
    <t xml:space="preserve">Westland Infra Netbeheer B.V. </t>
  </si>
  <si>
    <t>Consumentenprijsindex (CPI)</t>
  </si>
  <si>
    <t>VR</t>
  </si>
  <si>
    <t>Algemene parameters</t>
  </si>
  <si>
    <t>Aanschafwaarde cv-ketel in</t>
  </si>
  <si>
    <t>Jaarlijkse onderhoudskosten cv ketel</t>
  </si>
  <si>
    <t>Aanschafwaarde warmtewisselaar</t>
  </si>
  <si>
    <t>Gemiddelde levensduur cv-ketel (in jaren)</t>
  </si>
  <si>
    <t>Gemiddelde resterende levensduur cv-ketel (in jaren)</t>
  </si>
  <si>
    <t>Gemiddelde levensduur warmtewisselaar (in jaren)</t>
  </si>
  <si>
    <t>Gemiddelde resterende levensduur warmtewisselaar (in jaren)</t>
  </si>
  <si>
    <t>Parameters voor de berekening van het verschil in gebruikskosten gas uit Warmteregeling (artikel 2)</t>
  </si>
  <si>
    <t>Parameters voor de berekening van de energetische waarde van aardgasgebruik in de gaswoning uit Warmteregeling (artikel 3)</t>
  </si>
  <si>
    <t>Jaarlijkse onderhoudskosten warmtewisselaar</t>
  </si>
  <si>
    <t>Meerkosten van elektrisch koken</t>
  </si>
  <si>
    <t>energie g</t>
  </si>
  <si>
    <t>Berekening van de energetische waarde van aardgasgebruik in de gaswoning (energie g) en het brandstofrendement van het warmteproces (η)</t>
  </si>
  <si>
    <t>Berekening van het variabele deel van de maximumprijs (Pw) zoals bedoeld in het Warmtebesluit (artikel 4)</t>
  </si>
  <si>
    <t>CVg: de bovenwaarde van de verbrandingswaarde van aardgas</t>
  </si>
  <si>
    <t>Algemene parameters en parameters uit Warmteregeling (artikel 2 en 3)</t>
  </si>
  <si>
    <t>Berekening van het vaste deel van de maximumprijs (VKw) zoals bedoeld in het Warmtebesluit (artikel 3)</t>
  </si>
  <si>
    <t>Bron: Warmtebesluit artikel 4, lid 1.</t>
  </si>
  <si>
    <t xml:space="preserve">Toelichting: in de praktijk is het gebruikelijk om de prijs af te ronden op 2 decimalen. Dat heeft hier ook plaatsgevonden. </t>
  </si>
  <si>
    <t>Ww staat voor het jaarverbruik van de warmteverbruiker, uitgedrukt in gigajoule.</t>
  </si>
  <si>
    <t>Waarbij:</t>
  </si>
  <si>
    <t>gigajoule.</t>
  </si>
  <si>
    <t>Eventuele nadere bronvermelding en/of toelichting.</t>
  </si>
  <si>
    <t>Toelichting: de kapitaalslasten worden berekend door de jaarlijkse afschrijving te vermeerderen met de vermogensvergoeding.</t>
  </si>
  <si>
    <t>De vermogensvergoeding wordt berekend door de resterende waarde van de cv-ketel te vermenigvuldigen met de reële vermogenskostenvoet.</t>
  </si>
  <si>
    <t>De vermogensvergoeding wordt berekend door de resterende waarde van de warmtewisselaar te vermenigvuldigen met de reële vermogenskostenvoet.</t>
  </si>
  <si>
    <t>Toelichting</t>
  </si>
  <si>
    <t>Legenda celkleuren</t>
  </si>
  <si>
    <t>Brondata</t>
  </si>
  <si>
    <t>Berekende waarde</t>
  </si>
  <si>
    <t>Bij deze berekening heeft ACM specifieke onderdelen van de berekening van een nadere bronmelding en/of een toelichting voorzien.</t>
  </si>
  <si>
    <t>Voorbeeld: kosten in een jaar voor een verbruiker met bovenstaande maximumprijs en jaarverbruik van:</t>
  </si>
  <si>
    <t xml:space="preserve"> </t>
  </si>
  <si>
    <t>Toelichting: de weging van de tarieven vindt plaats op basis van de door ACM vastgestelde rekenvolumes die corresponderen met deze tarieven.</t>
  </si>
  <si>
    <t xml:space="preserve">De CPI is berekend uit het quotiënt van deze prijsindex, gepubliceerd in de vierde maand voorafgaand aan het kalenderjaar waarvoor de maximumprijs geldt, en van deze prijsindex, </t>
  </si>
  <si>
    <t xml:space="preserve">gepubliceerd in de zestiende maand voorafgaande aan het kalenderjaar waarvoor de maximumprijs geldt, zoals deze maandelijks wordt vastgesteld door het Centraal Bureau voor de Statistiek.  </t>
  </si>
  <si>
    <t>Deze CPI wordt ook gebruikt in de Gaswet (zie artikel 81b).</t>
  </si>
  <si>
    <t>Waarde die zonder berekening wordt overgenomen uit een andere cel</t>
  </si>
  <si>
    <t>Berekende of overgenomen waarde en tevens resultaat</t>
  </si>
  <si>
    <t>Productnaam</t>
  </si>
  <si>
    <t>Eneco</t>
  </si>
  <si>
    <t>Essent</t>
  </si>
  <si>
    <t>Nuon</t>
  </si>
  <si>
    <t>Een weging levert in dit geval hetzelfde op als het meettarief gas van een willekeurige regionale netbeheerder.</t>
  </si>
  <si>
    <t>Bron rekencapaciteit: Tarievencode Gas, www.acm.nl.</t>
  </si>
  <si>
    <t>VastePrijsGas 1 jaar</t>
  </si>
  <si>
    <t>Regio 1</t>
  </si>
  <si>
    <t>Regio 2</t>
  </si>
  <si>
    <t>Regio 3</t>
  </si>
  <si>
    <t>Regio 4</t>
  </si>
  <si>
    <t>Regio 5</t>
  </si>
  <si>
    <t>Regio 6</t>
  </si>
  <si>
    <t>Regio 7</t>
  </si>
  <si>
    <t>Regio 8</t>
  </si>
  <si>
    <t>Regio 9</t>
  </si>
  <si>
    <t>Regio 10</t>
  </si>
  <si>
    <t xml:space="preserve">Maximale eenmalige aansluitbijdrage t/m 25 meter op een bestaand warmtenet in € incl. BTW </t>
  </si>
  <si>
    <t>Berekening van de maximale eenmalige aansluitbijdrage op een bestaand warmtenet zoals bedoeld in het Warmtebesluit (artikel 5)</t>
  </si>
  <si>
    <t>Toelichting: de weging van de tarieven vindt plaats op basis van de door ACM vastgestelde rekenvolumes die corresponderen met de vastgestelde tarieven.</t>
  </si>
  <si>
    <t>Laatst bekende heffingsrente (=belastingrente)</t>
  </si>
  <si>
    <r>
      <t xml:space="preserve">Maximale eenmalige aansluitbijdrage </t>
    </r>
    <r>
      <rPr>
        <b/>
        <u/>
        <sz val="10"/>
        <rFont val="Arial"/>
        <family val="2"/>
      </rPr>
      <t>per meter</t>
    </r>
    <r>
      <rPr>
        <b/>
        <sz val="10"/>
        <rFont val="Arial"/>
        <family val="2"/>
      </rPr>
      <t xml:space="preserve"> op een bestaand warmtenet voor zover de aansluitlengte langer is dan 25 meter op een bestaand warmtenet in € incl. BTW </t>
    </r>
  </si>
  <si>
    <t xml:space="preserve">Toelichting: de weging van de tarieven vindt plaats op basis van de door ACM vastgestelde rekenvolumes die corresponderen met deze tarieven. </t>
  </si>
  <si>
    <t>Reken-capaciteit G6 aansluiting</t>
  </si>
  <si>
    <t>Eneco Retail B.V. (hierna: Eneco)</t>
  </si>
  <si>
    <t>Essent Retail Energie B.V. (hierna: Essent)</t>
  </si>
  <si>
    <t>N.V. Nuon Sales Nederland (hierna: Nuon)</t>
  </si>
  <si>
    <t>Bron: Gegevens die door ACM zijn ontvangen van gasleveranciers in het kader van artikel 44, tweede lid van de Gaswet.</t>
  </si>
  <si>
    <t>BTW</t>
  </si>
  <si>
    <t>CPI 2015</t>
  </si>
  <si>
    <t xml:space="preserve">Toelichting: prijzen uit de Warmteregeling hebben prijspeil 2014. Voor latere jaren moeten deze gecorrigeerd worden voor de relatieve wijziging van de CPI (alle huishoudens). </t>
  </si>
  <si>
    <t>Waarden in € (prijspeil 2014) incl. BTW</t>
  </si>
  <si>
    <t>Bron: www.belastingdienst.nl. Heffingsrente wordt sinds 1 januari 2013 belastingrente genoemd. De belastingrente volgt de wettelijke rente voor niet-handelstransacties met een minimum van 4%. Deze is sinds 1 april 2014 ongewijzigd en staat op 4%.</t>
  </si>
  <si>
    <t>ZHG Gas 1 jaar</t>
  </si>
  <si>
    <t>Toelichting: de waarden uit de Warmteregeling hebben prijspeil 2014. Deze waarden zijn incl. BTW.</t>
  </si>
  <si>
    <t>CPI 2016</t>
  </si>
  <si>
    <t>Aardgas 1 jaar</t>
  </si>
  <si>
    <t>Opslag duurzame energie per m3 0-170.000 m3 2017 in € excl. BTW</t>
  </si>
  <si>
    <t>CPI 2017</t>
  </si>
  <si>
    <t>1 + CPI 2015-2017</t>
  </si>
  <si>
    <t>Waarden in € (prijspeil 2017) excl. BTW</t>
  </si>
  <si>
    <t>Reële vermogenskostenvoet 2017</t>
  </si>
  <si>
    <t>Vaste G1-tarieven gaslevering 2017 éénjaarscontracten van 3 grootste Nederlandse gasleveranciers in € excl. BTW</t>
  </si>
  <si>
    <t>VKg onderdeel a: gemiddelde van de vaste G1-tarieven voor gaslevering 2017 in € excl. BTW</t>
  </si>
  <si>
    <t>Transportonafhankelijke verbruikerstarieven (TOVT) in € excl. BTW en bijbehorende rekenvolumes (RV) voor G6 aansluitingen 2017</t>
  </si>
  <si>
    <t>TOVT 2017 (€)</t>
  </si>
  <si>
    <t>RV TOVT 2017</t>
  </si>
  <si>
    <t xml:space="preserve">VKg onderdeel b: gewogen gemiddelde TOVT voor G6 aansluiting 2017 in € excl. BTW </t>
  </si>
  <si>
    <t>Transportafhankelijke verbruikerstarieven (TAVT) in € excl. BTW en bijbehorende rekenvolumes (RV) voor G6 aansluitingen 2017</t>
  </si>
  <si>
    <t>TAVT 2017 (€)</t>
  </si>
  <si>
    <t>TAVT 2017 G6 aansluiting</t>
  </si>
  <si>
    <t>RV TAVT 2017</t>
  </si>
  <si>
    <t xml:space="preserve">VKg onderdeel c: gewogen gemiddelde TAVT voor G6 2017 aansluiting in € excl. BTW </t>
  </si>
  <si>
    <t>Periodieke aansluittarieven (PA) in € excl. BTW en bijbehorende rekenvolumes (RV) voor G6 aansluitingen 2017</t>
  </si>
  <si>
    <t>PA 2017 (€)</t>
  </si>
  <si>
    <t>RV PA 2017</t>
  </si>
  <si>
    <t>VKg onderdeel d: gewogen gemiddelde PA voor G6 aansluiting 2017 in € excl. BTW</t>
  </si>
  <si>
    <t xml:space="preserve">VKg onderdeel c: gewogen gemiddelde TAVT voor G6 aansluiting 2017 in € excl. BTW </t>
  </si>
  <si>
    <t>VKg: jaarlijkse vaste kosten van transport, de levering en de aansluiting 2017 in € excl. BTW</t>
  </si>
  <si>
    <t>Berekening kapitaalslasten van een cv-ketel 2017 in € excl. BTW</t>
  </si>
  <si>
    <t>Aanschafwaarde cv-ketel 2017 in € excl. BTW</t>
  </si>
  <si>
    <t>Jaarlijkse afschrijvingslasten 2017 in € excl. BTW</t>
  </si>
  <si>
    <t>Gemiddelde restwaarde cv-ketel 2017 in € excl. BTW</t>
  </si>
  <si>
    <t>Vermogensvergoeding 2017 in € excl. BTW</t>
  </si>
  <si>
    <t>GKg onderdeel a: kapitaalslasten cv-ketel 2017 in € excl. BTW</t>
  </si>
  <si>
    <t>Meettarief in € excl. BTW voor G6 aansluitingen 2017</t>
  </si>
  <si>
    <t>GKg onderdeel c: gewogen gemiddelde meettarieven voor G6 aansluiting 2017 in € excl. BTW</t>
  </si>
  <si>
    <t>GKg onderdeel a: kapitaalslasten cv-ketel  2017 in € excl. BTW</t>
  </si>
  <si>
    <t>GKg onderdeel b: jaarlijkse onderhoudskosten cv-ketel  2017 in € excl. BTW</t>
  </si>
  <si>
    <t>GKg: gebruikskosten bij gas 2017 in € excl. BTW</t>
  </si>
  <si>
    <t>Berekening kapitaalslasten van een warmtewisselaar 2017 in € excl. BTW</t>
  </si>
  <si>
    <t>Aanschafwaarde warmtewisselaar 2017 in € excl. BTW</t>
  </si>
  <si>
    <t>Gemiddelde restwaarde warmtewisselaar 2017 in € excl. BTW</t>
  </si>
  <si>
    <t>Reëele vermogenskostenvoet 2017</t>
  </si>
  <si>
    <t>GKw onderdeel a: kapitaalslasten warmtewisselaar 2017 in € excl. BTW</t>
  </si>
  <si>
    <t>GKw onderdeel b: jaarlijkse onderhoudskosten warmtewisselaar 2017 in € excl. BTW</t>
  </si>
  <si>
    <t>GKw onderdeel c: gewogen gemiddelde meettarieven voor G6 aansluiting 2017 in € excl. BTW</t>
  </si>
  <si>
    <t>GKw: gebruikskosten bij warmte 2017 in € excl. BTW</t>
  </si>
  <si>
    <t>Berekening van het verschil in gebruikskosten (ΔGK) 2017 in € excl. BTW</t>
  </si>
  <si>
    <t>Ke: Meerkosten van elektrisch koken 2017 in € excl. BTW</t>
  </si>
  <si>
    <t>ΔGK: verschil in gebruikskosten 2017 in € excl BTW</t>
  </si>
  <si>
    <t>Berekening van de vaste kosten (VKw) 2017 in € incl. BTW</t>
  </si>
  <si>
    <t>VKw: vaste kosten 2017 in € excl. BTW</t>
  </si>
  <si>
    <t>VKw: vaste kosten 2017 in € incl. BTW</t>
  </si>
  <si>
    <t>Gebruiksafhankelijke G1-tarieven met vaste prijs gaslevering 2017 éénjaarscontracten van 3 grootste Nederlandse gasleveranciers in € per m3 excl. BTW</t>
  </si>
  <si>
    <t>Berekening gemiddelde gebruiksafhankelijke G1-tarief (Pg) 2017 in € per m3 excl. BTW</t>
  </si>
  <si>
    <t>Energiebelasting per m3 0-5000 m3 2017 in € excl. BTW</t>
  </si>
  <si>
    <t>Pg: gemiddelde gebruiksafhankelijke G1-tarief 2017 in € per m3 excl. BTW</t>
  </si>
  <si>
    <t>Berekening van de variabele kosten van de maximumprijs (Pw) 2017 in € per gigajoule incl. BTW</t>
  </si>
  <si>
    <t>Pg: gemiddelde gebruiksafhankelijke G1-tarief 2017 in € excl. BTW</t>
  </si>
  <si>
    <t>Pw: variable kosten 2017 in € per gigajoule excl. BTW</t>
  </si>
  <si>
    <t>Pw: variable kosten 2017 in € per gigajoule incl. BTW</t>
  </si>
  <si>
    <t>Maximumprijs 2017 (Pmaxw)</t>
  </si>
  <si>
    <t>Maximumprijs 2017 (Pmaxw in € incl. BTW)</t>
  </si>
  <si>
    <t>Voorbeeldberekening warmtekosten 2017</t>
  </si>
  <si>
    <t>Totale kosten warmte in 2017 met ingevulde jaarverbruik in € incl. BTW.</t>
  </si>
  <si>
    <t>Eenmalige aansluitvergoeding t/m 25 meter (EAV) in € excl. BTW en bijbehorende rekenvolumes (RV) voor G6 aansluitingen 2017</t>
  </si>
  <si>
    <t>EAV 2017 (€)</t>
  </si>
  <si>
    <t>RV EAV 2017</t>
  </si>
  <si>
    <t>Gewogen gemiddelde EAV in € excl. BTW voor G6 aansluitingen 2017</t>
  </si>
  <si>
    <t>Gewogen gemiddelde EAV in € incl. BTW voor G6 aansluitingen 2017</t>
  </si>
  <si>
    <t>Meerlengtevergoeding per meter lengte &gt; 25 (MV) in € excl. BTW en bijbehorende rekenvolumes (RV) voor G6 aansluitingen 2017</t>
  </si>
  <si>
    <t>MV 2017 (€)</t>
  </si>
  <si>
    <t>RV MV 2017</t>
  </si>
  <si>
    <t>Gewogen gemiddelde MV in € excl. BTW voor G6 aansluitingen 2017</t>
  </si>
  <si>
    <t>Gewogen gemiddelde MV in € incl. BTW voor G6 aansluitingen 2017</t>
  </si>
  <si>
    <t>Toelichting: de reële vermogenskostenvoet wordt berekend met de formule: (1 + heffingsrente) / (1+CPI 2017) -1.</t>
  </si>
  <si>
    <t>De waarden worden hier berekend excl. BTW en uitgedrukt in prijspeil 2017. Aan het einde van de berekening wordt de BTW erbij opgeteld.</t>
  </si>
  <si>
    <t>Bron: Tarievenbesluiten gas 2017, www.acm.nl.</t>
  </si>
  <si>
    <t>Bron: Besluit meettarieven gas 2017: www.acm.nl.</t>
  </si>
  <si>
    <t xml:space="preserve">Toelichting: Voor het jaar 2017 past ACM geen weging toe op de meettarieven gas van de regionale netbeheerders. Dit komt omdat de meettarieven identiek zijn. </t>
  </si>
  <si>
    <t xml:space="preserve">Gemiddelde gebruiksafhankelijke G1-tarieven 2017 in € per m3 excl. energiebelasting en opslag duurzame energie, en excl. BTW </t>
  </si>
  <si>
    <t>Enduris B.V.</t>
  </si>
  <si>
    <t>Bron: www.belastingdienst.nl.</t>
  </si>
  <si>
    <t>Berekening van de gebruikskosten bij gas (GKg) 2017 in € excl. BTW</t>
  </si>
  <si>
    <t>Berekening van de gebruikskosten bij warmte (GKw) 2017 in € excl. BTW</t>
  </si>
  <si>
    <t>Berekening van de jaarlijkse vaste kosten van transport, de levering en de aansluiting 2017 in € excl. BTW (VKg)</t>
  </si>
  <si>
    <t>Toelichting: op basis van artikel 90 van de Wet belastingen op milieugrondslag bedraagt de energiebelasting het product van het tarief voor 2016 en de tabelcorrectiefactor. De tabelcorrectiefactor volgt uit de brief van staatssecretaris Wiebes aan de Tweede Kamer per 19 december 2016 (Betreft: 'Gegevens met betrekking tot de tabelcorrectiefactor en de indexatie van de arbeidskorting per 1 januari 2017').</t>
  </si>
  <si>
    <t>Dit Excel-bestand bevat het model waarmee de maximumprijs en de aansluitbijdrage door ACM zijn berekend volgens het besluit met kenmerk ACM/DE/2016/207915.</t>
  </si>
  <si>
    <t>Bron: Wijziging van de Wet opslag duurzame energie in verband met de vaststelling van tarieven voor 2017 (kenmerk 34.497), zoals aangenomen door de Eerste Kamer op 20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</si>
</sst>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00_-;_-&quot;€&quot;\ * #,##0.00\-;_-&quot;€&quot;\ * &quot;-&quot;??_-;_-@_-"/>
    <numFmt numFmtId="165" formatCode="_-* #,##0.00_-;_-* #,##0.00\-;_-* &quot;-&quot;??_-;_-@_-"/>
    <numFmt numFmtId="166" formatCode="0.000"/>
    <numFmt numFmtId="167" formatCode="_-* #,##0.0_-;_-* #,##0.0\-;_-* &quot;-&quot;??_-;_-@_-"/>
    <numFmt numFmtId="168" formatCode="0.00000"/>
    <numFmt numFmtId="169" formatCode="0.0000"/>
    <numFmt numFmtId="170" formatCode="0.0"/>
    <numFmt numFmtId="171" formatCode="0.0%"/>
    <numFmt numFmtId="172" formatCode="_-* #,##0_-;_-* #,##0\-;_-* &quot;-&quot;??_-;_-@_-"/>
  </numFmts>
  <fonts count="20" x14ac:knownFonts="1">
    <font>
      <sz val="10"/>
      <name val="Arial"/>
    </font>
    <font>
      <sz val="10"/>
      <name val="Arial"/>
      <family val="2"/>
    </font>
    <font>
      <sz val="10"/>
      <name val="Arial"/>
      <family val="2"/>
    </font>
    <font>
      <sz val="10"/>
      <color indexed="8"/>
      <name val="MS Sans Serif"/>
      <family val="2"/>
    </font>
    <font>
      <b/>
      <sz val="10"/>
      <name val="Arial"/>
      <family val="2"/>
    </font>
    <font>
      <sz val="10"/>
      <color indexed="8"/>
      <name val="Arial"/>
      <family val="2"/>
    </font>
    <font>
      <i/>
      <sz val="10"/>
      <name val="Arial"/>
      <family val="2"/>
    </font>
    <font>
      <sz val="10"/>
      <color indexed="10"/>
      <name val="Arial"/>
      <family val="2"/>
    </font>
    <font>
      <b/>
      <sz val="15"/>
      <color indexed="8"/>
      <name val="Arial"/>
      <family val="2"/>
    </font>
    <font>
      <b/>
      <sz val="10"/>
      <color indexed="8"/>
      <name val="Arial"/>
      <family val="2"/>
    </font>
    <font>
      <sz val="10"/>
      <name val="Arial"/>
      <family val="2"/>
    </font>
    <font>
      <b/>
      <sz val="12"/>
      <name val="Arial"/>
      <family val="2"/>
    </font>
    <font>
      <sz val="10"/>
      <color indexed="8"/>
      <name val="MS Sans Serif"/>
      <family val="2"/>
    </font>
    <font>
      <sz val="10"/>
      <color rgb="FFFF0000"/>
      <name val="Arial"/>
      <family val="2"/>
    </font>
    <font>
      <sz val="10"/>
      <color theme="1"/>
      <name val="Arial"/>
      <family val="2"/>
    </font>
    <font>
      <i/>
      <sz val="10"/>
      <color theme="1"/>
      <name val="Arial"/>
      <family val="2"/>
    </font>
    <font>
      <b/>
      <i/>
      <sz val="15"/>
      <color theme="1"/>
      <name val="Arial"/>
      <family val="2"/>
    </font>
    <font>
      <b/>
      <u/>
      <sz val="10"/>
      <name val="Arial"/>
      <family val="2"/>
    </font>
    <font>
      <sz val="10"/>
      <name val="Arial"/>
      <family val="2"/>
    </font>
    <font>
      <i/>
      <sz val="10"/>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rgb="FFFFCC9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0" fillId="0" borderId="0"/>
    <xf numFmtId="164"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2" fillId="0" borderId="0"/>
    <xf numFmtId="0" fontId="18" fillId="0" borderId="0"/>
  </cellStyleXfs>
  <cellXfs count="196">
    <xf numFmtId="0" fontId="0" fillId="0" borderId="0" xfId="0"/>
    <xf numFmtId="166" fontId="2" fillId="0" borderId="0" xfId="1" applyNumberFormat="1" applyFont="1" applyFill="1" applyBorder="1" applyAlignment="1">
      <alignment vertical="center"/>
    </xf>
    <xf numFmtId="166" fontId="2" fillId="0" borderId="0" xfId="1" applyNumberFormat="1" applyFont="1" applyFill="1" applyBorder="1" applyAlignment="1">
      <alignment horizontal="left" vertical="center" wrapText="1"/>
    </xf>
    <xf numFmtId="166" fontId="2" fillId="0" borderId="0" xfId="1" applyNumberFormat="1" applyFont="1" applyBorder="1"/>
    <xf numFmtId="2" fontId="2" fillId="0" borderId="0" xfId="1" applyNumberFormat="1" applyFont="1" applyFill="1" applyBorder="1"/>
    <xf numFmtId="0" fontId="6" fillId="0" borderId="0" xfId="1" applyFont="1" applyBorder="1"/>
    <xf numFmtId="0" fontId="2" fillId="0" borderId="0" xfId="1" applyFont="1" applyFill="1" applyBorder="1"/>
    <xf numFmtId="0" fontId="5" fillId="0" borderId="0" xfId="1" applyFont="1"/>
    <xf numFmtId="0" fontId="5" fillId="0" borderId="0" xfId="1" applyFont="1" applyBorder="1"/>
    <xf numFmtId="167" fontId="2" fillId="0" borderId="0" xfId="3" applyNumberFormat="1" applyFont="1" applyFill="1" applyBorder="1"/>
    <xf numFmtId="0" fontId="5" fillId="0" borderId="0" xfId="1" applyFont="1" applyFill="1" applyBorder="1"/>
    <xf numFmtId="2" fontId="5" fillId="0" borderId="0" xfId="1" applyNumberFormat="1" applyFont="1" applyFill="1" applyBorder="1"/>
    <xf numFmtId="0" fontId="5" fillId="0" borderId="0" xfId="1" applyFont="1" applyFill="1"/>
    <xf numFmtId="0" fontId="2" fillId="0" borderId="0" xfId="1" applyFont="1" applyFill="1"/>
    <xf numFmtId="0" fontId="5" fillId="0" borderId="1" xfId="1" applyFont="1" applyBorder="1"/>
    <xf numFmtId="0" fontId="5" fillId="0" borderId="2" xfId="1" applyFont="1" applyBorder="1"/>
    <xf numFmtId="169" fontId="5" fillId="0" borderId="0" xfId="1" applyNumberFormat="1" applyFont="1" applyFill="1" applyBorder="1"/>
    <xf numFmtId="0" fontId="7" fillId="0" borderId="0" xfId="1" applyFont="1" applyBorder="1"/>
    <xf numFmtId="2" fontId="7" fillId="0" borderId="0" xfId="1" applyNumberFormat="1" applyFont="1" applyFill="1"/>
    <xf numFmtId="1" fontId="5" fillId="0" borderId="0" xfId="1" applyNumberFormat="1" applyFont="1" applyFill="1" applyBorder="1"/>
    <xf numFmtId="166" fontId="2" fillId="0" borderId="0" xfId="1" applyNumberFormat="1" applyFont="1" applyBorder="1" applyAlignment="1">
      <alignment vertical="center"/>
    </xf>
    <xf numFmtId="0" fontId="5" fillId="0" borderId="0" xfId="1" applyFont="1" applyBorder="1" applyAlignment="1"/>
    <xf numFmtId="2" fontId="2" fillId="3" borderId="0" xfId="1" applyNumberFormat="1" applyFont="1" applyFill="1" applyBorder="1"/>
    <xf numFmtId="2" fontId="5" fillId="3" borderId="0" xfId="1" applyNumberFormat="1" applyFont="1" applyFill="1" applyBorder="1"/>
    <xf numFmtId="1" fontId="5" fillId="4" borderId="0" xfId="1" applyNumberFormat="1" applyFont="1" applyFill="1" applyBorder="1"/>
    <xf numFmtId="0" fontId="5" fillId="0" borderId="2" xfId="1" applyFont="1" applyBorder="1" applyAlignment="1"/>
    <xf numFmtId="2" fontId="5" fillId="3" borderId="1" xfId="1" applyNumberFormat="1" applyFont="1" applyFill="1" applyBorder="1"/>
    <xf numFmtId="0" fontId="5" fillId="0" borderId="1" xfId="1" applyFont="1" applyBorder="1" applyAlignment="1"/>
    <xf numFmtId="0" fontId="5" fillId="0" borderId="0" xfId="1" applyFont="1" applyBorder="1" applyAlignment="1">
      <alignment horizontal="left"/>
    </xf>
    <xf numFmtId="0" fontId="5" fillId="0" borderId="1" xfId="1" applyFont="1" applyBorder="1" applyAlignment="1">
      <alignment horizontal="left"/>
    </xf>
    <xf numFmtId="0" fontId="2" fillId="0" borderId="0" xfId="1" applyFont="1" applyBorder="1"/>
    <xf numFmtId="0" fontId="2" fillId="0" borderId="2" xfId="1" applyFont="1" applyBorder="1"/>
    <xf numFmtId="0" fontId="2" fillId="0" borderId="1" xfId="1" applyFont="1" applyBorder="1"/>
    <xf numFmtId="0" fontId="2" fillId="0" borderId="3" xfId="1" applyFont="1" applyBorder="1"/>
    <xf numFmtId="0" fontId="5" fillId="0" borderId="3" xfId="1" applyFont="1" applyBorder="1"/>
    <xf numFmtId="169" fontId="2" fillId="3" borderId="0" xfId="1" applyNumberFormat="1" applyFont="1" applyFill="1" applyBorder="1"/>
    <xf numFmtId="0" fontId="5" fillId="2" borderId="0" xfId="1" applyFont="1" applyFill="1" applyBorder="1"/>
    <xf numFmtId="0" fontId="9" fillId="0" borderId="1" xfId="1" applyFont="1" applyFill="1" applyBorder="1"/>
    <xf numFmtId="0" fontId="4" fillId="0" borderId="1" xfId="1" applyFont="1" applyBorder="1"/>
    <xf numFmtId="0" fontId="9" fillId="0" borderId="1" xfId="1" applyFont="1" applyBorder="1"/>
    <xf numFmtId="0" fontId="2" fillId="0" borderId="0" xfId="0" applyFont="1"/>
    <xf numFmtId="9" fontId="2" fillId="2" borderId="0" xfId="4" applyFont="1" applyFill="1" applyBorder="1"/>
    <xf numFmtId="2" fontId="2" fillId="2" borderId="0" xfId="3" applyNumberFormat="1" applyFont="1" applyFill="1" applyBorder="1"/>
    <xf numFmtId="0" fontId="5" fillId="5" borderId="0" xfId="1" applyFont="1" applyFill="1"/>
    <xf numFmtId="166" fontId="2" fillId="0" borderId="1" xfId="1" applyNumberFormat="1" applyFont="1" applyFill="1" applyBorder="1" applyAlignment="1">
      <alignment vertical="center"/>
    </xf>
    <xf numFmtId="167" fontId="4" fillId="0" borderId="1" xfId="3" applyNumberFormat="1" applyFont="1" applyFill="1" applyBorder="1"/>
    <xf numFmtId="170" fontId="5" fillId="4" borderId="0" xfId="1" applyNumberFormat="1" applyFont="1" applyFill="1" applyBorder="1"/>
    <xf numFmtId="0" fontId="2" fillId="0" borderId="2" xfId="0" applyFont="1" applyBorder="1"/>
    <xf numFmtId="0" fontId="2" fillId="0" borderId="0" xfId="0" applyFont="1" applyBorder="1"/>
    <xf numFmtId="0" fontId="2" fillId="0" borderId="1" xfId="0" applyFont="1" applyBorder="1"/>
    <xf numFmtId="0" fontId="13" fillId="0" borderId="0" xfId="0" applyFont="1" applyBorder="1"/>
    <xf numFmtId="166" fontId="4" fillId="0" borderId="0" xfId="1" applyNumberFormat="1" applyFont="1" applyBorder="1"/>
    <xf numFmtId="0" fontId="5" fillId="0" borderId="1" xfId="1" applyFont="1" applyFill="1" applyBorder="1"/>
    <xf numFmtId="0" fontId="2" fillId="0" borderId="3" xfId="0" applyFont="1" applyBorder="1"/>
    <xf numFmtId="0" fontId="5" fillId="2" borderId="1" xfId="1" applyFont="1" applyFill="1" applyBorder="1"/>
    <xf numFmtId="2" fontId="2" fillId="7" borderId="0" xfId="1" applyNumberFormat="1" applyFont="1" applyFill="1" applyBorder="1"/>
    <xf numFmtId="10" fontId="2" fillId="7" borderId="1" xfId="4" applyNumberFormat="1" applyFont="1" applyFill="1" applyBorder="1"/>
    <xf numFmtId="2" fontId="2" fillId="2" borderId="1" xfId="3" applyNumberFormat="1" applyFont="1" applyFill="1" applyBorder="1"/>
    <xf numFmtId="0" fontId="11" fillId="0" borderId="0" xfId="0" applyFont="1"/>
    <xf numFmtId="0" fontId="9" fillId="0" borderId="1" xfId="1" applyFont="1" applyBorder="1" applyAlignment="1">
      <alignment wrapText="1"/>
    </xf>
    <xf numFmtId="0" fontId="9" fillId="0" borderId="3" xfId="1" applyFont="1" applyBorder="1" applyAlignment="1">
      <alignment wrapText="1"/>
    </xf>
    <xf numFmtId="1" fontId="4" fillId="0" borderId="3" xfId="1" applyNumberFormat="1" applyFont="1" applyFill="1" applyBorder="1"/>
    <xf numFmtId="3" fontId="2" fillId="2" borderId="0" xfId="1" applyNumberFormat="1" applyFont="1" applyFill="1" applyBorder="1"/>
    <xf numFmtId="3" fontId="2" fillId="2" borderId="1" xfId="1" applyNumberFormat="1" applyFont="1" applyFill="1" applyBorder="1"/>
    <xf numFmtId="2" fontId="2" fillId="7" borderId="0" xfId="1" applyNumberFormat="1" applyFont="1" applyFill="1" applyBorder="1" applyAlignment="1">
      <alignment vertical="center"/>
    </xf>
    <xf numFmtId="2" fontId="5" fillId="8" borderId="1" xfId="1" applyNumberFormat="1" applyFont="1" applyFill="1" applyBorder="1"/>
    <xf numFmtId="0" fontId="4" fillId="0" borderId="1" xfId="0" applyFont="1" applyBorder="1"/>
    <xf numFmtId="0" fontId="5" fillId="0" borderId="2" xfId="1" applyFont="1" applyBorder="1" applyAlignment="1">
      <alignment wrapText="1"/>
    </xf>
    <xf numFmtId="2" fontId="5" fillId="8" borderId="0" xfId="1" applyNumberFormat="1" applyFont="1" applyFill="1" applyBorder="1"/>
    <xf numFmtId="169" fontId="2" fillId="7" borderId="0" xfId="1" applyNumberFormat="1" applyFont="1" applyFill="1" applyBorder="1"/>
    <xf numFmtId="169" fontId="2" fillId="8" borderId="0" xfId="1" applyNumberFormat="1" applyFont="1" applyFill="1" applyBorder="1"/>
    <xf numFmtId="169" fontId="2" fillId="8" borderId="1" xfId="1" applyNumberFormat="1" applyFont="1" applyFill="1" applyBorder="1"/>
    <xf numFmtId="2" fontId="2" fillId="4" borderId="2" xfId="3" applyNumberFormat="1" applyFont="1" applyFill="1" applyBorder="1"/>
    <xf numFmtId="2" fontId="2" fillId="4" borderId="0" xfId="3" applyNumberFormat="1" applyFont="1" applyFill="1" applyBorder="1"/>
    <xf numFmtId="2" fontId="2" fillId="4" borderId="1" xfId="3" applyNumberFormat="1" applyFont="1" applyFill="1" applyBorder="1"/>
    <xf numFmtId="166" fontId="5" fillId="7" borderId="2" xfId="1" applyNumberFormat="1" applyFont="1" applyFill="1" applyBorder="1"/>
    <xf numFmtId="166" fontId="2" fillId="7" borderId="0" xfId="4" applyNumberFormat="1" applyFont="1" applyFill="1" applyBorder="1"/>
    <xf numFmtId="0" fontId="4" fillId="0" borderId="0" xfId="1" applyFont="1" applyBorder="1" applyAlignment="1">
      <alignment wrapText="1"/>
    </xf>
    <xf numFmtId="0" fontId="5" fillId="9" borderId="0" xfId="1" applyFont="1" applyFill="1"/>
    <xf numFmtId="0" fontId="2" fillId="9" borderId="0" xfId="0" applyFont="1" applyFill="1"/>
    <xf numFmtId="0" fontId="13" fillId="9" borderId="0" xfId="0" applyFont="1" applyFill="1"/>
    <xf numFmtId="0" fontId="4" fillId="9" borderId="0" xfId="1" applyFont="1" applyFill="1"/>
    <xf numFmtId="0" fontId="7" fillId="9" borderId="0" xfId="1" applyFont="1" applyFill="1" applyBorder="1"/>
    <xf numFmtId="0" fontId="2" fillId="9" borderId="0" xfId="1" applyFont="1" applyFill="1" applyBorder="1"/>
    <xf numFmtId="0" fontId="13" fillId="9" borderId="0" xfId="0" applyFont="1" applyFill="1" applyBorder="1"/>
    <xf numFmtId="0" fontId="2" fillId="9" borderId="0" xfId="0" applyFont="1" applyFill="1" applyBorder="1"/>
    <xf numFmtId="0" fontId="2" fillId="9" borderId="0" xfId="1" applyFont="1" applyFill="1"/>
    <xf numFmtId="2" fontId="2" fillId="9" borderId="0" xfId="1" applyNumberFormat="1" applyFont="1" applyFill="1" applyBorder="1"/>
    <xf numFmtId="0" fontId="5" fillId="9" borderId="0" xfId="1" applyFont="1" applyFill="1" applyBorder="1"/>
    <xf numFmtId="2" fontId="5" fillId="9" borderId="0" xfId="1" applyNumberFormat="1" applyFont="1" applyFill="1" applyBorder="1"/>
    <xf numFmtId="2" fontId="5" fillId="9" borderId="0" xfId="1" applyNumberFormat="1" applyFont="1" applyFill="1"/>
    <xf numFmtId="2" fontId="7" fillId="9" borderId="0" xfId="1" applyNumberFormat="1" applyFont="1" applyFill="1" applyBorder="1"/>
    <xf numFmtId="0" fontId="5" fillId="10" borderId="3" xfId="1" applyFont="1" applyFill="1" applyBorder="1"/>
    <xf numFmtId="0" fontId="8" fillId="10" borderId="3" xfId="1" applyFont="1" applyFill="1" applyBorder="1"/>
    <xf numFmtId="0" fontId="14" fillId="0" borderId="0" xfId="1" applyFont="1" applyBorder="1"/>
    <xf numFmtId="0" fontId="15" fillId="0" borderId="0" xfId="0" applyFont="1"/>
    <xf numFmtId="0" fontId="15" fillId="0" borderId="0" xfId="1" applyFont="1" applyBorder="1"/>
    <xf numFmtId="0" fontId="6" fillId="0" borderId="0" xfId="0" applyFont="1"/>
    <xf numFmtId="0" fontId="15" fillId="0" borderId="0" xfId="0" applyFont="1" applyBorder="1"/>
    <xf numFmtId="0" fontId="15" fillId="0" borderId="0" xfId="1" applyFont="1" applyFill="1"/>
    <xf numFmtId="0" fontId="16" fillId="10" borderId="3" xfId="1" applyFont="1" applyFill="1" applyBorder="1"/>
    <xf numFmtId="0" fontId="15" fillId="0" borderId="0" xfId="1" applyFont="1"/>
    <xf numFmtId="167" fontId="2" fillId="0" borderId="1" xfId="3" applyNumberFormat="1" applyFont="1" applyFill="1" applyBorder="1"/>
    <xf numFmtId="169" fontId="5" fillId="0" borderId="1" xfId="1" applyNumberFormat="1" applyFont="1" applyFill="1" applyBorder="1"/>
    <xf numFmtId="2" fontId="2" fillId="8" borderId="0" xfId="1" applyNumberFormat="1" applyFont="1" applyFill="1" applyBorder="1" applyAlignment="1">
      <alignment vertical="center"/>
    </xf>
    <xf numFmtId="2" fontId="2" fillId="8" borderId="1" xfId="1" applyNumberFormat="1" applyFont="1" applyFill="1" applyBorder="1" applyAlignment="1">
      <alignment vertical="center"/>
    </xf>
    <xf numFmtId="2" fontId="5" fillId="11" borderId="0" xfId="1" applyNumberFormat="1" applyFont="1" applyFill="1" applyBorder="1"/>
    <xf numFmtId="2" fontId="5" fillId="7" borderId="0" xfId="1" applyNumberFormat="1" applyFont="1" applyFill="1" applyBorder="1"/>
    <xf numFmtId="2" fontId="2" fillId="11" borderId="0" xfId="1" applyNumberFormat="1" applyFont="1" applyFill="1" applyBorder="1"/>
    <xf numFmtId="2" fontId="2" fillId="11" borderId="2" xfId="1" applyNumberFormat="1" applyFont="1" applyFill="1" applyBorder="1"/>
    <xf numFmtId="2" fontId="2" fillId="11" borderId="0" xfId="0" applyNumberFormat="1" applyFont="1" applyFill="1"/>
    <xf numFmtId="171" fontId="2" fillId="2" borderId="1" xfId="4" applyNumberFormat="1" applyFont="1" applyFill="1" applyBorder="1"/>
    <xf numFmtId="2" fontId="2" fillId="11" borderId="0" xfId="0" applyNumberFormat="1" applyFont="1" applyFill="1" applyBorder="1"/>
    <xf numFmtId="0" fontId="6" fillId="0" borderId="4" xfId="0" applyFont="1" applyBorder="1"/>
    <xf numFmtId="0" fontId="6" fillId="0" borderId="6" xfId="0" applyFont="1" applyBorder="1"/>
    <xf numFmtId="0" fontId="0" fillId="9" borderId="0" xfId="0" applyFill="1"/>
    <xf numFmtId="0" fontId="5" fillId="5" borderId="0" xfId="5" applyFont="1" applyFill="1"/>
    <xf numFmtId="0" fontId="5" fillId="5" borderId="0" xfId="5" applyFont="1" applyFill="1" applyBorder="1"/>
    <xf numFmtId="0" fontId="2" fillId="5" borderId="0" xfId="5" applyFont="1" applyFill="1" applyBorder="1"/>
    <xf numFmtId="0" fontId="2" fillId="2" borderId="7" xfId="5" applyFont="1" applyFill="1" applyBorder="1"/>
    <xf numFmtId="0" fontId="2" fillId="3" borderId="7" xfId="5" applyFont="1" applyFill="1" applyBorder="1"/>
    <xf numFmtId="0" fontId="2" fillId="6" borderId="7" xfId="5" applyFont="1" applyFill="1" applyBorder="1"/>
    <xf numFmtId="2" fontId="2" fillId="12" borderId="0" xfId="0" applyNumberFormat="1" applyFont="1" applyFill="1"/>
    <xf numFmtId="0" fontId="9" fillId="0" borderId="1" xfId="1" applyFont="1" applyFill="1" applyBorder="1" applyAlignment="1">
      <alignment horizontal="center" wrapText="1"/>
    </xf>
    <xf numFmtId="0" fontId="4" fillId="0" borderId="3" xfId="1" applyFont="1" applyBorder="1" applyAlignment="1">
      <alignment wrapText="1"/>
    </xf>
    <xf numFmtId="0" fontId="4" fillId="0" borderId="3" xfId="1" applyFont="1" applyBorder="1"/>
    <xf numFmtId="169" fontId="2" fillId="8" borderId="2" xfId="1" applyNumberFormat="1" applyFont="1" applyFill="1" applyBorder="1"/>
    <xf numFmtId="0" fontId="2" fillId="4" borderId="7" xfId="5" applyFont="1" applyFill="1" applyBorder="1"/>
    <xf numFmtId="0" fontId="4" fillId="9" borderId="3" xfId="1" applyFont="1" applyFill="1" applyBorder="1"/>
    <xf numFmtId="0" fontId="2" fillId="0" borderId="1" xfId="1" applyFont="1" applyFill="1" applyBorder="1"/>
    <xf numFmtId="2" fontId="2" fillId="7" borderId="1" xfId="1" applyNumberFormat="1" applyFont="1" applyFill="1" applyBorder="1" applyAlignment="1">
      <alignment vertical="center"/>
    </xf>
    <xf numFmtId="166" fontId="4" fillId="0" borderId="0" xfId="1" applyNumberFormat="1" applyFont="1" applyFill="1" applyBorder="1" applyAlignment="1">
      <alignment vertical="center"/>
    </xf>
    <xf numFmtId="166" fontId="4" fillId="0" borderId="0" xfId="1" applyNumberFormat="1" applyFont="1" applyFill="1" applyBorder="1" applyAlignment="1">
      <alignment vertical="center" wrapText="1"/>
    </xf>
    <xf numFmtId="2" fontId="4" fillId="11" borderId="0" xfId="0" applyNumberFormat="1" applyFont="1" applyFill="1" applyBorder="1"/>
    <xf numFmtId="0" fontId="8" fillId="10" borderId="3" xfId="1" applyFont="1" applyFill="1" applyBorder="1" applyAlignment="1">
      <alignment wrapText="1"/>
    </xf>
    <xf numFmtId="9" fontId="2" fillId="8" borderId="0" xfId="4" applyFont="1" applyFill="1" applyBorder="1" applyAlignment="1">
      <alignment vertical="center"/>
    </xf>
    <xf numFmtId="169" fontId="2" fillId="7" borderId="0" xfId="1" applyNumberFormat="1" applyFont="1" applyFill="1" applyBorder="1" applyAlignment="1">
      <alignment vertical="center"/>
    </xf>
    <xf numFmtId="2" fontId="2" fillId="11" borderId="3" xfId="0" applyNumberFormat="1" applyFont="1" applyFill="1" applyBorder="1" applyAlignment="1">
      <alignment horizontal="right"/>
    </xf>
    <xf numFmtId="2" fontId="2" fillId="11" borderId="3" xfId="0" applyNumberFormat="1" applyFont="1" applyFill="1" applyBorder="1" applyAlignment="1"/>
    <xf numFmtId="4" fontId="2" fillId="7" borderId="2" xfId="1" applyNumberFormat="1" applyFont="1" applyFill="1" applyBorder="1"/>
    <xf numFmtId="4" fontId="2" fillId="2" borderId="2" xfId="1" applyNumberFormat="1" applyFont="1" applyFill="1" applyBorder="1"/>
    <xf numFmtId="4" fontId="2" fillId="7" borderId="0" xfId="1" applyNumberFormat="1" applyFont="1" applyFill="1" applyBorder="1"/>
    <xf numFmtId="4" fontId="2" fillId="2" borderId="0" xfId="1" applyNumberFormat="1" applyFont="1" applyFill="1" applyBorder="1"/>
    <xf numFmtId="4" fontId="5" fillId="2" borderId="0" xfId="1" applyNumberFormat="1" applyFont="1" applyFill="1" applyBorder="1"/>
    <xf numFmtId="4" fontId="2" fillId="7" borderId="1" xfId="1" applyNumberFormat="1" applyFont="1" applyFill="1" applyBorder="1"/>
    <xf numFmtId="4" fontId="2" fillId="2" borderId="1" xfId="1" applyNumberFormat="1" applyFont="1" applyFill="1" applyBorder="1"/>
    <xf numFmtId="4" fontId="5" fillId="8" borderId="2" xfId="1" applyNumberFormat="1" applyFont="1" applyFill="1" applyBorder="1"/>
    <xf numFmtId="4" fontId="5" fillId="3" borderId="1" xfId="1" applyNumberFormat="1" applyFont="1" applyFill="1" applyBorder="1"/>
    <xf numFmtId="4" fontId="2" fillId="7" borderId="0" xfId="0" applyNumberFormat="1" applyFont="1" applyFill="1"/>
    <xf numFmtId="0" fontId="1" fillId="0" borderId="0" xfId="0" applyFont="1"/>
    <xf numFmtId="0" fontId="5" fillId="0" borderId="2" xfId="1" applyFont="1" applyFill="1" applyBorder="1"/>
    <xf numFmtId="171" fontId="2" fillId="2" borderId="2" xfId="4" applyNumberFormat="1" applyFont="1" applyFill="1" applyBorder="1"/>
    <xf numFmtId="170" fontId="2" fillId="0" borderId="0" xfId="1" applyNumberFormat="1" applyFont="1" applyBorder="1"/>
    <xf numFmtId="0" fontId="1" fillId="9" borderId="0" xfId="0" applyFont="1" applyFill="1"/>
    <xf numFmtId="0" fontId="5" fillId="9" borderId="0" xfId="5" applyFont="1" applyFill="1"/>
    <xf numFmtId="0" fontId="5" fillId="9" borderId="0" xfId="5" applyFont="1" applyFill="1" applyBorder="1"/>
    <xf numFmtId="0" fontId="4" fillId="9" borderId="0" xfId="0" applyFont="1" applyFill="1" applyAlignment="1">
      <alignment horizontal="right"/>
    </xf>
    <xf numFmtId="0" fontId="1" fillId="9" borderId="0" xfId="0" applyFont="1" applyFill="1" applyAlignment="1">
      <alignment horizontal="right"/>
    </xf>
    <xf numFmtId="4" fontId="2" fillId="9" borderId="0" xfId="0" applyNumberFormat="1" applyFont="1" applyFill="1"/>
    <xf numFmtId="171" fontId="2" fillId="9" borderId="0" xfId="4" applyNumberFormat="1" applyFont="1" applyFill="1" applyAlignment="1">
      <alignment horizontal="right"/>
    </xf>
    <xf numFmtId="0" fontId="4" fillId="9" borderId="0" xfId="0" applyFont="1" applyFill="1"/>
    <xf numFmtId="171" fontId="2" fillId="9" borderId="0" xfId="4" applyNumberFormat="1" applyFont="1" applyFill="1"/>
    <xf numFmtId="0" fontId="19" fillId="0" borderId="0" xfId="1" applyFont="1" applyBorder="1"/>
    <xf numFmtId="171" fontId="2" fillId="2" borderId="0" xfId="4" applyNumberFormat="1" applyFont="1" applyFill="1" applyBorder="1"/>
    <xf numFmtId="2" fontId="5" fillId="3" borderId="2" xfId="1" applyNumberFormat="1" applyFont="1" applyFill="1" applyBorder="1"/>
    <xf numFmtId="0" fontId="1" fillId="0" borderId="0" xfId="1" applyFont="1" applyBorder="1"/>
    <xf numFmtId="166" fontId="1" fillId="0" borderId="0" xfId="1" applyNumberFormat="1" applyFont="1" applyFill="1" applyBorder="1" applyAlignment="1">
      <alignment vertical="center"/>
    </xf>
    <xf numFmtId="0" fontId="6" fillId="0" borderId="5" xfId="1" applyFont="1" applyBorder="1"/>
    <xf numFmtId="0" fontId="6" fillId="0" borderId="6" xfId="1" applyFont="1" applyBorder="1"/>
    <xf numFmtId="0" fontId="6" fillId="0" borderId="4" xfId="1" applyFont="1" applyBorder="1"/>
    <xf numFmtId="172" fontId="2" fillId="2" borderId="0" xfId="3" applyNumberFormat="1" applyFont="1" applyFill="1" applyBorder="1"/>
    <xf numFmtId="172" fontId="2" fillId="2" borderId="1" xfId="3" applyNumberFormat="1" applyFont="1" applyFill="1" applyBorder="1"/>
    <xf numFmtId="165" fontId="2" fillId="7" borderId="0" xfId="3" applyFont="1" applyFill="1"/>
    <xf numFmtId="165" fontId="2" fillId="7" borderId="1" xfId="3" applyFont="1" applyFill="1" applyBorder="1"/>
    <xf numFmtId="172" fontId="2" fillId="2" borderId="2" xfId="3" applyNumberFormat="1" applyFont="1" applyFill="1" applyBorder="1"/>
    <xf numFmtId="172" fontId="2" fillId="0" borderId="0" xfId="1" applyNumberFormat="1" applyFont="1" applyBorder="1"/>
    <xf numFmtId="168" fontId="1" fillId="2" borderId="1" xfId="1" applyNumberFormat="1" applyFont="1" applyFill="1" applyBorder="1"/>
    <xf numFmtId="169" fontId="1" fillId="2" borderId="0" xfId="1" applyNumberFormat="1" applyFont="1" applyFill="1" applyBorder="1"/>
    <xf numFmtId="169" fontId="1" fillId="2" borderId="1" xfId="1" applyNumberFormat="1" applyFont="1" applyFill="1" applyBorder="1"/>
    <xf numFmtId="165" fontId="1" fillId="2" borderId="0" xfId="3" applyFont="1" applyFill="1" applyBorder="1"/>
    <xf numFmtId="165" fontId="1" fillId="2" borderId="1" xfId="3" applyFont="1" applyFill="1" applyBorder="1"/>
    <xf numFmtId="2" fontId="1" fillId="2" borderId="0" xfId="1" applyNumberFormat="1" applyFont="1" applyFill="1" applyBorder="1"/>
    <xf numFmtId="2" fontId="1" fillId="2" borderId="1" xfId="1" applyNumberFormat="1" applyFont="1" applyFill="1" applyBorder="1"/>
    <xf numFmtId="0" fontId="6" fillId="0" borderId="7" xfId="1" applyFont="1" applyBorder="1" applyAlignment="1">
      <alignment wrapText="1"/>
    </xf>
    <xf numFmtId="0" fontId="13" fillId="0" borderId="0" xfId="0" applyFont="1"/>
    <xf numFmtId="10" fontId="1" fillId="2" borderId="2" xfId="4" applyNumberFormat="1" applyFont="1" applyFill="1" applyBorder="1"/>
    <xf numFmtId="0" fontId="13" fillId="0" borderId="0" xfId="1" applyFont="1" applyFill="1" applyBorder="1"/>
    <xf numFmtId="0" fontId="1" fillId="0" borderId="0" xfId="1" applyFont="1" applyBorder="1" applyAlignment="1">
      <alignment wrapText="1"/>
    </xf>
    <xf numFmtId="166" fontId="1" fillId="0" borderId="0" xfId="1" applyNumberFormat="1" applyFont="1" applyBorder="1"/>
    <xf numFmtId="10" fontId="5" fillId="8" borderId="0" xfId="4" applyNumberFormat="1" applyFont="1" applyFill="1" applyBorder="1"/>
    <xf numFmtId="168" fontId="2" fillId="0" borderId="0" xfId="0" applyNumberFormat="1" applyFont="1"/>
    <xf numFmtId="2" fontId="1" fillId="2" borderId="0" xfId="3" applyNumberFormat="1" applyFont="1" applyFill="1" applyBorder="1"/>
    <xf numFmtId="169" fontId="1" fillId="12" borderId="0" xfId="1" applyNumberFormat="1" applyFont="1" applyFill="1" applyBorder="1"/>
    <xf numFmtId="168" fontId="1" fillId="2" borderId="0" xfId="1" applyNumberFormat="1" applyFont="1" applyFill="1" applyBorder="1"/>
    <xf numFmtId="0" fontId="6" fillId="0" borderId="0" xfId="0" applyFont="1" applyAlignment="1">
      <alignment wrapText="1"/>
    </xf>
    <xf numFmtId="0" fontId="1" fillId="5" borderId="0" xfId="5" applyFont="1" applyFill="1" applyBorder="1" applyAlignment="1">
      <alignment wrapText="1"/>
    </xf>
  </cellXfs>
  <cellStyles count="7">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3" xfId="6"/>
    <cellStyle name="Euro" xfId="2"/>
    <cellStyle name="Komma" xfId="3" builtinId="3"/>
    <cellStyle name="Procent" xfId="4" builtinId="5"/>
    <cellStyle name="Standaard" xfId="0" builtinId="0"/>
    <cellStyle name="Standaard_20100727 Rekenmodel NE5R v1.9" xf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tabSelected="1" zoomScale="85" zoomScaleNormal="85" workbookViewId="0"/>
  </sheetViews>
  <sheetFormatPr defaultRowHeight="12.75" x14ac:dyDescent="0.2"/>
  <cols>
    <col min="1" max="1" width="3.7109375" style="115" customWidth="1"/>
    <col min="2" max="2" width="131.140625" style="115" customWidth="1"/>
    <col min="3" max="3" width="9.140625" style="115"/>
    <col min="4" max="4" width="23.28515625" style="115" bestFit="1" customWidth="1"/>
    <col min="5" max="6" width="9.140625" style="115"/>
    <col min="7" max="7" width="10.7109375" style="115" customWidth="1"/>
    <col min="8" max="8" width="11.5703125" style="115" customWidth="1"/>
    <col min="9" max="16384" width="9.140625" style="115"/>
  </cols>
  <sheetData>
    <row r="1" spans="1:20" x14ac:dyDescent="0.2">
      <c r="A1" s="116"/>
      <c r="B1" s="116"/>
    </row>
    <row r="2" spans="1:20" ht="19.5" x14ac:dyDescent="0.3">
      <c r="A2" s="93"/>
      <c r="B2" s="93" t="s">
        <v>42</v>
      </c>
      <c r="C2" s="93"/>
      <c r="D2" s="93"/>
      <c r="E2" s="93"/>
      <c r="F2" s="93"/>
      <c r="G2" s="93"/>
      <c r="H2" s="93"/>
      <c r="I2" s="93"/>
      <c r="J2" s="93"/>
      <c r="K2" s="93"/>
      <c r="L2" s="93"/>
      <c r="M2" s="93"/>
      <c r="N2" s="93"/>
      <c r="O2" s="93"/>
      <c r="P2" s="93"/>
      <c r="Q2" s="93"/>
      <c r="R2" s="93"/>
      <c r="S2" s="93"/>
      <c r="T2" s="93"/>
    </row>
    <row r="3" spans="1:20" x14ac:dyDescent="0.2">
      <c r="A3" s="154"/>
      <c r="B3" s="116"/>
    </row>
    <row r="4" spans="1:20" ht="25.5" x14ac:dyDescent="0.2">
      <c r="A4" s="155"/>
      <c r="B4" s="195" t="s">
        <v>173</v>
      </c>
    </row>
    <row r="5" spans="1:20" x14ac:dyDescent="0.2">
      <c r="A5" s="117"/>
      <c r="B5" s="118"/>
    </row>
    <row r="6" spans="1:20" x14ac:dyDescent="0.2">
      <c r="A6" s="117"/>
      <c r="B6" s="118" t="s">
        <v>46</v>
      </c>
    </row>
    <row r="7" spans="1:20" x14ac:dyDescent="0.2">
      <c r="A7" s="117"/>
      <c r="B7" s="118"/>
    </row>
    <row r="8" spans="1:20" x14ac:dyDescent="0.2">
      <c r="A8" s="116"/>
      <c r="B8" s="116"/>
    </row>
    <row r="9" spans="1:20" ht="19.5" x14ac:dyDescent="0.3">
      <c r="A9" s="93"/>
      <c r="B9" s="93" t="s">
        <v>43</v>
      </c>
      <c r="C9" s="93"/>
      <c r="D9" s="93"/>
      <c r="E9" s="93"/>
      <c r="F9" s="93"/>
      <c r="G9" s="93"/>
      <c r="H9" s="93"/>
      <c r="I9" s="93"/>
      <c r="J9" s="93"/>
      <c r="K9" s="93"/>
      <c r="L9" s="93"/>
      <c r="M9" s="93"/>
      <c r="N9" s="93"/>
      <c r="O9" s="93"/>
      <c r="P9" s="93"/>
      <c r="Q9" s="93"/>
      <c r="R9" s="93"/>
      <c r="S9" s="93"/>
      <c r="T9" s="93"/>
    </row>
    <row r="10" spans="1:20" x14ac:dyDescent="0.2">
      <c r="A10" s="116"/>
      <c r="B10" s="116"/>
    </row>
    <row r="11" spans="1:20" x14ac:dyDescent="0.2">
      <c r="A11" s="116"/>
      <c r="B11" s="119" t="s">
        <v>44</v>
      </c>
    </row>
    <row r="12" spans="1:20" x14ac:dyDescent="0.2">
      <c r="A12" s="116"/>
      <c r="B12" s="118"/>
    </row>
    <row r="13" spans="1:20" x14ac:dyDescent="0.2">
      <c r="A13" s="116"/>
      <c r="B13" s="127" t="s">
        <v>53</v>
      </c>
    </row>
    <row r="14" spans="1:20" x14ac:dyDescent="0.2">
      <c r="A14" s="116"/>
      <c r="B14" s="118"/>
    </row>
    <row r="15" spans="1:20" x14ac:dyDescent="0.2">
      <c r="A15" s="116"/>
      <c r="B15" s="120" t="s">
        <v>45</v>
      </c>
    </row>
    <row r="16" spans="1:20" x14ac:dyDescent="0.2">
      <c r="A16" s="116"/>
      <c r="B16" s="118"/>
    </row>
    <row r="17" spans="1:2" x14ac:dyDescent="0.2">
      <c r="A17" s="116"/>
      <c r="B17" s="121" t="s">
        <v>54</v>
      </c>
    </row>
    <row r="18" spans="1:2" x14ac:dyDescent="0.2">
      <c r="A18" s="116"/>
      <c r="B18" s="116"/>
    </row>
    <row r="20" spans="1:2" x14ac:dyDescent="0.2">
      <c r="B20" s="115" t="s">
        <v>48</v>
      </c>
    </row>
  </sheetData>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enableFormatConditionsCalculation="0">
    <pageSetUpPr fitToPage="1"/>
  </sheetPr>
  <dimension ref="A2:R212"/>
  <sheetViews>
    <sheetView showGridLines="0" zoomScale="85" zoomScaleNormal="85" workbookViewId="0"/>
  </sheetViews>
  <sheetFormatPr defaultRowHeight="12.75" outlineLevelRow="1" x14ac:dyDescent="0.2"/>
  <cols>
    <col min="1" max="1" width="3.7109375" style="13" customWidth="1"/>
    <col min="2" max="2" width="87.85546875" style="40" customWidth="1"/>
    <col min="3" max="3" width="21.42578125" style="40" customWidth="1"/>
    <col min="4" max="4" width="17.140625" style="40" customWidth="1"/>
    <col min="5" max="5" width="19" style="40" customWidth="1"/>
    <col min="6" max="6" width="20" style="40" customWidth="1"/>
    <col min="7" max="7" width="10.85546875" style="40" customWidth="1"/>
    <col min="8" max="8" width="171.140625" style="40" customWidth="1"/>
    <col min="9" max="9" width="16.28515625" style="79" bestFit="1" customWidth="1"/>
    <col min="10" max="12" width="9.5703125" style="79" bestFit="1" customWidth="1"/>
    <col min="13" max="13" width="3.140625" style="79" customWidth="1"/>
    <col min="14" max="14" width="9.5703125" style="79" bestFit="1" customWidth="1"/>
    <col min="15" max="15" width="3.7109375" style="83" customWidth="1"/>
    <col min="16" max="16" width="33" style="79" bestFit="1" customWidth="1"/>
    <col min="17" max="16384" width="9.140625" style="79"/>
  </cols>
  <sheetData>
    <row r="2" spans="1:15" s="78" customFormat="1" ht="19.5" x14ac:dyDescent="0.3">
      <c r="A2" s="92"/>
      <c r="B2" s="93" t="s">
        <v>31</v>
      </c>
      <c r="C2" s="92"/>
      <c r="D2" s="92"/>
      <c r="E2" s="92"/>
      <c r="F2" s="92"/>
      <c r="G2" s="92"/>
      <c r="H2" s="93" t="s">
        <v>38</v>
      </c>
    </row>
    <row r="3" spans="1:15" x14ac:dyDescent="0.2">
      <c r="E3" s="30"/>
      <c r="M3" s="80"/>
      <c r="N3" s="80"/>
      <c r="O3" s="79"/>
    </row>
    <row r="4" spans="1:15" x14ac:dyDescent="0.2">
      <c r="D4" s="190"/>
      <c r="E4" s="30"/>
      <c r="M4" s="80"/>
      <c r="N4" s="80"/>
      <c r="O4" s="79"/>
    </row>
    <row r="5" spans="1:15" ht="15.75" x14ac:dyDescent="0.25">
      <c r="B5" s="58" t="s">
        <v>15</v>
      </c>
      <c r="E5" s="152"/>
      <c r="H5" s="95"/>
      <c r="M5" s="80"/>
      <c r="N5" s="80"/>
      <c r="O5" s="79"/>
    </row>
    <row r="6" spans="1:15" x14ac:dyDescent="0.2">
      <c r="B6" s="49"/>
      <c r="C6" s="49"/>
      <c r="E6" s="30"/>
      <c r="H6" s="95"/>
      <c r="M6" s="80"/>
      <c r="N6" s="80"/>
      <c r="O6" s="79"/>
    </row>
    <row r="7" spans="1:15" x14ac:dyDescent="0.2">
      <c r="B7" s="8" t="s">
        <v>83</v>
      </c>
      <c r="C7" s="41">
        <v>0.21</v>
      </c>
      <c r="E7" s="30"/>
      <c r="H7" s="97" t="s">
        <v>168</v>
      </c>
      <c r="M7" s="80"/>
      <c r="O7" s="79"/>
    </row>
    <row r="8" spans="1:15" ht="25.5" customHeight="1" x14ac:dyDescent="0.2">
      <c r="B8" s="8" t="s">
        <v>141</v>
      </c>
      <c r="C8" s="193">
        <v>0.25244</v>
      </c>
      <c r="D8" s="184"/>
      <c r="E8" s="30"/>
      <c r="H8" s="194" t="s">
        <v>172</v>
      </c>
      <c r="M8" s="80"/>
      <c r="O8" s="79"/>
    </row>
    <row r="9" spans="1:15" x14ac:dyDescent="0.2">
      <c r="B9" s="14" t="s">
        <v>92</v>
      </c>
      <c r="C9" s="178">
        <v>1.5900000000000001E-2</v>
      </c>
      <c r="D9" s="184"/>
      <c r="E9" s="30"/>
      <c r="H9" s="97" t="s">
        <v>174</v>
      </c>
      <c r="M9" s="80"/>
      <c r="O9" s="79"/>
    </row>
    <row r="10" spans="1:15" x14ac:dyDescent="0.2">
      <c r="B10" s="8"/>
      <c r="C10" s="16"/>
      <c r="E10" s="30"/>
      <c r="H10" s="95"/>
      <c r="O10" s="79"/>
    </row>
    <row r="11" spans="1:15" x14ac:dyDescent="0.2">
      <c r="B11" s="14" t="s">
        <v>13</v>
      </c>
      <c r="C11" s="103"/>
      <c r="E11" s="30"/>
      <c r="H11" s="95"/>
      <c r="O11" s="79"/>
    </row>
    <row r="12" spans="1:15" x14ac:dyDescent="0.2">
      <c r="B12" s="150" t="s">
        <v>84</v>
      </c>
      <c r="C12" s="151">
        <v>0.01</v>
      </c>
      <c r="E12" s="30"/>
      <c r="H12" s="169" t="s">
        <v>85</v>
      </c>
      <c r="O12" s="79"/>
    </row>
    <row r="13" spans="1:15" x14ac:dyDescent="0.2">
      <c r="B13" s="10" t="s">
        <v>90</v>
      </c>
      <c r="C13" s="163">
        <v>8.0000000000000002E-3</v>
      </c>
      <c r="E13" s="30"/>
      <c r="H13" s="167" t="s">
        <v>50</v>
      </c>
      <c r="L13" s="81"/>
      <c r="M13" s="82"/>
      <c r="O13" s="79"/>
    </row>
    <row r="14" spans="1:15" x14ac:dyDescent="0.2">
      <c r="B14" s="52" t="s">
        <v>93</v>
      </c>
      <c r="C14" s="111">
        <v>2E-3</v>
      </c>
      <c r="E14" s="30"/>
      <c r="H14" s="167" t="s">
        <v>51</v>
      </c>
      <c r="L14" s="81"/>
      <c r="M14" s="82"/>
      <c r="O14" s="79"/>
    </row>
    <row r="15" spans="1:15" x14ac:dyDescent="0.2">
      <c r="B15" s="150" t="s">
        <v>94</v>
      </c>
      <c r="C15" s="164">
        <f>(1+C12)*(1+C13)*(1+C14)</f>
        <v>1.0201161600000002</v>
      </c>
      <c r="E15" s="30"/>
      <c r="H15" s="168" t="s">
        <v>52</v>
      </c>
      <c r="L15" s="81"/>
      <c r="M15" s="82"/>
      <c r="O15" s="79"/>
    </row>
    <row r="16" spans="1:15" x14ac:dyDescent="0.2">
      <c r="B16" s="10"/>
      <c r="C16" s="10"/>
      <c r="D16" s="10"/>
      <c r="E16" s="30"/>
      <c r="L16" s="81"/>
      <c r="M16" s="82"/>
      <c r="O16" s="79"/>
    </row>
    <row r="17" spans="1:15" x14ac:dyDescent="0.2">
      <c r="B17" s="10"/>
      <c r="C17" s="10"/>
      <c r="D17" s="10"/>
      <c r="E17" s="30"/>
      <c r="H17" s="79"/>
      <c r="L17" s="81"/>
      <c r="M17" s="82"/>
      <c r="O17" s="79"/>
    </row>
    <row r="18" spans="1:15" ht="15.75" x14ac:dyDescent="0.25">
      <c r="B18" s="58" t="s">
        <v>23</v>
      </c>
      <c r="C18" s="3"/>
      <c r="E18" s="30"/>
      <c r="F18" s="30"/>
      <c r="G18" s="30"/>
      <c r="H18" s="96"/>
      <c r="I18" s="83"/>
      <c r="M18" s="82"/>
      <c r="N18" s="82"/>
      <c r="O18" s="79"/>
    </row>
    <row r="19" spans="1:15" x14ac:dyDescent="0.2">
      <c r="B19" s="51"/>
      <c r="C19" s="3"/>
      <c r="E19" s="30"/>
      <c r="F19" s="30"/>
      <c r="G19" s="30"/>
      <c r="H19" s="96"/>
      <c r="I19" s="83"/>
      <c r="J19" s="83"/>
      <c r="K19" s="83"/>
      <c r="L19" s="83"/>
      <c r="M19" s="82"/>
      <c r="N19" s="82"/>
      <c r="O19" s="79"/>
    </row>
    <row r="20" spans="1:15" ht="38.25" x14ac:dyDescent="0.2">
      <c r="B20" s="14"/>
      <c r="C20" s="123" t="s">
        <v>95</v>
      </c>
      <c r="D20" s="123" t="s">
        <v>86</v>
      </c>
      <c r="E20" s="30"/>
      <c r="F20" s="30"/>
      <c r="G20" s="30"/>
      <c r="I20" s="83"/>
      <c r="J20" s="83"/>
      <c r="K20" s="83"/>
      <c r="L20" s="83"/>
      <c r="M20" s="83"/>
      <c r="N20" s="83"/>
      <c r="O20" s="79"/>
    </row>
    <row r="21" spans="1:15" x14ac:dyDescent="0.2">
      <c r="B21" s="30" t="s">
        <v>16</v>
      </c>
      <c r="C21" s="139">
        <f>(D21/(1+$C$7))*$C$15</f>
        <v>1925.9961715041327</v>
      </c>
      <c r="D21" s="140">
        <v>2284.5</v>
      </c>
      <c r="E21" s="30"/>
      <c r="F21" s="30"/>
      <c r="G21" s="30"/>
      <c r="H21" s="169" t="s">
        <v>89</v>
      </c>
      <c r="I21" s="83"/>
      <c r="J21" s="83"/>
      <c r="K21" s="83"/>
      <c r="L21" s="83"/>
      <c r="M21" s="82"/>
      <c r="N21" s="82"/>
      <c r="O21" s="79"/>
    </row>
    <row r="22" spans="1:15" x14ac:dyDescent="0.2">
      <c r="A22" s="6"/>
      <c r="B22" s="30" t="s">
        <v>17</v>
      </c>
      <c r="C22" s="141">
        <f>(D22/(1+$C$7))*$C$15</f>
        <v>117.18689771900829</v>
      </c>
      <c r="D22" s="142">
        <v>139</v>
      </c>
      <c r="E22" s="30"/>
      <c r="F22" s="30"/>
      <c r="G22" s="30"/>
      <c r="H22" s="168" t="s">
        <v>162</v>
      </c>
      <c r="I22" s="83"/>
      <c r="J22" s="83"/>
      <c r="K22" s="83"/>
      <c r="L22" s="83"/>
      <c r="M22" s="82"/>
      <c r="N22" s="82"/>
      <c r="O22" s="79"/>
    </row>
    <row r="23" spans="1:15" x14ac:dyDescent="0.2">
      <c r="A23" s="6"/>
      <c r="B23" s="8" t="s">
        <v>18</v>
      </c>
      <c r="C23" s="141">
        <f>(D23/(1+$C$7))*$C$15</f>
        <v>1622.912072727273</v>
      </c>
      <c r="D23" s="143">
        <v>1925</v>
      </c>
      <c r="E23" s="30"/>
      <c r="F23" s="30"/>
      <c r="G23" s="30"/>
      <c r="H23" s="96"/>
      <c r="I23" s="83"/>
      <c r="J23" s="83"/>
      <c r="K23" s="83"/>
      <c r="L23" s="83"/>
      <c r="M23" s="82"/>
      <c r="N23" s="82"/>
      <c r="O23" s="79"/>
    </row>
    <row r="24" spans="1:15" x14ac:dyDescent="0.2">
      <c r="A24" s="6"/>
      <c r="B24" s="8" t="s">
        <v>25</v>
      </c>
      <c r="C24" s="141">
        <f>(D24/(1+$C$7))*$C$15</f>
        <v>37.744297920000015</v>
      </c>
      <c r="D24" s="143">
        <v>44.77</v>
      </c>
      <c r="E24" s="30"/>
      <c r="F24" s="30"/>
      <c r="G24" s="30"/>
      <c r="H24" s="96"/>
      <c r="I24" s="83"/>
      <c r="J24" s="83"/>
      <c r="K24" s="83"/>
      <c r="L24" s="83"/>
      <c r="M24" s="82"/>
      <c r="N24" s="82"/>
      <c r="O24" s="79"/>
    </row>
    <row r="25" spans="1:15" x14ac:dyDescent="0.2">
      <c r="A25" s="6"/>
      <c r="B25" s="14" t="s">
        <v>26</v>
      </c>
      <c r="C25" s="144">
        <f>(D25/(1+$C$7))*$C$15</f>
        <v>17.434712552727273</v>
      </c>
      <c r="D25" s="145">
        <v>20.68</v>
      </c>
      <c r="E25" s="30"/>
      <c r="F25" s="30"/>
      <c r="G25" s="30"/>
      <c r="H25" s="96"/>
      <c r="I25" s="83"/>
      <c r="J25" s="83"/>
      <c r="K25" s="83"/>
      <c r="L25" s="83"/>
      <c r="M25" s="82"/>
      <c r="N25" s="82"/>
      <c r="O25" s="79"/>
    </row>
    <row r="26" spans="1:15" x14ac:dyDescent="0.2">
      <c r="A26" s="6"/>
      <c r="B26" s="33"/>
      <c r="C26" s="33"/>
      <c r="D26" s="47"/>
      <c r="E26" s="30"/>
      <c r="F26" s="30"/>
      <c r="G26" s="30"/>
      <c r="H26" s="96"/>
      <c r="I26" s="83"/>
      <c r="J26" s="83"/>
      <c r="K26" s="83"/>
      <c r="L26" s="83"/>
      <c r="M26" s="83"/>
      <c r="N26" s="83"/>
      <c r="O26" s="79"/>
    </row>
    <row r="27" spans="1:15" x14ac:dyDescent="0.2">
      <c r="A27" s="6"/>
      <c r="B27" s="8" t="s">
        <v>19</v>
      </c>
      <c r="C27" s="36">
        <v>15</v>
      </c>
      <c r="D27" s="48"/>
      <c r="E27" s="30"/>
      <c r="F27" s="48"/>
      <c r="G27" s="50"/>
      <c r="H27" s="98"/>
      <c r="I27" s="84"/>
      <c r="J27" s="84"/>
      <c r="K27" s="84"/>
      <c r="L27" s="84"/>
      <c r="M27" s="82"/>
      <c r="N27" s="82"/>
      <c r="O27" s="79"/>
    </row>
    <row r="28" spans="1:15" x14ac:dyDescent="0.2">
      <c r="A28" s="6"/>
      <c r="B28" s="8" t="s">
        <v>20</v>
      </c>
      <c r="C28" s="36">
        <v>7.5</v>
      </c>
      <c r="D28" s="48"/>
      <c r="E28" s="30"/>
      <c r="F28" s="48"/>
      <c r="G28" s="48"/>
      <c r="H28" s="98"/>
      <c r="I28" s="85"/>
      <c r="J28" s="85"/>
      <c r="K28" s="85"/>
      <c r="L28" s="85"/>
      <c r="M28" s="82"/>
      <c r="N28" s="82"/>
      <c r="O28" s="79"/>
    </row>
    <row r="29" spans="1:15" x14ac:dyDescent="0.2">
      <c r="A29" s="6"/>
      <c r="B29" s="8" t="s">
        <v>21</v>
      </c>
      <c r="C29" s="36">
        <v>15</v>
      </c>
      <c r="D29" s="48"/>
      <c r="E29" s="30"/>
      <c r="F29" s="48"/>
      <c r="G29" s="48"/>
      <c r="H29" s="98"/>
      <c r="I29" s="85"/>
      <c r="J29" s="85"/>
      <c r="K29" s="85"/>
      <c r="L29" s="85"/>
      <c r="M29" s="82"/>
      <c r="N29" s="82"/>
      <c r="O29" s="79"/>
    </row>
    <row r="30" spans="1:15" x14ac:dyDescent="0.2">
      <c r="A30" s="6"/>
      <c r="B30" s="14" t="s">
        <v>22</v>
      </c>
      <c r="C30" s="54">
        <v>7.5</v>
      </c>
      <c r="D30" s="48"/>
      <c r="E30" s="30"/>
      <c r="F30" s="48"/>
      <c r="G30" s="98"/>
      <c r="H30" s="98"/>
      <c r="I30" s="85"/>
      <c r="J30" s="85"/>
      <c r="K30" s="85"/>
      <c r="L30" s="85"/>
      <c r="M30" s="82"/>
      <c r="N30" s="82"/>
      <c r="O30" s="79"/>
    </row>
    <row r="31" spans="1:15" x14ac:dyDescent="0.2">
      <c r="A31" s="6"/>
      <c r="B31" s="34"/>
      <c r="C31" s="34"/>
      <c r="D31" s="48"/>
      <c r="E31" s="30"/>
      <c r="F31" s="48"/>
      <c r="G31" s="98"/>
      <c r="H31" s="98"/>
      <c r="I31" s="85"/>
      <c r="J31" s="85"/>
      <c r="K31" s="85"/>
      <c r="L31" s="85"/>
      <c r="M31" s="82"/>
      <c r="N31" s="82"/>
      <c r="O31" s="79"/>
    </row>
    <row r="32" spans="1:15" ht="25.5" x14ac:dyDescent="0.2">
      <c r="A32" s="6"/>
      <c r="B32" s="67" t="s">
        <v>75</v>
      </c>
      <c r="C32" s="185">
        <v>0.04</v>
      </c>
      <c r="D32" s="48"/>
      <c r="E32" s="30"/>
      <c r="F32" s="48"/>
      <c r="G32" s="98"/>
      <c r="H32" s="183" t="s">
        <v>87</v>
      </c>
      <c r="I32" s="85"/>
      <c r="J32" s="85"/>
      <c r="K32" s="85"/>
      <c r="L32" s="85"/>
      <c r="M32" s="82"/>
      <c r="O32" s="79"/>
    </row>
    <row r="33" spans="1:15" x14ac:dyDescent="0.2">
      <c r="A33" s="6"/>
      <c r="B33" s="14" t="s">
        <v>96</v>
      </c>
      <c r="C33" s="56">
        <f>(1+C32)/(1+C14)-1</f>
        <v>3.79241516966069E-2</v>
      </c>
      <c r="D33" s="48"/>
      <c r="E33" s="30"/>
      <c r="F33" s="48"/>
      <c r="G33" s="98"/>
      <c r="H33" s="5" t="s">
        <v>161</v>
      </c>
      <c r="I33" s="85"/>
      <c r="J33" s="85"/>
      <c r="K33" s="85"/>
      <c r="L33" s="85"/>
      <c r="M33" s="82"/>
      <c r="O33" s="79"/>
    </row>
    <row r="34" spans="1:15" s="86" customFormat="1" x14ac:dyDescent="0.2">
      <c r="A34" s="6"/>
      <c r="B34" s="10"/>
      <c r="C34" s="9"/>
      <c r="D34" s="13"/>
      <c r="E34" s="6"/>
      <c r="F34" s="13"/>
      <c r="G34" s="13"/>
      <c r="H34" s="99"/>
      <c r="M34" s="82"/>
      <c r="N34" s="82"/>
    </row>
    <row r="35" spans="1:15" s="86" customFormat="1" x14ac:dyDescent="0.2">
      <c r="A35" s="129"/>
      <c r="B35" s="52"/>
      <c r="C35" s="102"/>
      <c r="D35" s="13"/>
      <c r="E35" s="6"/>
      <c r="F35" s="13"/>
      <c r="G35" s="13"/>
      <c r="H35" s="99"/>
      <c r="M35" s="82"/>
      <c r="N35" s="82"/>
    </row>
    <row r="36" spans="1:15" ht="15.75" x14ac:dyDescent="0.25">
      <c r="B36" s="58" t="s">
        <v>24</v>
      </c>
      <c r="C36" s="30"/>
      <c r="E36" s="30"/>
      <c r="H36" s="95"/>
      <c r="L36" s="85"/>
      <c r="M36" s="83"/>
      <c r="N36" s="83"/>
      <c r="O36" s="79"/>
    </row>
    <row r="37" spans="1:15" x14ac:dyDescent="0.2">
      <c r="B37" s="32"/>
      <c r="C37" s="32"/>
      <c r="E37" s="30"/>
      <c r="H37" s="95"/>
      <c r="L37" s="85"/>
      <c r="M37" s="83"/>
      <c r="N37" s="83"/>
      <c r="O37" s="79"/>
    </row>
    <row r="38" spans="1:15" x14ac:dyDescent="0.2">
      <c r="B38" s="8" t="s">
        <v>14</v>
      </c>
      <c r="C38" s="42">
        <v>0.79</v>
      </c>
      <c r="E38" s="30"/>
      <c r="H38" s="95"/>
      <c r="M38" s="82"/>
      <c r="N38" s="82"/>
      <c r="O38" s="79"/>
    </row>
    <row r="39" spans="1:15" x14ac:dyDescent="0.2">
      <c r="B39" s="8" t="s">
        <v>7</v>
      </c>
      <c r="C39" s="42">
        <v>0.21</v>
      </c>
      <c r="E39" s="30"/>
      <c r="H39" s="95"/>
      <c r="M39" s="82"/>
      <c r="N39" s="82"/>
      <c r="O39" s="79"/>
    </row>
    <row r="40" spans="1:15" x14ac:dyDescent="0.2">
      <c r="B40" s="8" t="s">
        <v>3</v>
      </c>
      <c r="C40" s="42">
        <v>0.05</v>
      </c>
      <c r="E40" s="30"/>
      <c r="H40" s="95"/>
      <c r="M40" s="82"/>
      <c r="N40" s="82"/>
      <c r="O40" s="79"/>
    </row>
    <row r="41" spans="1:15" x14ac:dyDescent="0.2">
      <c r="B41" s="8" t="s">
        <v>4</v>
      </c>
      <c r="C41" s="42">
        <v>0.1</v>
      </c>
      <c r="E41" s="30"/>
      <c r="H41" s="95"/>
      <c r="M41" s="82"/>
      <c r="N41" s="82"/>
      <c r="O41" s="79"/>
    </row>
    <row r="42" spans="1:15" x14ac:dyDescent="0.2">
      <c r="B42" s="8" t="s">
        <v>5</v>
      </c>
      <c r="C42" s="42">
        <v>0.94</v>
      </c>
      <c r="E42" s="30"/>
      <c r="H42" s="95"/>
      <c r="M42" s="82"/>
      <c r="N42" s="82"/>
      <c r="O42" s="79"/>
    </row>
    <row r="43" spans="1:15" x14ac:dyDescent="0.2">
      <c r="B43" s="14" t="s">
        <v>6</v>
      </c>
      <c r="C43" s="57">
        <v>0.65</v>
      </c>
      <c r="E43" s="30"/>
      <c r="H43" s="95"/>
      <c r="M43" s="82"/>
      <c r="N43" s="82"/>
      <c r="O43" s="79"/>
    </row>
    <row r="44" spans="1:15" s="86" customFormat="1" x14ac:dyDescent="0.2">
      <c r="A44" s="13"/>
      <c r="B44" s="10"/>
      <c r="C44" s="9"/>
      <c r="D44" s="13"/>
      <c r="E44" s="6"/>
      <c r="F44" s="13"/>
      <c r="G44" s="13"/>
      <c r="H44" s="99"/>
      <c r="M44" s="82"/>
      <c r="N44" s="82"/>
    </row>
    <row r="45" spans="1:15" s="86" customFormat="1" x14ac:dyDescent="0.2">
      <c r="A45" s="13"/>
      <c r="B45" s="10"/>
      <c r="C45" s="9"/>
      <c r="D45" s="13"/>
      <c r="E45" s="6"/>
      <c r="F45" s="13"/>
      <c r="G45" s="13"/>
      <c r="H45" s="99"/>
      <c r="M45" s="82"/>
      <c r="N45" s="82"/>
    </row>
    <row r="46" spans="1:15" s="78" customFormat="1" ht="19.5" x14ac:dyDescent="0.3">
      <c r="A46" s="92"/>
      <c r="B46" s="93" t="s">
        <v>32</v>
      </c>
      <c r="C46" s="92"/>
      <c r="D46" s="92"/>
      <c r="E46" s="92"/>
      <c r="F46" s="92"/>
      <c r="G46" s="92"/>
      <c r="H46" s="100"/>
    </row>
    <row r="47" spans="1:15" s="86" customFormat="1" x14ac:dyDescent="0.2">
      <c r="A47" s="13"/>
      <c r="B47" s="10"/>
      <c r="C47" s="9"/>
      <c r="D47" s="13"/>
      <c r="E47" s="6"/>
      <c r="F47" s="13"/>
      <c r="G47" s="13"/>
      <c r="H47" s="99"/>
      <c r="M47" s="82"/>
      <c r="N47" s="82"/>
    </row>
    <row r="48" spans="1:15" s="86" customFormat="1" x14ac:dyDescent="0.2">
      <c r="A48" s="13"/>
      <c r="B48" s="52"/>
      <c r="C48" s="102"/>
      <c r="D48" s="129"/>
      <c r="E48" s="6"/>
      <c r="F48" s="13"/>
      <c r="G48" s="13"/>
      <c r="H48" s="99"/>
      <c r="M48" s="82"/>
      <c r="N48" s="82"/>
    </row>
    <row r="49" spans="1:15" s="86" customFormat="1" ht="25.5" outlineLevel="1" x14ac:dyDescent="0.2">
      <c r="A49" s="13"/>
      <c r="B49" s="60" t="s">
        <v>97</v>
      </c>
      <c r="C49" s="128" t="s">
        <v>55</v>
      </c>
      <c r="D49" s="45"/>
      <c r="E49" s="6"/>
      <c r="F49" s="13"/>
      <c r="G49" s="13"/>
      <c r="H49" s="97" t="s">
        <v>82</v>
      </c>
      <c r="M49" s="82"/>
    </row>
    <row r="50" spans="1:15" outlineLevel="1" x14ac:dyDescent="0.2">
      <c r="B50" s="30" t="s">
        <v>79</v>
      </c>
      <c r="C50" s="149" t="s">
        <v>91</v>
      </c>
      <c r="D50" s="181">
        <v>34.299999999999997</v>
      </c>
      <c r="E50" s="186"/>
      <c r="G50" s="13"/>
      <c r="H50" s="95"/>
      <c r="M50" s="82"/>
      <c r="O50" s="79"/>
    </row>
    <row r="51" spans="1:15" outlineLevel="1" x14ac:dyDescent="0.2">
      <c r="B51" s="30" t="s">
        <v>80</v>
      </c>
      <c r="C51" s="40" t="s">
        <v>88</v>
      </c>
      <c r="D51" s="191">
        <v>39.6</v>
      </c>
      <c r="E51" s="6"/>
      <c r="G51" s="13"/>
      <c r="H51" s="95"/>
      <c r="M51" s="82"/>
      <c r="N51" s="82"/>
      <c r="O51" s="79"/>
    </row>
    <row r="52" spans="1:15" outlineLevel="1" x14ac:dyDescent="0.2">
      <c r="B52" s="32" t="s">
        <v>81</v>
      </c>
      <c r="C52" s="49" t="s">
        <v>61</v>
      </c>
      <c r="D52" s="182">
        <v>37.200000000000003</v>
      </c>
      <c r="E52" s="6"/>
      <c r="H52" s="95"/>
      <c r="M52" s="82"/>
      <c r="N52" s="82"/>
      <c r="O52" s="79"/>
    </row>
    <row r="53" spans="1:15" outlineLevel="1" x14ac:dyDescent="0.2">
      <c r="B53" s="165" t="s">
        <v>98</v>
      </c>
      <c r="D53" s="55">
        <f>AVERAGE(D50:D52)</f>
        <v>37.033333333333339</v>
      </c>
      <c r="E53" s="6"/>
      <c r="H53" s="95"/>
      <c r="M53" s="82"/>
      <c r="N53" s="82"/>
      <c r="O53" s="79"/>
    </row>
    <row r="54" spans="1:15" outlineLevel="1" x14ac:dyDescent="0.2">
      <c r="B54" s="79"/>
      <c r="C54" s="30"/>
      <c r="E54" s="6"/>
      <c r="H54" s="95"/>
      <c r="M54" s="82"/>
      <c r="N54" s="82"/>
      <c r="O54" s="79"/>
    </row>
    <row r="55" spans="1:15" outlineLevel="1" x14ac:dyDescent="0.2">
      <c r="B55" s="30"/>
      <c r="C55" s="30"/>
      <c r="D55" s="30"/>
      <c r="E55" s="30"/>
      <c r="H55" s="95"/>
      <c r="O55" s="79"/>
    </row>
    <row r="56" spans="1:15" ht="25.5" customHeight="1" outlineLevel="1" x14ac:dyDescent="0.2">
      <c r="B56" s="60" t="s">
        <v>99</v>
      </c>
      <c r="C56" s="61" t="s">
        <v>100</v>
      </c>
      <c r="D56" s="61" t="s">
        <v>101</v>
      </c>
      <c r="E56" s="30"/>
      <c r="H56" s="97" t="s">
        <v>163</v>
      </c>
      <c r="O56" s="79"/>
    </row>
    <row r="57" spans="1:15" outlineLevel="1" x14ac:dyDescent="0.2">
      <c r="B57" s="1" t="s">
        <v>9</v>
      </c>
      <c r="C57" s="177">
        <v>18</v>
      </c>
      <c r="D57" s="62">
        <v>138211.38059177471</v>
      </c>
      <c r="E57" s="175"/>
      <c r="H57" s="97" t="s">
        <v>49</v>
      </c>
      <c r="O57" s="79"/>
    </row>
    <row r="58" spans="1:15" outlineLevel="1" x14ac:dyDescent="0.2">
      <c r="B58" s="188" t="s">
        <v>167</v>
      </c>
      <c r="C58" s="177">
        <v>18</v>
      </c>
      <c r="D58" s="62">
        <v>188011.04723781827</v>
      </c>
      <c r="E58" s="30"/>
      <c r="H58" s="95"/>
      <c r="O58" s="79"/>
    </row>
    <row r="59" spans="1:15" outlineLevel="1" x14ac:dyDescent="0.2">
      <c r="B59" s="2" t="s">
        <v>10</v>
      </c>
      <c r="C59" s="177">
        <v>18</v>
      </c>
      <c r="D59" s="62">
        <v>2217131.2786353333</v>
      </c>
      <c r="E59" s="30"/>
      <c r="H59" s="95"/>
      <c r="O59" s="79"/>
    </row>
    <row r="60" spans="1:15" outlineLevel="1" x14ac:dyDescent="0.2">
      <c r="B60" s="20" t="s">
        <v>8</v>
      </c>
      <c r="C60" s="177">
        <v>17.994499999999999</v>
      </c>
      <c r="D60" s="62">
        <v>2463085.7065084148</v>
      </c>
      <c r="E60" s="30"/>
      <c r="H60" s="95"/>
      <c r="O60" s="79"/>
    </row>
    <row r="61" spans="1:15" outlineLevel="1" x14ac:dyDescent="0.2">
      <c r="B61" s="20" t="s">
        <v>0</v>
      </c>
      <c r="C61" s="177">
        <v>18</v>
      </c>
      <c r="D61" s="62">
        <v>102272.37998887508</v>
      </c>
      <c r="E61" s="30"/>
      <c r="H61" s="95"/>
      <c r="O61" s="79"/>
    </row>
    <row r="62" spans="1:15" outlineLevel="1" x14ac:dyDescent="0.2">
      <c r="B62" s="20" t="s">
        <v>11</v>
      </c>
      <c r="C62" s="177">
        <v>18</v>
      </c>
      <c r="D62" s="62">
        <v>1902931.3806275316</v>
      </c>
      <c r="E62" s="30"/>
      <c r="H62" s="95"/>
      <c r="O62" s="79"/>
    </row>
    <row r="63" spans="1:15" outlineLevel="1" x14ac:dyDescent="0.2">
      <c r="B63" s="44" t="s">
        <v>12</v>
      </c>
      <c r="C63" s="178">
        <v>18</v>
      </c>
      <c r="D63" s="63">
        <v>51296.687121787989</v>
      </c>
      <c r="E63" s="30"/>
      <c r="H63" s="95"/>
      <c r="O63" s="79"/>
    </row>
    <row r="64" spans="1:15" outlineLevel="1" x14ac:dyDescent="0.2">
      <c r="B64" s="166" t="s">
        <v>102</v>
      </c>
      <c r="C64" s="136">
        <f>SUMPRODUCT(C57:C63,D57:D63)/SUM(D57:D63)</f>
        <v>17.998081964217032</v>
      </c>
      <c r="D64" s="1"/>
      <c r="E64" s="30"/>
      <c r="H64" s="95"/>
      <c r="O64" s="79"/>
    </row>
    <row r="65" spans="2:15" outlineLevel="1" x14ac:dyDescent="0.2">
      <c r="B65" s="1"/>
      <c r="C65" s="1"/>
      <c r="D65" s="1"/>
      <c r="E65" s="30"/>
      <c r="H65" s="95"/>
      <c r="O65" s="79"/>
    </row>
    <row r="66" spans="2:15" outlineLevel="1" x14ac:dyDescent="0.2">
      <c r="B66" s="30"/>
      <c r="C66" s="30"/>
      <c r="D66" s="30"/>
      <c r="E66" s="30"/>
      <c r="H66" s="95"/>
      <c r="O66" s="79"/>
    </row>
    <row r="67" spans="2:15" ht="39" customHeight="1" outlineLevel="1" x14ac:dyDescent="0.2">
      <c r="B67" s="60" t="s">
        <v>103</v>
      </c>
      <c r="C67" s="61" t="s">
        <v>104</v>
      </c>
      <c r="D67" s="60" t="s">
        <v>78</v>
      </c>
      <c r="E67" s="60" t="s">
        <v>105</v>
      </c>
      <c r="F67" s="61" t="s">
        <v>106</v>
      </c>
      <c r="H67" s="97" t="s">
        <v>163</v>
      </c>
      <c r="O67" s="79"/>
    </row>
    <row r="68" spans="2:15" outlineLevel="1" x14ac:dyDescent="0.2">
      <c r="B68" s="1" t="s">
        <v>9</v>
      </c>
      <c r="C68" s="179">
        <v>23.875900000000001</v>
      </c>
      <c r="D68" s="170">
        <v>3</v>
      </c>
      <c r="E68" s="172">
        <f>C68*D68</f>
        <v>71.627700000000004</v>
      </c>
      <c r="F68" s="62">
        <v>468922.33627533709</v>
      </c>
      <c r="H68" s="97" t="s">
        <v>74</v>
      </c>
      <c r="O68" s="79"/>
    </row>
    <row r="69" spans="2:15" outlineLevel="1" x14ac:dyDescent="0.2">
      <c r="B69" s="188" t="s">
        <v>167</v>
      </c>
      <c r="C69" s="179">
        <v>24.78</v>
      </c>
      <c r="D69" s="170">
        <v>3</v>
      </c>
      <c r="E69" s="172">
        <f t="shared" ref="E69:E74" si="0">C69*D69</f>
        <v>74.34</v>
      </c>
      <c r="F69" s="62">
        <v>603938.88779902353</v>
      </c>
      <c r="H69" s="5" t="s">
        <v>60</v>
      </c>
      <c r="O69" s="79"/>
    </row>
    <row r="70" spans="2:15" outlineLevel="1" x14ac:dyDescent="0.2">
      <c r="B70" s="2" t="s">
        <v>10</v>
      </c>
      <c r="C70" s="179">
        <v>24.126000000000001</v>
      </c>
      <c r="D70" s="170">
        <v>3</v>
      </c>
      <c r="E70" s="172">
        <f t="shared" si="0"/>
        <v>72.378</v>
      </c>
      <c r="F70" s="62">
        <v>7222145.9228443708</v>
      </c>
      <c r="H70" s="95"/>
      <c r="O70" s="79"/>
    </row>
    <row r="71" spans="2:15" outlineLevel="1" x14ac:dyDescent="0.2">
      <c r="B71" s="20" t="s">
        <v>8</v>
      </c>
      <c r="C71" s="179">
        <v>28.0685</v>
      </c>
      <c r="D71" s="170">
        <v>3</v>
      </c>
      <c r="E71" s="172">
        <f t="shared" si="0"/>
        <v>84.205500000000001</v>
      </c>
      <c r="F71" s="62">
        <v>7787861.7505840249</v>
      </c>
      <c r="H71" s="95"/>
      <c r="O71" s="79"/>
    </row>
    <row r="72" spans="2:15" outlineLevel="1" x14ac:dyDescent="0.2">
      <c r="B72" s="20" t="s">
        <v>0</v>
      </c>
      <c r="C72" s="179">
        <v>29.32</v>
      </c>
      <c r="D72" s="170">
        <v>3</v>
      </c>
      <c r="E72" s="172">
        <f t="shared" si="0"/>
        <v>87.960000000000008</v>
      </c>
      <c r="F72" s="62">
        <v>338952.20358401537</v>
      </c>
      <c r="H72" s="95"/>
      <c r="O72" s="79"/>
    </row>
    <row r="73" spans="2:15" outlineLevel="1" x14ac:dyDescent="0.2">
      <c r="B73" s="20" t="s">
        <v>11</v>
      </c>
      <c r="C73" s="179">
        <v>25.5381</v>
      </c>
      <c r="D73" s="170">
        <v>3</v>
      </c>
      <c r="E73" s="172">
        <f t="shared" si="0"/>
        <v>76.6143</v>
      </c>
      <c r="F73" s="62">
        <v>5797475.0467467392</v>
      </c>
      <c r="H73" s="95"/>
      <c r="O73" s="79"/>
    </row>
    <row r="74" spans="2:15" outlineLevel="1" x14ac:dyDescent="0.2">
      <c r="B74" s="44" t="s">
        <v>12</v>
      </c>
      <c r="C74" s="180">
        <v>19.564</v>
      </c>
      <c r="D74" s="171">
        <v>3</v>
      </c>
      <c r="E74" s="173">
        <f t="shared" si="0"/>
        <v>58.692</v>
      </c>
      <c r="F74" s="63">
        <v>163677.22711687637</v>
      </c>
      <c r="H74" s="95"/>
      <c r="O74" s="79"/>
    </row>
    <row r="75" spans="2:15" outlineLevel="1" x14ac:dyDescent="0.2">
      <c r="B75" s="166" t="s">
        <v>107</v>
      </c>
      <c r="C75" s="1"/>
      <c r="D75" s="1"/>
      <c r="E75" s="69">
        <f>SUMPRODUCT(E68:E74,F68:F74)/SUM(F68:F74)</f>
        <v>77.763582100783424</v>
      </c>
      <c r="H75" s="95"/>
      <c r="O75" s="79"/>
    </row>
    <row r="76" spans="2:15" outlineLevel="1" x14ac:dyDescent="0.2">
      <c r="B76" s="1"/>
      <c r="C76" s="1"/>
      <c r="D76" s="79"/>
      <c r="E76" s="1"/>
      <c r="H76" s="95"/>
      <c r="O76" s="79"/>
    </row>
    <row r="77" spans="2:15" outlineLevel="1" x14ac:dyDescent="0.2">
      <c r="C77" s="30"/>
      <c r="D77" s="30"/>
      <c r="E77" s="30"/>
      <c r="H77" s="95"/>
      <c r="O77" s="79"/>
    </row>
    <row r="78" spans="2:15" ht="25.5" outlineLevel="1" x14ac:dyDescent="0.2">
      <c r="B78" s="60" t="s">
        <v>108</v>
      </c>
      <c r="C78" s="61" t="s">
        <v>109</v>
      </c>
      <c r="D78" s="61" t="s">
        <v>110</v>
      </c>
      <c r="E78" s="30"/>
      <c r="H78" s="97" t="s">
        <v>163</v>
      </c>
      <c r="O78" s="79"/>
    </row>
    <row r="79" spans="2:15" outlineLevel="1" x14ac:dyDescent="0.2">
      <c r="B79" s="1" t="s">
        <v>9</v>
      </c>
      <c r="C79" s="179">
        <v>26.17</v>
      </c>
      <c r="D79" s="174">
        <v>135413.53846153847</v>
      </c>
      <c r="E79" s="30"/>
      <c r="H79" s="97" t="s">
        <v>49</v>
      </c>
      <c r="O79" s="79"/>
    </row>
    <row r="80" spans="2:15" outlineLevel="1" x14ac:dyDescent="0.2">
      <c r="B80" s="188" t="s">
        <v>167</v>
      </c>
      <c r="C80" s="179">
        <v>26.159999999999997</v>
      </c>
      <c r="D80" s="170">
        <v>184701.58903101986</v>
      </c>
      <c r="E80" s="30"/>
      <c r="H80" s="95"/>
      <c r="O80" s="79"/>
    </row>
    <row r="81" spans="1:15" outlineLevel="1" x14ac:dyDescent="0.2">
      <c r="B81" s="2" t="s">
        <v>10</v>
      </c>
      <c r="C81" s="179">
        <v>26.98</v>
      </c>
      <c r="D81" s="170">
        <v>2174445.3438152052</v>
      </c>
      <c r="E81" s="30"/>
      <c r="H81" s="95"/>
      <c r="O81" s="79"/>
    </row>
    <row r="82" spans="1:15" outlineLevel="1" x14ac:dyDescent="0.2">
      <c r="B82" s="20" t="s">
        <v>8</v>
      </c>
      <c r="C82" s="179">
        <v>27.703499999999998</v>
      </c>
      <c r="D82" s="170">
        <v>2420637.6595494323</v>
      </c>
      <c r="E82" s="30"/>
      <c r="H82" s="95"/>
      <c r="O82" s="79"/>
    </row>
    <row r="83" spans="1:15" outlineLevel="1" x14ac:dyDescent="0.2">
      <c r="B83" s="20" t="s">
        <v>0</v>
      </c>
      <c r="C83" s="179">
        <v>27.43</v>
      </c>
      <c r="D83" s="170">
        <v>100226.24666666666</v>
      </c>
      <c r="E83" s="30"/>
      <c r="H83" s="95"/>
      <c r="O83" s="79"/>
    </row>
    <row r="84" spans="1:15" outlineLevel="1" x14ac:dyDescent="0.2">
      <c r="B84" s="20" t="s">
        <v>11</v>
      </c>
      <c r="C84" s="179">
        <v>24.4207</v>
      </c>
      <c r="D84" s="170">
        <v>1874249.108571037</v>
      </c>
      <c r="E84" s="30"/>
      <c r="H84" s="95"/>
      <c r="O84" s="79"/>
    </row>
    <row r="85" spans="1:15" outlineLevel="1" x14ac:dyDescent="0.2">
      <c r="B85" s="44" t="s">
        <v>12</v>
      </c>
      <c r="C85" s="180">
        <v>23.47</v>
      </c>
      <c r="D85" s="171">
        <v>50268.267924158346</v>
      </c>
      <c r="E85" s="30"/>
      <c r="H85" s="95"/>
      <c r="O85" s="79"/>
    </row>
    <row r="86" spans="1:15" outlineLevel="1" x14ac:dyDescent="0.2">
      <c r="B86" s="166" t="s">
        <v>111</v>
      </c>
      <c r="C86" s="136">
        <f>SUMPRODUCT(C79:C85,D79:D85)/SUM(D79:D85)</f>
        <v>26.484619116801099</v>
      </c>
      <c r="D86" s="1"/>
      <c r="E86" s="30"/>
      <c r="H86" s="95"/>
      <c r="O86" s="79"/>
    </row>
    <row r="87" spans="1:15" outlineLevel="1" x14ac:dyDescent="0.2">
      <c r="B87" s="1"/>
      <c r="C87" s="1"/>
      <c r="D87" s="1"/>
      <c r="E87" s="30"/>
      <c r="H87" s="95"/>
      <c r="O87" s="79"/>
    </row>
    <row r="88" spans="1:15" outlineLevel="1" x14ac:dyDescent="0.2">
      <c r="B88" s="1"/>
      <c r="C88" s="44"/>
      <c r="D88" s="1"/>
      <c r="E88" s="30"/>
      <c r="H88" s="95"/>
      <c r="O88" s="79"/>
    </row>
    <row r="89" spans="1:15" ht="25.5" x14ac:dyDescent="0.2">
      <c r="B89" s="60" t="s">
        <v>171</v>
      </c>
      <c r="C89" s="44"/>
      <c r="D89" s="1"/>
      <c r="E89" s="1"/>
      <c r="F89" s="1"/>
      <c r="H89" s="95"/>
      <c r="O89" s="79"/>
    </row>
    <row r="90" spans="1:15" x14ac:dyDescent="0.2">
      <c r="B90" s="1" t="s">
        <v>98</v>
      </c>
      <c r="C90" s="104">
        <f>D53</f>
        <v>37.033333333333339</v>
      </c>
      <c r="D90" s="1"/>
      <c r="E90" s="1"/>
      <c r="F90" s="1"/>
      <c r="H90" s="95"/>
      <c r="O90" s="79"/>
    </row>
    <row r="91" spans="1:15" x14ac:dyDescent="0.2">
      <c r="B91" s="1" t="s">
        <v>102</v>
      </c>
      <c r="C91" s="104">
        <f>C64</f>
        <v>17.998081964217032</v>
      </c>
      <c r="D91" s="1"/>
      <c r="E91" s="1"/>
      <c r="F91" s="1"/>
      <c r="H91" s="95"/>
      <c r="O91" s="79"/>
    </row>
    <row r="92" spans="1:15" x14ac:dyDescent="0.2">
      <c r="B92" s="1" t="s">
        <v>112</v>
      </c>
      <c r="C92" s="104">
        <f>E75</f>
        <v>77.763582100783424</v>
      </c>
      <c r="D92" s="1"/>
      <c r="E92" s="1"/>
      <c r="F92" s="1"/>
      <c r="H92" s="95"/>
      <c r="O92" s="79"/>
    </row>
    <row r="93" spans="1:15" x14ac:dyDescent="0.2">
      <c r="B93" s="44" t="s">
        <v>111</v>
      </c>
      <c r="C93" s="105">
        <f>C86</f>
        <v>26.484619116801099</v>
      </c>
      <c r="D93" s="1"/>
      <c r="E93" s="1"/>
      <c r="F93" s="1"/>
      <c r="H93" s="95"/>
      <c r="O93" s="79"/>
    </row>
    <row r="94" spans="1:15" x14ac:dyDescent="0.2">
      <c r="B94" s="1" t="s">
        <v>113</v>
      </c>
      <c r="C94" s="64">
        <f>SUM(C90:C93)</f>
        <v>159.2796165151349</v>
      </c>
      <c r="D94" s="1"/>
      <c r="E94" s="1"/>
      <c r="F94" s="1"/>
      <c r="H94" s="95"/>
      <c r="O94" s="79"/>
    </row>
    <row r="95" spans="1:15" x14ac:dyDescent="0.2">
      <c r="B95" s="1"/>
      <c r="C95" s="1"/>
      <c r="D95" s="1"/>
      <c r="E95" s="1"/>
      <c r="F95" s="1"/>
      <c r="H95" s="95"/>
      <c r="O95" s="79"/>
    </row>
    <row r="96" spans="1:15" s="78" customFormat="1" x14ac:dyDescent="0.2">
      <c r="A96" s="12"/>
      <c r="B96" s="39"/>
      <c r="C96" s="14"/>
      <c r="D96" s="7"/>
      <c r="E96" s="8"/>
      <c r="F96" s="17"/>
      <c r="G96" s="7"/>
      <c r="H96" s="101"/>
    </row>
    <row r="97" spans="1:18" outlineLevel="1" x14ac:dyDescent="0.2">
      <c r="B97" s="66" t="s">
        <v>114</v>
      </c>
      <c r="C97" s="32"/>
      <c r="F97" s="17"/>
      <c r="H97" s="113" t="s">
        <v>39</v>
      </c>
      <c r="O97" s="79"/>
    </row>
    <row r="98" spans="1:18" s="78" customFormat="1" outlineLevel="1" x14ac:dyDescent="0.2">
      <c r="A98" s="12"/>
      <c r="B98" s="25" t="s">
        <v>115</v>
      </c>
      <c r="C98" s="146">
        <f>C21</f>
        <v>1925.9961715041327</v>
      </c>
      <c r="D98" s="11"/>
      <c r="E98" s="11"/>
      <c r="F98" s="11"/>
      <c r="G98" s="11"/>
      <c r="H98" s="168" t="s">
        <v>40</v>
      </c>
      <c r="I98" s="87"/>
      <c r="J98" s="87"/>
      <c r="K98" s="88"/>
      <c r="L98" s="88"/>
      <c r="M98" s="88"/>
      <c r="N98" s="88"/>
      <c r="O98" s="88"/>
      <c r="P98" s="88"/>
      <c r="Q98" s="88"/>
      <c r="R98" s="88"/>
    </row>
    <row r="99" spans="1:18" s="78" customFormat="1" outlineLevel="1" x14ac:dyDescent="0.2">
      <c r="A99" s="12"/>
      <c r="B99" s="8" t="s">
        <v>19</v>
      </c>
      <c r="C99" s="24">
        <f>C27</f>
        <v>15</v>
      </c>
      <c r="D99" s="11"/>
      <c r="E99" s="11"/>
      <c r="F99" s="11"/>
      <c r="G99" s="11"/>
      <c r="H99" s="96"/>
      <c r="I99" s="87"/>
      <c r="J99" s="87"/>
      <c r="K99" s="88"/>
      <c r="L99" s="88"/>
      <c r="M99" s="88"/>
      <c r="N99" s="88"/>
      <c r="O99" s="88"/>
      <c r="P99" s="88"/>
      <c r="Q99" s="88"/>
      <c r="R99" s="88"/>
    </row>
    <row r="100" spans="1:18" s="78" customFormat="1" outlineLevel="1" x14ac:dyDescent="0.2">
      <c r="A100" s="12"/>
      <c r="B100" s="28" t="s">
        <v>116</v>
      </c>
      <c r="C100" s="23">
        <f>C98/C99</f>
        <v>128.39974476694218</v>
      </c>
      <c r="D100" s="11"/>
      <c r="E100" s="11"/>
      <c r="F100" s="11"/>
      <c r="G100" s="11"/>
      <c r="H100" s="96"/>
      <c r="I100" s="89"/>
      <c r="J100" s="89"/>
      <c r="K100" s="88"/>
      <c r="L100" s="88"/>
      <c r="M100" s="88"/>
      <c r="N100" s="88"/>
      <c r="O100" s="88"/>
      <c r="P100" s="88"/>
      <c r="Q100" s="88"/>
      <c r="R100" s="88"/>
    </row>
    <row r="101" spans="1:18" s="78" customFormat="1" outlineLevel="1" x14ac:dyDescent="0.2">
      <c r="A101" s="12"/>
      <c r="B101" s="8" t="s">
        <v>20</v>
      </c>
      <c r="C101" s="46">
        <f>C28</f>
        <v>7.5</v>
      </c>
      <c r="D101" s="11"/>
      <c r="E101" s="11"/>
      <c r="F101" s="11"/>
      <c r="G101" s="11"/>
      <c r="H101" s="96"/>
      <c r="I101" s="89"/>
      <c r="J101" s="89"/>
      <c r="K101" s="88"/>
      <c r="L101" s="88"/>
      <c r="M101" s="88"/>
      <c r="N101" s="88"/>
      <c r="O101" s="88"/>
      <c r="P101" s="88"/>
      <c r="Q101" s="88"/>
      <c r="R101" s="88"/>
    </row>
    <row r="102" spans="1:18" s="78" customFormat="1" outlineLevel="1" x14ac:dyDescent="0.2">
      <c r="A102" s="12"/>
      <c r="B102" s="27" t="s">
        <v>117</v>
      </c>
      <c r="C102" s="147">
        <f>C101*C100</f>
        <v>962.99808575206634</v>
      </c>
      <c r="D102" s="11"/>
      <c r="E102" s="11"/>
      <c r="F102" s="11"/>
      <c r="G102" s="11"/>
      <c r="H102" s="96"/>
      <c r="I102" s="89"/>
      <c r="J102" s="89"/>
      <c r="K102" s="88"/>
      <c r="L102" s="88"/>
      <c r="M102" s="88"/>
      <c r="N102" s="88"/>
      <c r="O102" s="88"/>
      <c r="P102" s="88"/>
      <c r="Q102" s="88"/>
      <c r="R102" s="88"/>
    </row>
    <row r="103" spans="1:18" s="78" customFormat="1" outlineLevel="1" x14ac:dyDescent="0.2">
      <c r="A103" s="12"/>
      <c r="B103" s="21" t="s">
        <v>96</v>
      </c>
      <c r="C103" s="189">
        <f>C33</f>
        <v>3.79241516966069E-2</v>
      </c>
      <c r="D103" s="11"/>
      <c r="E103" s="11"/>
      <c r="F103" s="11"/>
      <c r="G103" s="11"/>
      <c r="I103" s="89"/>
      <c r="J103" s="89"/>
      <c r="K103" s="88"/>
      <c r="L103" s="88"/>
      <c r="M103" s="88"/>
      <c r="N103" s="88"/>
      <c r="O103" s="88"/>
      <c r="P103" s="88"/>
      <c r="Q103" s="88"/>
      <c r="R103" s="88"/>
    </row>
    <row r="104" spans="1:18" s="78" customFormat="1" outlineLevel="1" x14ac:dyDescent="0.2">
      <c r="A104" s="12"/>
      <c r="B104" s="29" t="s">
        <v>118</v>
      </c>
      <c r="C104" s="26">
        <f>C102*C103</f>
        <v>36.520885487603422</v>
      </c>
      <c r="D104" s="11"/>
      <c r="E104" s="11"/>
      <c r="F104" s="11"/>
      <c r="G104" s="11"/>
      <c r="I104" s="89"/>
      <c r="J104" s="89"/>
      <c r="K104" s="88"/>
      <c r="L104" s="88"/>
      <c r="M104" s="88"/>
      <c r="N104" s="88"/>
      <c r="O104" s="88"/>
      <c r="P104" s="88"/>
      <c r="Q104" s="88"/>
      <c r="R104" s="88"/>
    </row>
    <row r="105" spans="1:18" s="78" customFormat="1" outlineLevel="1" x14ac:dyDescent="0.2">
      <c r="A105" s="13"/>
      <c r="B105" s="30" t="s">
        <v>119</v>
      </c>
      <c r="C105" s="22">
        <f>C100+C104</f>
        <v>164.92063025454559</v>
      </c>
      <c r="D105" s="4"/>
      <c r="E105" s="11"/>
      <c r="F105" s="11"/>
      <c r="G105" s="4"/>
      <c r="I105" s="87"/>
      <c r="J105" s="87"/>
      <c r="K105" s="83"/>
      <c r="Q105" s="90"/>
    </row>
    <row r="106" spans="1:18" s="78" customFormat="1" outlineLevel="1" x14ac:dyDescent="0.2">
      <c r="A106" s="12"/>
      <c r="B106" s="21"/>
      <c r="C106" s="11"/>
      <c r="D106" s="19"/>
      <c r="E106" s="19"/>
      <c r="F106" s="11"/>
      <c r="G106" s="11"/>
      <c r="H106" s="96"/>
      <c r="I106" s="91"/>
      <c r="J106" s="91"/>
      <c r="K106" s="89"/>
      <c r="L106" s="88"/>
      <c r="M106" s="88"/>
      <c r="N106" s="88"/>
      <c r="O106" s="88"/>
      <c r="P106" s="88"/>
      <c r="Q106" s="88"/>
      <c r="R106" s="88"/>
    </row>
    <row r="107" spans="1:18" s="78" customFormat="1" outlineLevel="1" x14ac:dyDescent="0.2">
      <c r="A107" s="12"/>
      <c r="B107" s="21"/>
      <c r="C107" s="11"/>
      <c r="D107" s="19"/>
      <c r="E107" s="19"/>
      <c r="F107" s="11"/>
      <c r="G107" s="11"/>
      <c r="H107" s="96"/>
      <c r="I107" s="91"/>
      <c r="J107" s="91"/>
      <c r="K107" s="89"/>
      <c r="L107" s="88"/>
      <c r="M107" s="88"/>
      <c r="N107" s="88"/>
      <c r="O107" s="88"/>
      <c r="P107" s="88"/>
      <c r="Q107" s="88"/>
      <c r="R107" s="88"/>
    </row>
    <row r="108" spans="1:18" ht="12" customHeight="1" outlineLevel="1" x14ac:dyDescent="0.2">
      <c r="A108" s="12"/>
      <c r="B108" s="60" t="s">
        <v>120</v>
      </c>
      <c r="C108" s="61"/>
      <c r="D108" s="19"/>
      <c r="E108" s="30"/>
      <c r="G108" s="11"/>
      <c r="H108" s="97" t="s">
        <v>164</v>
      </c>
      <c r="O108" s="79"/>
    </row>
    <row r="109" spans="1:18" s="78" customFormat="1" outlineLevel="1" x14ac:dyDescent="0.2">
      <c r="A109" s="12"/>
      <c r="B109" s="8" t="s">
        <v>121</v>
      </c>
      <c r="C109" s="181">
        <v>20.68</v>
      </c>
      <c r="D109" s="11"/>
      <c r="E109" s="19"/>
      <c r="F109" s="11"/>
      <c r="G109" s="11"/>
      <c r="H109" s="113" t="s">
        <v>165</v>
      </c>
      <c r="I109" s="91"/>
      <c r="J109" s="91"/>
      <c r="K109" s="89"/>
      <c r="L109" s="88"/>
      <c r="M109" s="88"/>
      <c r="N109" s="88"/>
      <c r="O109" s="88"/>
      <c r="P109" s="88"/>
      <c r="Q109" s="88"/>
      <c r="R109" s="88"/>
    </row>
    <row r="110" spans="1:18" s="78" customFormat="1" outlineLevel="1" x14ac:dyDescent="0.2">
      <c r="A110" s="12"/>
      <c r="B110" s="8"/>
      <c r="C110" s="8"/>
      <c r="D110" s="8"/>
      <c r="E110" s="19"/>
      <c r="F110" s="11"/>
      <c r="G110" s="11"/>
      <c r="H110" s="114" t="s">
        <v>59</v>
      </c>
      <c r="I110" s="91"/>
      <c r="J110" s="91"/>
      <c r="K110" s="89"/>
      <c r="L110" s="88"/>
      <c r="M110" s="88"/>
      <c r="N110" s="88"/>
      <c r="O110" s="88"/>
      <c r="P110" s="88"/>
      <c r="Q110" s="88"/>
      <c r="R110" s="88"/>
    </row>
    <row r="111" spans="1:18" s="78" customFormat="1" outlineLevel="1" x14ac:dyDescent="0.2">
      <c r="A111" s="12"/>
      <c r="B111" s="8"/>
      <c r="C111" s="8"/>
      <c r="D111" s="8"/>
      <c r="E111" s="19"/>
      <c r="F111" s="11"/>
      <c r="G111" s="11"/>
      <c r="H111" s="162"/>
      <c r="I111" s="91"/>
      <c r="J111" s="91"/>
      <c r="K111" s="89"/>
      <c r="L111" s="88"/>
      <c r="M111" s="88"/>
      <c r="N111" s="88"/>
      <c r="O111" s="88"/>
      <c r="P111" s="88"/>
      <c r="Q111" s="88"/>
      <c r="R111" s="88"/>
    </row>
    <row r="112" spans="1:18" x14ac:dyDescent="0.2">
      <c r="B112" s="59" t="s">
        <v>169</v>
      </c>
      <c r="C112" s="44"/>
      <c r="D112" s="1"/>
      <c r="E112" s="1"/>
      <c r="F112" s="1"/>
      <c r="H112" s="95"/>
      <c r="O112" s="79"/>
    </row>
    <row r="113" spans="1:18" x14ac:dyDescent="0.2">
      <c r="B113" s="1" t="s">
        <v>122</v>
      </c>
      <c r="C113" s="104">
        <f>C105</f>
        <v>164.92063025454559</v>
      </c>
      <c r="D113" s="1"/>
      <c r="E113" s="1"/>
      <c r="F113" s="1"/>
      <c r="H113" s="95"/>
      <c r="O113" s="79"/>
    </row>
    <row r="114" spans="1:18" x14ac:dyDescent="0.2">
      <c r="B114" s="1" t="s">
        <v>123</v>
      </c>
      <c r="C114" s="104">
        <f>C22</f>
        <v>117.18689771900829</v>
      </c>
      <c r="D114" s="1"/>
      <c r="E114" s="1"/>
      <c r="F114" s="1"/>
      <c r="H114" s="95"/>
      <c r="O114" s="79"/>
    </row>
    <row r="115" spans="1:18" x14ac:dyDescent="0.2">
      <c r="B115" s="44" t="s">
        <v>121</v>
      </c>
      <c r="C115" s="105">
        <f>C109</f>
        <v>20.68</v>
      </c>
      <c r="D115" s="1"/>
      <c r="E115" s="1"/>
      <c r="F115" s="1"/>
      <c r="H115" s="95"/>
      <c r="O115" s="79"/>
    </row>
    <row r="116" spans="1:18" x14ac:dyDescent="0.2">
      <c r="B116" s="1" t="s">
        <v>124</v>
      </c>
      <c r="C116" s="64">
        <f>SUM(C113:C115)</f>
        <v>302.78752797355389</v>
      </c>
      <c r="D116" s="1"/>
      <c r="E116" s="1"/>
      <c r="F116" s="1"/>
      <c r="H116" s="95"/>
      <c r="O116" s="79"/>
    </row>
    <row r="117" spans="1:18" s="78" customFormat="1" x14ac:dyDescent="0.2">
      <c r="A117" s="12"/>
      <c r="B117" s="8"/>
      <c r="C117" s="8"/>
      <c r="D117" s="19"/>
      <c r="E117" s="19"/>
      <c r="F117" s="11"/>
      <c r="G117" s="11"/>
      <c r="H117" s="96"/>
      <c r="I117" s="91"/>
      <c r="J117" s="91"/>
      <c r="K117" s="89"/>
      <c r="L117" s="88"/>
      <c r="M117" s="88"/>
      <c r="N117" s="88"/>
      <c r="O117" s="88"/>
      <c r="P117" s="88"/>
      <c r="Q117" s="88"/>
      <c r="R117" s="88"/>
    </row>
    <row r="118" spans="1:18" s="78" customFormat="1" x14ac:dyDescent="0.2">
      <c r="A118" s="12"/>
      <c r="B118" s="8"/>
      <c r="C118" s="8"/>
      <c r="D118" s="19"/>
      <c r="E118" s="19"/>
      <c r="F118" s="11"/>
      <c r="G118" s="11"/>
      <c r="H118" s="96"/>
      <c r="I118" s="91"/>
      <c r="J118" s="91"/>
      <c r="K118" s="89"/>
      <c r="L118" s="88"/>
      <c r="M118" s="88"/>
      <c r="N118" s="88"/>
      <c r="O118" s="88"/>
      <c r="P118" s="88"/>
      <c r="Q118" s="88"/>
      <c r="R118" s="88"/>
    </row>
    <row r="119" spans="1:18" outlineLevel="1" x14ac:dyDescent="0.2">
      <c r="B119" s="66" t="s">
        <v>125</v>
      </c>
      <c r="C119" s="32"/>
      <c r="F119" s="17"/>
      <c r="H119" s="113" t="s">
        <v>39</v>
      </c>
      <c r="O119" s="79"/>
    </row>
    <row r="120" spans="1:18" s="78" customFormat="1" outlineLevel="1" x14ac:dyDescent="0.2">
      <c r="A120" s="12"/>
      <c r="B120" s="25" t="s">
        <v>126</v>
      </c>
      <c r="C120" s="146">
        <f>C23</f>
        <v>1622.912072727273</v>
      </c>
      <c r="D120" s="11"/>
      <c r="E120" s="11"/>
      <c r="F120" s="11"/>
      <c r="G120" s="11"/>
      <c r="H120" s="168" t="s">
        <v>41</v>
      </c>
      <c r="I120" s="87"/>
      <c r="J120" s="87"/>
      <c r="K120" s="88"/>
      <c r="L120" s="88"/>
      <c r="M120" s="88"/>
      <c r="N120" s="88"/>
      <c r="O120" s="88"/>
      <c r="P120" s="88"/>
      <c r="Q120" s="88"/>
      <c r="R120" s="88"/>
    </row>
    <row r="121" spans="1:18" s="78" customFormat="1" outlineLevel="1" x14ac:dyDescent="0.2">
      <c r="A121" s="12"/>
      <c r="B121" s="8" t="s">
        <v>21</v>
      </c>
      <c r="C121" s="24">
        <f>C29</f>
        <v>15</v>
      </c>
      <c r="D121" s="11"/>
      <c r="E121" s="11"/>
      <c r="F121" s="11"/>
      <c r="G121" s="11"/>
      <c r="H121" s="96"/>
      <c r="I121" s="87"/>
      <c r="J121" s="87"/>
      <c r="K121" s="88"/>
      <c r="L121" s="88"/>
      <c r="M121" s="88"/>
      <c r="N121" s="88"/>
      <c r="O121" s="88"/>
      <c r="P121" s="88"/>
      <c r="Q121" s="88"/>
      <c r="R121" s="88"/>
    </row>
    <row r="122" spans="1:18" s="78" customFormat="1" outlineLevel="1" x14ac:dyDescent="0.2">
      <c r="A122" s="12"/>
      <c r="B122" s="28" t="s">
        <v>116</v>
      </c>
      <c r="C122" s="23">
        <f>C120/C121</f>
        <v>108.1941381818182</v>
      </c>
      <c r="D122" s="11"/>
      <c r="E122" s="11"/>
      <c r="F122" s="11"/>
      <c r="G122" s="11"/>
      <c r="H122" s="96"/>
      <c r="I122" s="89"/>
      <c r="J122" s="89"/>
      <c r="K122" s="88"/>
      <c r="L122" s="88"/>
      <c r="M122" s="88"/>
      <c r="N122" s="88"/>
      <c r="O122" s="88"/>
      <c r="P122" s="88"/>
      <c r="Q122" s="88"/>
      <c r="R122" s="88"/>
    </row>
    <row r="123" spans="1:18" s="78" customFormat="1" outlineLevel="1" x14ac:dyDescent="0.2">
      <c r="A123" s="12"/>
      <c r="B123" s="8" t="s">
        <v>22</v>
      </c>
      <c r="C123" s="46">
        <f>C30</f>
        <v>7.5</v>
      </c>
      <c r="D123" s="11"/>
      <c r="E123" s="11"/>
      <c r="F123" s="11"/>
      <c r="G123" s="11"/>
      <c r="H123" s="96"/>
      <c r="I123" s="89"/>
      <c r="J123" s="89"/>
      <c r="K123" s="88"/>
      <c r="L123" s="88"/>
      <c r="M123" s="88"/>
      <c r="N123" s="88"/>
      <c r="O123" s="88"/>
      <c r="P123" s="88"/>
      <c r="Q123" s="88"/>
      <c r="R123" s="88"/>
    </row>
    <row r="124" spans="1:18" s="78" customFormat="1" outlineLevel="1" x14ac:dyDescent="0.2">
      <c r="A124" s="12"/>
      <c r="B124" s="27" t="s">
        <v>127</v>
      </c>
      <c r="C124" s="147">
        <f>C123*C122</f>
        <v>811.45603636363649</v>
      </c>
      <c r="D124" s="11"/>
      <c r="E124" s="11"/>
      <c r="F124" s="11"/>
      <c r="G124" s="11"/>
      <c r="H124" s="96"/>
      <c r="I124" s="89"/>
      <c r="J124" s="89"/>
      <c r="K124" s="88"/>
      <c r="L124" s="88"/>
      <c r="M124" s="88"/>
      <c r="N124" s="88"/>
      <c r="O124" s="88"/>
      <c r="P124" s="88"/>
      <c r="Q124" s="88"/>
      <c r="R124" s="88"/>
    </row>
    <row r="125" spans="1:18" s="78" customFormat="1" outlineLevel="1" x14ac:dyDescent="0.2">
      <c r="A125" s="12"/>
      <c r="B125" s="21" t="s">
        <v>128</v>
      </c>
      <c r="C125" s="189">
        <f>C33</f>
        <v>3.79241516966069E-2</v>
      </c>
      <c r="D125" s="11"/>
      <c r="E125" s="11"/>
      <c r="F125" s="11"/>
      <c r="G125" s="11"/>
      <c r="H125" s="96"/>
      <c r="I125" s="89"/>
      <c r="J125" s="89"/>
      <c r="K125" s="88"/>
      <c r="L125" s="88"/>
      <c r="M125" s="88"/>
      <c r="N125" s="88"/>
      <c r="O125" s="88"/>
      <c r="P125" s="88"/>
      <c r="Q125" s="88"/>
      <c r="R125" s="88"/>
    </row>
    <row r="126" spans="1:18" s="78" customFormat="1" outlineLevel="1" x14ac:dyDescent="0.2">
      <c r="A126" s="12"/>
      <c r="B126" s="29" t="s">
        <v>118</v>
      </c>
      <c r="C126" s="26">
        <f>C124*C125</f>
        <v>30.773781818181916</v>
      </c>
      <c r="D126" s="11"/>
      <c r="E126" s="11"/>
      <c r="F126" s="11"/>
      <c r="G126" s="11"/>
      <c r="H126" s="96"/>
      <c r="I126" s="89"/>
      <c r="J126" s="89"/>
      <c r="K126" s="88"/>
      <c r="L126" s="88"/>
      <c r="M126" s="88"/>
      <c r="N126" s="88"/>
      <c r="O126" s="88"/>
      <c r="P126" s="88"/>
      <c r="Q126" s="88"/>
      <c r="R126" s="88"/>
    </row>
    <row r="127" spans="1:18" s="78" customFormat="1" outlineLevel="1" x14ac:dyDescent="0.2">
      <c r="A127" s="12"/>
      <c r="B127" s="30" t="s">
        <v>129</v>
      </c>
      <c r="C127" s="22">
        <f>C122+C126</f>
        <v>138.96792000000011</v>
      </c>
      <c r="D127" s="18"/>
      <c r="E127" s="18"/>
      <c r="F127" s="18"/>
      <c r="G127" s="18"/>
      <c r="H127" s="96"/>
      <c r="I127" s="88"/>
      <c r="J127" s="88"/>
    </row>
    <row r="128" spans="1:18" s="78" customFormat="1" outlineLevel="1" x14ac:dyDescent="0.2">
      <c r="A128" s="12"/>
      <c r="B128" s="8"/>
      <c r="C128" s="8"/>
      <c r="D128" s="7"/>
      <c r="E128" s="18"/>
      <c r="F128" s="18"/>
      <c r="G128" s="18"/>
      <c r="H128" s="96"/>
      <c r="I128" s="88"/>
      <c r="J128" s="88"/>
    </row>
    <row r="129" spans="1:15" s="78" customFormat="1" outlineLevel="1" x14ac:dyDescent="0.2">
      <c r="A129" s="12"/>
      <c r="B129" s="8"/>
      <c r="C129" s="8"/>
      <c r="D129" s="7"/>
      <c r="E129" s="18"/>
      <c r="F129" s="18"/>
      <c r="G129" s="18"/>
      <c r="H129" s="96"/>
      <c r="I129" s="88"/>
      <c r="J129" s="88"/>
    </row>
    <row r="130" spans="1:15" x14ac:dyDescent="0.2">
      <c r="B130" s="59" t="s">
        <v>170</v>
      </c>
      <c r="C130" s="44"/>
      <c r="D130" s="1"/>
      <c r="E130" s="1"/>
      <c r="F130" s="1"/>
      <c r="H130" s="95"/>
      <c r="O130" s="79"/>
    </row>
    <row r="131" spans="1:15" x14ac:dyDescent="0.2">
      <c r="B131" s="1" t="s">
        <v>129</v>
      </c>
      <c r="C131" s="104">
        <f>C127</f>
        <v>138.96792000000011</v>
      </c>
      <c r="D131" s="1"/>
      <c r="E131" s="1"/>
      <c r="F131" s="1"/>
      <c r="H131" s="95"/>
      <c r="O131" s="79"/>
    </row>
    <row r="132" spans="1:15" x14ac:dyDescent="0.2">
      <c r="B132" s="1" t="s">
        <v>130</v>
      </c>
      <c r="C132" s="104">
        <f>C24</f>
        <v>37.744297920000015</v>
      </c>
      <c r="D132" s="1"/>
      <c r="E132" s="1"/>
      <c r="F132" s="1"/>
      <c r="H132" s="95"/>
      <c r="O132" s="79"/>
    </row>
    <row r="133" spans="1:15" x14ac:dyDescent="0.2">
      <c r="B133" s="44" t="s">
        <v>131</v>
      </c>
      <c r="C133" s="105">
        <f>C109</f>
        <v>20.68</v>
      </c>
      <c r="D133" s="1"/>
      <c r="E133" s="1"/>
      <c r="F133" s="1"/>
      <c r="H133" s="95"/>
      <c r="O133" s="79"/>
    </row>
    <row r="134" spans="1:15" x14ac:dyDescent="0.2">
      <c r="B134" s="1" t="s">
        <v>132</v>
      </c>
      <c r="C134" s="64">
        <f>SUM(C131:C133)</f>
        <v>197.39221792000012</v>
      </c>
      <c r="D134" s="1"/>
      <c r="E134" s="1"/>
      <c r="F134" s="1"/>
      <c r="H134" s="95"/>
      <c r="O134" s="79"/>
    </row>
    <row r="135" spans="1:15" s="78" customFormat="1" x14ac:dyDescent="0.2">
      <c r="A135" s="12"/>
      <c r="B135" s="8"/>
      <c r="C135" s="8"/>
      <c r="D135" s="7"/>
      <c r="E135" s="18"/>
      <c r="F135" s="18"/>
      <c r="G135" s="18"/>
      <c r="H135" s="96"/>
      <c r="I135" s="88"/>
      <c r="J135" s="88"/>
    </row>
    <row r="136" spans="1:15" s="78" customFormat="1" x14ac:dyDescent="0.2">
      <c r="A136" s="12"/>
      <c r="B136" s="8"/>
      <c r="C136" s="8"/>
      <c r="D136" s="7"/>
      <c r="E136" s="18"/>
      <c r="F136" s="18"/>
      <c r="G136" s="18"/>
      <c r="H136" s="96"/>
      <c r="I136" s="88"/>
      <c r="J136" s="88"/>
    </row>
    <row r="137" spans="1:15" s="78" customFormat="1" x14ac:dyDescent="0.2">
      <c r="A137" s="12"/>
      <c r="B137" s="39" t="s">
        <v>133</v>
      </c>
      <c r="C137" s="14"/>
      <c r="D137" s="7"/>
      <c r="E137" s="18"/>
      <c r="F137" s="18"/>
      <c r="G137" s="18"/>
      <c r="H137" s="96"/>
      <c r="I137" s="88"/>
      <c r="J137" s="88"/>
    </row>
    <row r="138" spans="1:15" s="78" customFormat="1" x14ac:dyDescent="0.2">
      <c r="A138" s="12"/>
      <c r="B138" s="8" t="s">
        <v>124</v>
      </c>
      <c r="C138" s="68">
        <f>C116</f>
        <v>302.78752797355389</v>
      </c>
      <c r="D138" s="7"/>
      <c r="E138" s="18"/>
      <c r="F138" s="18"/>
      <c r="G138" s="18"/>
      <c r="H138" s="96"/>
      <c r="I138" s="88"/>
      <c r="J138" s="88"/>
    </row>
    <row r="139" spans="1:15" s="78" customFormat="1" x14ac:dyDescent="0.2">
      <c r="A139" s="12"/>
      <c r="B139" s="8" t="s">
        <v>132</v>
      </c>
      <c r="C139" s="68">
        <f>C134</f>
        <v>197.39221792000012</v>
      </c>
      <c r="D139" s="7"/>
      <c r="E139" s="18"/>
      <c r="F139" s="18"/>
      <c r="G139" s="18"/>
      <c r="H139" s="96"/>
      <c r="I139" s="88"/>
      <c r="J139" s="88"/>
    </row>
    <row r="140" spans="1:15" s="78" customFormat="1" x14ac:dyDescent="0.2">
      <c r="A140" s="12"/>
      <c r="B140" s="14" t="s">
        <v>134</v>
      </c>
      <c r="C140" s="65">
        <f>C25</f>
        <v>17.434712552727273</v>
      </c>
      <c r="D140" s="7"/>
      <c r="E140" s="18"/>
      <c r="F140" s="18"/>
      <c r="G140" s="18"/>
      <c r="H140" s="96"/>
      <c r="I140" s="88"/>
      <c r="J140" s="88"/>
    </row>
    <row r="141" spans="1:15" s="78" customFormat="1" x14ac:dyDescent="0.2">
      <c r="A141" s="12"/>
      <c r="B141" s="8" t="s">
        <v>135</v>
      </c>
      <c r="C141" s="107">
        <f>C138-C139-C140</f>
        <v>87.960597500826495</v>
      </c>
      <c r="D141" s="7"/>
      <c r="E141" s="18"/>
      <c r="F141" s="18"/>
      <c r="G141" s="18"/>
      <c r="H141" s="96"/>
      <c r="I141" s="88"/>
      <c r="J141" s="88"/>
    </row>
    <row r="142" spans="1:15" s="78" customFormat="1" x14ac:dyDescent="0.2">
      <c r="A142" s="12"/>
      <c r="B142" s="8"/>
      <c r="C142" s="8"/>
      <c r="D142" s="7"/>
      <c r="E142" s="18"/>
      <c r="F142" s="18"/>
      <c r="G142" s="18"/>
      <c r="H142" s="96"/>
      <c r="I142" s="88"/>
      <c r="J142" s="88"/>
    </row>
    <row r="143" spans="1:15" s="78" customFormat="1" x14ac:dyDescent="0.2">
      <c r="A143" s="12"/>
      <c r="B143" s="8"/>
      <c r="C143" s="8"/>
      <c r="D143" s="7"/>
      <c r="E143" s="18"/>
      <c r="F143" s="18"/>
      <c r="G143" s="18"/>
      <c r="H143" s="96"/>
      <c r="I143" s="88"/>
      <c r="J143" s="88"/>
    </row>
    <row r="144" spans="1:15" s="78" customFormat="1" x14ac:dyDescent="0.2">
      <c r="A144" s="12"/>
      <c r="B144" s="39" t="s">
        <v>136</v>
      </c>
      <c r="C144" s="14"/>
      <c r="D144" s="7"/>
      <c r="E144" s="18"/>
      <c r="F144" s="18"/>
      <c r="G144" s="18"/>
      <c r="H144" s="96"/>
      <c r="I144" s="88"/>
      <c r="J144" s="88"/>
    </row>
    <row r="145" spans="1:15" s="78" customFormat="1" x14ac:dyDescent="0.2">
      <c r="A145" s="12"/>
      <c r="B145" s="1" t="s">
        <v>113</v>
      </c>
      <c r="C145" s="68">
        <f>C94</f>
        <v>159.2796165151349</v>
      </c>
      <c r="D145" s="7"/>
      <c r="E145" s="18"/>
      <c r="F145" s="18"/>
      <c r="G145" s="18"/>
      <c r="H145" s="96"/>
      <c r="I145" s="88"/>
      <c r="J145" s="88"/>
    </row>
    <row r="146" spans="1:15" s="78" customFormat="1" x14ac:dyDescent="0.2">
      <c r="A146" s="12"/>
      <c r="B146" s="14" t="s">
        <v>135</v>
      </c>
      <c r="C146" s="65">
        <f>C141</f>
        <v>87.960597500826495</v>
      </c>
      <c r="D146" s="7"/>
      <c r="E146" s="18"/>
      <c r="F146" s="18"/>
      <c r="G146" s="18"/>
      <c r="H146" s="96"/>
      <c r="I146" s="88"/>
      <c r="J146" s="88"/>
    </row>
    <row r="147" spans="1:15" s="78" customFormat="1" x14ac:dyDescent="0.2">
      <c r="A147" s="12"/>
      <c r="B147" s="8" t="s">
        <v>137</v>
      </c>
      <c r="C147" s="106">
        <f>C145+C146</f>
        <v>247.24021401596139</v>
      </c>
      <c r="D147" s="7"/>
      <c r="E147" s="18"/>
      <c r="F147" s="18"/>
      <c r="G147" s="18"/>
      <c r="H147" s="96"/>
      <c r="I147" s="88"/>
      <c r="J147" s="88"/>
    </row>
    <row r="148" spans="1:15" s="78" customFormat="1" x14ac:dyDescent="0.2">
      <c r="A148" s="12"/>
      <c r="B148" s="8" t="s">
        <v>138</v>
      </c>
      <c r="C148" s="106">
        <f>C147*(1+C7)</f>
        <v>299.16065895931325</v>
      </c>
      <c r="D148" s="7"/>
      <c r="E148" s="18"/>
      <c r="F148" s="18"/>
      <c r="G148" s="18"/>
      <c r="H148" s="96"/>
      <c r="I148" s="88"/>
      <c r="J148" s="88"/>
    </row>
    <row r="149" spans="1:15" x14ac:dyDescent="0.2">
      <c r="B149" s="30"/>
      <c r="C149" s="30"/>
      <c r="D149" s="30"/>
      <c r="E149" s="30"/>
      <c r="H149" s="95"/>
      <c r="I149" s="83"/>
      <c r="O149" s="79"/>
    </row>
    <row r="150" spans="1:15" x14ac:dyDescent="0.2">
      <c r="B150" s="30"/>
      <c r="C150" s="30"/>
      <c r="D150" s="30"/>
      <c r="E150" s="30"/>
      <c r="H150" s="95"/>
      <c r="I150" s="83"/>
      <c r="O150" s="79"/>
    </row>
    <row r="151" spans="1:15" s="78" customFormat="1" ht="19.5" x14ac:dyDescent="0.3">
      <c r="A151" s="92"/>
      <c r="B151" s="93" t="s">
        <v>29</v>
      </c>
      <c r="C151" s="92"/>
      <c r="D151" s="92"/>
      <c r="E151" s="92"/>
      <c r="F151" s="92"/>
      <c r="G151" s="92"/>
      <c r="H151" s="100"/>
    </row>
    <row r="152" spans="1:15" x14ac:dyDescent="0.2">
      <c r="B152" s="30"/>
      <c r="C152" s="30"/>
      <c r="E152" s="30"/>
      <c r="H152" s="95"/>
      <c r="L152" s="85"/>
      <c r="M152" s="83"/>
      <c r="N152" s="83"/>
      <c r="O152" s="79"/>
    </row>
    <row r="153" spans="1:15" x14ac:dyDescent="0.2">
      <c r="B153" s="30"/>
      <c r="C153" s="30"/>
      <c r="E153" s="30"/>
      <c r="H153" s="99"/>
      <c r="L153" s="85"/>
      <c r="M153" s="83"/>
      <c r="N153" s="83"/>
      <c r="O153" s="79"/>
    </row>
    <row r="154" spans="1:15" ht="25.5" outlineLevel="1" x14ac:dyDescent="0.2">
      <c r="B154" s="124" t="s">
        <v>139</v>
      </c>
      <c r="C154" s="125" t="s">
        <v>56</v>
      </c>
      <c r="D154" s="125" t="s">
        <v>57</v>
      </c>
      <c r="E154" s="125" t="s">
        <v>58</v>
      </c>
      <c r="G154" s="82"/>
      <c r="H154" s="97" t="s">
        <v>82</v>
      </c>
      <c r="I154" s="82"/>
      <c r="J154" s="82"/>
      <c r="K154" s="82"/>
      <c r="L154" s="82"/>
      <c r="M154" s="82"/>
      <c r="N154" s="82"/>
      <c r="O154" s="79"/>
    </row>
    <row r="155" spans="1:15" outlineLevel="1" x14ac:dyDescent="0.2">
      <c r="B155" s="124" t="s">
        <v>55</v>
      </c>
      <c r="C155" s="125" t="s">
        <v>91</v>
      </c>
      <c r="D155" s="125" t="s">
        <v>88</v>
      </c>
      <c r="E155" s="125" t="s">
        <v>61</v>
      </c>
      <c r="G155" s="82"/>
      <c r="H155" s="96"/>
      <c r="I155" s="82"/>
      <c r="J155" s="82"/>
      <c r="K155" s="82"/>
      <c r="L155" s="82"/>
      <c r="M155" s="82"/>
      <c r="N155" s="82"/>
      <c r="O155" s="79"/>
    </row>
    <row r="156" spans="1:15" outlineLevel="1" x14ac:dyDescent="0.2">
      <c r="B156" s="8" t="s">
        <v>62</v>
      </c>
      <c r="C156" s="192">
        <v>0.26512000000000002</v>
      </c>
      <c r="D156" s="192">
        <v>0.25259999999999999</v>
      </c>
      <c r="E156" s="192">
        <v>0.26389999999999997</v>
      </c>
      <c r="F156" s="186"/>
      <c r="G156" s="82"/>
      <c r="H156" s="79"/>
      <c r="I156" s="82"/>
      <c r="J156" s="82"/>
      <c r="K156" s="82"/>
      <c r="L156" s="82"/>
      <c r="M156" s="82"/>
      <c r="N156" s="82"/>
      <c r="O156" s="79"/>
    </row>
    <row r="157" spans="1:15" outlineLevel="1" x14ac:dyDescent="0.2">
      <c r="B157" s="8" t="s">
        <v>63</v>
      </c>
      <c r="C157" s="192">
        <v>0.27712000000000003</v>
      </c>
      <c r="D157" s="192">
        <v>0.26750000000000002</v>
      </c>
      <c r="E157" s="192">
        <v>0.27710000000000001</v>
      </c>
      <c r="G157" s="82"/>
      <c r="H157" s="82"/>
      <c r="I157" s="82"/>
      <c r="J157" s="82"/>
      <c r="K157" s="82"/>
      <c r="L157" s="82"/>
      <c r="M157" s="82"/>
      <c r="N157" s="82"/>
      <c r="O157" s="79"/>
    </row>
    <row r="158" spans="1:15" outlineLevel="1" x14ac:dyDescent="0.2">
      <c r="B158" s="8" t="s">
        <v>64</v>
      </c>
      <c r="C158" s="192">
        <v>0.26795000000000002</v>
      </c>
      <c r="D158" s="192">
        <v>0.25609999999999999</v>
      </c>
      <c r="E158" s="192">
        <v>0.26589999999999997</v>
      </c>
      <c r="G158" s="82"/>
      <c r="H158" s="82"/>
      <c r="I158" s="82"/>
      <c r="J158" s="82"/>
      <c r="K158" s="82"/>
      <c r="L158" s="82"/>
      <c r="M158" s="82"/>
      <c r="N158" s="82"/>
      <c r="O158" s="79"/>
    </row>
    <row r="159" spans="1:15" outlineLevel="1" x14ac:dyDescent="0.2">
      <c r="B159" s="8" t="s">
        <v>65</v>
      </c>
      <c r="C159" s="192">
        <v>0.26153999999999999</v>
      </c>
      <c r="D159" s="192">
        <v>0.2482</v>
      </c>
      <c r="E159" s="192">
        <v>0.26069999999999999</v>
      </c>
      <c r="G159" s="82"/>
      <c r="H159" s="82"/>
      <c r="I159" s="82"/>
      <c r="J159" s="82"/>
      <c r="K159" s="82"/>
      <c r="L159" s="82"/>
      <c r="M159" s="82"/>
      <c r="N159" s="82"/>
      <c r="O159" s="79"/>
    </row>
    <row r="160" spans="1:15" outlineLevel="1" x14ac:dyDescent="0.2">
      <c r="B160" s="8" t="s">
        <v>66</v>
      </c>
      <c r="C160" s="192">
        <v>0.27076999999999996</v>
      </c>
      <c r="D160" s="192">
        <v>0.25980000000000003</v>
      </c>
      <c r="E160" s="192">
        <v>0.26999999999999996</v>
      </c>
      <c r="G160" s="82"/>
      <c r="H160" s="82"/>
      <c r="I160" s="82"/>
      <c r="J160" s="82"/>
      <c r="K160" s="82"/>
      <c r="L160" s="82"/>
      <c r="M160" s="82"/>
      <c r="N160" s="82"/>
      <c r="O160" s="79"/>
    </row>
    <row r="161" spans="2:15" outlineLevel="1" x14ac:dyDescent="0.2">
      <c r="B161" s="94" t="s">
        <v>67</v>
      </c>
      <c r="C161" s="192">
        <v>0.27251999999999998</v>
      </c>
      <c r="D161" s="192">
        <v>0.26179999999999998</v>
      </c>
      <c r="E161" s="192">
        <v>0.27160000000000001</v>
      </c>
      <c r="G161" s="82"/>
      <c r="H161" s="82"/>
      <c r="I161" s="82"/>
      <c r="J161" s="82"/>
      <c r="K161" s="82"/>
      <c r="L161" s="82"/>
      <c r="M161" s="82"/>
      <c r="N161" s="82"/>
      <c r="O161" s="79"/>
    </row>
    <row r="162" spans="2:15" outlineLevel="1" x14ac:dyDescent="0.2">
      <c r="B162" s="88" t="s">
        <v>68</v>
      </c>
      <c r="C162" s="192">
        <v>0.27237</v>
      </c>
      <c r="D162" s="192">
        <v>0.2616</v>
      </c>
      <c r="E162" s="192">
        <v>0.27179999999999999</v>
      </c>
      <c r="G162" s="82"/>
      <c r="H162" s="82"/>
      <c r="I162" s="82"/>
      <c r="J162" s="82"/>
      <c r="K162" s="82"/>
      <c r="L162" s="82"/>
      <c r="M162" s="82"/>
      <c r="N162" s="82"/>
      <c r="O162" s="79"/>
    </row>
    <row r="163" spans="2:15" outlineLevel="1" x14ac:dyDescent="0.2">
      <c r="B163" s="88" t="s">
        <v>69</v>
      </c>
      <c r="C163" s="192">
        <v>0.26268999999999998</v>
      </c>
      <c r="D163" s="192">
        <v>0.24979999999999999</v>
      </c>
      <c r="E163" s="192">
        <v>0.26139999999999997</v>
      </c>
      <c r="G163" s="82"/>
      <c r="H163" s="82"/>
      <c r="I163" s="82"/>
      <c r="J163" s="82"/>
      <c r="K163" s="82"/>
      <c r="L163" s="82"/>
      <c r="M163" s="82"/>
      <c r="N163" s="82"/>
      <c r="O163" s="79"/>
    </row>
    <row r="164" spans="2:15" outlineLevel="1" x14ac:dyDescent="0.2">
      <c r="B164" s="88" t="s">
        <v>70</v>
      </c>
      <c r="C164" s="192">
        <v>0.26900999999999997</v>
      </c>
      <c r="D164" s="192">
        <v>0.25739999999999996</v>
      </c>
      <c r="E164" s="192">
        <v>0.2681</v>
      </c>
      <c r="G164" s="82"/>
      <c r="H164" s="82"/>
      <c r="I164" s="82"/>
      <c r="J164" s="82"/>
      <c r="K164" s="82"/>
      <c r="L164" s="82"/>
      <c r="M164" s="82"/>
      <c r="N164" s="82"/>
      <c r="O164" s="79"/>
    </row>
    <row r="165" spans="2:15" outlineLevel="1" x14ac:dyDescent="0.2">
      <c r="B165" s="88" t="s">
        <v>71</v>
      </c>
      <c r="C165" s="192">
        <v>0.2681</v>
      </c>
      <c r="D165" s="192">
        <v>0.25640000000000002</v>
      </c>
      <c r="E165" s="192">
        <v>0.26719999999999999</v>
      </c>
      <c r="G165" s="82"/>
      <c r="H165" s="82"/>
      <c r="I165" s="82"/>
      <c r="J165" s="82"/>
      <c r="K165" s="82"/>
      <c r="L165" s="82"/>
      <c r="M165" s="82"/>
      <c r="N165" s="82"/>
      <c r="O165" s="79"/>
    </row>
    <row r="166" spans="2:15" outlineLevel="1" x14ac:dyDescent="0.2">
      <c r="B166" s="31"/>
      <c r="C166" s="31"/>
      <c r="D166" s="31"/>
      <c r="E166" s="31"/>
      <c r="G166" s="82"/>
      <c r="H166" s="82"/>
      <c r="I166" s="82"/>
      <c r="J166" s="82"/>
      <c r="K166" s="82"/>
      <c r="L166" s="82"/>
      <c r="M166" s="82"/>
      <c r="N166" s="82"/>
      <c r="O166" s="79"/>
    </row>
    <row r="167" spans="2:15" outlineLevel="1" x14ac:dyDescent="0.2">
      <c r="B167" s="30"/>
      <c r="C167" s="30"/>
      <c r="D167" s="30"/>
      <c r="E167" s="30"/>
      <c r="F167" s="82"/>
      <c r="G167" s="82"/>
      <c r="H167" s="82"/>
      <c r="I167" s="82"/>
      <c r="J167" s="82"/>
      <c r="K167" s="82"/>
      <c r="L167" s="82"/>
      <c r="M167" s="82"/>
      <c r="N167" s="82"/>
      <c r="O167" s="79"/>
    </row>
    <row r="168" spans="2:15" x14ac:dyDescent="0.2">
      <c r="B168" s="38" t="s">
        <v>140</v>
      </c>
      <c r="C168" s="32"/>
      <c r="D168" s="30"/>
      <c r="E168" s="30"/>
      <c r="F168" s="30"/>
      <c r="G168" s="30"/>
      <c r="H168" s="96"/>
      <c r="I168" s="83"/>
      <c r="J168" s="83"/>
      <c r="K168" s="83"/>
      <c r="L168" s="83"/>
      <c r="M168" s="83"/>
      <c r="N168" s="82"/>
      <c r="O168" s="79"/>
    </row>
    <row r="169" spans="2:15" ht="25.5" x14ac:dyDescent="0.2">
      <c r="B169" s="187" t="s">
        <v>166</v>
      </c>
      <c r="C169" s="69">
        <f>AVERAGE(C156:E165)</f>
        <v>0.26453633333333332</v>
      </c>
      <c r="E169" s="30"/>
      <c r="H169" s="79"/>
      <c r="L169" s="85"/>
      <c r="M169" s="83"/>
      <c r="N169" s="83"/>
      <c r="O169" s="79"/>
    </row>
    <row r="170" spans="2:15" x14ac:dyDescent="0.2">
      <c r="B170" s="8" t="s">
        <v>141</v>
      </c>
      <c r="C170" s="70">
        <f>C8</f>
        <v>0.25244</v>
      </c>
      <c r="E170" s="30"/>
      <c r="H170" s="95"/>
      <c r="L170" s="85"/>
      <c r="M170" s="83"/>
      <c r="N170" s="83"/>
      <c r="O170" s="79"/>
    </row>
    <row r="171" spans="2:15" x14ac:dyDescent="0.2">
      <c r="B171" s="14" t="s">
        <v>92</v>
      </c>
      <c r="C171" s="71">
        <f>C9</f>
        <v>1.5900000000000001E-2</v>
      </c>
      <c r="E171" s="30"/>
      <c r="H171" s="95"/>
      <c r="L171" s="85"/>
      <c r="M171" s="83"/>
      <c r="N171" s="83"/>
      <c r="O171" s="79"/>
    </row>
    <row r="172" spans="2:15" x14ac:dyDescent="0.2">
      <c r="B172" s="30" t="s">
        <v>142</v>
      </c>
      <c r="C172" s="35">
        <f>SUM(C169:C171)</f>
        <v>0.53287633333333329</v>
      </c>
      <c r="E172" s="30"/>
      <c r="H172" s="95"/>
      <c r="L172" s="85"/>
      <c r="M172" s="83"/>
      <c r="N172" s="83"/>
      <c r="O172" s="79"/>
    </row>
    <row r="173" spans="2:15" x14ac:dyDescent="0.2">
      <c r="B173" s="30"/>
      <c r="C173" s="30"/>
      <c r="D173" s="30"/>
      <c r="E173" s="30"/>
      <c r="H173" s="95"/>
      <c r="L173" s="85"/>
      <c r="M173" s="83"/>
      <c r="N173" s="83"/>
      <c r="O173" s="79"/>
    </row>
    <row r="174" spans="2:15" x14ac:dyDescent="0.2">
      <c r="B174" s="30"/>
      <c r="C174" s="30"/>
      <c r="D174" s="30"/>
      <c r="E174" s="30"/>
      <c r="H174" s="95"/>
      <c r="L174" s="85"/>
      <c r="M174" s="83"/>
      <c r="N174" s="83"/>
      <c r="O174" s="79"/>
    </row>
    <row r="175" spans="2:15" ht="25.5" x14ac:dyDescent="0.2">
      <c r="B175" s="77" t="s">
        <v>28</v>
      </c>
      <c r="C175" s="30"/>
      <c r="D175" s="30"/>
      <c r="E175" s="30"/>
      <c r="H175" s="95"/>
      <c r="L175" s="85"/>
      <c r="M175" s="83"/>
      <c r="N175" s="83"/>
      <c r="O175" s="79"/>
    </row>
    <row r="176" spans="2:15" x14ac:dyDescent="0.2">
      <c r="B176" s="15" t="s">
        <v>2</v>
      </c>
      <c r="C176" s="72">
        <f t="shared" ref="C176:C181" si="1">C38</f>
        <v>0.79</v>
      </c>
      <c r="D176" s="43"/>
      <c r="E176" s="43"/>
      <c r="H176" s="95"/>
    </row>
    <row r="177" spans="2:8" x14ac:dyDescent="0.2">
      <c r="B177" s="8" t="s">
        <v>7</v>
      </c>
      <c r="C177" s="73">
        <f t="shared" si="1"/>
        <v>0.21</v>
      </c>
      <c r="D177" s="43"/>
      <c r="E177" s="43"/>
      <c r="H177" s="95"/>
    </row>
    <row r="178" spans="2:8" x14ac:dyDescent="0.2">
      <c r="B178" s="8" t="s">
        <v>3</v>
      </c>
      <c r="C178" s="73">
        <f t="shared" si="1"/>
        <v>0.05</v>
      </c>
      <c r="D178" s="43"/>
      <c r="E178" s="43"/>
      <c r="H178" s="95"/>
    </row>
    <row r="179" spans="2:8" x14ac:dyDescent="0.2">
      <c r="B179" s="8" t="s">
        <v>4</v>
      </c>
      <c r="C179" s="73">
        <f t="shared" si="1"/>
        <v>0.1</v>
      </c>
      <c r="D179" s="43"/>
      <c r="E179" s="43"/>
      <c r="H179" s="95"/>
    </row>
    <row r="180" spans="2:8" x14ac:dyDescent="0.2">
      <c r="B180" s="8" t="s">
        <v>5</v>
      </c>
      <c r="C180" s="73">
        <f t="shared" si="1"/>
        <v>0.94</v>
      </c>
      <c r="D180" s="43"/>
      <c r="E180" s="43"/>
      <c r="H180" s="95"/>
    </row>
    <row r="181" spans="2:8" x14ac:dyDescent="0.2">
      <c r="B181" s="14" t="s">
        <v>6</v>
      </c>
      <c r="C181" s="74">
        <f t="shared" si="1"/>
        <v>0.65</v>
      </c>
      <c r="D181" s="43"/>
      <c r="E181" s="43"/>
      <c r="H181" s="95"/>
    </row>
    <row r="182" spans="2:8" x14ac:dyDescent="0.2">
      <c r="B182" s="15" t="s">
        <v>27</v>
      </c>
      <c r="C182" s="75">
        <f>C176*(1+C178)/C180+C177*(1+C179)/C181</f>
        <v>1.2378314238952539</v>
      </c>
      <c r="D182" s="43"/>
      <c r="E182" s="43"/>
      <c r="H182" s="95"/>
    </row>
    <row r="183" spans="2:8" x14ac:dyDescent="0.2">
      <c r="B183" s="30" t="s">
        <v>1</v>
      </c>
      <c r="C183" s="76">
        <f>1/C182</f>
        <v>0.80786444801438539</v>
      </c>
      <c r="D183" s="43"/>
      <c r="E183" s="43"/>
      <c r="H183" s="95"/>
    </row>
    <row r="184" spans="2:8" x14ac:dyDescent="0.2">
      <c r="B184" s="30"/>
      <c r="C184" s="30"/>
      <c r="D184" s="43"/>
      <c r="E184" s="43"/>
      <c r="H184" s="95"/>
    </row>
    <row r="185" spans="2:8" x14ac:dyDescent="0.2">
      <c r="B185" s="30"/>
      <c r="C185" s="30"/>
      <c r="D185" s="43"/>
      <c r="E185" s="43"/>
      <c r="H185" s="95"/>
    </row>
    <row r="186" spans="2:8" x14ac:dyDescent="0.2">
      <c r="B186" s="37" t="s">
        <v>143</v>
      </c>
      <c r="C186" s="49"/>
      <c r="D186" s="43"/>
      <c r="E186" s="43"/>
      <c r="H186" s="95"/>
    </row>
    <row r="187" spans="2:8" x14ac:dyDescent="0.2">
      <c r="B187" s="31" t="s">
        <v>144</v>
      </c>
      <c r="C187" s="126">
        <f>C172</f>
        <v>0.53287633333333329</v>
      </c>
      <c r="D187" s="43"/>
      <c r="E187" s="43"/>
      <c r="H187" s="95"/>
    </row>
    <row r="188" spans="2:8" x14ac:dyDescent="0.2">
      <c r="B188" s="30" t="s">
        <v>1</v>
      </c>
      <c r="C188" s="70">
        <f>C183</f>
        <v>0.80786444801438539</v>
      </c>
      <c r="D188" s="43"/>
      <c r="E188" s="43"/>
      <c r="H188" s="95"/>
    </row>
    <row r="189" spans="2:8" x14ac:dyDescent="0.2">
      <c r="B189" s="32" t="s">
        <v>30</v>
      </c>
      <c r="C189" s="176">
        <v>3.517E-2</v>
      </c>
      <c r="H189" s="97" t="s">
        <v>33</v>
      </c>
    </row>
    <row r="190" spans="2:8" x14ac:dyDescent="0.2">
      <c r="B190" s="15" t="s">
        <v>145</v>
      </c>
      <c r="C190" s="109">
        <f>C172/(C183*C189)</f>
        <v>18.754935184818933</v>
      </c>
      <c r="H190" s="95"/>
    </row>
    <row r="191" spans="2:8" x14ac:dyDescent="0.2">
      <c r="B191" s="8" t="s">
        <v>146</v>
      </c>
      <c r="C191" s="108">
        <f>C190*(1+C7)</f>
        <v>22.693471573630909</v>
      </c>
      <c r="H191" s="95"/>
    </row>
    <row r="192" spans="2:8" x14ac:dyDescent="0.2">
      <c r="B192" s="8"/>
      <c r="C192" s="8"/>
      <c r="H192" s="95"/>
    </row>
    <row r="193" spans="1:8" x14ac:dyDescent="0.2">
      <c r="H193" s="95"/>
    </row>
    <row r="194" spans="1:8" s="78" customFormat="1" ht="19.5" x14ac:dyDescent="0.3">
      <c r="A194" s="92"/>
      <c r="B194" s="93" t="s">
        <v>147</v>
      </c>
      <c r="C194" s="92"/>
      <c r="D194" s="92"/>
      <c r="E194" s="92"/>
      <c r="F194" s="92"/>
      <c r="G194" s="92"/>
      <c r="H194" s="100"/>
    </row>
    <row r="195" spans="1:8" s="78" customFormat="1" x14ac:dyDescent="0.2">
      <c r="A195" s="12"/>
      <c r="B195" s="5"/>
      <c r="C195" s="8"/>
      <c r="D195" s="8"/>
      <c r="E195" s="8"/>
      <c r="F195" s="7"/>
      <c r="G195" s="7"/>
      <c r="H195" s="101"/>
    </row>
    <row r="196" spans="1:8" s="78" customFormat="1" x14ac:dyDescent="0.2">
      <c r="A196" s="12"/>
      <c r="B196" s="5"/>
      <c r="C196" s="8"/>
      <c r="D196" s="8"/>
      <c r="E196" s="8"/>
      <c r="F196" s="7"/>
      <c r="G196" s="7"/>
      <c r="H196" s="101"/>
    </row>
    <row r="197" spans="1:8" x14ac:dyDescent="0.2">
      <c r="B197" s="53" t="s">
        <v>148</v>
      </c>
      <c r="C197" s="138">
        <f>C201</f>
        <v>299.16000000000003</v>
      </c>
      <c r="D197" s="137" t="str">
        <f>"+  "&amp; C202 &amp;" * Ww"</f>
        <v>+  22,69 * Ww</v>
      </c>
      <c r="H197" s="113" t="s">
        <v>34</v>
      </c>
    </row>
    <row r="198" spans="1:8" x14ac:dyDescent="0.2">
      <c r="B198" s="48"/>
      <c r="C198" s="48"/>
      <c r="H198" s="114" t="s">
        <v>35</v>
      </c>
    </row>
    <row r="199" spans="1:8" x14ac:dyDescent="0.2">
      <c r="B199" s="40" t="s">
        <v>36</v>
      </c>
      <c r="H199" s="79"/>
    </row>
    <row r="200" spans="1:8" x14ac:dyDescent="0.2">
      <c r="D200" s="160"/>
      <c r="E200" s="153"/>
      <c r="H200" s="97"/>
    </row>
    <row r="201" spans="1:8" x14ac:dyDescent="0.2">
      <c r="B201" s="8" t="s">
        <v>138</v>
      </c>
      <c r="C201" s="110">
        <f>ROUND(C148,2)</f>
        <v>299.16000000000003</v>
      </c>
      <c r="D201" s="79"/>
      <c r="E201" s="161"/>
    </row>
    <row r="202" spans="1:8" x14ac:dyDescent="0.2">
      <c r="B202" s="8" t="s">
        <v>146</v>
      </c>
      <c r="C202" s="112">
        <f>ROUND(C191,2)</f>
        <v>22.69</v>
      </c>
      <c r="D202" s="79"/>
      <c r="E202" s="161"/>
      <c r="H202" s="79"/>
    </row>
    <row r="203" spans="1:8" x14ac:dyDescent="0.2">
      <c r="B203" s="48"/>
      <c r="H203" s="79"/>
    </row>
    <row r="204" spans="1:8" x14ac:dyDescent="0.2">
      <c r="B204" s="48"/>
    </row>
    <row r="205" spans="1:8" s="78" customFormat="1" ht="19.5" x14ac:dyDescent="0.3">
      <c r="A205" s="92"/>
      <c r="B205" s="93" t="s">
        <v>149</v>
      </c>
      <c r="C205" s="92"/>
      <c r="D205" s="92"/>
      <c r="E205" s="92"/>
      <c r="F205" s="92"/>
      <c r="G205" s="92"/>
      <c r="H205" s="100"/>
    </row>
    <row r="206" spans="1:8" x14ac:dyDescent="0.2">
      <c r="B206" s="48"/>
    </row>
    <row r="207" spans="1:8" x14ac:dyDescent="0.2">
      <c r="B207" s="48" t="s">
        <v>47</v>
      </c>
      <c r="C207" s="122">
        <v>35</v>
      </c>
      <c r="D207" s="40" t="s">
        <v>37</v>
      </c>
    </row>
    <row r="208" spans="1:8" x14ac:dyDescent="0.2">
      <c r="B208" s="40" t="s">
        <v>150</v>
      </c>
      <c r="C208" s="148">
        <f>C201+C202*C207</f>
        <v>1093.3100000000002</v>
      </c>
    </row>
    <row r="209" spans="1:4" x14ac:dyDescent="0.2">
      <c r="A209" s="86"/>
      <c r="B209" s="156"/>
      <c r="C209" s="79"/>
      <c r="D209" s="79"/>
    </row>
    <row r="210" spans="1:4" x14ac:dyDescent="0.2">
      <c r="A210" s="86"/>
      <c r="B210" s="157"/>
      <c r="C210" s="158"/>
      <c r="D210" s="79"/>
    </row>
    <row r="211" spans="1:4" x14ac:dyDescent="0.2">
      <c r="A211" s="86"/>
      <c r="B211" s="157"/>
      <c r="C211" s="159"/>
      <c r="D211" s="79"/>
    </row>
    <row r="212" spans="1:4" x14ac:dyDescent="0.2">
      <c r="A212" s="86"/>
      <c r="B212" s="79"/>
      <c r="C212" s="79"/>
      <c r="D212" s="79"/>
    </row>
  </sheetData>
  <phoneticPr fontId="3" type="noConversion"/>
  <pageMargins left="0.75" right="0.75" top="1" bottom="1" header="0.5" footer="0.5"/>
  <pageSetup paperSize="9" scale="39" fitToHeight="0" orientation="landscape" r:id="rId1"/>
  <headerFooter alignWithMargins="0"/>
  <rowBreaks count="2" manualBreakCount="2">
    <brk id="75" min="1" max="7" man="1"/>
    <brk id="150"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8"/>
  <sheetViews>
    <sheetView showGridLines="0" zoomScale="85" zoomScaleNormal="85" workbookViewId="0"/>
  </sheetViews>
  <sheetFormatPr defaultRowHeight="12.75" x14ac:dyDescent="0.2"/>
  <cols>
    <col min="1" max="1" width="3.7109375" style="13" customWidth="1"/>
    <col min="2" max="2" width="90.7109375" style="40" customWidth="1"/>
    <col min="3" max="3" width="21.28515625" style="40" customWidth="1"/>
    <col min="4" max="4" width="12.85546875" style="40" customWidth="1"/>
    <col min="5" max="5" width="5.85546875" style="40" customWidth="1"/>
    <col min="6" max="6" width="158.85546875" style="40" customWidth="1"/>
    <col min="7" max="7" width="16.28515625" style="79" bestFit="1" customWidth="1"/>
    <col min="8" max="10" width="9.5703125" style="79" bestFit="1" customWidth="1"/>
    <col min="11" max="11" width="3.140625" style="79" customWidth="1"/>
    <col min="12" max="12" width="9.5703125" style="79" bestFit="1" customWidth="1"/>
    <col min="13" max="13" width="3.7109375" style="83" customWidth="1"/>
    <col min="14" max="14" width="33" style="79" bestFit="1" customWidth="1"/>
    <col min="15" max="16384" width="9.140625" style="79"/>
  </cols>
  <sheetData>
    <row r="2" spans="1:13" s="78" customFormat="1" ht="44.25" customHeight="1" x14ac:dyDescent="0.3">
      <c r="A2" s="92"/>
      <c r="B2" s="134" t="s">
        <v>73</v>
      </c>
      <c r="C2" s="92"/>
      <c r="D2" s="92"/>
      <c r="E2" s="92"/>
      <c r="F2" s="93" t="s">
        <v>38</v>
      </c>
    </row>
    <row r="3" spans="1:13" s="86" customFormat="1" x14ac:dyDescent="0.2">
      <c r="A3" s="13"/>
      <c r="B3" s="10"/>
      <c r="C3" s="9"/>
      <c r="D3" s="13"/>
      <c r="E3" s="13"/>
      <c r="F3" s="99"/>
      <c r="K3" s="82"/>
      <c r="L3" s="82"/>
    </row>
    <row r="4" spans="1:13" s="86" customFormat="1" x14ac:dyDescent="0.2">
      <c r="A4" s="13"/>
      <c r="B4" s="52"/>
      <c r="C4" s="102"/>
      <c r="D4" s="129"/>
      <c r="E4" s="13"/>
      <c r="F4" s="99"/>
      <c r="K4" s="82"/>
      <c r="L4" s="82"/>
    </row>
    <row r="5" spans="1:13" ht="25.5" customHeight="1" x14ac:dyDescent="0.2">
      <c r="B5" s="60" t="s">
        <v>151</v>
      </c>
      <c r="C5" s="61" t="s">
        <v>152</v>
      </c>
      <c r="D5" s="61" t="s">
        <v>153</v>
      </c>
      <c r="F5" s="97" t="s">
        <v>163</v>
      </c>
      <c r="M5" s="79"/>
    </row>
    <row r="6" spans="1:13" x14ac:dyDescent="0.2">
      <c r="B6" s="1" t="s">
        <v>9</v>
      </c>
      <c r="C6" s="181">
        <v>669.22</v>
      </c>
      <c r="D6" s="62">
        <v>716.15741821834683</v>
      </c>
      <c r="F6" s="95" t="s">
        <v>77</v>
      </c>
      <c r="M6" s="79"/>
    </row>
    <row r="7" spans="1:13" x14ac:dyDescent="0.2">
      <c r="B7" s="188" t="s">
        <v>167</v>
      </c>
      <c r="C7" s="181">
        <v>774</v>
      </c>
      <c r="D7" s="62">
        <v>1169</v>
      </c>
      <c r="F7" s="95"/>
      <c r="M7" s="79"/>
    </row>
    <row r="8" spans="1:13" x14ac:dyDescent="0.2">
      <c r="B8" s="2" t="s">
        <v>10</v>
      </c>
      <c r="C8" s="181">
        <v>724.95</v>
      </c>
      <c r="D8" s="62">
        <v>11771.35668965225</v>
      </c>
      <c r="F8" s="95"/>
      <c r="M8" s="79"/>
    </row>
    <row r="9" spans="1:13" x14ac:dyDescent="0.2">
      <c r="B9" s="20" t="s">
        <v>8</v>
      </c>
      <c r="C9" s="181">
        <v>672</v>
      </c>
      <c r="D9" s="62">
        <v>14767.21433204562</v>
      </c>
      <c r="F9" s="95"/>
      <c r="M9" s="79"/>
    </row>
    <row r="10" spans="1:13" x14ac:dyDescent="0.2">
      <c r="B10" s="20" t="s">
        <v>0</v>
      </c>
      <c r="C10" s="181">
        <v>564</v>
      </c>
      <c r="D10" s="62">
        <v>585.33333333333337</v>
      </c>
      <c r="F10" s="95"/>
      <c r="M10" s="79"/>
    </row>
    <row r="11" spans="1:13" x14ac:dyDescent="0.2">
      <c r="B11" s="20" t="s">
        <v>11</v>
      </c>
      <c r="C11" s="181">
        <v>1281.71</v>
      </c>
      <c r="D11" s="62">
        <v>9035.2377512124021</v>
      </c>
      <c r="F11" s="95"/>
      <c r="M11" s="79"/>
    </row>
    <row r="12" spans="1:13" x14ac:dyDescent="0.2">
      <c r="B12" s="44" t="s">
        <v>12</v>
      </c>
      <c r="C12" s="182">
        <v>956.47</v>
      </c>
      <c r="D12" s="63">
        <v>485.59752072072069</v>
      </c>
      <c r="F12" s="95"/>
      <c r="M12" s="79"/>
    </row>
    <row r="13" spans="1:13" x14ac:dyDescent="0.2">
      <c r="B13" s="1" t="s">
        <v>154</v>
      </c>
      <c r="C13" s="64">
        <f>SUMPRODUCT(C6:C12,D6:D12)/SUM(D6:D12)</f>
        <v>836.14103436843459</v>
      </c>
      <c r="D13" s="30"/>
      <c r="F13" s="95"/>
      <c r="M13" s="79"/>
    </row>
    <row r="14" spans="1:13" x14ac:dyDescent="0.2">
      <c r="B14" s="1" t="s">
        <v>83</v>
      </c>
      <c r="C14" s="135">
        <f>Maximumprijs!C7</f>
        <v>0.21</v>
      </c>
      <c r="D14" s="30"/>
      <c r="F14" s="95"/>
      <c r="M14" s="79"/>
    </row>
    <row r="15" spans="1:13" x14ac:dyDescent="0.2">
      <c r="B15" s="44" t="s">
        <v>155</v>
      </c>
      <c r="C15" s="130">
        <f>C13*(1+C14)</f>
        <v>1011.7306515858058</v>
      </c>
      <c r="D15" s="30"/>
      <c r="F15" s="95"/>
      <c r="M15" s="79"/>
    </row>
    <row r="16" spans="1:13" x14ac:dyDescent="0.2">
      <c r="B16" s="131" t="s">
        <v>72</v>
      </c>
      <c r="C16" s="133">
        <f>ROUND(C15,2)</f>
        <v>1011.73</v>
      </c>
      <c r="D16" s="1"/>
      <c r="F16" s="95" t="s">
        <v>34</v>
      </c>
      <c r="M16" s="79"/>
    </row>
    <row r="17" spans="2:13" x14ac:dyDescent="0.2">
      <c r="B17" s="1"/>
      <c r="C17" s="1"/>
      <c r="D17" s="1"/>
      <c r="F17" s="95"/>
      <c r="M17" s="79"/>
    </row>
    <row r="18" spans="2:13" x14ac:dyDescent="0.2">
      <c r="C18" s="30"/>
      <c r="D18" s="30"/>
      <c r="F18" s="95"/>
      <c r="M18" s="79"/>
    </row>
    <row r="19" spans="2:13" ht="25.5" customHeight="1" x14ac:dyDescent="0.2">
      <c r="B19" s="60" t="s">
        <v>156</v>
      </c>
      <c r="C19" s="61" t="s">
        <v>157</v>
      </c>
      <c r="D19" s="61" t="s">
        <v>158</v>
      </c>
      <c r="F19" s="97" t="s">
        <v>163</v>
      </c>
      <c r="M19" s="79"/>
    </row>
    <row r="20" spans="2:13" x14ac:dyDescent="0.2">
      <c r="B20" s="1" t="s">
        <v>9</v>
      </c>
      <c r="C20" s="181">
        <v>19.829999999999998</v>
      </c>
      <c r="D20" s="62">
        <v>1896.7243284267897</v>
      </c>
      <c r="F20" s="95" t="s">
        <v>49</v>
      </c>
      <c r="M20" s="79"/>
    </row>
    <row r="21" spans="2:13" x14ac:dyDescent="0.2">
      <c r="B21" s="188" t="s">
        <v>167</v>
      </c>
      <c r="C21" s="181">
        <v>28</v>
      </c>
      <c r="D21" s="62">
        <v>1240.3333333333333</v>
      </c>
      <c r="F21" s="95"/>
      <c r="M21" s="79"/>
    </row>
    <row r="22" spans="2:13" x14ac:dyDescent="0.2">
      <c r="B22" s="2" t="s">
        <v>10</v>
      </c>
      <c r="C22" s="181">
        <v>21.73</v>
      </c>
      <c r="D22" s="62">
        <v>15756.611174344836</v>
      </c>
      <c r="F22" s="95"/>
      <c r="M22" s="79"/>
    </row>
    <row r="23" spans="2:13" x14ac:dyDescent="0.2">
      <c r="B23" s="20" t="s">
        <v>8</v>
      </c>
      <c r="C23" s="181">
        <v>26</v>
      </c>
      <c r="D23" s="62">
        <v>14105.754653151256</v>
      </c>
      <c r="F23" s="95"/>
      <c r="M23" s="79"/>
    </row>
    <row r="24" spans="2:13" x14ac:dyDescent="0.2">
      <c r="B24" s="20" t="s">
        <v>0</v>
      </c>
      <c r="C24" s="181">
        <v>15</v>
      </c>
      <c r="D24" s="62">
        <v>1383.3333333333333</v>
      </c>
      <c r="F24" s="95"/>
      <c r="M24" s="79"/>
    </row>
    <row r="25" spans="2:13" x14ac:dyDescent="0.2">
      <c r="B25" s="20" t="s">
        <v>11</v>
      </c>
      <c r="C25" s="181">
        <v>45.2</v>
      </c>
      <c r="D25" s="62">
        <v>5820.7997504641016</v>
      </c>
      <c r="F25" s="95"/>
      <c r="M25" s="79"/>
    </row>
    <row r="26" spans="2:13" x14ac:dyDescent="0.2">
      <c r="B26" s="44" t="s">
        <v>12</v>
      </c>
      <c r="C26" s="182">
        <v>58.06</v>
      </c>
      <c r="D26" s="63">
        <v>221</v>
      </c>
      <c r="F26" s="95"/>
      <c r="M26" s="79"/>
    </row>
    <row r="27" spans="2:13" x14ac:dyDescent="0.2">
      <c r="B27" s="1" t="s">
        <v>159</v>
      </c>
      <c r="C27" s="64">
        <f>SUMPRODUCT(C20:C26,D20:D26)/SUM(D20:D26)</f>
        <v>26.671005415706802</v>
      </c>
      <c r="D27" s="30"/>
      <c r="F27" s="95"/>
      <c r="M27" s="79"/>
    </row>
    <row r="28" spans="2:13" x14ac:dyDescent="0.2">
      <c r="B28" s="1" t="s">
        <v>83</v>
      </c>
      <c r="C28" s="135">
        <f>Maximumprijs!C7</f>
        <v>0.21</v>
      </c>
      <c r="D28" s="30"/>
      <c r="F28" s="95"/>
      <c r="M28" s="79"/>
    </row>
    <row r="29" spans="2:13" x14ac:dyDescent="0.2">
      <c r="B29" s="44" t="s">
        <v>160</v>
      </c>
      <c r="C29" s="130">
        <f>C27*(1+C28)</f>
        <v>32.271916553005227</v>
      </c>
      <c r="D29" s="30"/>
      <c r="F29" s="95"/>
      <c r="M29" s="79"/>
    </row>
    <row r="30" spans="2:13" ht="25.5" x14ac:dyDescent="0.2">
      <c r="B30" s="132" t="s">
        <v>76</v>
      </c>
      <c r="C30" s="133">
        <f>ROUND(C29,2)</f>
        <v>32.270000000000003</v>
      </c>
      <c r="D30" s="1"/>
      <c r="F30" s="95" t="s">
        <v>34</v>
      </c>
      <c r="M30" s="79"/>
    </row>
    <row r="36" spans="3:3" x14ac:dyDescent="0.2">
      <c r="C36" s="149"/>
    </row>
    <row r="37" spans="3:3" x14ac:dyDescent="0.2">
      <c r="C37" s="149"/>
    </row>
    <row r="38" spans="3:3" x14ac:dyDescent="0.2">
      <c r="C38" s="149"/>
    </row>
  </sheetData>
  <pageMargins left="0.75" right="0.75" top="1" bottom="1" header="0.5" footer="0.5"/>
  <pageSetup paperSize="9" scale="4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Toelichting</vt:lpstr>
      <vt:lpstr>Maximumprijs</vt:lpstr>
      <vt:lpstr>Aansluitbijdrage</vt:lpstr>
      <vt:lpstr>Aansluitbijdrage!Afdrukbereik</vt:lpstr>
      <vt:lpstr>Maximumprijs!Afdrukbereik</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 maximumprijs 2017</dc:title>
  <dc:creator/>
  <cp:lastModifiedBy/>
  <dcterms:created xsi:type="dcterms:W3CDTF">2016-12-21T16:26:57Z</dcterms:created>
  <dcterms:modified xsi:type="dcterms:W3CDTF">2016-12-21T17:07:32Z</dcterms:modified>
</cp:coreProperties>
</file>